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1C4EE588-2099-4823-B77C-6FBC627DF404}" xr6:coauthVersionLast="46" xr6:coauthVersionMax="46" xr10:uidLastSave="{00000000-0000-0000-0000-000000000000}"/>
  <bookViews>
    <workbookView xWindow="-120" yWindow="-120" windowWidth="19440" windowHeight="15000" tabRatio="899" firstSheet="14"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废弃 (2)" sheetId="79" state="hidden" r:id="rId33"/>
    <sheet name="土地比较法-工业" sheetId="40" state="hidden" r:id="rId34"/>
    <sheet name="基准地价修正" sheetId="43" state="hidden" r:id="rId35"/>
    <sheet name="土地案例" sheetId="77" r:id="rId36"/>
    <sheet name="销售案例" sheetId="78"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32" hidden="1">'土地比较法-住宅、综合废弃 (2)'!$A$1:$L$48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'土地比较法-住宅、综合'!$A$1:$K$66,'土地比较法-住宅、综合'!$A$69:$M$132</definedName>
    <definedName name="_xlnm.Print_Area" localSheetId="32">'土地比较法-住宅、综合废弃 (2)'!$A$1:$K$66,'土地比较法-住宅、综合废弃 (2)'!$A$69:$M$132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32">'土地比较法-住宅、综合废弃 (2)'!$A$73:$M$73</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32">'土地比较法-住宅、综合废弃 (2)'!$B$106:$M$106</definedName>
    <definedName name="套综道路等级">'土地比较法-住宅、综合'!$B$106:$M$106</definedName>
    <definedName name="套综工程地质条件" localSheetId="32">'土地比较法-住宅、综合废弃 (2)'!$B$125:$M$125</definedName>
    <definedName name="套综工程地质条件">'土地比较法-住宅、综合'!$B$125:$M$125</definedName>
    <definedName name="套综交易情况" localSheetId="32">'土地比较法-住宅、综合废弃 (2)'!$A$73:$M$73</definedName>
    <definedName name="套综交易情况">'土地比较法-住宅、综合'!$A$73:$M$73</definedName>
    <definedName name="套综临街宽度及深度" localSheetId="32">'土地比较法-住宅、综合废弃 (2)'!$B$121:$M$121</definedName>
    <definedName name="套综临街宽度及深度">'土地比较法-住宅、综合'!$B$121:$M$121</definedName>
    <definedName name="套综土地级别" localSheetId="32">'土地比较法-住宅、综合废弃 (2)'!$B$108:$M$108</definedName>
    <definedName name="套综土地级别">'土地比较法-住宅、综合'!$B$108:$M$108</definedName>
    <definedName name="套综用途" localSheetId="32">'土地比较法-住宅、综合废弃 (2)'!$B$75:$M$75</definedName>
    <definedName name="套综用途">'土地比较法-住宅、综合'!$B$75:$M$75</definedName>
    <definedName name="套综宗地内开发程度" localSheetId="32">'土地比较法-住宅、综合废弃 (2)'!$B$123:$M$123</definedName>
    <definedName name="套综宗地内开发程度">'土地比较法-住宅、综合'!$B$123:$M$123</definedName>
    <definedName name="套综宗地形状" localSheetId="32">'土地比较法-住宅、综合废弃 (2)'!$B$119:$M$119</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13" i="3" l="1"/>
  <c r="I13" i="3"/>
  <c r="D71" i="80"/>
  <c r="D72" i="80" s="1"/>
  <c r="D70" i="80"/>
  <c r="F82" i="80"/>
  <c r="A72" i="80"/>
  <c r="A82" i="80" s="1"/>
  <c r="A83" i="80" s="1"/>
  <c r="A84" i="80" s="1"/>
  <c r="M13" i="3" s="1"/>
  <c r="A71" i="80"/>
  <c r="A73" i="80" s="1"/>
  <c r="A55" i="80"/>
  <c r="A54" i="80"/>
  <c r="K3" i="80"/>
  <c r="N249" i="77"/>
  <c r="N250" i="77" s="1"/>
  <c r="N214" i="77"/>
  <c r="P18" i="1"/>
  <c r="P17" i="1"/>
  <c r="P19" i="1" s="1"/>
  <c r="L8" i="1"/>
  <c r="A56" i="80" l="1"/>
  <c r="R19" i="1"/>
  <c r="R18" i="1"/>
  <c r="Q20" i="1"/>
  <c r="R17" i="1"/>
  <c r="R20" i="1" l="1"/>
  <c r="P20" i="1" s="1"/>
  <c r="I46" i="39"/>
  <c r="I38" i="39"/>
  <c r="G38" i="39"/>
  <c r="E38" i="39"/>
  <c r="I7" i="39"/>
  <c r="G7" i="39"/>
  <c r="E7" i="39"/>
  <c r="I5" i="39"/>
  <c r="G5" i="39"/>
  <c r="E5" i="39"/>
  <c r="B131" i="79"/>
  <c r="J45" i="79" s="1"/>
  <c r="AC45" i="79" s="1"/>
  <c r="B129" i="79"/>
  <c r="B127" i="79"/>
  <c r="J43" i="79" s="1"/>
  <c r="AC43" i="79" s="1"/>
  <c r="D126" i="79"/>
  <c r="E126" i="79" s="1"/>
  <c r="F126" i="79" s="1"/>
  <c r="G126" i="79" s="1"/>
  <c r="H126" i="79" s="1"/>
  <c r="I126" i="79" s="1"/>
  <c r="J126" i="79" s="1"/>
  <c r="K126" i="79" s="1"/>
  <c r="L126" i="79" s="1"/>
  <c r="M126" i="79" s="1"/>
  <c r="D124" i="79"/>
  <c r="E124" i="79" s="1"/>
  <c r="D122" i="79"/>
  <c r="E122" i="79" s="1"/>
  <c r="F122" i="79" s="1"/>
  <c r="G122" i="79" s="1"/>
  <c r="H122" i="79" s="1"/>
  <c r="I122" i="79" s="1"/>
  <c r="J122" i="79" s="1"/>
  <c r="K122" i="79" s="1"/>
  <c r="L122" i="79" s="1"/>
  <c r="M122" i="79" s="1"/>
  <c r="D120" i="79"/>
  <c r="E120" i="79" s="1"/>
  <c r="F120" i="79" s="1"/>
  <c r="G120" i="79" s="1"/>
  <c r="H120" i="79" s="1"/>
  <c r="I120" i="79" s="1"/>
  <c r="J120" i="79" s="1"/>
  <c r="K120" i="79" s="1"/>
  <c r="L120" i="79" s="1"/>
  <c r="M120" i="79" s="1"/>
  <c r="M116" i="79"/>
  <c r="L116" i="79"/>
  <c r="K116" i="79"/>
  <c r="J116" i="79"/>
  <c r="I116" i="79"/>
  <c r="H116" i="79"/>
  <c r="G116" i="79"/>
  <c r="F116" i="79"/>
  <c r="E116" i="79"/>
  <c r="D116" i="79"/>
  <c r="C116" i="79"/>
  <c r="B114" i="79"/>
  <c r="B112" i="79"/>
  <c r="B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D105" i="79"/>
  <c r="E105" i="79" s="1"/>
  <c r="F105" i="79" s="1"/>
  <c r="G105" i="79" s="1"/>
  <c r="H105" i="79" s="1"/>
  <c r="I105" i="79" s="1"/>
  <c r="J105" i="79" s="1"/>
  <c r="K105" i="79" s="1"/>
  <c r="L105" i="79" s="1"/>
  <c r="M105" i="79" s="1"/>
  <c r="B104" i="79"/>
  <c r="D103" i="79"/>
  <c r="E103" i="79" s="1"/>
  <c r="F103" i="79" s="1"/>
  <c r="G103" i="79" s="1"/>
  <c r="D101" i="79"/>
  <c r="E101" i="79" s="1"/>
  <c r="F101" i="79" s="1"/>
  <c r="G101" i="79" s="1"/>
  <c r="D99" i="79"/>
  <c r="E99" i="79" s="1"/>
  <c r="F99" i="79" s="1"/>
  <c r="G99" i="79" s="1"/>
  <c r="D97" i="79"/>
  <c r="E97" i="79" s="1"/>
  <c r="F97" i="79" s="1"/>
  <c r="G97" i="79" s="1"/>
  <c r="D95" i="79"/>
  <c r="E95" i="79" s="1"/>
  <c r="F95" i="79" s="1"/>
  <c r="G95" i="79" s="1"/>
  <c r="D93" i="79"/>
  <c r="E93" i="79" s="1"/>
  <c r="F93" i="79" s="1"/>
  <c r="G93" i="79" s="1"/>
  <c r="D91" i="79"/>
  <c r="E91" i="79" s="1"/>
  <c r="F91" i="79" s="1"/>
  <c r="G91" i="79" s="1"/>
  <c r="D89" i="79"/>
  <c r="E89" i="79" s="1"/>
  <c r="F89" i="79" s="1"/>
  <c r="G89" i="79" s="1"/>
  <c r="B86" i="79"/>
  <c r="B84" i="79"/>
  <c r="B82" i="79"/>
  <c r="D81" i="79"/>
  <c r="E81" i="79" s="1"/>
  <c r="F81" i="79" s="1"/>
  <c r="G81" i="79" s="1"/>
  <c r="H81" i="79" s="1"/>
  <c r="I81" i="79" s="1"/>
  <c r="J81" i="79" s="1"/>
  <c r="K81" i="79" s="1"/>
  <c r="L81" i="79" s="1"/>
  <c r="M81" i="79" s="1"/>
  <c r="M79" i="79"/>
  <c r="L79" i="79"/>
  <c r="K79" i="79"/>
  <c r="J79" i="79"/>
  <c r="I79" i="79"/>
  <c r="H79" i="79"/>
  <c r="G79" i="79"/>
  <c r="F79" i="79"/>
  <c r="E79" i="79"/>
  <c r="D79" i="79"/>
  <c r="C79" i="79"/>
  <c r="H65" i="79"/>
  <c r="I65" i="79" s="1"/>
  <c r="C65" i="79" s="1"/>
  <c r="I64" i="79"/>
  <c r="H64" i="79"/>
  <c r="C64" i="79"/>
  <c r="H63" i="79"/>
  <c r="I63" i="79" s="1"/>
  <c r="C63" i="79" s="1"/>
  <c r="I62" i="79"/>
  <c r="H62" i="79"/>
  <c r="C62" i="79"/>
  <c r="H61" i="79"/>
  <c r="I61" i="79" s="1"/>
  <c r="C61" i="79" s="1"/>
  <c r="I60" i="79"/>
  <c r="C60" i="79" s="1"/>
  <c r="H60" i="79"/>
  <c r="H59" i="79"/>
  <c r="I59" i="79" s="1"/>
  <c r="C59" i="79" s="1"/>
  <c r="I58" i="79"/>
  <c r="C58" i="79" s="1"/>
  <c r="H58" i="79"/>
  <c r="H57" i="79"/>
  <c r="I57" i="79" s="1"/>
  <c r="C57" i="79" s="1"/>
  <c r="I53" i="79"/>
  <c r="J53" i="79" s="1"/>
  <c r="G53" i="79"/>
  <c r="H53" i="79" s="1"/>
  <c r="E53" i="79"/>
  <c r="F53" i="79" s="1"/>
  <c r="P48" i="79"/>
  <c r="P47" i="79"/>
  <c r="K47" i="79"/>
  <c r="V46" i="79"/>
  <c r="T46" i="79"/>
  <c r="R46" i="79"/>
  <c r="P46" i="79"/>
  <c r="Q45" i="79"/>
  <c r="Z45" i="79" s="1"/>
  <c r="H45" i="79"/>
  <c r="AB45" i="79" s="1"/>
  <c r="Q44" i="79"/>
  <c r="Z44" i="79" s="1"/>
  <c r="J44" i="79"/>
  <c r="AC44" i="79" s="1"/>
  <c r="H44" i="79"/>
  <c r="AB44" i="79" s="1"/>
  <c r="F44" i="79"/>
  <c r="AA44" i="79" s="1"/>
  <c r="Q43" i="79"/>
  <c r="Z43" i="79" s="1"/>
  <c r="H43" i="79"/>
  <c r="AB43" i="79" s="1"/>
  <c r="Q42" i="79"/>
  <c r="Z42" i="79" s="1"/>
  <c r="J42" i="79"/>
  <c r="AC42" i="79" s="1"/>
  <c r="H42" i="79"/>
  <c r="AB42" i="79" s="1"/>
  <c r="F42" i="79"/>
  <c r="AA42" i="79" s="1"/>
  <c r="Q41" i="79"/>
  <c r="Z41" i="79" s="1"/>
  <c r="Q40" i="79"/>
  <c r="Z40" i="79" s="1"/>
  <c r="J40" i="79"/>
  <c r="AC40" i="79" s="1"/>
  <c r="H40" i="79"/>
  <c r="AB40" i="79" s="1"/>
  <c r="F40" i="79"/>
  <c r="AA40" i="79" s="1"/>
  <c r="Q39" i="79"/>
  <c r="Z39" i="79" s="1"/>
  <c r="J39" i="79"/>
  <c r="AC39" i="79" s="1"/>
  <c r="H39" i="79"/>
  <c r="AB39" i="79" s="1"/>
  <c r="F39" i="79"/>
  <c r="AA39" i="79" s="1"/>
  <c r="Q38" i="79"/>
  <c r="Z38" i="79" s="1"/>
  <c r="I38" i="79"/>
  <c r="J38" i="79" s="1"/>
  <c r="AC38" i="79" s="1"/>
  <c r="G38" i="79"/>
  <c r="H38" i="79" s="1"/>
  <c r="AB38" i="79" s="1"/>
  <c r="E38" i="79"/>
  <c r="F38" i="79" s="1"/>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2" i="79"/>
  <c r="Z32" i="79" s="1"/>
  <c r="J32" i="79"/>
  <c r="AC32" i="79" s="1"/>
  <c r="H32" i="79"/>
  <c r="AB32" i="79" s="1"/>
  <c r="F32" i="79"/>
  <c r="AA32" i="79" s="1"/>
  <c r="Q31" i="79"/>
  <c r="Z31" i="79" s="1"/>
  <c r="J31" i="79"/>
  <c r="AC31" i="79" s="1"/>
  <c r="H31" i="79"/>
  <c r="AB31" i="79" s="1"/>
  <c r="F31" i="79"/>
  <c r="AA31" i="79" s="1"/>
  <c r="Q29" i="79"/>
  <c r="Z29" i="79" s="1"/>
  <c r="J29" i="79"/>
  <c r="H29" i="79"/>
  <c r="AB29" i="79" s="1"/>
  <c r="F29" i="79"/>
  <c r="AA29" i="79" s="1"/>
  <c r="Q27" i="79"/>
  <c r="Z27" i="79" s="1"/>
  <c r="J27" i="79"/>
  <c r="W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Q19" i="79"/>
  <c r="Z19" i="79" s="1"/>
  <c r="J19" i="79"/>
  <c r="AC19" i="79" s="1"/>
  <c r="H19" i="79"/>
  <c r="AB19" i="79" s="1"/>
  <c r="F19" i="79"/>
  <c r="AA19" i="79" s="1"/>
  <c r="Q17" i="79"/>
  <c r="Z17" i="79" s="1"/>
  <c r="J17" i="79"/>
  <c r="AC17" i="79" s="1"/>
  <c r="H17" i="79"/>
  <c r="AB17" i="79" s="1"/>
  <c r="F17" i="79"/>
  <c r="AA17" i="79" s="1"/>
  <c r="Q15" i="79"/>
  <c r="Z15" i="79" s="1"/>
  <c r="J15" i="79"/>
  <c r="AC15" i="79" s="1"/>
  <c r="H15" i="79"/>
  <c r="AB15" i="79" s="1"/>
  <c r="F15" i="79"/>
  <c r="AA15" i="79" s="1"/>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Q9" i="79"/>
  <c r="Z9" i="79" s="1"/>
  <c r="J9" i="79"/>
  <c r="AC9" i="79" s="1"/>
  <c r="H9" i="79"/>
  <c r="AB9" i="79" s="1"/>
  <c r="F9" i="79"/>
  <c r="AA9" i="79" s="1"/>
  <c r="S8" i="79"/>
  <c r="J8" i="79"/>
  <c r="AC8" i="79" s="1"/>
  <c r="H8" i="79"/>
  <c r="U8" i="79" s="1"/>
  <c r="F8" i="79"/>
  <c r="AA8" i="79" s="1"/>
  <c r="I7" i="79"/>
  <c r="G7" i="79"/>
  <c r="E7" i="79"/>
  <c r="I5" i="79"/>
  <c r="G5" i="79"/>
  <c r="E5" i="79"/>
  <c r="F124" i="79" l="1"/>
  <c r="G124" i="79" s="1"/>
  <c r="H124" i="79" s="1"/>
  <c r="I124" i="79" s="1"/>
  <c r="J124" i="79" s="1"/>
  <c r="K124" i="79" s="1"/>
  <c r="L124" i="79" s="1"/>
  <c r="M124" i="79" s="1"/>
  <c r="J41" i="79"/>
  <c r="AC41" i="79" s="1"/>
  <c r="F41" i="79"/>
  <c r="AA41" i="79" s="1"/>
  <c r="H41" i="79"/>
  <c r="AB41" i="79" s="1"/>
  <c r="AC27" i="79"/>
  <c r="W8" i="79"/>
  <c r="F43" i="79"/>
  <c r="AA43" i="79" s="1"/>
  <c r="F45" i="79"/>
  <c r="AA45" i="79" s="1"/>
  <c r="N6" i="1"/>
  <c r="N8" i="1" s="1"/>
  <c r="N9" i="1" s="1"/>
  <c r="AB8" i="79"/>
  <c r="S9" i="79"/>
  <c r="W9" i="79"/>
  <c r="S12" i="79"/>
  <c r="W12" i="79"/>
  <c r="S14" i="79"/>
  <c r="W14" i="79"/>
  <c r="S15" i="79"/>
  <c r="W15" i="79"/>
  <c r="S17" i="79"/>
  <c r="W17" i="79"/>
  <c r="S19" i="79"/>
  <c r="W19" i="79"/>
  <c r="S21" i="79"/>
  <c r="W21" i="79"/>
  <c r="S23" i="79"/>
  <c r="W23" i="79"/>
  <c r="S25" i="79"/>
  <c r="AC29" i="79"/>
  <c r="W29" i="79"/>
  <c r="S29" i="79"/>
  <c r="U13" i="79"/>
  <c r="U9" i="79"/>
  <c r="U12" i="79"/>
  <c r="S13" i="79"/>
  <c r="W13" i="79"/>
  <c r="U14" i="79"/>
  <c r="U15" i="79"/>
  <c r="U17" i="79"/>
  <c r="U19" i="79"/>
  <c r="U21" i="79"/>
  <c r="U23" i="79"/>
  <c r="W25" i="79"/>
  <c r="S27" i="79"/>
  <c r="U31" i="79"/>
  <c r="S32" i="79"/>
  <c r="W32" i="79"/>
  <c r="U34" i="79"/>
  <c r="S35" i="79"/>
  <c r="W35" i="79"/>
  <c r="U36" i="79"/>
  <c r="S37" i="79"/>
  <c r="W37" i="79"/>
  <c r="S38" i="79"/>
  <c r="W38" i="79"/>
  <c r="U39" i="79"/>
  <c r="S40" i="79"/>
  <c r="W40" i="79"/>
  <c r="U41" i="79"/>
  <c r="S42" i="79"/>
  <c r="W42" i="79"/>
  <c r="U43" i="79"/>
  <c r="S44" i="79"/>
  <c r="W44" i="79"/>
  <c r="U45" i="79"/>
  <c r="U25" i="79"/>
  <c r="U27" i="79"/>
  <c r="U29" i="79"/>
  <c r="S31" i="79"/>
  <c r="W31" i="79"/>
  <c r="U32" i="79"/>
  <c r="S34" i="79"/>
  <c r="W34" i="79"/>
  <c r="U35" i="79"/>
  <c r="S36" i="79"/>
  <c r="W36" i="79"/>
  <c r="U37" i="79"/>
  <c r="U38" i="79"/>
  <c r="S39" i="79"/>
  <c r="W39" i="79"/>
  <c r="U40" i="79"/>
  <c r="S41" i="79"/>
  <c r="W41" i="79"/>
  <c r="U42" i="79"/>
  <c r="S43" i="79"/>
  <c r="W43" i="79"/>
  <c r="U44" i="79"/>
  <c r="S45" i="79"/>
  <c r="W45" i="79"/>
  <c r="L9" i="1"/>
  <c r="J9" i="1"/>
  <c r="I8" i="1"/>
  <c r="I9" i="1" s="1"/>
  <c r="H8" i="1"/>
  <c r="H9" i="1" s="1"/>
  <c r="F38" i="11"/>
  <c r="E37" i="11"/>
  <c r="F36" i="11"/>
  <c r="F35" i="11"/>
  <c r="F21" i="11"/>
  <c r="C40" i="11" s="1"/>
  <c r="C21" i="11"/>
  <c r="F20" i="11"/>
  <c r="E10" i="11"/>
  <c r="E9" i="11"/>
  <c r="C8" i="11"/>
  <c r="F7" i="11"/>
  <c r="C7"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82" i="71"/>
  <c r="F81" i="71"/>
  <c r="E81" i="71"/>
  <c r="E80" i="71" s="1"/>
  <c r="C81" i="71"/>
  <c r="B81" i="71"/>
  <c r="F80" i="71"/>
  <c r="F79" i="71" s="1"/>
  <c r="B80" i="71"/>
  <c r="B79" i="71" s="1"/>
  <c r="E79" i="71"/>
  <c r="D78" i="71"/>
  <c r="F77" i="71"/>
  <c r="E77" i="71"/>
  <c r="E76" i="71" s="1"/>
  <c r="C77" i="71"/>
  <c r="B77" i="71"/>
  <c r="F76" i="71"/>
  <c r="F75" i="71" s="1"/>
  <c r="B76" i="71"/>
  <c r="B75" i="71" s="1"/>
  <c r="E75" i="71"/>
  <c r="D74" i="71"/>
  <c r="U73" i="71"/>
  <c r="S73" i="71"/>
  <c r="Q73" i="71"/>
  <c r="P73" i="71"/>
  <c r="O73" i="71"/>
  <c r="N73" i="71"/>
  <c r="F73" i="71"/>
  <c r="V73" i="71" s="1"/>
  <c r="E73" i="71"/>
  <c r="E72" i="71" s="1"/>
  <c r="C73" i="71"/>
  <c r="B73" i="71"/>
  <c r="Q72" i="71"/>
  <c r="P72" i="71"/>
  <c r="O72" i="71"/>
  <c r="N72" i="71"/>
  <c r="F72" i="71"/>
  <c r="F71" i="71" s="1"/>
  <c r="B72" i="71"/>
  <c r="B71" i="71" s="1"/>
  <c r="Q71" i="71"/>
  <c r="P71" i="71"/>
  <c r="O71" i="71"/>
  <c r="N71" i="71"/>
  <c r="E71" i="71"/>
  <c r="Q70" i="71"/>
  <c r="P70" i="71"/>
  <c r="O70" i="71"/>
  <c r="N70" i="71"/>
  <c r="D70" i="71"/>
  <c r="U69" i="71"/>
  <c r="S69" i="71"/>
  <c r="Q69" i="71"/>
  <c r="P69" i="71"/>
  <c r="O69" i="71"/>
  <c r="N69" i="71"/>
  <c r="F69" i="71"/>
  <c r="V69" i="71" s="1"/>
  <c r="E69" i="71"/>
  <c r="E68" i="71" s="1"/>
  <c r="C69" i="71"/>
  <c r="B69" i="71"/>
  <c r="Q68" i="71"/>
  <c r="P68" i="71"/>
  <c r="O68" i="71"/>
  <c r="N68" i="71"/>
  <c r="F68" i="71"/>
  <c r="F67" i="71" s="1"/>
  <c r="B68" i="71"/>
  <c r="B67" i="71" s="1"/>
  <c r="Q67" i="71"/>
  <c r="P67" i="71"/>
  <c r="O67" i="71"/>
  <c r="N67" i="71"/>
  <c r="E67" i="71"/>
  <c r="Q66" i="71"/>
  <c r="P66" i="71"/>
  <c r="O66" i="71"/>
  <c r="N66" i="71"/>
  <c r="D66" i="71"/>
  <c r="U65" i="71"/>
  <c r="S65" i="71"/>
  <c r="Q65" i="71"/>
  <c r="P65" i="71"/>
  <c r="O65" i="71"/>
  <c r="N65" i="71"/>
  <c r="F65" i="71"/>
  <c r="V65" i="71" s="1"/>
  <c r="E65" i="71"/>
  <c r="E64" i="71" s="1"/>
  <c r="C65" i="71"/>
  <c r="B65" i="71"/>
  <c r="Q64" i="71"/>
  <c r="P64" i="71"/>
  <c r="O64" i="71"/>
  <c r="N64" i="71"/>
  <c r="F64" i="71"/>
  <c r="F63" i="71" s="1"/>
  <c r="B64" i="71"/>
  <c r="B63" i="71" s="1"/>
  <c r="Q63" i="71"/>
  <c r="P63" i="71"/>
  <c r="O63" i="71"/>
  <c r="N63" i="71"/>
  <c r="E63" i="71"/>
  <c r="Q62" i="71"/>
  <c r="P62" i="71"/>
  <c r="O62" i="71"/>
  <c r="N62" i="71"/>
  <c r="D62" i="71"/>
  <c r="U61" i="71"/>
  <c r="S61" i="71"/>
  <c r="P61" i="71"/>
  <c r="N61" i="71"/>
  <c r="F61" i="71"/>
  <c r="V61" i="71" s="1"/>
  <c r="E61" i="71"/>
  <c r="E60" i="71" s="1"/>
  <c r="P60" i="71" s="1"/>
  <c r="C61" i="71"/>
  <c r="B61" i="71"/>
  <c r="F60" i="71"/>
  <c r="C60" i="71"/>
  <c r="B60" i="71"/>
  <c r="N60" i="71" s="1"/>
  <c r="E59" i="71"/>
  <c r="P59" i="71" s="1"/>
  <c r="B59" i="71"/>
  <c r="N59" i="71" s="1"/>
  <c r="P58" i="71"/>
  <c r="N58" i="71"/>
  <c r="D58" i="71"/>
  <c r="Q57" i="71"/>
  <c r="P57" i="71"/>
  <c r="O57" i="71"/>
  <c r="N57" i="71"/>
  <c r="F57" i="71"/>
  <c r="V57" i="71" s="1"/>
  <c r="Q56" i="71"/>
  <c r="P56" i="71"/>
  <c r="O56" i="71"/>
  <c r="N56" i="71"/>
  <c r="C56" i="71"/>
  <c r="Q55" i="71"/>
  <c r="P55" i="71"/>
  <c r="O55" i="71"/>
  <c r="N55" i="71"/>
  <c r="F55" i="71"/>
  <c r="F56" i="71" s="1"/>
  <c r="D55" i="71"/>
  <c r="Q54" i="7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F51" i="71"/>
  <c r="F52" i="71" s="1"/>
  <c r="F53" i="71" s="1"/>
  <c r="V53" i="71" s="1"/>
  <c r="Q50" i="71"/>
  <c r="P50" i="71"/>
  <c r="E51" i="71" s="1"/>
  <c r="E52" i="71" s="1"/>
  <c r="E53" i="71" s="1"/>
  <c r="U53" i="71" s="1"/>
  <c r="O50" i="71"/>
  <c r="C51" i="71" s="1"/>
  <c r="C52" i="71" s="1"/>
  <c r="N50" i="71"/>
  <c r="B51" i="71" s="1"/>
  <c r="B52" i="71" s="1"/>
  <c r="B53" i="71" s="1"/>
  <c r="S53" i="71" s="1"/>
  <c r="D50" i="71"/>
  <c r="V49" i="71"/>
  <c r="Q49" i="71"/>
  <c r="P49" i="71"/>
  <c r="O49" i="71"/>
  <c r="N49" i="71"/>
  <c r="F49" i="71"/>
  <c r="Q48" i="71"/>
  <c r="P48" i="71"/>
  <c r="O48" i="71"/>
  <c r="N48" i="71"/>
  <c r="B49" i="71" s="1"/>
  <c r="S49" i="71" s="1"/>
  <c r="Q47" i="71"/>
  <c r="P47" i="71"/>
  <c r="O47" i="71"/>
  <c r="N47" i="71"/>
  <c r="F47" i="71"/>
  <c r="F48" i="71" s="1"/>
  <c r="Q46" i="71"/>
  <c r="P46" i="71"/>
  <c r="E47" i="71" s="1"/>
  <c r="E48" i="71" s="1"/>
  <c r="O46" i="71"/>
  <c r="C47" i="71" s="1"/>
  <c r="N46" i="71"/>
  <c r="B47" i="71" s="1"/>
  <c r="B48" i="71" s="1"/>
  <c r="D46" i="71"/>
  <c r="Q45" i="71"/>
  <c r="P45" i="71"/>
  <c r="O45" i="71"/>
  <c r="N45" i="71"/>
  <c r="Q44" i="71"/>
  <c r="P44" i="71"/>
  <c r="O44" i="71"/>
  <c r="N44" i="71"/>
  <c r="Q43" i="71"/>
  <c r="P43" i="71"/>
  <c r="O43" i="71"/>
  <c r="N43" i="71"/>
  <c r="F43" i="71"/>
  <c r="F44" i="71" s="1"/>
  <c r="F45" i="71" s="1"/>
  <c r="V45" i="71" s="1"/>
  <c r="Q42" i="71"/>
  <c r="P42" i="71"/>
  <c r="E43" i="71" s="1"/>
  <c r="E44" i="71" s="1"/>
  <c r="E45" i="71" s="1"/>
  <c r="U45" i="71" s="1"/>
  <c r="O42" i="71"/>
  <c r="C43" i="71" s="1"/>
  <c r="C44" i="71" s="1"/>
  <c r="N42" i="71"/>
  <c r="B43" i="71" s="1"/>
  <c r="B44" i="71" s="1"/>
  <c r="B45" i="71" s="1"/>
  <c r="S45" i="71" s="1"/>
  <c r="D42" i="71"/>
  <c r="T41" i="71"/>
  <c r="Q41" i="71"/>
  <c r="P41" i="71"/>
  <c r="O41" i="71"/>
  <c r="N41" i="71"/>
  <c r="D41" i="71"/>
  <c r="Q40" i="71"/>
  <c r="P40" i="71"/>
  <c r="O40" i="71"/>
  <c r="N40" i="71"/>
  <c r="F40" i="71"/>
  <c r="F41" i="71" s="1"/>
  <c r="V41" i="71" s="1"/>
  <c r="Q39" i="71"/>
  <c r="P39" i="71"/>
  <c r="O39" i="71"/>
  <c r="N39" i="71"/>
  <c r="E39" i="71"/>
  <c r="C39" i="71"/>
  <c r="Q38" i="71"/>
  <c r="F39" i="71" s="1"/>
  <c r="P38" i="71"/>
  <c r="O38" i="71"/>
  <c r="N38" i="71"/>
  <c r="B39" i="71" s="1"/>
  <c r="B40" i="71" s="1"/>
  <c r="B41" i="71" s="1"/>
  <c r="S41" i="71" s="1"/>
  <c r="D38" i="71"/>
  <c r="Q37" i="71"/>
  <c r="P37" i="71"/>
  <c r="O37" i="71"/>
  <c r="N37" i="71"/>
  <c r="Q36" i="71"/>
  <c r="P36" i="71"/>
  <c r="O36" i="71"/>
  <c r="N36" i="71"/>
  <c r="F36" i="71"/>
  <c r="F37" i="71" s="1"/>
  <c r="V37" i="71" s="1"/>
  <c r="Q35" i="71"/>
  <c r="P35" i="71"/>
  <c r="O35" i="71"/>
  <c r="N35" i="71"/>
  <c r="E35" i="71"/>
  <c r="C35" i="71"/>
  <c r="Q34" i="71"/>
  <c r="F35" i="71" s="1"/>
  <c r="P34" i="71"/>
  <c r="O34" i="71"/>
  <c r="N34" i="71"/>
  <c r="B35" i="71" s="1"/>
  <c r="B36" i="71" s="1"/>
  <c r="B37" i="71" s="1"/>
  <c r="S37" i="71" s="1"/>
  <c r="D34" i="71"/>
  <c r="AH33" i="71"/>
  <c r="AG33" i="71"/>
  <c r="AE33" i="71"/>
  <c r="AF33" i="71" s="1"/>
  <c r="AD33" i="71"/>
  <c r="Q33" i="71"/>
  <c r="P33" i="71"/>
  <c r="O33" i="71"/>
  <c r="N33" i="71"/>
  <c r="AH32" i="71"/>
  <c r="AG32" i="71"/>
  <c r="AE32" i="71"/>
  <c r="AF32" i="71" s="1"/>
  <c r="AD32" i="71"/>
  <c r="AA32" i="71"/>
  <c r="Q32" i="71"/>
  <c r="P32" i="71"/>
  <c r="O32" i="71"/>
  <c r="Y32" i="71" s="1"/>
  <c r="Z32" i="71" s="1"/>
  <c r="N32" i="71"/>
  <c r="X32" i="71" s="1"/>
  <c r="B32" i="71"/>
  <c r="B33" i="71" s="1"/>
  <c r="S33" i="71" s="1"/>
  <c r="AH31" i="71"/>
  <c r="AG31" i="71"/>
  <c r="AE31" i="71"/>
  <c r="AF31" i="71" s="1"/>
  <c r="AD31" i="71"/>
  <c r="Q31" i="71"/>
  <c r="P31" i="71"/>
  <c r="AA31" i="71" s="1"/>
  <c r="O31" i="71"/>
  <c r="Y31" i="71" s="1"/>
  <c r="Z31" i="71" s="1"/>
  <c r="N31" i="71"/>
  <c r="X31" i="71" s="1"/>
  <c r="E31" i="71"/>
  <c r="E32" i="71" s="1"/>
  <c r="E33" i="71" s="1"/>
  <c r="U33" i="71" s="1"/>
  <c r="AH30" i="71"/>
  <c r="AG30" i="71"/>
  <c r="AF30" i="71"/>
  <c r="AE30" i="71"/>
  <c r="AD30" i="71"/>
  <c r="AA30" i="71"/>
  <c r="Y30" i="71"/>
  <c r="Z30" i="71" s="1"/>
  <c r="Q30" i="71"/>
  <c r="P30" i="71"/>
  <c r="O30" i="71"/>
  <c r="C31" i="71" s="1"/>
  <c r="N30" i="71"/>
  <c r="B31" i="71" s="1"/>
  <c r="D30" i="71"/>
  <c r="AH29" i="71"/>
  <c r="AG29" i="71"/>
  <c r="AE29" i="71"/>
  <c r="AF29" i="71" s="1"/>
  <c r="AD29" i="71"/>
  <c r="AB29" i="71"/>
  <c r="X29" i="71"/>
  <c r="Q29" i="71"/>
  <c r="P29" i="71"/>
  <c r="O29" i="71"/>
  <c r="N29" i="71"/>
  <c r="AH28" i="71"/>
  <c r="AG28" i="71"/>
  <c r="AF28" i="71"/>
  <c r="AE28" i="71"/>
  <c r="AD28" i="71"/>
  <c r="AA28" i="71"/>
  <c r="Q28" i="71"/>
  <c r="P28" i="71"/>
  <c r="O28" i="71"/>
  <c r="Y28" i="71" s="1"/>
  <c r="Z28" i="71" s="1"/>
  <c r="N28" i="71"/>
  <c r="AH27" i="71"/>
  <c r="AG27" i="71"/>
  <c r="AE27" i="71"/>
  <c r="AF27" i="71" s="1"/>
  <c r="AD27" i="71"/>
  <c r="Q27" i="71"/>
  <c r="P27" i="71"/>
  <c r="O27" i="71"/>
  <c r="Y27" i="71" s="1"/>
  <c r="Z27" i="71" s="1"/>
  <c r="N27" i="71"/>
  <c r="X27" i="71" s="1"/>
  <c r="E27" i="71"/>
  <c r="E28" i="71" s="1"/>
  <c r="E29" i="71" s="1"/>
  <c r="U29" i="71" s="1"/>
  <c r="AH26" i="71"/>
  <c r="AG26" i="71"/>
  <c r="AF26" i="71"/>
  <c r="AE26" i="71"/>
  <c r="AD26" i="71"/>
  <c r="Y26" i="71"/>
  <c r="Z26" i="71" s="1"/>
  <c r="Q26" i="71"/>
  <c r="P26" i="71"/>
  <c r="O26" i="71"/>
  <c r="C27" i="71" s="1"/>
  <c r="N26" i="71"/>
  <c r="B27" i="71" s="1"/>
  <c r="B28" i="71" s="1"/>
  <c r="B29" i="71" s="1"/>
  <c r="S29" i="71" s="1"/>
  <c r="D26" i="71"/>
  <c r="AH25" i="71"/>
  <c r="AG25" i="71"/>
  <c r="AE25" i="71"/>
  <c r="AF25" i="71" s="1"/>
  <c r="AD25" i="71"/>
  <c r="AB25" i="71"/>
  <c r="Q25" i="71"/>
  <c r="P25" i="71"/>
  <c r="O25" i="71"/>
  <c r="N25" i="71"/>
  <c r="X25" i="71" s="1"/>
  <c r="AH24" i="71"/>
  <c r="AG24" i="71"/>
  <c r="AF24" i="71"/>
  <c r="AE24" i="71"/>
  <c r="AD24" i="71"/>
  <c r="Q24" i="71"/>
  <c r="P24" i="71"/>
  <c r="O24" i="71"/>
  <c r="Y24" i="71" s="1"/>
  <c r="Z24" i="71" s="1"/>
  <c r="N24" i="71"/>
  <c r="AH23" i="71"/>
  <c r="AG23" i="71"/>
  <c r="AE23" i="71"/>
  <c r="AF23" i="71" s="1"/>
  <c r="AD23" i="71"/>
  <c r="Q23" i="71"/>
  <c r="P23" i="71"/>
  <c r="O23" i="71"/>
  <c r="N23" i="71"/>
  <c r="X23" i="71" s="1"/>
  <c r="E23" i="71"/>
  <c r="E24" i="71" s="1"/>
  <c r="E25" i="71" s="1"/>
  <c r="U25" i="71" s="1"/>
  <c r="AH22" i="71"/>
  <c r="AG22" i="71"/>
  <c r="AF22" i="71"/>
  <c r="AE22" i="71"/>
  <c r="AD22" i="71"/>
  <c r="Q22" i="71"/>
  <c r="P22" i="71"/>
  <c r="O22" i="71"/>
  <c r="C23" i="71" s="1"/>
  <c r="N22" i="71"/>
  <c r="B23" i="71" s="1"/>
  <c r="B24" i="71" s="1"/>
  <c r="B25" i="71" s="1"/>
  <c r="S25" i="71" s="1"/>
  <c r="D22" i="71"/>
  <c r="AH21" i="71"/>
  <c r="AG21" i="71"/>
  <c r="AE21" i="71"/>
  <c r="AF21" i="71" s="1"/>
  <c r="AD21" i="71"/>
  <c r="X21" i="71"/>
  <c r="Q21" i="71"/>
  <c r="P21" i="71"/>
  <c r="O21" i="71"/>
  <c r="N21" i="71"/>
  <c r="B21" i="71" s="1"/>
  <c r="B20" i="71" s="1"/>
  <c r="F21" i="71"/>
  <c r="E21" i="71"/>
  <c r="C21" i="71"/>
  <c r="AH20" i="71"/>
  <c r="AG20" i="71"/>
  <c r="AF20" i="71"/>
  <c r="AE20" i="71"/>
  <c r="AD20" i="71"/>
  <c r="Y20" i="71"/>
  <c r="Z20" i="71" s="1"/>
  <c r="Q20" i="71"/>
  <c r="P20" i="71"/>
  <c r="O20" i="71"/>
  <c r="N20" i="71"/>
  <c r="X20" i="71" s="1"/>
  <c r="F20" i="71"/>
  <c r="F19" i="71" s="1"/>
  <c r="AH19" i="71"/>
  <c r="AG19" i="71"/>
  <c r="AE19" i="71"/>
  <c r="AF19" i="71" s="1"/>
  <c r="AD19" i="71"/>
  <c r="Q19" i="71"/>
  <c r="P19" i="71"/>
  <c r="O19" i="71"/>
  <c r="N19" i="71"/>
  <c r="X9" i="71" s="1"/>
  <c r="AH18" i="71"/>
  <c r="AG18" i="71"/>
  <c r="AF18" i="71"/>
  <c r="AE18" i="71"/>
  <c r="AD18" i="71"/>
  <c r="Q18" i="71"/>
  <c r="P18" i="71"/>
  <c r="O18" i="71"/>
  <c r="Y18" i="71" s="1"/>
  <c r="Z18" i="71" s="1"/>
  <c r="N18" i="71"/>
  <c r="D18" i="71"/>
  <c r="AH17" i="71"/>
  <c r="AG17" i="71"/>
  <c r="AE17" i="71"/>
  <c r="AF17" i="71" s="1"/>
  <c r="AD17" i="71"/>
  <c r="Q17" i="71"/>
  <c r="P17" i="71"/>
  <c r="O17" i="71"/>
  <c r="N17" i="71"/>
  <c r="B17" i="71" s="1"/>
  <c r="S17" i="71" s="1"/>
  <c r="F17" i="71"/>
  <c r="E17" i="71"/>
  <c r="C17" i="71"/>
  <c r="AH16" i="71"/>
  <c r="AG16" i="71"/>
  <c r="AF16" i="71"/>
  <c r="AE16" i="71"/>
  <c r="AD16" i="71"/>
  <c r="Q16" i="71"/>
  <c r="P16" i="71"/>
  <c r="O16" i="71"/>
  <c r="Y16" i="71" s="1"/>
  <c r="Z16" i="71" s="1"/>
  <c r="N16" i="71"/>
  <c r="F16" i="71"/>
  <c r="F15" i="71" s="1"/>
  <c r="F14" i="71" s="1"/>
  <c r="F13" i="71" s="1"/>
  <c r="F12" i="71" s="1"/>
  <c r="F11" i="71" s="1"/>
  <c r="F10" i="71" s="1"/>
  <c r="F9" i="71" s="1"/>
  <c r="F8" i="71" s="1"/>
  <c r="F7" i="71" s="1"/>
  <c r="F6" i="71" s="1"/>
  <c r="F5" i="71" s="1"/>
  <c r="B16" i="71"/>
  <c r="B15" i="71" s="1"/>
  <c r="B14" i="71" s="1"/>
  <c r="AH15" i="71"/>
  <c r="AG15" i="71"/>
  <c r="AE15" i="71"/>
  <c r="AF15" i="71" s="1"/>
  <c r="AD15" i="71"/>
  <c r="Q15" i="71"/>
  <c r="P15" i="71"/>
  <c r="O15" i="71"/>
  <c r="N15" i="71"/>
  <c r="X15" i="71" s="1"/>
  <c r="AH14" i="71"/>
  <c r="AG14" i="71"/>
  <c r="AF14" i="71"/>
  <c r="AE14" i="71"/>
  <c r="AD14" i="71"/>
  <c r="Q14" i="71"/>
  <c r="P14" i="71"/>
  <c r="O14" i="71"/>
  <c r="N14" i="71"/>
  <c r="AH13" i="71"/>
  <c r="AG13" i="71"/>
  <c r="AE13" i="71"/>
  <c r="AF13" i="71" s="1"/>
  <c r="AD13" i="71"/>
  <c r="X13" i="71"/>
  <c r="Q13" i="71"/>
  <c r="P13" i="71"/>
  <c r="O13" i="71"/>
  <c r="N13" i="71"/>
  <c r="AH12" i="71"/>
  <c r="AG12" i="71"/>
  <c r="AF12" i="71"/>
  <c r="AE12" i="71"/>
  <c r="AD12" i="71"/>
  <c r="AA12" i="71"/>
  <c r="Q12" i="71"/>
  <c r="P12" i="71"/>
  <c r="O12" i="71"/>
  <c r="N12" i="71"/>
  <c r="AH11" i="71"/>
  <c r="AG11" i="71"/>
  <c r="AE11" i="71"/>
  <c r="AF11" i="71" s="1"/>
  <c r="AD11" i="71"/>
  <c r="Q11" i="71"/>
  <c r="P11" i="71"/>
  <c r="O11" i="71"/>
  <c r="Y11" i="71" s="1"/>
  <c r="Z11" i="71" s="1"/>
  <c r="N11" i="71"/>
  <c r="AH10" i="71"/>
  <c r="AG10" i="71"/>
  <c r="AF10" i="71"/>
  <c r="AE10" i="71"/>
  <c r="AD10" i="71"/>
  <c r="Y10" i="71"/>
  <c r="Z10" i="71" s="1"/>
  <c r="Q10" i="71"/>
  <c r="P10" i="71"/>
  <c r="O10" i="71"/>
  <c r="N10" i="71"/>
  <c r="X10" i="71" s="1"/>
  <c r="AH9" i="71"/>
  <c r="AG9" i="71"/>
  <c r="AE9" i="71"/>
  <c r="AF9" i="71" s="1"/>
  <c r="AD9" i="71"/>
  <c r="AB9" i="71"/>
  <c r="Q9" i="71"/>
  <c r="P9" i="71"/>
  <c r="O9" i="71"/>
  <c r="N9" i="71"/>
  <c r="AH8" i="71"/>
  <c r="AG8" i="71"/>
  <c r="AE8" i="71"/>
  <c r="AF8" i="71" s="1"/>
  <c r="AD8" i="71"/>
  <c r="AB8" i="71"/>
  <c r="Q8" i="71"/>
  <c r="P8" i="71"/>
  <c r="AA8" i="71" s="1"/>
  <c r="O8" i="71"/>
  <c r="N8" i="71"/>
  <c r="X8" i="71" s="1"/>
  <c r="AH7" i="71"/>
  <c r="AG7" i="71"/>
  <c r="AF7" i="71"/>
  <c r="AE7" i="71"/>
  <c r="AD7" i="71"/>
  <c r="AA7" i="71"/>
  <c r="Q7" i="71"/>
  <c r="AB7" i="71" s="1"/>
  <c r="P7" i="71"/>
  <c r="O7" i="71"/>
  <c r="Y7" i="71" s="1"/>
  <c r="Z7" i="71" s="1"/>
  <c r="N7" i="71"/>
  <c r="AH6" i="71"/>
  <c r="AG6" i="71"/>
  <c r="AE6" i="71"/>
  <c r="AF6" i="71" s="1"/>
  <c r="AD6" i="71"/>
  <c r="Q6" i="71"/>
  <c r="P6" i="71"/>
  <c r="O6" i="71"/>
  <c r="Y6" i="71" s="1"/>
  <c r="Z6" i="71" s="1"/>
  <c r="N6" i="71"/>
  <c r="X6" i="71" s="1"/>
  <c r="AH5" i="71"/>
  <c r="AG5" i="71"/>
  <c r="AF5" i="71"/>
  <c r="AE5" i="71"/>
  <c r="AD5" i="71"/>
  <c r="Y5" i="71"/>
  <c r="Z5" i="71" s="1"/>
  <c r="Q5" i="71"/>
  <c r="P5" i="71"/>
  <c r="O5" i="71"/>
  <c r="N5" i="71"/>
  <c r="X5" i="71" s="1"/>
  <c r="AE3" i="71"/>
  <c r="AF3" i="71" s="1"/>
  <c r="AB3" i="71"/>
  <c r="X3" i="71"/>
  <c r="L3" i="71"/>
  <c r="AH3" i="71" s="1"/>
  <c r="K3" i="71"/>
  <c r="AG3" i="71" s="1"/>
  <c r="J3" i="71"/>
  <c r="I3" i="71"/>
  <c r="AD3" i="71" s="1"/>
  <c r="M15" i="45"/>
  <c r="L15" i="45"/>
  <c r="K15" i="45"/>
  <c r="J15" i="45"/>
  <c r="I15" i="45"/>
  <c r="H15" i="45"/>
  <c r="G15" i="45"/>
  <c r="F15" i="45"/>
  <c r="E15" i="45"/>
  <c r="D15" i="45"/>
  <c r="C15" i="45"/>
  <c r="B15" i="45"/>
  <c r="V51" i="77"/>
  <c r="V50" i="77"/>
  <c r="V49" i="77"/>
  <c r="V48" i="77"/>
  <c r="V47" i="77"/>
  <c r="V46" i="77"/>
  <c r="V45" i="77"/>
  <c r="V44" i="77"/>
  <c r="V43" i="77"/>
  <c r="V42" i="77"/>
  <c r="V41" i="77"/>
  <c r="V40" i="77"/>
  <c r="V39" i="77"/>
  <c r="V38" i="77"/>
  <c r="V37" i="77"/>
  <c r="V36" i="77"/>
  <c r="V35" i="77"/>
  <c r="V34" i="77"/>
  <c r="V33" i="77"/>
  <c r="V32" i="77"/>
  <c r="V31" i="77"/>
  <c r="V30" i="77"/>
  <c r="V29" i="77"/>
  <c r="V28" i="77"/>
  <c r="V27" i="77"/>
  <c r="V26" i="77"/>
  <c r="V25" i="77"/>
  <c r="V24" i="77"/>
  <c r="V23" i="77"/>
  <c r="V22" i="77"/>
  <c r="V21" i="77"/>
  <c r="V20" i="77"/>
  <c r="V19" i="77"/>
  <c r="V18" i="77"/>
  <c r="V17" i="77"/>
  <c r="V16" i="77"/>
  <c r="V15" i="77"/>
  <c r="V14" i="77"/>
  <c r="V13" i="77"/>
  <c r="V12" i="77"/>
  <c r="V11" i="77"/>
  <c r="V10" i="77"/>
  <c r="V9" i="77"/>
  <c r="V8" i="77"/>
  <c r="V7" i="77"/>
  <c r="V6" i="77"/>
  <c r="V5" i="77"/>
  <c r="V4" i="77"/>
  <c r="V3" i="77"/>
  <c r="V2" i="77"/>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D70" i="43"/>
  <c r="E70" i="43" s="1"/>
  <c r="B68" i="43" s="1"/>
  <c r="C24"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F39" i="43"/>
  <c r="H38" i="43"/>
  <c r="F38" i="43"/>
  <c r="H37" i="43"/>
  <c r="F37" i="43"/>
  <c r="H36" i="43"/>
  <c r="F36" i="43"/>
  <c r="H35" i="43"/>
  <c r="F35" i="43"/>
  <c r="H34" i="43"/>
  <c r="F34" i="43"/>
  <c r="H33" i="43"/>
  <c r="F33" i="43"/>
  <c r="J20" i="43"/>
  <c r="I19" i="43"/>
  <c r="C18" i="43"/>
  <c r="N17" i="43"/>
  <c r="J17" i="43"/>
  <c r="D17" i="43"/>
  <c r="C16" i="43"/>
  <c r="F15" i="43"/>
  <c r="E15" i="43"/>
  <c r="D15" i="43"/>
  <c r="C15" i="43"/>
  <c r="C12" i="43" s="1"/>
  <c r="AI12" i="43"/>
  <c r="AG12" i="43"/>
  <c r="AE12" i="43"/>
  <c r="AC12" i="43"/>
  <c r="AA12" i="43"/>
  <c r="Y12" i="43"/>
  <c r="M12" i="43"/>
  <c r="N11" i="43"/>
  <c r="AH10" i="43"/>
  <c r="AD10" i="43"/>
  <c r="Z10" i="43"/>
  <c r="Y10" i="43"/>
  <c r="N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M9" i="43"/>
  <c r="C9" i="43"/>
  <c r="M8" i="43"/>
  <c r="M7" i="43"/>
  <c r="A7" i="43"/>
  <c r="M6" i="43"/>
  <c r="N5" i="43"/>
  <c r="M4" i="43"/>
  <c r="M3" i="43"/>
  <c r="M2" i="43"/>
  <c r="I2" i="43"/>
  <c r="N12" i="43" s="1"/>
  <c r="G2" i="43"/>
  <c r="N1" i="43"/>
  <c r="M1"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H33" i="40" s="1"/>
  <c r="B103" i="40"/>
  <c r="B101" i="40"/>
  <c r="H31" i="40" s="1"/>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D96" i="40"/>
  <c r="E96" i="40" s="1"/>
  <c r="F96" i="40" s="1"/>
  <c r="G96" i="40" s="1"/>
  <c r="H96" i="40" s="1"/>
  <c r="I96" i="40" s="1"/>
  <c r="J96" i="40" s="1"/>
  <c r="K96" i="40" s="1"/>
  <c r="L96" i="40" s="1"/>
  <c r="M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H14" i="40" s="1"/>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K42" i="40"/>
  <c r="V41" i="40"/>
  <c r="T41" i="40"/>
  <c r="R41" i="40"/>
  <c r="P41" i="40"/>
  <c r="Q40" i="40"/>
  <c r="Z40" i="40" s="1"/>
  <c r="AC39" i="40"/>
  <c r="W39" i="40"/>
  <c r="Q39" i="40"/>
  <c r="Z39" i="40" s="1"/>
  <c r="J39" i="40"/>
  <c r="H39" i="40"/>
  <c r="AB39" i="40" s="1"/>
  <c r="F39" i="40"/>
  <c r="AA39" i="40" s="1"/>
  <c r="Q38" i="40"/>
  <c r="Z38" i="40" s="1"/>
  <c r="H38" i="40"/>
  <c r="AB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AA33" i="40"/>
  <c r="S33" i="40"/>
  <c r="Q33" i="40"/>
  <c r="Z33" i="40" s="1"/>
  <c r="J33" i="40"/>
  <c r="AC33" i="40" s="1"/>
  <c r="F33" i="40"/>
  <c r="AB32" i="40"/>
  <c r="U32" i="40"/>
  <c r="Q32" i="40"/>
  <c r="Z32" i="40" s="1"/>
  <c r="J32" i="40"/>
  <c r="AC32" i="40" s="1"/>
  <c r="H32" i="40"/>
  <c r="F32" i="40"/>
  <c r="AA32" i="40" s="1"/>
  <c r="AA31" i="40"/>
  <c r="S31" i="40"/>
  <c r="Q31" i="40"/>
  <c r="Z31" i="40" s="1"/>
  <c r="J31" i="40"/>
  <c r="AC31" i="40" s="1"/>
  <c r="F31" i="40"/>
  <c r="Q30" i="40"/>
  <c r="Z30" i="40" s="1"/>
  <c r="H30" i="40"/>
  <c r="AB30" i="40" s="1"/>
  <c r="C30" i="40"/>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F14" i="40"/>
  <c r="AA14" i="40" s="1"/>
  <c r="Q13" i="40"/>
  <c r="Z13" i="40" s="1"/>
  <c r="J13" i="40"/>
  <c r="AC13" i="40" s="1"/>
  <c r="H13" i="40"/>
  <c r="AB13" i="40" s="1"/>
  <c r="F13" i="40"/>
  <c r="AA13" i="40" s="1"/>
  <c r="Q12" i="40"/>
  <c r="Z12" i="40" s="1"/>
  <c r="J12" i="40"/>
  <c r="AC12" i="40" s="1"/>
  <c r="F12" i="40"/>
  <c r="AA12" i="40" s="1"/>
  <c r="Q11" i="40"/>
  <c r="Z11" i="40" s="1"/>
  <c r="J11" i="40"/>
  <c r="AC11" i="40" s="1"/>
  <c r="H11" i="40"/>
  <c r="AB11" i="40" s="1"/>
  <c r="F11" i="40"/>
  <c r="AA11" i="40" s="1"/>
  <c r="Z10" i="40"/>
  <c r="Q10" i="40"/>
  <c r="Q9" i="40"/>
  <c r="Z9" i="40" s="1"/>
  <c r="J9" i="40"/>
  <c r="AC9" i="40" s="1"/>
  <c r="H9" i="40"/>
  <c r="AB9" i="40" s="1"/>
  <c r="F9" i="40"/>
  <c r="AA9" i="40" s="1"/>
  <c r="W8" i="40"/>
  <c r="S8" i="40"/>
  <c r="J8" i="40"/>
  <c r="AC8" i="40" s="1"/>
  <c r="H8" i="40"/>
  <c r="U8" i="40" s="1"/>
  <c r="F8" i="40"/>
  <c r="AA8" i="40" s="1"/>
  <c r="B131" i="39"/>
  <c r="H45" i="39" s="1"/>
  <c r="B129" i="39"/>
  <c r="B127" i="39"/>
  <c r="H43" i="39" s="1"/>
  <c r="D126" i="39"/>
  <c r="E126" i="39" s="1"/>
  <c r="F126" i="39" s="1"/>
  <c r="G126" i="39" s="1"/>
  <c r="H126" i="39" s="1"/>
  <c r="I126" i="39" s="1"/>
  <c r="J126" i="39" s="1"/>
  <c r="K126" i="39" s="1"/>
  <c r="L126" i="39" s="1"/>
  <c r="M126" i="39" s="1"/>
  <c r="D124" i="39"/>
  <c r="E124" i="39" s="1"/>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H36" i="39" s="1"/>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D101" i="39"/>
  <c r="E101" i="39" s="1"/>
  <c r="F101" i="39" s="1"/>
  <c r="G101" i="39" s="1"/>
  <c r="D99" i="39"/>
  <c r="E99" i="39" s="1"/>
  <c r="F99" i="39" s="1"/>
  <c r="G99" i="39" s="1"/>
  <c r="E97" i="39"/>
  <c r="F97" i="39" s="1"/>
  <c r="G97" i="39" s="1"/>
  <c r="D97" i="39"/>
  <c r="D95" i="39"/>
  <c r="E95" i="39" s="1"/>
  <c r="F95" i="39" s="1"/>
  <c r="G95" i="39" s="1"/>
  <c r="D93" i="39"/>
  <c r="E93" i="39" s="1"/>
  <c r="F93" i="39" s="1"/>
  <c r="G93" i="39" s="1"/>
  <c r="D91" i="39"/>
  <c r="E91" i="39" s="1"/>
  <c r="F91" i="39" s="1"/>
  <c r="G91" i="39" s="1"/>
  <c r="D89" i="39"/>
  <c r="E89" i="39" s="1"/>
  <c r="F89" i="39" s="1"/>
  <c r="G89" i="39" s="1"/>
  <c r="B86" i="39"/>
  <c r="B84" i="39"/>
  <c r="J13" i="39" s="1"/>
  <c r="AC13" i="39" s="1"/>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I59" i="39"/>
  <c r="H59" i="39"/>
  <c r="C59" i="39"/>
  <c r="H58" i="39"/>
  <c r="I58" i="39" s="1"/>
  <c r="C58" i="39" s="1"/>
  <c r="I57" i="39"/>
  <c r="H57" i="39"/>
  <c r="C57" i="39"/>
  <c r="I53" i="39"/>
  <c r="J53" i="39" s="1"/>
  <c r="G53" i="39"/>
  <c r="H53" i="39" s="1"/>
  <c r="E53" i="39"/>
  <c r="F53" i="39" s="1"/>
  <c r="P48" i="39"/>
  <c r="P47" i="39"/>
  <c r="K47" i="39"/>
  <c r="V46" i="39"/>
  <c r="T46" i="39"/>
  <c r="R46" i="39"/>
  <c r="P46" i="39"/>
  <c r="Q45" i="39"/>
  <c r="Z45" i="39" s="1"/>
  <c r="J45" i="39"/>
  <c r="AC45" i="39" s="1"/>
  <c r="F45" i="39"/>
  <c r="AA45" i="39" s="1"/>
  <c r="Q44" i="39"/>
  <c r="Z44" i="39" s="1"/>
  <c r="J44" i="39"/>
  <c r="AC44" i="39" s="1"/>
  <c r="H44" i="39"/>
  <c r="AB44" i="39" s="1"/>
  <c r="F44" i="39"/>
  <c r="AA44" i="39" s="1"/>
  <c r="Q43" i="39"/>
  <c r="Z43" i="39" s="1"/>
  <c r="J43" i="39"/>
  <c r="AC43" i="39" s="1"/>
  <c r="F43" i="39"/>
  <c r="AA43" i="39" s="1"/>
  <c r="Q42" i="39"/>
  <c r="Z42" i="39" s="1"/>
  <c r="J42" i="39"/>
  <c r="AC42" i="39" s="1"/>
  <c r="H42" i="39"/>
  <c r="AB42" i="39" s="1"/>
  <c r="F42" i="39"/>
  <c r="AA42" i="39" s="1"/>
  <c r="Z41" i="39"/>
  <c r="Q41" i="39"/>
  <c r="Q40" i="39"/>
  <c r="Z40" i="39" s="1"/>
  <c r="J40" i="39"/>
  <c r="AC40" i="39" s="1"/>
  <c r="H40" i="39"/>
  <c r="AB40" i="39" s="1"/>
  <c r="F40" i="39"/>
  <c r="AA40" i="39" s="1"/>
  <c r="Q39" i="39"/>
  <c r="Z39" i="39" s="1"/>
  <c r="J39" i="39"/>
  <c r="AC39" i="39" s="1"/>
  <c r="H39" i="39"/>
  <c r="AB39" i="39" s="1"/>
  <c r="F39" i="39"/>
  <c r="AA39" i="39" s="1"/>
  <c r="Z38" i="39"/>
  <c r="Q38" i="39"/>
  <c r="J38" i="39"/>
  <c r="AC38" i="39" s="1"/>
  <c r="H38" i="39"/>
  <c r="U38" i="39" s="1"/>
  <c r="F38" i="39"/>
  <c r="AA38" i="39" s="1"/>
  <c r="Q37" i="39"/>
  <c r="Z37" i="39" s="1"/>
  <c r="J37" i="39"/>
  <c r="AC37" i="39" s="1"/>
  <c r="H37" i="39"/>
  <c r="AB37" i="39" s="1"/>
  <c r="F37" i="39"/>
  <c r="AA37" i="39" s="1"/>
  <c r="Q36" i="39"/>
  <c r="Z36" i="39" s="1"/>
  <c r="J36" i="39"/>
  <c r="AC36" i="39" s="1"/>
  <c r="F36" i="39"/>
  <c r="AA36" i="39" s="1"/>
  <c r="Q35" i="39"/>
  <c r="Z35" i="39" s="1"/>
  <c r="J35" i="39"/>
  <c r="AC35" i="39" s="1"/>
  <c r="H35" i="39"/>
  <c r="AB35" i="39" s="1"/>
  <c r="F35" i="39"/>
  <c r="AA35" i="39" s="1"/>
  <c r="Z34" i="39"/>
  <c r="Q34" i="39"/>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F29" i="39"/>
  <c r="AA29" i="39" s="1"/>
  <c r="Q27" i="39"/>
  <c r="Z27" i="39" s="1"/>
  <c r="H27" i="39"/>
  <c r="AB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Z17" i="39"/>
  <c r="Q17" i="39"/>
  <c r="J17" i="39"/>
  <c r="AC17" i="39" s="1"/>
  <c r="H17" i="39"/>
  <c r="AB17" i="39" s="1"/>
  <c r="F17" i="39"/>
  <c r="AA17" i="39" s="1"/>
  <c r="Z15" i="39"/>
  <c r="Q15" i="39"/>
  <c r="J15" i="39"/>
  <c r="AC15" i="39" s="1"/>
  <c r="H15" i="39"/>
  <c r="AB15" i="39" s="1"/>
  <c r="F15" i="39"/>
  <c r="AA15" i="39" s="1"/>
  <c r="Q14" i="39"/>
  <c r="Z14" i="39" s="1"/>
  <c r="J14" i="39"/>
  <c r="AC14" i="39" s="1"/>
  <c r="H14" i="39"/>
  <c r="AB14" i="39" s="1"/>
  <c r="F14" i="39"/>
  <c r="AA14" i="39" s="1"/>
  <c r="Q13" i="39"/>
  <c r="Z13" i="39" s="1"/>
  <c r="H13" i="39"/>
  <c r="AB13" i="39" s="1"/>
  <c r="Z12" i="39"/>
  <c r="Q12" i="39"/>
  <c r="J12" i="39"/>
  <c r="AC12" i="39" s="1"/>
  <c r="H12" i="39"/>
  <c r="AB12" i="39" s="1"/>
  <c r="F12" i="39"/>
  <c r="AA12" i="39" s="1"/>
  <c r="Q11" i="39"/>
  <c r="Z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F54" i="36"/>
  <c r="G54" i="36" s="1"/>
  <c r="H54" i="36" s="1"/>
  <c r="I54" i="36" s="1"/>
  <c r="C51" i="36"/>
  <c r="J42" i="36"/>
  <c r="I42" i="36"/>
  <c r="H42" i="36"/>
  <c r="G42" i="36"/>
  <c r="F42" i="36"/>
  <c r="E42" i="36"/>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AA25" i="36"/>
  <c r="S25" i="36"/>
  <c r="Q25" i="36"/>
  <c r="Z25" i="36" s="1"/>
  <c r="J25" i="36"/>
  <c r="AC25" i="36" s="1"/>
  <c r="F25" i="36"/>
  <c r="AB24" i="36"/>
  <c r="U24" i="36"/>
  <c r="Q24" i="36"/>
  <c r="Z24" i="36" s="1"/>
  <c r="J24" i="36"/>
  <c r="AC24" i="36" s="1"/>
  <c r="H24" i="36"/>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C13" i="36"/>
  <c r="W13" i="36"/>
  <c r="Q13" i="36"/>
  <c r="Z13" i="36" s="1"/>
  <c r="J13" i="36"/>
  <c r="F13" i="36"/>
  <c r="AA13" i="36" s="1"/>
  <c r="Q12" i="36"/>
  <c r="Z12" i="36" s="1"/>
  <c r="J12" i="36"/>
  <c r="AC12" i="36" s="1"/>
  <c r="H12" i="36"/>
  <c r="AB12" i="36" s="1"/>
  <c r="F12" i="36"/>
  <c r="AA12" i="36" s="1"/>
  <c r="AC11" i="36"/>
  <c r="W11" i="36"/>
  <c r="Q11" i="36"/>
  <c r="Z11" i="36" s="1"/>
  <c r="J11" i="36"/>
  <c r="F11" i="36"/>
  <c r="AA11" i="36" s="1"/>
  <c r="Q10" i="36"/>
  <c r="Z10" i="36" s="1"/>
  <c r="J10" i="36"/>
  <c r="AC10" i="36" s="1"/>
  <c r="H10" i="36"/>
  <c r="AB10" i="36" s="1"/>
  <c r="F10" i="36"/>
  <c r="Q9" i="36"/>
  <c r="Z9" i="36" s="1"/>
  <c r="J9" i="36"/>
  <c r="AC9" i="36" s="1"/>
  <c r="H9" i="36"/>
  <c r="AB9" i="36" s="1"/>
  <c r="F9" i="36"/>
  <c r="AA9" i="36" s="1"/>
  <c r="W8" i="36"/>
  <c r="S8" i="36"/>
  <c r="J8" i="36"/>
  <c r="AC8" i="36" s="1"/>
  <c r="H8" i="36"/>
  <c r="U8" i="36" s="1"/>
  <c r="F8" i="36"/>
  <c r="AA8" i="36" s="1"/>
  <c r="D3" i="36"/>
  <c r="B101" i="35"/>
  <c r="B99" i="35"/>
  <c r="J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J44" i="35"/>
  <c r="I44" i="35"/>
  <c r="H44" i="35"/>
  <c r="G44" i="35"/>
  <c r="F44" i="35"/>
  <c r="E44" i="35"/>
  <c r="P39" i="35"/>
  <c r="P38" i="35"/>
  <c r="K38" i="35"/>
  <c r="B38" i="35"/>
  <c r="V37" i="35"/>
  <c r="T37" i="35"/>
  <c r="R37" i="35"/>
  <c r="P37" i="35"/>
  <c r="Q36" i="35"/>
  <c r="Z36" i="35" s="1"/>
  <c r="J36" i="35"/>
  <c r="AC36" i="35" s="1"/>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H27" i="37"/>
  <c r="AB27" i="37" s="1"/>
  <c r="F27" i="37"/>
  <c r="AA27" i="37" s="1"/>
  <c r="Q26" i="37"/>
  <c r="Z26" i="37" s="1"/>
  <c r="J26" i="37"/>
  <c r="AC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I67" i="34"/>
  <c r="G67" i="34"/>
  <c r="H67" i="34" s="1"/>
  <c r="F67" i="34"/>
  <c r="C64" i="34"/>
  <c r="I55" i="34"/>
  <c r="J55" i="34" s="1"/>
  <c r="G55" i="34"/>
  <c r="H55" i="34" s="1"/>
  <c r="E55" i="34"/>
  <c r="F55" i="34" s="1"/>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H32" i="34"/>
  <c r="AB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H28" i="34"/>
  <c r="AB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U8" i="33" s="1"/>
  <c r="F8" i="33"/>
  <c r="AA8" i="33" s="1"/>
  <c r="C145" i="21"/>
  <c r="J142" i="21"/>
  <c r="J140" i="21"/>
  <c r="K143" i="21" s="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Z37" i="21"/>
  <c r="Q37" i="2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H17" i="21"/>
  <c r="AB17" i="21" s="1"/>
  <c r="C17" i="21"/>
  <c r="Z15" i="21"/>
  <c r="Q15" i="2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Z11" i="21"/>
  <c r="Q11" i="21"/>
  <c r="Z10" i="21"/>
  <c r="Q10" i="21"/>
  <c r="J10" i="21"/>
  <c r="AC10" i="21" s="1"/>
  <c r="H10" i="21"/>
  <c r="AB10" i="21" s="1"/>
  <c r="F10" i="21"/>
  <c r="AA10" i="21" s="1"/>
  <c r="Q9" i="21"/>
  <c r="Z9" i="21" s="1"/>
  <c r="J9" i="21"/>
  <c r="AC9" i="21" s="1"/>
  <c r="H9" i="21"/>
  <c r="AB9" i="21" s="1"/>
  <c r="F9" i="21"/>
  <c r="AA9" i="21" s="1"/>
  <c r="J8" i="21"/>
  <c r="W8" i="21" s="1"/>
  <c r="H8" i="21"/>
  <c r="AB8" i="21" s="1"/>
  <c r="F8" i="21"/>
  <c r="S8" i="21" s="1"/>
  <c r="C27" i="66"/>
  <c r="C31" i="66" s="1"/>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A6" i="70"/>
  <c r="E6" i="70" s="1"/>
  <c r="Q72" i="67"/>
  <c r="Q59" i="67"/>
  <c r="K59" i="67"/>
  <c r="P61" i="67" s="1"/>
  <c r="F59" i="67"/>
  <c r="Q58" i="67"/>
  <c r="Q51" i="67"/>
  <c r="J51" i="67"/>
  <c r="J50" i="67"/>
  <c r="M47" i="67"/>
  <c r="D46" i="67"/>
  <c r="F33" i="67"/>
  <c r="F61" i="67" s="1"/>
  <c r="F31" i="67"/>
  <c r="F23" i="67"/>
  <c r="D24" i="67" s="1"/>
  <c r="D22" i="67"/>
  <c r="F21" i="67"/>
  <c r="F20" i="67"/>
  <c r="M19" i="67"/>
  <c r="F18" i="67"/>
  <c r="M17" i="67"/>
  <c r="F17" i="67"/>
  <c r="F15" i="67"/>
  <c r="Q72" i="15"/>
  <c r="Q59" i="15"/>
  <c r="K59" i="15"/>
  <c r="P61" i="15" s="1"/>
  <c r="F59" i="15"/>
  <c r="Q58" i="15"/>
  <c r="Q51" i="15"/>
  <c r="J50" i="15"/>
  <c r="M47" i="15"/>
  <c r="D46" i="15"/>
  <c r="F33" i="15"/>
  <c r="F61" i="15" s="1"/>
  <c r="F31" i="15"/>
  <c r="D24" i="15"/>
  <c r="F23" i="15"/>
  <c r="D23" i="15"/>
  <c r="D22" i="15"/>
  <c r="F21" i="15"/>
  <c r="F20" i="15"/>
  <c r="M19" i="15"/>
  <c r="F18" i="15"/>
  <c r="M17" i="15"/>
  <c r="F17" i="15"/>
  <c r="F15" i="15"/>
  <c r="F24" i="12"/>
  <c r="F23" i="12"/>
  <c r="F22" i="12"/>
  <c r="E20" i="12"/>
  <c r="E19" i="12"/>
  <c r="E17" i="12"/>
  <c r="F15" i="12"/>
  <c r="E14" i="12"/>
  <c r="F13" i="12"/>
  <c r="F12" i="12"/>
  <c r="K7" i="12"/>
  <c r="J7" i="12"/>
  <c r="I7" i="12"/>
  <c r="H7" i="12"/>
  <c r="G7" i="12"/>
  <c r="F40" i="69"/>
  <c r="F39" i="69"/>
  <c r="F38" i="69"/>
  <c r="E37" i="69"/>
  <c r="F36" i="69"/>
  <c r="F35" i="69"/>
  <c r="F21" i="69"/>
  <c r="C40" i="69" s="1"/>
  <c r="C21" i="69"/>
  <c r="F20" i="69"/>
  <c r="E10" i="69"/>
  <c r="E9" i="69"/>
  <c r="F7" i="69"/>
  <c r="C7" i="69"/>
  <c r="H1" i="69"/>
  <c r="F40" i="68"/>
  <c r="F39" i="68"/>
  <c r="F38" i="68"/>
  <c r="E37" i="68"/>
  <c r="F36" i="68"/>
  <c r="F35" i="68"/>
  <c r="F21" i="68"/>
  <c r="C40" i="68" s="1"/>
  <c r="C21" i="68"/>
  <c r="F20" i="68"/>
  <c r="C19" i="68"/>
  <c r="E10" i="68"/>
  <c r="E9" i="68"/>
  <c r="F7" i="68"/>
  <c r="A120" i="9"/>
  <c r="E111" i="9"/>
  <c r="A126" i="9" s="1"/>
  <c r="H109" i="9"/>
  <c r="H110" i="9" s="1"/>
  <c r="E109" i="9"/>
  <c r="A124" i="9" s="1"/>
  <c r="E107" i="9"/>
  <c r="A122" i="9" s="1"/>
  <c r="H106" i="9"/>
  <c r="H105" i="9"/>
  <c r="H104" i="9"/>
  <c r="H103" i="9"/>
  <c r="D120" i="9" s="1"/>
  <c r="D101" i="9"/>
  <c r="C101" i="9"/>
  <c r="C91" i="9"/>
  <c r="E90" i="9"/>
  <c r="D89" i="9"/>
  <c r="C89" i="9"/>
  <c r="C87" i="9" s="1"/>
  <c r="C92" i="9" s="1"/>
  <c r="H77" i="9"/>
  <c r="D77" i="9"/>
  <c r="C76" i="9"/>
  <c r="F59" i="9"/>
  <c r="E59" i="9"/>
  <c r="F56" i="9"/>
  <c r="O54" i="9" s="1"/>
  <c r="O55" i="9"/>
  <c r="N55" i="9"/>
  <c r="K55" i="9"/>
  <c r="J55" i="9"/>
  <c r="I55" i="9"/>
  <c r="F55"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G15" i="20"/>
  <c r="C15" i="20"/>
  <c r="B52" i="1"/>
  <c r="F34" i="67" s="1"/>
  <c r="F62" i="67" s="1"/>
  <c r="B43" i="1"/>
  <c r="D93" i="9" s="1"/>
  <c r="B31" i="1"/>
  <c r="E19" i="11" s="1"/>
  <c r="B24" i="1"/>
  <c r="F50" i="69" s="1"/>
  <c r="B23" i="1"/>
  <c r="B22" i="1"/>
  <c r="G26" i="12" s="1"/>
  <c r="AP13" i="1"/>
  <c r="AG13" i="1"/>
  <c r="AE13" i="1"/>
  <c r="F13" i="1"/>
  <c r="D13" i="1"/>
  <c r="A13" i="1"/>
  <c r="S13" i="1" s="1"/>
  <c r="AR13" i="1" s="1"/>
  <c r="AP12" i="1"/>
  <c r="AG12" i="1"/>
  <c r="AE12" i="1"/>
  <c r="S12" i="1"/>
  <c r="AQ12" i="1" s="1"/>
  <c r="K12" i="1"/>
  <c r="M12" i="1" s="1"/>
  <c r="F12" i="1"/>
  <c r="D12" i="1"/>
  <c r="B12" i="1"/>
  <c r="E12" i="1" s="1"/>
  <c r="A12" i="1"/>
  <c r="R12" i="1" s="1"/>
  <c r="AP11" i="1"/>
  <c r="AG11" i="1"/>
  <c r="AE11" i="1"/>
  <c r="F11" i="1"/>
  <c r="D11" i="1"/>
  <c r="A11" i="1"/>
  <c r="S11" i="1" s="1"/>
  <c r="AP10" i="1"/>
  <c r="AG10" i="1"/>
  <c r="AE10" i="1"/>
  <c r="S10" i="1"/>
  <c r="AQ10" i="1" s="1"/>
  <c r="K10" i="1"/>
  <c r="M10" i="1" s="1"/>
  <c r="O10" i="1" s="1"/>
  <c r="F10" i="1"/>
  <c r="D10" i="1"/>
  <c r="B10" i="1"/>
  <c r="E10" i="1" s="1"/>
  <c r="A10" i="1"/>
  <c r="R10" i="1" s="1"/>
  <c r="AP9" i="1"/>
  <c r="AG9" i="1"/>
  <c r="AE9" i="1"/>
  <c r="D9" i="1"/>
  <c r="A9" i="1"/>
  <c r="AG8" i="1"/>
  <c r="AE8" i="1"/>
  <c r="D8" i="1"/>
  <c r="A8" i="1"/>
  <c r="AP7" i="1"/>
  <c r="AG7" i="1"/>
  <c r="N7" i="1"/>
  <c r="L7" i="1"/>
  <c r="D7" i="1"/>
  <c r="A7" i="1"/>
  <c r="B7" i="1" s="1"/>
  <c r="E7" i="1" s="1"/>
  <c r="AG6" i="1"/>
  <c r="AE6" i="1"/>
  <c r="D6" i="1"/>
  <c r="A6" i="1"/>
  <c r="B6" i="1" s="1"/>
  <c r="E6" i="1" s="1"/>
  <c r="T4" i="1"/>
  <c r="O27" i="6"/>
  <c r="N27" i="6"/>
  <c r="P26" i="6"/>
  <c r="L26" i="6"/>
  <c r="E26" i="6"/>
  <c r="P25" i="6"/>
  <c r="L25" i="6"/>
  <c r="E25" i="6"/>
  <c r="P24" i="6"/>
  <c r="L24" i="6"/>
  <c r="E24" i="6"/>
  <c r="P23" i="6"/>
  <c r="L23" i="6"/>
  <c r="E23" i="6"/>
  <c r="P22" i="6"/>
  <c r="L22" i="6"/>
  <c r="P21" i="6"/>
  <c r="P20" i="6"/>
  <c r="L20" i="6"/>
  <c r="P19" i="6"/>
  <c r="P27"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L41" i="3" s="1"/>
  <c r="BK41" i="3"/>
  <c r="BJ41" i="3"/>
  <c r="BI41" i="3"/>
  <c r="BH41" i="3"/>
  <c r="BG41" i="3"/>
  <c r="BF41" i="3"/>
  <c r="BE41" i="3"/>
  <c r="BD41" i="3"/>
  <c r="BC41" i="3"/>
  <c r="BA41" i="3" s="1"/>
  <c r="AZ41" i="3" s="1"/>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s="1"/>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AC5" i="3" s="1"/>
  <c r="H14" i="3"/>
  <c r="BT13" i="3"/>
  <c r="BS13" i="3"/>
  <c r="BR13" i="3"/>
  <c r="BQ13" i="3"/>
  <c r="BP13" i="3"/>
  <c r="BO13" i="3"/>
  <c r="BN13" i="3"/>
  <c r="BM13" i="3"/>
  <c r="BL13" i="3" s="1"/>
  <c r="BL5" i="3" s="1"/>
  <c r="BK13" i="3"/>
  <c r="BJ13" i="3"/>
  <c r="BI13" i="3"/>
  <c r="BH13" i="3"/>
  <c r="BG13" i="3"/>
  <c r="BF13" i="3"/>
  <c r="BE13" i="3"/>
  <c r="BD13" i="3"/>
  <c r="BC13" i="3"/>
  <c r="AX13" i="3"/>
  <c r="AW13" i="3"/>
  <c r="AV13" i="3"/>
  <c r="AC13" i="3"/>
  <c r="BB13" i="3"/>
  <c r="BB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G22" i="6" s="1"/>
  <c r="N5" i="3"/>
  <c r="M5" i="3"/>
  <c r="F21" i="6" s="1"/>
  <c r="L5" i="3"/>
  <c r="K5" i="3"/>
  <c r="F20" i="6" s="1"/>
  <c r="E20" i="6" s="1"/>
  <c r="D7" i="12" s="1"/>
  <c r="J5" i="3"/>
  <c r="F5" i="3"/>
  <c r="R35" i="4"/>
  <c r="Q35" i="4"/>
  <c r="P35" i="4"/>
  <c r="O35" i="4"/>
  <c r="N35" i="4"/>
  <c r="M35" i="4"/>
  <c r="L35" i="4"/>
  <c r="F35" i="4"/>
  <c r="T34" i="4"/>
  <c r="T35" i="4" s="1"/>
  <c r="K34" i="4"/>
  <c r="C33" i="4"/>
  <c r="C32" i="4"/>
  <c r="C31" i="4"/>
  <c r="L22" i="4"/>
  <c r="L21" i="4"/>
  <c r="A15" i="62" s="1"/>
  <c r="B61" i="72" s="1"/>
  <c r="L20" i="4"/>
  <c r="F19" i="4"/>
  <c r="I15" i="4"/>
  <c r="G15" i="4"/>
  <c r="F15" i="4"/>
  <c r="K6" i="4"/>
  <c r="I4" i="4"/>
  <c r="G4" i="4"/>
  <c r="E4" i="4"/>
  <c r="B5" i="62" s="1"/>
  <c r="B73" i="72" s="1"/>
  <c r="C4" i="4"/>
  <c r="D3" i="4"/>
  <c r="S2" i="4"/>
  <c r="S1" i="4"/>
  <c r="A4" i="51" s="1"/>
  <c r="B6" i="72" s="1"/>
  <c r="B1" i="4"/>
  <c r="C53" i="10"/>
  <c r="C51" i="10"/>
  <c r="B51" i="10"/>
  <c r="H16" i="49"/>
  <c r="D16" i="49"/>
  <c r="D15" i="49"/>
  <c r="B2" i="49"/>
  <c r="F15" i="49" s="1"/>
  <c r="H15" i="49" s="1"/>
  <c r="A21" i="62"/>
  <c r="A20" i="62"/>
  <c r="B66" i="72" s="1"/>
  <c r="A19" i="62"/>
  <c r="A14" i="62"/>
  <c r="B60" i="72" s="1"/>
  <c r="A13" i="62"/>
  <c r="A12" i="62"/>
  <c r="B58" i="72" s="1"/>
  <c r="A5" i="62"/>
  <c r="B4" i="62"/>
  <c r="A4" i="62"/>
  <c r="A12" i="52"/>
  <c r="A10" i="52"/>
  <c r="A8" i="52"/>
  <c r="D6" i="52"/>
  <c r="A6" i="52"/>
  <c r="A4" i="52"/>
  <c r="H2" i="52"/>
  <c r="F2" i="52"/>
  <c r="D2" i="52"/>
  <c r="B46" i="72" s="1"/>
  <c r="A1" i="52"/>
  <c r="B19" i="53"/>
  <c r="D18" i="53"/>
  <c r="B35" i="72" s="1"/>
  <c r="D16" i="53"/>
  <c r="D17" i="53" s="1"/>
  <c r="B36" i="72" s="1"/>
  <c r="B16" i="53"/>
  <c r="B13" i="53"/>
  <c r="D12" i="53"/>
  <c r="D11" i="53"/>
  <c r="D10" i="53"/>
  <c r="D9" i="53"/>
  <c r="D8" i="53"/>
  <c r="B8" i="53"/>
  <c r="A3" i="53"/>
  <c r="A2" i="53"/>
  <c r="B19" i="72" s="1"/>
  <c r="A24" i="51"/>
  <c r="A22" i="51"/>
  <c r="B17" i="72" s="1"/>
  <c r="A21" i="51"/>
  <c r="A20" i="51"/>
  <c r="B15" i="72" s="1"/>
  <c r="A18" i="51"/>
  <c r="B13" i="72" s="1"/>
  <c r="A13" i="51"/>
  <c r="A3" i="51"/>
  <c r="B49" i="48"/>
  <c r="B40" i="48"/>
  <c r="B3" i="72" s="1"/>
  <c r="B37" i="48"/>
  <c r="B74" i="72"/>
  <c r="B72" i="72"/>
  <c r="B71" i="72"/>
  <c r="B70" i="72"/>
  <c r="B69" i="72"/>
  <c r="B68" i="72"/>
  <c r="B67" i="72"/>
  <c r="B65" i="72"/>
  <c r="B63" i="72"/>
  <c r="B62" i="72"/>
  <c r="B59" i="72"/>
  <c r="B57" i="72"/>
  <c r="B56" i="72"/>
  <c r="B55" i="72"/>
  <c r="B54" i="72"/>
  <c r="B50" i="72"/>
  <c r="B44" i="72"/>
  <c r="B42" i="72"/>
  <c r="B41" i="72"/>
  <c r="B37" i="72"/>
  <c r="B34" i="72"/>
  <c r="B33" i="72"/>
  <c r="B29" i="72"/>
  <c r="B28" i="72"/>
  <c r="B27" i="72"/>
  <c r="B26" i="72"/>
  <c r="B25" i="72"/>
  <c r="B24" i="72"/>
  <c r="B23" i="72"/>
  <c r="B18" i="72"/>
  <c r="B16" i="72"/>
  <c r="B11" i="72"/>
  <c r="B10" i="72"/>
  <c r="B8" i="72"/>
  <c r="B5" i="72"/>
  <c r="B2" i="72"/>
  <c r="E13" i="76"/>
  <c r="F20" i="31"/>
  <c r="E11" i="76"/>
  <c r="E2" i="68"/>
  <c r="D2" i="21"/>
  <c r="B11" i="76"/>
  <c r="AO11" i="1"/>
  <c r="AO10" i="1"/>
  <c r="AO9" i="1"/>
  <c r="AO6" i="1"/>
  <c r="D2" i="34"/>
  <c r="AO13" i="1"/>
  <c r="B8" i="76"/>
  <c r="E2" i="69"/>
  <c r="E8" i="76"/>
  <c r="B13" i="76"/>
  <c r="D2" i="36"/>
  <c r="E9" i="76"/>
  <c r="B7" i="76"/>
  <c r="E7" i="76"/>
  <c r="B12" i="76"/>
  <c r="E10" i="76"/>
  <c r="AO8" i="1"/>
  <c r="B10" i="76"/>
  <c r="B9" i="76"/>
  <c r="D2" i="37"/>
  <c r="AO12" i="1"/>
  <c r="D2" i="35"/>
  <c r="E12" i="76"/>
  <c r="D2" i="33"/>
  <c r="G30" i="6" l="1"/>
  <c r="AZ17" i="3"/>
  <c r="AZ19" i="3"/>
  <c r="AZ21" i="3"/>
  <c r="AZ23" i="3"/>
  <c r="AZ25" i="3"/>
  <c r="AZ27" i="3"/>
  <c r="AZ31" i="3"/>
  <c r="AZ35" i="3"/>
  <c r="AZ85" i="3"/>
  <c r="AZ87" i="3"/>
  <c r="AZ89" i="3"/>
  <c r="AZ91" i="3"/>
  <c r="AZ93" i="3"/>
  <c r="AZ95" i="3"/>
  <c r="AZ115" i="3"/>
  <c r="AZ119" i="3"/>
  <c r="AZ123" i="3"/>
  <c r="AZ127" i="3"/>
  <c r="AZ131" i="3"/>
  <c r="AZ135" i="3"/>
  <c r="AZ139" i="3"/>
  <c r="AZ151" i="3"/>
  <c r="AZ155" i="3"/>
  <c r="AZ159" i="3"/>
  <c r="AZ191" i="3"/>
  <c r="AZ219" i="3"/>
  <c r="AZ247" i="3"/>
  <c r="AZ263" i="3"/>
  <c r="AZ267" i="3"/>
  <c r="AZ271" i="3"/>
  <c r="AZ279" i="3"/>
  <c r="AZ283" i="3"/>
  <c r="AZ287" i="3"/>
  <c r="AZ291" i="3"/>
  <c r="AZ295" i="3"/>
  <c r="AZ299" i="3"/>
  <c r="AZ303" i="3"/>
  <c r="AZ307" i="3"/>
  <c r="AZ311" i="3"/>
  <c r="AZ315" i="3"/>
  <c r="AZ319" i="3"/>
  <c r="AZ323" i="3"/>
  <c r="AZ327" i="3"/>
  <c r="AZ331" i="3"/>
  <c r="AZ335" i="3"/>
  <c r="AZ339" i="3"/>
  <c r="AZ343" i="3"/>
  <c r="AZ347" i="3"/>
  <c r="AZ351" i="3"/>
  <c r="AZ355" i="3"/>
  <c r="AZ359" i="3"/>
  <c r="AZ387" i="3"/>
  <c r="AZ391" i="3"/>
  <c r="AZ399" i="3"/>
  <c r="AZ403" i="3"/>
  <c r="AZ407" i="3"/>
  <c r="AZ411" i="3"/>
  <c r="AZ415" i="3"/>
  <c r="AZ419" i="3"/>
  <c r="AZ423" i="3"/>
  <c r="AZ427" i="3"/>
  <c r="AZ431" i="3"/>
  <c r="AZ435" i="3"/>
  <c r="AZ439" i="3"/>
  <c r="AZ443" i="3"/>
  <c r="AZ447" i="3"/>
  <c r="AZ51" i="3"/>
  <c r="AZ53" i="3"/>
  <c r="AZ55" i="3"/>
  <c r="AZ57" i="3"/>
  <c r="AZ59" i="3"/>
  <c r="AZ61" i="3"/>
  <c r="AZ63" i="3"/>
  <c r="AZ65" i="3"/>
  <c r="AZ109" i="3"/>
  <c r="AZ111" i="3"/>
  <c r="AZ117" i="3"/>
  <c r="AZ121" i="3"/>
  <c r="AZ125"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301" i="3"/>
  <c r="AZ305" i="3"/>
  <c r="AZ309" i="3"/>
  <c r="AZ313" i="3"/>
  <c r="AZ317" i="3"/>
  <c r="AZ321" i="3"/>
  <c r="AZ325" i="3"/>
  <c r="AZ329" i="3"/>
  <c r="AZ349" i="3"/>
  <c r="AZ353" i="3"/>
  <c r="AZ357" i="3"/>
  <c r="AZ361" i="3"/>
  <c r="AZ365" i="3"/>
  <c r="AZ369" i="3"/>
  <c r="AZ373" i="3"/>
  <c r="AZ377" i="3"/>
  <c r="AZ381" i="3"/>
  <c r="AZ385" i="3"/>
  <c r="AZ389" i="3"/>
  <c r="AZ393" i="3"/>
  <c r="AZ397" i="3"/>
  <c r="AZ401" i="3"/>
  <c r="AZ405" i="3"/>
  <c r="AZ409" i="3"/>
  <c r="AZ417" i="3"/>
  <c r="C1" i="73"/>
  <c r="B2" i="1"/>
  <c r="E15" i="4"/>
  <c r="F7" i="1" s="1"/>
  <c r="G7" i="1" s="1"/>
  <c r="E29" i="6"/>
  <c r="K15" i="1" s="1"/>
  <c r="E28" i="6"/>
  <c r="F30" i="6"/>
  <c r="G14" i="3"/>
  <c r="AB45" i="33"/>
  <c r="U45" i="33"/>
  <c r="A15" i="51"/>
  <c r="B12" i="72" s="1"/>
  <c r="A19" i="51"/>
  <c r="B14" i="72" s="1"/>
  <c r="A118" i="9"/>
  <c r="A2" i="9"/>
  <c r="M56" i="9"/>
  <c r="J56" i="9"/>
  <c r="N56" i="9"/>
  <c r="K56" i="9"/>
  <c r="J55" i="79"/>
  <c r="J50" i="40"/>
  <c r="J55" i="39"/>
  <c r="I5" i="3"/>
  <c r="F19" i="6" s="1"/>
  <c r="H13" i="3"/>
  <c r="G13" i="3" s="1"/>
  <c r="A3" i="3" s="1"/>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J57" i="9"/>
  <c r="J59" i="9" s="1"/>
  <c r="J61" i="9" s="1"/>
  <c r="D121" i="9"/>
  <c r="D7" i="52" s="1"/>
  <c r="K120" i="9"/>
  <c r="A18" i="62" s="1"/>
  <c r="B64" i="72" s="1"/>
  <c r="I21" i="66"/>
  <c r="D1" i="66"/>
  <c r="E10" i="66" s="1"/>
  <c r="H113" i="21"/>
  <c r="J37" i="21"/>
  <c r="AC37" i="21" s="1"/>
  <c r="F37" i="21"/>
  <c r="AA37" i="21" s="1"/>
  <c r="H37" i="21"/>
  <c r="AB37" i="21" s="1"/>
  <c r="K7" i="1"/>
  <c r="G11" i="1"/>
  <c r="R11" i="1"/>
  <c r="G13" i="1"/>
  <c r="R13" i="1"/>
  <c r="C15" i="79"/>
  <c r="B70" i="43"/>
  <c r="C15" i="39"/>
  <c r="C17" i="79"/>
  <c r="C17" i="39"/>
  <c r="C19" i="79"/>
  <c r="B59" i="43"/>
  <c r="C19" i="39"/>
  <c r="B88" i="43"/>
  <c r="C21" i="40"/>
  <c r="C25" i="79"/>
  <c r="B77" i="43"/>
  <c r="B67" i="43"/>
  <c r="B56" i="43"/>
  <c r="C25" i="39"/>
  <c r="C27" i="79"/>
  <c r="B74" i="43"/>
  <c r="B65" i="43"/>
  <c r="B54" i="43"/>
  <c r="C27" i="39"/>
  <c r="B73" i="43"/>
  <c r="B63" i="43"/>
  <c r="B52" i="43"/>
  <c r="D78" i="9"/>
  <c r="H112" i="9"/>
  <c r="D21" i="53" s="1"/>
  <c r="B39" i="72" s="1"/>
  <c r="D124" i="9"/>
  <c r="E19" i="68"/>
  <c r="G22" i="68"/>
  <c r="E19" i="69"/>
  <c r="G22" i="69"/>
  <c r="M20" i="15"/>
  <c r="F34" i="15"/>
  <c r="F62" i="15" s="1"/>
  <c r="D23" i="67"/>
  <c r="P74" i="67"/>
  <c r="C30" i="66"/>
  <c r="E26" i="66" s="1"/>
  <c r="C32" i="66"/>
  <c r="S34" i="21"/>
  <c r="W34" i="21"/>
  <c r="U35" i="21"/>
  <c r="S36" i="21"/>
  <c r="W36" i="21"/>
  <c r="S38" i="21"/>
  <c r="W38" i="21"/>
  <c r="U39" i="21"/>
  <c r="S40" i="21"/>
  <c r="W40" i="21"/>
  <c r="U41" i="21"/>
  <c r="U43" i="21"/>
  <c r="S45" i="21"/>
  <c r="W45" i="21"/>
  <c r="U46" i="21"/>
  <c r="K144" i="21"/>
  <c r="K145" i="21"/>
  <c r="AB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AA8" i="34"/>
  <c r="AC8" i="34"/>
  <c r="U9" i="34"/>
  <c r="S10" i="34"/>
  <c r="W10" i="34"/>
  <c r="U11" i="34"/>
  <c r="S12" i="34"/>
  <c r="W12" i="34"/>
  <c r="U13" i="34"/>
  <c r="S14" i="34"/>
  <c r="W14" i="34"/>
  <c r="S15" i="34"/>
  <c r="W15" i="34"/>
  <c r="S17" i="34"/>
  <c r="W17" i="34"/>
  <c r="S19" i="34"/>
  <c r="S23" i="34"/>
  <c r="S29" i="34"/>
  <c r="U30" i="34"/>
  <c r="S33" i="34"/>
  <c r="S37" i="34"/>
  <c r="S41" i="34"/>
  <c r="S45" i="34"/>
  <c r="U46" i="34"/>
  <c r="AC46" i="34"/>
  <c r="W46" i="34"/>
  <c r="AB26" i="37"/>
  <c r="U26" i="37"/>
  <c r="AB28" i="37"/>
  <c r="U28" i="37"/>
  <c r="AC39" i="37"/>
  <c r="W39" i="37"/>
  <c r="G10" i="1"/>
  <c r="B11" i="1"/>
  <c r="E11" i="1" s="1"/>
  <c r="K11" i="1"/>
  <c r="M11" i="1" s="1"/>
  <c r="G12" i="1"/>
  <c r="B13" i="1"/>
  <c r="E13" i="1" s="1"/>
  <c r="K13" i="1"/>
  <c r="M13" i="1" s="1"/>
  <c r="O13" i="1" s="1"/>
  <c r="P13" i="1" s="1"/>
  <c r="E1" i="73"/>
  <c r="K1" i="73" s="1"/>
  <c r="G41" i="11"/>
  <c r="G22" i="11"/>
  <c r="B41" i="1"/>
  <c r="B81" i="43"/>
  <c r="C15" i="40"/>
  <c r="B82" i="43"/>
  <c r="C17" i="40"/>
  <c r="C21" i="79"/>
  <c r="B71" i="43"/>
  <c r="B60" i="43"/>
  <c r="B49" i="43"/>
  <c r="C21" i="39"/>
  <c r="B85" i="43"/>
  <c r="C23" i="40"/>
  <c r="C25" i="40"/>
  <c r="B86" i="43"/>
  <c r="C29" i="79"/>
  <c r="B66" i="43"/>
  <c r="B55" i="43"/>
  <c r="B75" i="43"/>
  <c r="C29" i="39"/>
  <c r="C94" i="9"/>
  <c r="H111" i="9"/>
  <c r="G41" i="68"/>
  <c r="G41" i="69"/>
  <c r="G25" i="12"/>
  <c r="G27" i="12"/>
  <c r="J51" i="15"/>
  <c r="M20" i="67"/>
  <c r="U34" i="21"/>
  <c r="S35" i="21"/>
  <c r="W35" i="21"/>
  <c r="U36" i="21"/>
  <c r="U38" i="21"/>
  <c r="S39" i="21"/>
  <c r="W39" i="21"/>
  <c r="U40" i="21"/>
  <c r="S41" i="21"/>
  <c r="W41" i="21"/>
  <c r="S43" i="21"/>
  <c r="W43" i="21"/>
  <c r="U45" i="21"/>
  <c r="S46" i="21"/>
  <c r="W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S46" i="33"/>
  <c r="W46" i="33"/>
  <c r="S9" i="34"/>
  <c r="W9" i="34"/>
  <c r="U10" i="34"/>
  <c r="S11" i="34"/>
  <c r="W11" i="34"/>
  <c r="U12" i="34"/>
  <c r="S13" i="34"/>
  <c r="W13" i="34"/>
  <c r="U14" i="34"/>
  <c r="U15" i="34"/>
  <c r="U17" i="34"/>
  <c r="W19" i="34"/>
  <c r="S21" i="34"/>
  <c r="W23" i="34"/>
  <c r="S27" i="34"/>
  <c r="U28" i="34"/>
  <c r="W29" i="34"/>
  <c r="S31" i="34"/>
  <c r="U32" i="34"/>
  <c r="W33" i="34"/>
  <c r="S35" i="34"/>
  <c r="U36" i="34"/>
  <c r="W37" i="34"/>
  <c r="S39" i="34"/>
  <c r="U40" i="34"/>
  <c r="W41" i="34"/>
  <c r="S43" i="34"/>
  <c r="U44" i="34"/>
  <c r="W45" i="34"/>
  <c r="S47" i="34"/>
  <c r="J28" i="34"/>
  <c r="F28" i="34"/>
  <c r="J30" i="34"/>
  <c r="F30" i="34"/>
  <c r="J32" i="34"/>
  <c r="F32" i="34"/>
  <c r="AC35" i="35"/>
  <c r="W35" i="35"/>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AB8" i="35"/>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C79" i="35"/>
  <c r="H26" i="35" s="1"/>
  <c r="AB8" i="36"/>
  <c r="S9" i="36"/>
  <c r="W9" i="36"/>
  <c r="S14" i="36"/>
  <c r="W16" i="36"/>
  <c r="S18" i="36"/>
  <c r="W20" i="36"/>
  <c r="W23" i="36"/>
  <c r="W25" i="36"/>
  <c r="S27" i="36"/>
  <c r="U28" i="36"/>
  <c r="W29" i="36"/>
  <c r="S31" i="36"/>
  <c r="U32" i="36"/>
  <c r="S33" i="36"/>
  <c r="U34" i="36"/>
  <c r="AB33" i="36"/>
  <c r="U33" i="36"/>
  <c r="AA8" i="39"/>
  <c r="U9" i="39"/>
  <c r="U23" i="39"/>
  <c r="AB36" i="39"/>
  <c r="U36" i="39"/>
  <c r="AB12" i="40"/>
  <c r="U12" i="40"/>
  <c r="AB14" i="40"/>
  <c r="U14" i="40"/>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F35" i="35"/>
  <c r="U36" i="35"/>
  <c r="U9" i="36"/>
  <c r="AA10" i="36"/>
  <c r="S10" i="36"/>
  <c r="U10" i="36"/>
  <c r="S11" i="36"/>
  <c r="U12" i="36"/>
  <c r="S13" i="36"/>
  <c r="S16" i="36"/>
  <c r="S20" i="36"/>
  <c r="U22" i="36"/>
  <c r="S23" i="36"/>
  <c r="S29" i="36"/>
  <c r="U30" i="36"/>
  <c r="AB11" i="36"/>
  <c r="U11" i="36"/>
  <c r="AB13" i="36"/>
  <c r="U13" i="36"/>
  <c r="AB23" i="36"/>
  <c r="U23" i="36"/>
  <c r="AB25" i="36"/>
  <c r="U25" i="36"/>
  <c r="AB29" i="39"/>
  <c r="U29" i="39"/>
  <c r="AB43" i="39"/>
  <c r="U43" i="39"/>
  <c r="AB45" i="39"/>
  <c r="U45" i="39"/>
  <c r="S31" i="39"/>
  <c r="W31" i="39"/>
  <c r="U32" i="39"/>
  <c r="U35" i="39"/>
  <c r="S36" i="39"/>
  <c r="W36" i="39"/>
  <c r="U37" i="39"/>
  <c r="U39" i="39"/>
  <c r="S40" i="39"/>
  <c r="W40" i="39"/>
  <c r="U42" i="39"/>
  <c r="S43" i="39"/>
  <c r="W43" i="39"/>
  <c r="U44" i="39"/>
  <c r="S45" i="39"/>
  <c r="W45" i="39"/>
  <c r="AB8" i="40"/>
  <c r="S9" i="40"/>
  <c r="W9" i="40"/>
  <c r="U11" i="40"/>
  <c r="S12" i="40"/>
  <c r="W12" i="40"/>
  <c r="U13" i="40"/>
  <c r="S14" i="40"/>
  <c r="W14" i="40"/>
  <c r="S15" i="40"/>
  <c r="W15" i="40"/>
  <c r="S17" i="40"/>
  <c r="W17" i="40"/>
  <c r="S19" i="40"/>
  <c r="W19" i="40"/>
  <c r="S21" i="40"/>
  <c r="W21" i="40"/>
  <c r="S23" i="40"/>
  <c r="W23" i="40"/>
  <c r="S25" i="40"/>
  <c r="W25" i="40"/>
  <c r="U27" i="40"/>
  <c r="U28" i="40"/>
  <c r="U30" i="40"/>
  <c r="S37" i="40"/>
  <c r="U38" i="40"/>
  <c r="J38" i="40"/>
  <c r="F38" i="40"/>
  <c r="J40" i="40"/>
  <c r="F40" i="40"/>
  <c r="E9" i="43"/>
  <c r="E8" i="43"/>
  <c r="E11" i="43"/>
  <c r="AB16" i="71"/>
  <c r="AB15" i="71"/>
  <c r="AB18" i="71"/>
  <c r="AB17" i="71"/>
  <c r="AA19" i="71"/>
  <c r="AA14" i="71"/>
  <c r="X19" i="71"/>
  <c r="C24" i="71"/>
  <c r="D23" i="71"/>
  <c r="AB24" i="71"/>
  <c r="AB23" i="71"/>
  <c r="AA25" i="71"/>
  <c r="AA22" i="71"/>
  <c r="C32" i="71"/>
  <c r="D31" i="71"/>
  <c r="C40" i="71"/>
  <c r="D40" i="71" s="1"/>
  <c r="D39" i="71"/>
  <c r="C45" i="71"/>
  <c r="D44" i="71"/>
  <c r="C57" i="71"/>
  <c r="D56" i="71"/>
  <c r="D81" i="71"/>
  <c r="C80" i="71"/>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F13" i="39"/>
  <c r="AA13" i="39" s="1"/>
  <c r="S23" i="39"/>
  <c r="W23" i="39"/>
  <c r="F27" i="39"/>
  <c r="AA27" i="39" s="1"/>
  <c r="J27" i="39"/>
  <c r="W27" i="39" s="1"/>
  <c r="S29" i="39"/>
  <c r="W29" i="39"/>
  <c r="U31" i="39"/>
  <c r="S32" i="39"/>
  <c r="W32" i="39"/>
  <c r="S35" i="39"/>
  <c r="W35" i="39"/>
  <c r="S37" i="39"/>
  <c r="W37" i="39"/>
  <c r="S39" i="39"/>
  <c r="W39" i="39"/>
  <c r="U40" i="39"/>
  <c r="S42" i="39"/>
  <c r="W42" i="39"/>
  <c r="S44" i="39"/>
  <c r="W44" i="39"/>
  <c r="U9" i="40"/>
  <c r="S11" i="40"/>
  <c r="W11" i="40"/>
  <c r="S13" i="40"/>
  <c r="W13" i="40"/>
  <c r="U15" i="40"/>
  <c r="U17" i="40"/>
  <c r="U19" i="40"/>
  <c r="U21" i="40"/>
  <c r="U23" i="40"/>
  <c r="U25" i="40"/>
  <c r="S27" i="40"/>
  <c r="W27" i="40"/>
  <c r="S28" i="40"/>
  <c r="W28" i="40"/>
  <c r="J30" i="40"/>
  <c r="F30" i="40"/>
  <c r="W31" i="40"/>
  <c r="W33" i="40"/>
  <c r="S35" i="40"/>
  <c r="U36" i="40"/>
  <c r="W37" i="40"/>
  <c r="S39" i="40"/>
  <c r="H40" i="40"/>
  <c r="AB31" i="40"/>
  <c r="U31" i="40"/>
  <c r="AB33" i="40"/>
  <c r="U33" i="40"/>
  <c r="H113" i="43"/>
  <c r="O17" i="43"/>
  <c r="M17" i="43"/>
  <c r="K17" i="43"/>
  <c r="I17" i="43"/>
  <c r="E17" i="43"/>
  <c r="C17" i="43"/>
  <c r="C6" i="43"/>
  <c r="D5" i="43" s="1"/>
  <c r="X7" i="43"/>
  <c r="E10" i="43"/>
  <c r="AB10" i="43"/>
  <c r="AF10" i="43"/>
  <c r="AJ10" i="43"/>
  <c r="C5" i="43"/>
  <c r="H17" i="43"/>
  <c r="L17" i="43"/>
  <c r="M19" i="43"/>
  <c r="H56" i="43"/>
  <c r="H54" i="43"/>
  <c r="H51" i="43"/>
  <c r="H50" i="43"/>
  <c r="H48" i="43"/>
  <c r="H49" i="43"/>
  <c r="H53" i="43"/>
  <c r="H55" i="43"/>
  <c r="H67" i="43"/>
  <c r="H65" i="43"/>
  <c r="H62" i="43"/>
  <c r="H61" i="43"/>
  <c r="H59" i="43"/>
  <c r="H60" i="43"/>
  <c r="H64" i="43"/>
  <c r="H66" i="43"/>
  <c r="F70" i="43"/>
  <c r="H88" i="43"/>
  <c r="H85" i="43"/>
  <c r="H83" i="43"/>
  <c r="H81" i="43"/>
  <c r="H82" i="43"/>
  <c r="H87" i="43"/>
  <c r="C100" i="43"/>
  <c r="G100" i="43"/>
  <c r="K100" i="43"/>
  <c r="Y3" i="71"/>
  <c r="Z3" i="71" s="1"/>
  <c r="AB5" i="71"/>
  <c r="AA5" i="71"/>
  <c r="AA6" i="71"/>
  <c r="AA3" i="71"/>
  <c r="AB6" i="71"/>
  <c r="X7" i="71"/>
  <c r="Y8" i="71"/>
  <c r="Z8" i="71" s="1"/>
  <c r="Y9" i="71"/>
  <c r="Z9" i="71" s="1"/>
  <c r="X11" i="71"/>
  <c r="Y12" i="71"/>
  <c r="Z12" i="71" s="1"/>
  <c r="AB12" i="71"/>
  <c r="AB11" i="71"/>
  <c r="AA13" i="71"/>
  <c r="AA10" i="71"/>
  <c r="AB13" i="71"/>
  <c r="X14" i="71"/>
  <c r="Y14" i="71"/>
  <c r="Z14" i="71" s="1"/>
  <c r="Y15" i="71"/>
  <c r="Z15" i="71" s="1"/>
  <c r="B13" i="71"/>
  <c r="AA16" i="71"/>
  <c r="T17" i="71"/>
  <c r="D17" i="71"/>
  <c r="U17" i="71" s="1"/>
  <c r="C16" i="71"/>
  <c r="Y17" i="71"/>
  <c r="Z17" i="71" s="1"/>
  <c r="AA18" i="71"/>
  <c r="AB19" i="71"/>
  <c r="V21" i="71"/>
  <c r="E20" i="71"/>
  <c r="E19" i="71" s="1"/>
  <c r="B19" i="71"/>
  <c r="AA21" i="71"/>
  <c r="AA20" i="71"/>
  <c r="S21" i="71"/>
  <c r="AB21" i="71"/>
  <c r="Y22" i="71"/>
  <c r="Z22" i="71" s="1"/>
  <c r="Y23" i="71"/>
  <c r="Z23" i="71" s="1"/>
  <c r="AA24" i="71"/>
  <c r="C28" i="71"/>
  <c r="D27" i="71"/>
  <c r="AB28" i="71"/>
  <c r="AB27" i="71"/>
  <c r="AA29" i="71"/>
  <c r="AA26" i="71"/>
  <c r="AB32" i="71"/>
  <c r="AB31" i="71"/>
  <c r="C48" i="71"/>
  <c r="D47" i="71"/>
  <c r="Q60" i="71"/>
  <c r="F59" i="71"/>
  <c r="T65" i="71"/>
  <c r="D65" i="71"/>
  <c r="C64" i="71"/>
  <c r="S32" i="40"/>
  <c r="W32" i="40"/>
  <c r="S34" i="40"/>
  <c r="W34" i="40"/>
  <c r="U35" i="40"/>
  <c r="S36" i="40"/>
  <c r="W36" i="40"/>
  <c r="U37" i="40"/>
  <c r="U39" i="40"/>
  <c r="N2" i="43"/>
  <c r="N3" i="43"/>
  <c r="N4" i="43"/>
  <c r="M5" i="43"/>
  <c r="N6" i="43"/>
  <c r="N7" i="43"/>
  <c r="N8" i="43"/>
  <c r="N9" i="43"/>
  <c r="M10" i="43"/>
  <c r="M11" i="43"/>
  <c r="D100" i="43"/>
  <c r="F100" i="43"/>
  <c r="H100" i="43"/>
  <c r="J100" i="43"/>
  <c r="L100" i="43"/>
  <c r="N100" i="43"/>
  <c r="AA9" i="71"/>
  <c r="AB10" i="71"/>
  <c r="AA11" i="71"/>
  <c r="X12" i="71"/>
  <c r="Y13" i="71"/>
  <c r="Z13" i="71" s="1"/>
  <c r="AB14" i="71"/>
  <c r="AA15" i="71"/>
  <c r="X16" i="71"/>
  <c r="V17" i="71"/>
  <c r="E16" i="71"/>
  <c r="E15" i="71" s="1"/>
  <c r="E14" i="71" s="1"/>
  <c r="E13" i="71" s="1"/>
  <c r="AA17" i="71"/>
  <c r="X17" i="71"/>
  <c r="X18" i="71"/>
  <c r="Y19" i="71"/>
  <c r="Z19" i="71" s="1"/>
  <c r="AB20" i="71"/>
  <c r="T21" i="71"/>
  <c r="D21" i="71"/>
  <c r="U21" i="71" s="1"/>
  <c r="C20" i="71"/>
  <c r="Y21" i="71"/>
  <c r="Z21" i="71" s="1"/>
  <c r="F23" i="71"/>
  <c r="F24" i="71" s="1"/>
  <c r="F25" i="71" s="1"/>
  <c r="V25" i="71" s="1"/>
  <c r="AB22" i="71"/>
  <c r="AA23" i="71"/>
  <c r="X24" i="71"/>
  <c r="Y25" i="71"/>
  <c r="Z25" i="71" s="1"/>
  <c r="F27" i="71"/>
  <c r="F28" i="71" s="1"/>
  <c r="F29" i="71" s="1"/>
  <c r="V29" i="71" s="1"/>
  <c r="AB26" i="71"/>
  <c r="AA27" i="71"/>
  <c r="X28" i="71"/>
  <c r="Y29" i="71"/>
  <c r="Z29" i="71" s="1"/>
  <c r="F31" i="71"/>
  <c r="F32" i="71" s="1"/>
  <c r="F33" i="71" s="1"/>
  <c r="V33" i="71" s="1"/>
  <c r="AB30" i="71"/>
  <c r="C36" i="71"/>
  <c r="D35" i="71"/>
  <c r="E49" i="71"/>
  <c r="U49" i="71" s="1"/>
  <c r="C53" i="71"/>
  <c r="D52" i="71"/>
  <c r="T73" i="71"/>
  <c r="D73" i="71"/>
  <c r="C72" i="71"/>
  <c r="X22" i="71"/>
  <c r="X26" i="71"/>
  <c r="X30" i="71"/>
  <c r="E36" i="71"/>
  <c r="E37" i="71" s="1"/>
  <c r="U37" i="71" s="1"/>
  <c r="E40" i="71"/>
  <c r="E41" i="71" s="1"/>
  <c r="U41" i="71" s="1"/>
  <c r="D43" i="71"/>
  <c r="D51" i="71"/>
  <c r="O60" i="71"/>
  <c r="D60" i="71"/>
  <c r="C59" i="71"/>
  <c r="T61" i="71"/>
  <c r="O61" i="71"/>
  <c r="D61" i="71"/>
  <c r="T69" i="71"/>
  <c r="D69" i="71"/>
  <c r="C68" i="71"/>
  <c r="D77" i="71"/>
  <c r="C76" i="71"/>
  <c r="Q61" i="71"/>
  <c r="C5" i="11"/>
  <c r="E21" i="6"/>
  <c r="E7" i="12" s="1"/>
  <c r="H35" i="6"/>
  <c r="F124" i="39"/>
  <c r="G124" i="39" s="1"/>
  <c r="H41" i="39"/>
  <c r="F41" i="39"/>
  <c r="F50" i="68"/>
  <c r="F50" i="11"/>
  <c r="E22" i="6"/>
  <c r="F7" i="12" s="1"/>
  <c r="G27" i="6"/>
  <c r="G31" i="6" s="1"/>
  <c r="U34" i="39"/>
  <c r="S34" i="39"/>
  <c r="W34" i="39"/>
  <c r="W38" i="39"/>
  <c r="AB38" i="39"/>
  <c r="S38" i="39"/>
  <c r="U17" i="39"/>
  <c r="S17" i="39"/>
  <c r="W17" i="39"/>
  <c r="S21" i="39"/>
  <c r="W21" i="39"/>
  <c r="U21" i="39"/>
  <c r="U25" i="39"/>
  <c r="S25" i="39"/>
  <c r="W25" i="39"/>
  <c r="S27" i="39"/>
  <c r="AC27" i="39"/>
  <c r="U27" i="39"/>
  <c r="S15" i="39"/>
  <c r="W15" i="39"/>
  <c r="U15" i="39"/>
  <c r="U13" i="39"/>
  <c r="S14" i="39"/>
  <c r="W14" i="39"/>
  <c r="S13" i="39"/>
  <c r="W13" i="39"/>
  <c r="U14" i="39"/>
  <c r="W12" i="39"/>
  <c r="U12" i="39"/>
  <c r="S12" i="39"/>
  <c r="K4" i="4"/>
  <c r="B46" i="48" s="1"/>
  <c r="B4" i="72" s="1"/>
  <c r="K5" i="4"/>
  <c r="B47" i="48" s="1"/>
  <c r="U12" i="21"/>
  <c r="S13" i="21"/>
  <c r="W13" i="21"/>
  <c r="U14" i="21"/>
  <c r="S12" i="21"/>
  <c r="W12" i="21"/>
  <c r="U13" i="21"/>
  <c r="S14" i="21"/>
  <c r="W14" i="21"/>
  <c r="S10" i="21"/>
  <c r="W10" i="21"/>
  <c r="U10" i="21"/>
  <c r="F69" i="21"/>
  <c r="F17" i="21"/>
  <c r="AA17" i="21" s="1"/>
  <c r="J17" i="21"/>
  <c r="AC17" i="21" s="1"/>
  <c r="U25" i="21"/>
  <c r="S26" i="21"/>
  <c r="W26" i="21"/>
  <c r="S25" i="21"/>
  <c r="W25" i="21"/>
  <c r="U26" i="21"/>
  <c r="S37" i="21"/>
  <c r="W37" i="21"/>
  <c r="U37" i="21"/>
  <c r="S33" i="21"/>
  <c r="U33" i="21"/>
  <c r="W33" i="21"/>
  <c r="W42" i="21"/>
  <c r="S42" i="21"/>
  <c r="U42" i="21"/>
  <c r="S32" i="21"/>
  <c r="W32" i="21"/>
  <c r="U32" i="21"/>
  <c r="U44" i="21"/>
  <c r="S44" i="21"/>
  <c r="W44" i="21"/>
  <c r="U27" i="21"/>
  <c r="S28" i="21"/>
  <c r="W28" i="21"/>
  <c r="U29" i="21"/>
  <c r="S30" i="21"/>
  <c r="W30" i="21"/>
  <c r="U31" i="21"/>
  <c r="S27" i="21"/>
  <c r="W27" i="21"/>
  <c r="U28" i="21"/>
  <c r="S29" i="21"/>
  <c r="W29" i="21"/>
  <c r="U30" i="21"/>
  <c r="S31" i="21"/>
  <c r="W31" i="21"/>
  <c r="S23" i="21"/>
  <c r="W23" i="21"/>
  <c r="U23" i="21"/>
  <c r="S21" i="21"/>
  <c r="W21" i="21"/>
  <c r="U21" i="21"/>
  <c r="S19" i="21"/>
  <c r="W19" i="21"/>
  <c r="U19" i="21"/>
  <c r="W17" i="21"/>
  <c r="U17" i="21"/>
  <c r="S15" i="21"/>
  <c r="W15" i="21"/>
  <c r="U15" i="21"/>
  <c r="U9" i="21"/>
  <c r="S9" i="21"/>
  <c r="W9" i="21"/>
  <c r="AC8" i="21"/>
  <c r="U8" i="21"/>
  <c r="AA8" i="21"/>
  <c r="P74" i="15"/>
  <c r="B9" i="1"/>
  <c r="E9" i="1" s="1"/>
  <c r="F3" i="35"/>
  <c r="B8" i="1"/>
  <c r="E8" i="1" s="1"/>
  <c r="K8" i="1"/>
  <c r="G1" i="69"/>
  <c r="K1" i="12"/>
  <c r="G1" i="15"/>
  <c r="G1" i="67"/>
  <c r="G1" i="68"/>
  <c r="E8" i="6"/>
  <c r="BA13" i="3"/>
  <c r="BA5" i="3" s="1"/>
  <c r="E15" i="6"/>
  <c r="E60" i="40" s="1"/>
  <c r="E51" i="40"/>
  <c r="O11" i="1"/>
  <c r="P11" i="1" s="1"/>
  <c r="M7" i="1"/>
  <c r="P10" i="1"/>
  <c r="AR10" i="1"/>
  <c r="T10" i="1"/>
  <c r="AQ11" i="1"/>
  <c r="T11" i="1"/>
  <c r="AR11" i="1"/>
  <c r="O12" i="1"/>
  <c r="P12" i="1" s="1"/>
  <c r="AR12" i="1"/>
  <c r="T13" i="1"/>
  <c r="AQ13" i="1"/>
  <c r="T12" i="1"/>
  <c r="E5" i="6"/>
  <c r="E10" i="6"/>
  <c r="E11" i="6"/>
  <c r="E61" i="79" s="1"/>
  <c r="E12" i="6"/>
  <c r="E62" i="79" s="1"/>
  <c r="E13" i="6"/>
  <c r="E63" i="79" s="1"/>
  <c r="E14" i="6"/>
  <c r="E64" i="79" s="1"/>
  <c r="S19" i="39"/>
  <c r="W19" i="39"/>
  <c r="U19" i="39"/>
  <c r="L1" i="73"/>
  <c r="J1" i="73"/>
  <c r="D15" i="4"/>
  <c r="H15" i="4"/>
  <c r="F9" i="1" s="1"/>
  <c r="G9" i="1" s="1"/>
  <c r="C42" i="1"/>
  <c r="B3" i="74"/>
  <c r="C7" i="21"/>
  <c r="C7" i="33"/>
  <c r="C58" i="33" s="1"/>
  <c r="C7" i="34"/>
  <c r="C59" i="34" s="1"/>
  <c r="G19" i="43"/>
  <c r="C7" i="40"/>
  <c r="C63" i="40" s="1"/>
  <c r="C7" i="39"/>
  <c r="C68" i="39" s="1"/>
  <c r="C7" i="36"/>
  <c r="C46" i="36" s="1"/>
  <c r="C7" i="35"/>
  <c r="C48" i="35" s="1"/>
  <c r="M47" i="9"/>
  <c r="B8" i="70"/>
  <c r="B10" i="70"/>
  <c r="B12" i="70"/>
  <c r="B6" i="70"/>
  <c r="B9" i="70"/>
  <c r="B11" i="70"/>
  <c r="B13" i="70"/>
  <c r="B20" i="31"/>
  <c r="B21" i="31"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H14" i="74"/>
  <c r="B7" i="74" s="1"/>
  <c r="M24" i="67"/>
  <c r="F38" i="67"/>
  <c r="F43" i="67"/>
  <c r="F36" i="15"/>
  <c r="F42" i="67"/>
  <c r="F5" i="73"/>
  <c r="F6" i="15"/>
  <c r="F37" i="15"/>
  <c r="M8" i="15"/>
  <c r="M28" i="15"/>
  <c r="F7" i="15"/>
  <c r="F7" i="67"/>
  <c r="M28" i="67"/>
  <c r="M29" i="15"/>
  <c r="J15" i="67"/>
  <c r="F8" i="67"/>
  <c r="M26" i="67"/>
  <c r="M24" i="15"/>
  <c r="F26" i="15"/>
  <c r="F40" i="67"/>
  <c r="J15" i="15"/>
  <c r="M22" i="67"/>
  <c r="L47" i="67"/>
  <c r="C76" i="15"/>
  <c r="M6" i="67"/>
  <c r="L48" i="15"/>
  <c r="F16" i="67"/>
  <c r="F38" i="15"/>
  <c r="F26" i="67"/>
  <c r="F13" i="67"/>
  <c r="F8" i="15"/>
  <c r="F4" i="73"/>
  <c r="M8" i="67"/>
  <c r="M23" i="15"/>
  <c r="F9" i="67"/>
  <c r="C76" i="67"/>
  <c r="F37" i="67"/>
  <c r="M29" i="67"/>
  <c r="F16" i="15"/>
  <c r="F41" i="67"/>
  <c r="M23" i="67"/>
  <c r="M22" i="15"/>
  <c r="F13" i="15"/>
  <c r="M6" i="15"/>
  <c r="F7" i="73"/>
  <c r="F36" i="67"/>
  <c r="L47" i="15"/>
  <c r="L48" i="67"/>
  <c r="F40" i="15"/>
  <c r="F43" i="15"/>
  <c r="M27" i="15"/>
  <c r="F6" i="67"/>
  <c r="M21" i="67"/>
  <c r="M26" i="15"/>
  <c r="F6" i="73"/>
  <c r="M9" i="67"/>
  <c r="M9" i="15"/>
  <c r="M27" i="67"/>
  <c r="F3" i="73"/>
  <c r="F35" i="67"/>
  <c r="F9" i="15"/>
  <c r="F42" i="15"/>
  <c r="D7" i="73"/>
  <c r="AZ13" i="3" l="1"/>
  <c r="AZ5" i="3" s="1"/>
  <c r="E3" i="6" s="1"/>
  <c r="D19" i="11" s="1"/>
  <c r="C19" i="11" s="1"/>
  <c r="C20" i="11" s="1"/>
  <c r="G5" i="3"/>
  <c r="B3" i="3" s="1"/>
  <c r="E496" i="3" s="1"/>
  <c r="H5" i="3"/>
  <c r="K9" i="1"/>
  <c r="M9" i="1" s="1"/>
  <c r="O9" i="1" s="1"/>
  <c r="P9" i="1" s="1"/>
  <c r="AB26" i="35"/>
  <c r="U26" i="35"/>
  <c r="C58" i="21"/>
  <c r="I7" i="21"/>
  <c r="E7" i="21"/>
  <c r="G7" i="21"/>
  <c r="F6" i="1"/>
  <c r="F8" i="1"/>
  <c r="G8" i="1" s="1"/>
  <c r="D76" i="71"/>
  <c r="C75" i="71"/>
  <c r="D75" i="71" s="1"/>
  <c r="D68" i="71"/>
  <c r="C67" i="71"/>
  <c r="D67" i="71" s="1"/>
  <c r="O58" i="71"/>
  <c r="D59" i="71"/>
  <c r="O59" i="71"/>
  <c r="D72" i="71"/>
  <c r="C71" i="71"/>
  <c r="D71" i="71" s="1"/>
  <c r="D53" i="71"/>
  <c r="T53" i="71"/>
  <c r="D64" i="71"/>
  <c r="C63" i="71"/>
  <c r="D63" i="71" s="1"/>
  <c r="C49" i="71"/>
  <c r="D48" i="71"/>
  <c r="D28" i="71"/>
  <c r="C29" i="71"/>
  <c r="D16" i="71"/>
  <c r="C15" i="71"/>
  <c r="S13" i="71"/>
  <c r="B12" i="71"/>
  <c r="B11" i="71" s="1"/>
  <c r="B10" i="71" s="1"/>
  <c r="B9" i="71" s="1"/>
  <c r="G17" i="43"/>
  <c r="AA30" i="40"/>
  <c r="S30" i="40"/>
  <c r="D80" i="71"/>
  <c r="C79" i="71"/>
  <c r="D79" i="71" s="1"/>
  <c r="C7" i="43"/>
  <c r="AA40" i="40"/>
  <c r="S40" i="40"/>
  <c r="AA38" i="40"/>
  <c r="S38" i="40"/>
  <c r="AA35" i="35"/>
  <c r="S35" i="35"/>
  <c r="AA46" i="34"/>
  <c r="S46" i="34"/>
  <c r="AC32" i="34"/>
  <c r="W32" i="34"/>
  <c r="AC30" i="34"/>
  <c r="W30" i="34"/>
  <c r="AC28" i="34"/>
  <c r="W28" i="34"/>
  <c r="D126" i="9"/>
  <c r="D19" i="53"/>
  <c r="F30" i="11"/>
  <c r="F32" i="67"/>
  <c r="F60" i="67" s="1"/>
  <c r="F28" i="67"/>
  <c r="M18" i="15"/>
  <c r="F30" i="69"/>
  <c r="F48" i="69" s="1"/>
  <c r="F30" i="68"/>
  <c r="F48" i="68" s="1"/>
  <c r="F54" i="9"/>
  <c r="F52" i="9"/>
  <c r="F48" i="9"/>
  <c r="O52" i="9" s="1"/>
  <c r="M18" i="67"/>
  <c r="F32" i="15"/>
  <c r="F60" i="15" s="1"/>
  <c r="F28" i="15"/>
  <c r="F31" i="12"/>
  <c r="D68" i="9"/>
  <c r="F53" i="9"/>
  <c r="C7" i="37"/>
  <c r="C52" i="37" s="1"/>
  <c r="C7" i="79"/>
  <c r="C68" i="79" s="1"/>
  <c r="C37" i="71"/>
  <c r="D36" i="71"/>
  <c r="C19" i="71"/>
  <c r="D19" i="71" s="1"/>
  <c r="D20" i="71"/>
  <c r="V13" i="71"/>
  <c r="E12" i="71"/>
  <c r="E11" i="71" s="1"/>
  <c r="E10" i="71" s="1"/>
  <c r="E9" i="71" s="1"/>
  <c r="Q58" i="71"/>
  <c r="Q59" i="71"/>
  <c r="H78" i="43"/>
  <c r="H77" i="43"/>
  <c r="H74" i="43"/>
  <c r="H72" i="43"/>
  <c r="H70" i="43"/>
  <c r="H76" i="43"/>
  <c r="H71" i="43"/>
  <c r="H75" i="43"/>
  <c r="H73" i="43"/>
  <c r="AB40" i="40"/>
  <c r="U40" i="40"/>
  <c r="AC30" i="40"/>
  <c r="W30" i="40"/>
  <c r="T57" i="71"/>
  <c r="D57" i="71"/>
  <c r="T45" i="71"/>
  <c r="D45" i="71"/>
  <c r="C33" i="71"/>
  <c r="D32" i="71"/>
  <c r="D24" i="71"/>
  <c r="C25" i="71"/>
  <c r="AC40" i="40"/>
  <c r="W40" i="40"/>
  <c r="AC38" i="40"/>
  <c r="W38" i="40"/>
  <c r="AA39" i="37"/>
  <c r="S39" i="37"/>
  <c r="J26" i="35"/>
  <c r="F26" i="35"/>
  <c r="AA32" i="34"/>
  <c r="S32" i="34"/>
  <c r="AA30" i="34"/>
  <c r="S30" i="34"/>
  <c r="AA28" i="34"/>
  <c r="S28" i="34"/>
  <c r="D125" i="9"/>
  <c r="D11" i="52" s="1"/>
  <c r="D10" i="52"/>
  <c r="D29" i="43"/>
  <c r="D1" i="43" s="1"/>
  <c r="E19" i="6"/>
  <c r="K14" i="1"/>
  <c r="M14" i="1" s="1"/>
  <c r="O14" i="1" s="1"/>
  <c r="P14" i="1" s="1"/>
  <c r="E30" i="6"/>
  <c r="U41" i="39"/>
  <c r="AB41" i="39"/>
  <c r="AA41" i="39"/>
  <c r="S41" i="39"/>
  <c r="H124" i="39"/>
  <c r="I124" i="39" s="1"/>
  <c r="J124" i="39" s="1"/>
  <c r="K124" i="39" s="1"/>
  <c r="L124" i="39" s="1"/>
  <c r="M124" i="39" s="1"/>
  <c r="J41" i="39"/>
  <c r="M18" i="9"/>
  <c r="B118" i="9" s="1"/>
  <c r="B14" i="74" s="1"/>
  <c r="B1" i="74" s="1"/>
  <c r="C7" i="74" s="1"/>
  <c r="D37" i="11"/>
  <c r="I3" i="6"/>
  <c r="D3" i="37"/>
  <c r="D3" i="34"/>
  <c r="E65" i="39"/>
  <c r="E65" i="79"/>
  <c r="E56" i="39"/>
  <c r="E56" i="79"/>
  <c r="E66" i="79" s="1"/>
  <c r="M8" i="1"/>
  <c r="O8" i="1" s="1"/>
  <c r="AP8" i="1"/>
  <c r="G69" i="21"/>
  <c r="H69" i="21" s="1"/>
  <c r="I69" i="21" s="1"/>
  <c r="J69" i="21" s="1"/>
  <c r="K69" i="21" s="1"/>
  <c r="L69" i="21" s="1"/>
  <c r="M69" i="21" s="1"/>
  <c r="S17" i="21"/>
  <c r="J53" i="67"/>
  <c r="F1" i="67" s="1"/>
  <c r="L56" i="67"/>
  <c r="I54" i="67"/>
  <c r="J57" i="67"/>
  <c r="J55" i="67" s="1"/>
  <c r="J58" i="67" s="1"/>
  <c r="Q50" i="67" s="1"/>
  <c r="L59" i="67"/>
  <c r="Q61" i="67" s="1"/>
  <c r="N59" i="67"/>
  <c r="L58" i="67"/>
  <c r="Q73" i="67" s="1"/>
  <c r="M59" i="67"/>
  <c r="F69" i="67"/>
  <c r="F66" i="67"/>
  <c r="F65" i="67"/>
  <c r="F64" i="67"/>
  <c r="C34" i="67"/>
  <c r="F63" i="67"/>
  <c r="C62" i="67" s="1"/>
  <c r="C27" i="67"/>
  <c r="J20" i="67"/>
  <c r="Q71" i="67"/>
  <c r="F71" i="67"/>
  <c r="F70" i="67"/>
  <c r="F68" i="67"/>
  <c r="F51" i="67"/>
  <c r="M7" i="67"/>
  <c r="J6" i="67" s="1"/>
  <c r="J18" i="67" s="1"/>
  <c r="F50" i="67"/>
  <c r="C6" i="67"/>
  <c r="C32" i="67" s="1"/>
  <c r="Q71" i="15"/>
  <c r="J57" i="15"/>
  <c r="J55" i="15" s="1"/>
  <c r="J58" i="15" s="1"/>
  <c r="Q50" i="15" s="1"/>
  <c r="J53" i="15"/>
  <c r="L56" i="15" s="1"/>
  <c r="I54" i="15"/>
  <c r="M59" i="15"/>
  <c r="L59" i="15" s="1"/>
  <c r="Q74" i="15" s="1"/>
  <c r="N59" i="15"/>
  <c r="L58" i="15"/>
  <c r="Q60" i="15" s="1"/>
  <c r="F71" i="15"/>
  <c r="F68" i="15"/>
  <c r="F51" i="15"/>
  <c r="F50" i="15"/>
  <c r="M7" i="15"/>
  <c r="J6" i="15" s="1"/>
  <c r="J18" i="15" s="1"/>
  <c r="F66" i="15"/>
  <c r="F65" i="15"/>
  <c r="F64" i="15"/>
  <c r="C27" i="15"/>
  <c r="C6" i="15"/>
  <c r="C32" i="15" s="1"/>
  <c r="F27" i="6"/>
  <c r="F31" i="6" s="1"/>
  <c r="C17" i="4"/>
  <c r="B4" i="52" s="1"/>
  <c r="B43" i="72" s="1"/>
  <c r="D14" i="12"/>
  <c r="D17" i="12" s="1"/>
  <c r="C17" i="12" s="1"/>
  <c r="L18" i="9"/>
  <c r="D3" i="33"/>
  <c r="I4" i="6"/>
  <c r="G3" i="43" s="1"/>
  <c r="E527" i="3"/>
  <c r="E433" i="3"/>
  <c r="E493" i="3"/>
  <c r="E428" i="3"/>
  <c r="E364" i="3"/>
  <c r="E301" i="3"/>
  <c r="E237" i="3"/>
  <c r="E173" i="3"/>
  <c r="E278" i="3"/>
  <c r="E214" i="3"/>
  <c r="E162" i="3"/>
  <c r="E130" i="3"/>
  <c r="E98" i="3"/>
  <c r="E66" i="3"/>
  <c r="E34" i="3"/>
  <c r="AJ6" i="3"/>
  <c r="E149" i="3"/>
  <c r="E117" i="3"/>
  <c r="E85" i="3"/>
  <c r="E53" i="3"/>
  <c r="E21" i="3"/>
  <c r="AI6" i="3"/>
  <c r="Q6" i="3"/>
  <c r="E27" i="6"/>
  <c r="O7" i="1"/>
  <c r="P7" i="1" s="1"/>
  <c r="E63" i="39"/>
  <c r="E58" i="40"/>
  <c r="E61" i="39"/>
  <c r="E56" i="40"/>
  <c r="D9" i="69"/>
  <c r="D9" i="68"/>
  <c r="E6" i="6"/>
  <c r="D9" i="11"/>
  <c r="C9" i="11" s="1"/>
  <c r="D19" i="12"/>
  <c r="C19" i="12" s="1"/>
  <c r="E64" i="39"/>
  <c r="E59" i="40"/>
  <c r="E62" i="39"/>
  <c r="E57" i="40"/>
  <c r="E16" i="6"/>
  <c r="I1" i="73"/>
  <c r="B39" i="1" s="1"/>
  <c r="F11" i="15" s="1"/>
  <c r="D46" i="36"/>
  <c r="E46" i="36" s="1"/>
  <c r="F46" i="36" s="1"/>
  <c r="G46" i="36" s="1"/>
  <c r="H46" i="36" s="1"/>
  <c r="I46" i="36" s="1"/>
  <c r="J46" i="36" s="1"/>
  <c r="K46" i="36" s="1"/>
  <c r="L46" i="36" s="1"/>
  <c r="M46" i="36" s="1"/>
  <c r="N46" i="36" s="1"/>
  <c r="O46" i="36" s="1"/>
  <c r="C65" i="40"/>
  <c r="D63" i="40"/>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C28" i="15"/>
  <c r="C24" i="12"/>
  <c r="C48" i="69"/>
  <c r="C30" i="68"/>
  <c r="C28" i="67"/>
  <c r="C30" i="69"/>
  <c r="C48" i="68"/>
  <c r="C77" i="9"/>
  <c r="C74" i="9" s="1"/>
  <c r="G6" i="1"/>
  <c r="D48" i="35"/>
  <c r="E48" i="35" s="1"/>
  <c r="F48" i="35" s="1"/>
  <c r="G48" i="35" s="1"/>
  <c r="H48" i="35" s="1"/>
  <c r="I48" i="35" s="1"/>
  <c r="J48" i="35" s="1"/>
  <c r="K48" i="35" s="1"/>
  <c r="L48" i="35" s="1"/>
  <c r="M48" i="35" s="1"/>
  <c r="N48" i="35" s="1"/>
  <c r="O48" i="35" s="1"/>
  <c r="H7" i="35"/>
  <c r="J7" i="35"/>
  <c r="F7" i="35"/>
  <c r="C70" i="39"/>
  <c r="D68" i="39"/>
  <c r="P24" i="43"/>
  <c r="B66" i="40" s="1"/>
  <c r="P23" i="43"/>
  <c r="P22" i="43"/>
  <c r="O19" i="43"/>
  <c r="C19" i="43"/>
  <c r="P25" i="43"/>
  <c r="P21" i="43"/>
  <c r="D58" i="33"/>
  <c r="E58" i="33" s="1"/>
  <c r="F58" i="33" s="1"/>
  <c r="G58" i="33" s="1"/>
  <c r="H58" i="33" s="1"/>
  <c r="I58" i="33" s="1"/>
  <c r="J58" i="33" s="1"/>
  <c r="K58" i="33" s="1"/>
  <c r="L58" i="33" s="1"/>
  <c r="M58" i="33" s="1"/>
  <c r="N58" i="33" s="1"/>
  <c r="O58" i="33" s="1"/>
  <c r="H7" i="33"/>
  <c r="D4" i="73"/>
  <c r="D6" i="73"/>
  <c r="C16" i="67"/>
  <c r="D5" i="73"/>
  <c r="D3" i="73"/>
  <c r="G1" i="73"/>
  <c r="C17" i="67"/>
  <c r="C16" i="15"/>
  <c r="C14" i="67"/>
  <c r="I20" i="43" l="1"/>
  <c r="I6" i="3"/>
  <c r="Y6" i="3"/>
  <c r="AQ6" i="3"/>
  <c r="E37" i="3"/>
  <c r="E69" i="3"/>
  <c r="E101" i="3"/>
  <c r="E133" i="3"/>
  <c r="T6" i="3"/>
  <c r="E18" i="3"/>
  <c r="E50" i="3"/>
  <c r="E82" i="3"/>
  <c r="E114" i="3"/>
  <c r="E146" i="3"/>
  <c r="E182" i="3"/>
  <c r="E246" i="3"/>
  <c r="E310" i="3"/>
  <c r="E205" i="3"/>
  <c r="E269" i="3"/>
  <c r="E332" i="3"/>
  <c r="E396" i="3"/>
  <c r="E461" i="3"/>
  <c r="E369" i="3"/>
  <c r="E572" i="3"/>
  <c r="E540" i="3"/>
  <c r="E575" i="3"/>
  <c r="E543" i="3"/>
  <c r="E511" i="3"/>
  <c r="E512" i="3"/>
  <c r="E480" i="3"/>
  <c r="E448" i="3"/>
  <c r="E417" i="3"/>
  <c r="E385" i="3"/>
  <c r="E353" i="3"/>
  <c r="E331" i="3"/>
  <c r="E485" i="3"/>
  <c r="E469" i="3"/>
  <c r="E453" i="3"/>
  <c r="E436" i="3"/>
  <c r="E420" i="3"/>
  <c r="E404" i="3"/>
  <c r="E388" i="3"/>
  <c r="E372" i="3"/>
  <c r="E356" i="3"/>
  <c r="E340" i="3"/>
  <c r="E324" i="3"/>
  <c r="E309" i="3"/>
  <c r="E293" i="3"/>
  <c r="E277" i="3"/>
  <c r="E261" i="3"/>
  <c r="E245" i="3"/>
  <c r="E229" i="3"/>
  <c r="E213" i="3"/>
  <c r="E197" i="3"/>
  <c r="E181" i="3"/>
  <c r="E165" i="3"/>
  <c r="E318" i="3"/>
  <c r="E302" i="3"/>
  <c r="E286" i="3"/>
  <c r="E270" i="3"/>
  <c r="E254" i="3"/>
  <c r="E238" i="3"/>
  <c r="E222" i="3"/>
  <c r="E206" i="3"/>
  <c r="E190" i="3"/>
  <c r="E174" i="3"/>
  <c r="E166" i="3"/>
  <c r="E158" i="3"/>
  <c r="E150" i="3"/>
  <c r="E142" i="3"/>
  <c r="E134" i="3"/>
  <c r="E126" i="3"/>
  <c r="E118" i="3"/>
  <c r="E110" i="3"/>
  <c r="E102" i="3"/>
  <c r="E94" i="3"/>
  <c r="E86" i="3"/>
  <c r="E78" i="3"/>
  <c r="E70" i="3"/>
  <c r="E62" i="3"/>
  <c r="E54" i="3"/>
  <c r="E46" i="3"/>
  <c r="E38" i="3"/>
  <c r="E30" i="3"/>
  <c r="E22" i="3"/>
  <c r="E14" i="3"/>
  <c r="AN6" i="3"/>
  <c r="AF6" i="3"/>
  <c r="X6" i="3"/>
  <c r="P6" i="3"/>
  <c r="E153" i="3"/>
  <c r="E145" i="3"/>
  <c r="E137" i="3"/>
  <c r="E129" i="3"/>
  <c r="E121" i="3"/>
  <c r="E113" i="3"/>
  <c r="E105" i="3"/>
  <c r="E97" i="3"/>
  <c r="E89" i="3"/>
  <c r="E81" i="3"/>
  <c r="E73" i="3"/>
  <c r="E65" i="3"/>
  <c r="E57" i="3"/>
  <c r="E49" i="3"/>
  <c r="E41" i="3"/>
  <c r="E33" i="3"/>
  <c r="E25" i="3"/>
  <c r="E17" i="3"/>
  <c r="M6" i="3"/>
  <c r="U6" i="3"/>
  <c r="AE6" i="3"/>
  <c r="AM6" i="3"/>
  <c r="AY6" i="3"/>
  <c r="E29" i="3"/>
  <c r="E45" i="3"/>
  <c r="E61" i="3"/>
  <c r="E77" i="3"/>
  <c r="E93" i="3"/>
  <c r="E109" i="3"/>
  <c r="E125" i="3"/>
  <c r="E141" i="3"/>
  <c r="L6" i="3"/>
  <c r="AB6" i="3"/>
  <c r="AR6" i="3"/>
  <c r="E26" i="3"/>
  <c r="E42" i="3"/>
  <c r="E58" i="3"/>
  <c r="E74" i="3"/>
  <c r="E90" i="3"/>
  <c r="E106" i="3"/>
  <c r="E122" i="3"/>
  <c r="E138" i="3"/>
  <c r="E154" i="3"/>
  <c r="E170" i="3"/>
  <c r="E198" i="3"/>
  <c r="E230" i="3"/>
  <c r="E262" i="3"/>
  <c r="E294" i="3"/>
  <c r="E157" i="3"/>
  <c r="E189" i="3"/>
  <c r="E221" i="3"/>
  <c r="E253" i="3"/>
  <c r="E285" i="3"/>
  <c r="E317" i="3"/>
  <c r="E348" i="3"/>
  <c r="E380" i="3"/>
  <c r="E412" i="3"/>
  <c r="E445" i="3"/>
  <c r="E477" i="3"/>
  <c r="E339" i="3"/>
  <c r="E401" i="3"/>
  <c r="E464" i="3"/>
  <c r="E495" i="3"/>
  <c r="E559" i="3"/>
  <c r="E556" i="3"/>
  <c r="E586" i="3"/>
  <c r="E582" i="3"/>
  <c r="E578" i="3"/>
  <c r="E574" i="3"/>
  <c r="E570" i="3"/>
  <c r="E566" i="3"/>
  <c r="E562" i="3"/>
  <c r="E558" i="3"/>
  <c r="E554" i="3"/>
  <c r="E550" i="3"/>
  <c r="E546" i="3"/>
  <c r="E542" i="3"/>
  <c r="E538" i="3"/>
  <c r="E534" i="3"/>
  <c r="E530" i="3"/>
  <c r="E585" i="3"/>
  <c r="E581" i="3"/>
  <c r="E577" i="3"/>
  <c r="E573" i="3"/>
  <c r="E569" i="3"/>
  <c r="E565" i="3"/>
  <c r="E561" i="3"/>
  <c r="E557" i="3"/>
  <c r="E553" i="3"/>
  <c r="E549" i="3"/>
  <c r="E545" i="3"/>
  <c r="E541" i="3"/>
  <c r="E537" i="3"/>
  <c r="E533" i="3"/>
  <c r="E529" i="3"/>
  <c r="E525" i="3"/>
  <c r="E521" i="3"/>
  <c r="E517" i="3"/>
  <c r="E513" i="3"/>
  <c r="E509" i="3"/>
  <c r="E505" i="3"/>
  <c r="E501" i="3"/>
  <c r="E497" i="3"/>
  <c r="E526" i="3"/>
  <c r="E522" i="3"/>
  <c r="E518" i="3"/>
  <c r="E514" i="3"/>
  <c r="E510" i="3"/>
  <c r="E506" i="3"/>
  <c r="E502" i="3"/>
  <c r="E498" i="3"/>
  <c r="E494" i="3"/>
  <c r="E490" i="3"/>
  <c r="E486" i="3"/>
  <c r="E482" i="3"/>
  <c r="E478" i="3"/>
  <c r="E474" i="3"/>
  <c r="E470" i="3"/>
  <c r="E466" i="3"/>
  <c r="E462" i="3"/>
  <c r="E458" i="3"/>
  <c r="E454" i="3"/>
  <c r="E450" i="3"/>
  <c r="E446" i="3"/>
  <c r="E442"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584" i="3"/>
  <c r="E576" i="3"/>
  <c r="E568" i="3"/>
  <c r="E560" i="3"/>
  <c r="E552" i="3"/>
  <c r="E544" i="3"/>
  <c r="E536" i="3"/>
  <c r="E528" i="3"/>
  <c r="E587" i="3"/>
  <c r="E579" i="3"/>
  <c r="E571" i="3"/>
  <c r="E563" i="3"/>
  <c r="E555" i="3"/>
  <c r="E547" i="3"/>
  <c r="E539" i="3"/>
  <c r="E531" i="3"/>
  <c r="E523" i="3"/>
  <c r="E515" i="3"/>
  <c r="E507" i="3"/>
  <c r="E499" i="3"/>
  <c r="E524" i="3"/>
  <c r="E516" i="3"/>
  <c r="E508" i="3"/>
  <c r="E500" i="3"/>
  <c r="E492" i="3"/>
  <c r="E484" i="3"/>
  <c r="E476" i="3"/>
  <c r="E468" i="3"/>
  <c r="E460" i="3"/>
  <c r="E452" i="3"/>
  <c r="E444" i="3"/>
  <c r="E437" i="3"/>
  <c r="E429" i="3"/>
  <c r="E421" i="3"/>
  <c r="E413" i="3"/>
  <c r="E405" i="3"/>
  <c r="E397" i="3"/>
  <c r="E389" i="3"/>
  <c r="E381" i="3"/>
  <c r="E373" i="3"/>
  <c r="E365" i="3"/>
  <c r="E357" i="3"/>
  <c r="E349" i="3"/>
  <c r="E341" i="3"/>
  <c r="E337" i="3"/>
  <c r="E333" i="3"/>
  <c r="E329" i="3"/>
  <c r="E325" i="3"/>
  <c r="E491" i="3"/>
  <c r="E487" i="3"/>
  <c r="E483" i="3"/>
  <c r="E479" i="3"/>
  <c r="E475" i="3"/>
  <c r="E471" i="3"/>
  <c r="E467" i="3"/>
  <c r="E463" i="3"/>
  <c r="E459" i="3"/>
  <c r="E455" i="3"/>
  <c r="E451" i="3"/>
  <c r="E447" i="3"/>
  <c r="E443"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K6" i="3"/>
  <c r="O6" i="3"/>
  <c r="S6" i="3"/>
  <c r="W6" i="3"/>
  <c r="AA6" i="3"/>
  <c r="AG6" i="3"/>
  <c r="AK6" i="3"/>
  <c r="AO6" i="3"/>
  <c r="AS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J6" i="3"/>
  <c r="N6" i="3"/>
  <c r="R6" i="3"/>
  <c r="V6" i="3"/>
  <c r="Z6" i="3"/>
  <c r="AD6" i="3"/>
  <c r="AH6" i="3"/>
  <c r="AL6" i="3"/>
  <c r="AP6" i="3"/>
  <c r="E13"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8" i="3"/>
  <c r="E186" i="3"/>
  <c r="E194" i="3"/>
  <c r="E202" i="3"/>
  <c r="E210" i="3"/>
  <c r="E218" i="3"/>
  <c r="E226" i="3"/>
  <c r="E234" i="3"/>
  <c r="E242" i="3"/>
  <c r="E250" i="3"/>
  <c r="E258" i="3"/>
  <c r="E266" i="3"/>
  <c r="E274" i="3"/>
  <c r="E282" i="3"/>
  <c r="E290" i="3"/>
  <c r="E298" i="3"/>
  <c r="E306" i="3"/>
  <c r="E314" i="3"/>
  <c r="E322" i="3"/>
  <c r="E161" i="3"/>
  <c r="E169" i="3"/>
  <c r="E177" i="3"/>
  <c r="E185" i="3"/>
  <c r="E193" i="3"/>
  <c r="E201" i="3"/>
  <c r="E209" i="3"/>
  <c r="E217" i="3"/>
  <c r="E225" i="3"/>
  <c r="E233" i="3"/>
  <c r="E241" i="3"/>
  <c r="E249" i="3"/>
  <c r="E257" i="3"/>
  <c r="E265" i="3"/>
  <c r="E273" i="3"/>
  <c r="E281" i="3"/>
  <c r="E289" i="3"/>
  <c r="E297" i="3"/>
  <c r="E305" i="3"/>
  <c r="E313" i="3"/>
  <c r="E321" i="3"/>
  <c r="E328" i="3"/>
  <c r="E336" i="3"/>
  <c r="E344" i="3"/>
  <c r="E352" i="3"/>
  <c r="E360" i="3"/>
  <c r="E368" i="3"/>
  <c r="E376" i="3"/>
  <c r="E384" i="3"/>
  <c r="E392" i="3"/>
  <c r="E400" i="3"/>
  <c r="E408" i="3"/>
  <c r="E416" i="3"/>
  <c r="E424" i="3"/>
  <c r="E432" i="3"/>
  <c r="E440" i="3"/>
  <c r="E449" i="3"/>
  <c r="E457" i="3"/>
  <c r="E465" i="3"/>
  <c r="E473" i="3"/>
  <c r="E481" i="3"/>
  <c r="E489" i="3"/>
  <c r="E327" i="3"/>
  <c r="E335" i="3"/>
  <c r="E345" i="3"/>
  <c r="E361" i="3"/>
  <c r="E377" i="3"/>
  <c r="E393" i="3"/>
  <c r="E409" i="3"/>
  <c r="E425" i="3"/>
  <c r="E441" i="3"/>
  <c r="E456" i="3"/>
  <c r="E472" i="3"/>
  <c r="E488" i="3"/>
  <c r="E504" i="3"/>
  <c r="E520" i="3"/>
  <c r="E503" i="3"/>
  <c r="E519" i="3"/>
  <c r="E535" i="3"/>
  <c r="E551" i="3"/>
  <c r="E567" i="3"/>
  <c r="E583" i="3"/>
  <c r="E532" i="3"/>
  <c r="E548" i="3"/>
  <c r="E564" i="3"/>
  <c r="E580" i="3"/>
  <c r="E20" i="43"/>
  <c r="M28" i="43" s="1"/>
  <c r="B71" i="39"/>
  <c r="B71" i="79"/>
  <c r="AC26" i="35"/>
  <c r="W26" i="35"/>
  <c r="T33" i="71"/>
  <c r="D33" i="71"/>
  <c r="V9" i="71"/>
  <c r="E8" i="71"/>
  <c r="E7" i="71" s="1"/>
  <c r="E6" i="71" s="1"/>
  <c r="E5" i="71" s="1"/>
  <c r="D68" i="79"/>
  <c r="C70" i="79"/>
  <c r="C48" i="11"/>
  <c r="C30" i="11"/>
  <c r="D127" i="9"/>
  <c r="D13" i="52" s="1"/>
  <c r="I14" i="74"/>
  <c r="B8" i="74" s="1"/>
  <c r="C8" i="74" s="1"/>
  <c r="D12" i="52"/>
  <c r="T49" i="71"/>
  <c r="D49" i="71"/>
  <c r="F7" i="33"/>
  <c r="F7" i="34"/>
  <c r="J7" i="36"/>
  <c r="C7" i="12"/>
  <c r="E32" i="6"/>
  <c r="D3" i="21"/>
  <c r="K6" i="1"/>
  <c r="G16" i="1" s="1"/>
  <c r="AA26" i="35"/>
  <c r="S26" i="35"/>
  <c r="T25" i="71"/>
  <c r="D25" i="71"/>
  <c r="T37" i="71"/>
  <c r="D37" i="71"/>
  <c r="D52" i="37"/>
  <c r="D20" i="53"/>
  <c r="B40" i="72" s="1"/>
  <c r="B38" i="72"/>
  <c r="S9" i="71"/>
  <c r="B8" i="71"/>
  <c r="B7" i="71" s="1"/>
  <c r="B6" i="71" s="1"/>
  <c r="B5" i="71" s="1"/>
  <c r="D15" i="71"/>
  <c r="C14" i="71"/>
  <c r="T29" i="71"/>
  <c r="D29" i="71"/>
  <c r="AC41" i="39"/>
  <c r="W41" i="39"/>
  <c r="P8" i="1"/>
  <c r="Q60" i="67"/>
  <c r="Q52" i="67"/>
  <c r="B40" i="1"/>
  <c r="F22" i="11" s="1"/>
  <c r="C25" i="11" s="1"/>
  <c r="C18" i="67"/>
  <c r="C15" i="67"/>
  <c r="Q52" i="15"/>
  <c r="Q74" i="67"/>
  <c r="Q61" i="15"/>
  <c r="F1" i="15"/>
  <c r="C49" i="15"/>
  <c r="Q73" i="15"/>
  <c r="C49" i="67"/>
  <c r="H6" i="3"/>
  <c r="M11" i="67"/>
  <c r="J10" i="67" s="1"/>
  <c r="J5" i="67" s="1"/>
  <c r="J24" i="67" s="1"/>
  <c r="N104" i="46"/>
  <c r="M101" i="43"/>
  <c r="I101" i="43"/>
  <c r="E101" i="43"/>
  <c r="J22" i="43"/>
  <c r="E22" i="43"/>
  <c r="J101" i="43"/>
  <c r="C23" i="43"/>
  <c r="AJ11" i="43"/>
  <c r="AJ13" i="43" s="1"/>
  <c r="AF11" i="43"/>
  <c r="AF13" i="43" s="1"/>
  <c r="AB11" i="43"/>
  <c r="AB13" i="43" s="1"/>
  <c r="Z7" i="43"/>
  <c r="S4" i="43"/>
  <c r="H101" i="43"/>
  <c r="H22" i="43"/>
  <c r="AG11" i="43"/>
  <c r="AG13" i="43" s="1"/>
  <c r="AC11" i="43"/>
  <c r="AC13" i="43" s="1"/>
  <c r="Y11" i="43"/>
  <c r="Y13" i="43" s="1"/>
  <c r="S5" i="43"/>
  <c r="S2" i="43"/>
  <c r="B113" i="43"/>
  <c r="K101" i="43"/>
  <c r="G101" i="43"/>
  <c r="C101" i="43"/>
  <c r="G22" i="43"/>
  <c r="N101" i="43"/>
  <c r="F101" i="43"/>
  <c r="F22" i="43"/>
  <c r="AH11" i="43"/>
  <c r="AH13" i="43" s="1"/>
  <c r="AD11" i="43"/>
  <c r="AD13" i="43" s="1"/>
  <c r="Z11" i="43"/>
  <c r="Z13" i="43" s="1"/>
  <c r="S7" i="43"/>
  <c r="L101" i="43"/>
  <c r="D101" i="43"/>
  <c r="AI11" i="43"/>
  <c r="AI13" i="43" s="1"/>
  <c r="AE11" i="43"/>
  <c r="AE13" i="43" s="1"/>
  <c r="AA11" i="43"/>
  <c r="AA13" i="43" s="1"/>
  <c r="S6" i="43"/>
  <c r="S3" i="43"/>
  <c r="AY559" i="3"/>
  <c r="AY527" i="3"/>
  <c r="AY556" i="3"/>
  <c r="AY524" i="3"/>
  <c r="AY525" i="3"/>
  <c r="AY493" i="3"/>
  <c r="AY461" i="3"/>
  <c r="AY428" i="3"/>
  <c r="AY396" i="3"/>
  <c r="AY364" i="3"/>
  <c r="AY332" i="3"/>
  <c r="AY470" i="3"/>
  <c r="AY439" i="3"/>
  <c r="AY407" i="3"/>
  <c r="AY375" i="3"/>
  <c r="AY343" i="3"/>
  <c r="AY310" i="3"/>
  <c r="AY278" i="3"/>
  <c r="AY246" i="3"/>
  <c r="AY214" i="3"/>
  <c r="AY182" i="3"/>
  <c r="AY162" i="3"/>
  <c r="AY317" i="3"/>
  <c r="AY301" i="3"/>
  <c r="AY285" i="3"/>
  <c r="AY269" i="3"/>
  <c r="AY253" i="3"/>
  <c r="AY237" i="3"/>
  <c r="AY221" i="3"/>
  <c r="AY205" i="3"/>
  <c r="AY189" i="3"/>
  <c r="AY173" i="3"/>
  <c r="AY157" i="3"/>
  <c r="AY141" i="3"/>
  <c r="AY125" i="3"/>
  <c r="AY109" i="3"/>
  <c r="AY93" i="3"/>
  <c r="AY77" i="3"/>
  <c r="AY61" i="3"/>
  <c r="AY45" i="3"/>
  <c r="AY29" i="3"/>
  <c r="AY13" i="3"/>
  <c r="BI6" i="3"/>
  <c r="BA6" i="3"/>
  <c r="AY146" i="3"/>
  <c r="AY138" i="3"/>
  <c r="AY130" i="3"/>
  <c r="AY122" i="3"/>
  <c r="AY114" i="3"/>
  <c r="AY106" i="3"/>
  <c r="AY98" i="3"/>
  <c r="AY90" i="3"/>
  <c r="AY82" i="3"/>
  <c r="AY74" i="3"/>
  <c r="AY66" i="3"/>
  <c r="AY58" i="3"/>
  <c r="AY50" i="3"/>
  <c r="AY42" i="3"/>
  <c r="AY34" i="3"/>
  <c r="AY26" i="3"/>
  <c r="AY18" i="3"/>
  <c r="BR6" i="3"/>
  <c r="BJ6" i="3"/>
  <c r="BB6" i="3"/>
  <c r="N28" i="43"/>
  <c r="K26" i="6"/>
  <c r="M26" i="6" s="1"/>
  <c r="I26" i="6" s="1"/>
  <c r="S26" i="6" s="1"/>
  <c r="K19" i="6"/>
  <c r="K21" i="6"/>
  <c r="K23" i="6"/>
  <c r="M23" i="6" s="1"/>
  <c r="I23" i="6" s="1"/>
  <c r="S23" i="6" s="1"/>
  <c r="K25" i="6"/>
  <c r="M25" i="6" s="1"/>
  <c r="I25" i="6" s="1"/>
  <c r="S25" i="6" s="1"/>
  <c r="E31" i="6"/>
  <c r="K20" i="6"/>
  <c r="K22" i="6"/>
  <c r="K24" i="6"/>
  <c r="M24" i="6" s="1"/>
  <c r="I24" i="6" s="1"/>
  <c r="S24" i="6" s="1"/>
  <c r="F11" i="67"/>
  <c r="C10" i="67" s="1"/>
  <c r="C5" i="67" s="1"/>
  <c r="M11" i="15"/>
  <c r="J10" i="15" s="1"/>
  <c r="J5" i="15" s="1"/>
  <c r="J24" i="15" s="1"/>
  <c r="C9" i="68"/>
  <c r="E66" i="39"/>
  <c r="D10" i="11"/>
  <c r="C10" i="11" s="1"/>
  <c r="D10" i="69"/>
  <c r="C10" i="69" s="1"/>
  <c r="D10" i="68"/>
  <c r="C10" i="68" s="1"/>
  <c r="D20" i="12"/>
  <c r="C20" i="12" s="1"/>
  <c r="C9" i="69"/>
  <c r="U7" i="33"/>
  <c r="AB7" i="33"/>
  <c r="T48" i="33" s="1"/>
  <c r="G48" i="33" s="1"/>
  <c r="J7" i="33"/>
  <c r="W7" i="35"/>
  <c r="AC7" i="35"/>
  <c r="V38" i="35" s="1"/>
  <c r="I38" i="35" s="1"/>
  <c r="H7" i="21"/>
  <c r="F7" i="21"/>
  <c r="H7" i="34"/>
  <c r="J7" i="34"/>
  <c r="D65" i="40"/>
  <c r="E63" i="40"/>
  <c r="F7" i="36"/>
  <c r="H7" i="36"/>
  <c r="AA7" i="33"/>
  <c r="R48" i="33" s="1"/>
  <c r="S7" i="33"/>
  <c r="D70" i="39"/>
  <c r="E68" i="39"/>
  <c r="S7" i="35"/>
  <c r="AA7" i="35"/>
  <c r="R38" i="35" s="1"/>
  <c r="AB7" i="35"/>
  <c r="T38" i="35" s="1"/>
  <c r="G38" i="35" s="1"/>
  <c r="U7" i="35"/>
  <c r="J7" i="21"/>
  <c r="AA7" i="34"/>
  <c r="R49" i="34" s="1"/>
  <c r="S7" i="34"/>
  <c r="W7" i="36"/>
  <c r="AC7" i="36"/>
  <c r="V36" i="36" s="1"/>
  <c r="I36" i="36" s="1"/>
  <c r="C53" i="15"/>
  <c r="C10" i="15"/>
  <c r="C5" i="15" s="1"/>
  <c r="AE7" i="1"/>
  <c r="AY583" i="3" l="1"/>
  <c r="AY567" i="3"/>
  <c r="AY551" i="3"/>
  <c r="AY535" i="3"/>
  <c r="AY580" i="3"/>
  <c r="AY564" i="3"/>
  <c r="AY548" i="3"/>
  <c r="AY532" i="3"/>
  <c r="AY516" i="3"/>
  <c r="AY500" i="3"/>
  <c r="AY517" i="3"/>
  <c r="AY501" i="3"/>
  <c r="AY485" i="3"/>
  <c r="AY469" i="3"/>
  <c r="AY453" i="3"/>
  <c r="AY436" i="3"/>
  <c r="AY420" i="3"/>
  <c r="AY404" i="3"/>
  <c r="AY388" i="3"/>
  <c r="AY372" i="3"/>
  <c r="AY356" i="3"/>
  <c r="AY340" i="3"/>
  <c r="AY324" i="3"/>
  <c r="AY478" i="3"/>
  <c r="AY462" i="3"/>
  <c r="AY446" i="3"/>
  <c r="AY431" i="3"/>
  <c r="AY415" i="3"/>
  <c r="AY399" i="3"/>
  <c r="AY383" i="3"/>
  <c r="AY367" i="3"/>
  <c r="AY351" i="3"/>
  <c r="AY335" i="3"/>
  <c r="AY318" i="3"/>
  <c r="AY302" i="3"/>
  <c r="AY286" i="3"/>
  <c r="AY270" i="3"/>
  <c r="AY254" i="3"/>
  <c r="AY238" i="3"/>
  <c r="AY222" i="3"/>
  <c r="AY206" i="3"/>
  <c r="AY190" i="3"/>
  <c r="AY174" i="3"/>
  <c r="AY166" i="3"/>
  <c r="AY158" i="3"/>
  <c r="AY321" i="3"/>
  <c r="AY313" i="3"/>
  <c r="AY305" i="3"/>
  <c r="AY297" i="3"/>
  <c r="AY289" i="3"/>
  <c r="AY281" i="3"/>
  <c r="AY273" i="3"/>
  <c r="AY265" i="3"/>
  <c r="AY257" i="3"/>
  <c r="AY249" i="3"/>
  <c r="AY241" i="3"/>
  <c r="AY233" i="3"/>
  <c r="AY225" i="3"/>
  <c r="AY217" i="3"/>
  <c r="AY209" i="3"/>
  <c r="AY201" i="3"/>
  <c r="AY193" i="3"/>
  <c r="AY185" i="3"/>
  <c r="AY177" i="3"/>
  <c r="AY169" i="3"/>
  <c r="AY161" i="3"/>
  <c r="AY153" i="3"/>
  <c r="AY145" i="3"/>
  <c r="AY137" i="3"/>
  <c r="AY129" i="3"/>
  <c r="AY121" i="3"/>
  <c r="AY113" i="3"/>
  <c r="AY105" i="3"/>
  <c r="AY97" i="3"/>
  <c r="AY89" i="3"/>
  <c r="AY81" i="3"/>
  <c r="AY73" i="3"/>
  <c r="AY65" i="3"/>
  <c r="AY57" i="3"/>
  <c r="AY49" i="3"/>
  <c r="AY41" i="3"/>
  <c r="AY33" i="3"/>
  <c r="AY25" i="3"/>
  <c r="AY17" i="3"/>
  <c r="BQ6" i="3"/>
  <c r="BF6" i="3"/>
  <c r="BN6" i="3"/>
  <c r="AY14" i="3"/>
  <c r="AY22" i="3"/>
  <c r="AY30" i="3"/>
  <c r="AY38" i="3"/>
  <c r="AY46" i="3"/>
  <c r="AY54" i="3"/>
  <c r="AY62" i="3"/>
  <c r="AY70" i="3"/>
  <c r="AY78" i="3"/>
  <c r="AY86" i="3"/>
  <c r="AY94" i="3"/>
  <c r="AY102" i="3"/>
  <c r="AY110" i="3"/>
  <c r="AY118" i="3"/>
  <c r="AY126" i="3"/>
  <c r="AY134" i="3"/>
  <c r="AY142" i="3"/>
  <c r="AY150" i="3"/>
  <c r="BE6" i="3"/>
  <c r="BM6" i="3"/>
  <c r="AY21" i="3"/>
  <c r="AY37" i="3"/>
  <c r="AY53" i="3"/>
  <c r="AY69" i="3"/>
  <c r="AY85" i="3"/>
  <c r="AY101" i="3"/>
  <c r="AY117" i="3"/>
  <c r="AY133" i="3"/>
  <c r="AY149" i="3"/>
  <c r="AY165" i="3"/>
  <c r="AY181" i="3"/>
  <c r="AY197" i="3"/>
  <c r="AY213" i="3"/>
  <c r="AY229" i="3"/>
  <c r="AY245" i="3"/>
  <c r="AY261" i="3"/>
  <c r="AY277" i="3"/>
  <c r="AY293" i="3"/>
  <c r="AY309" i="3"/>
  <c r="AY154" i="3"/>
  <c r="AY170" i="3"/>
  <c r="AY198" i="3"/>
  <c r="AY230" i="3"/>
  <c r="AY262" i="3"/>
  <c r="AY294" i="3"/>
  <c r="AY327" i="3"/>
  <c r="AY359" i="3"/>
  <c r="AY391" i="3"/>
  <c r="AY423" i="3"/>
  <c r="AY454" i="3"/>
  <c r="AY486" i="3"/>
  <c r="AY348" i="3"/>
  <c r="AY380" i="3"/>
  <c r="AY412" i="3"/>
  <c r="AY445" i="3"/>
  <c r="AY477" i="3"/>
  <c r="AY509" i="3"/>
  <c r="AY508" i="3"/>
  <c r="AY540" i="3"/>
  <c r="AY572" i="3"/>
  <c r="AY543" i="3"/>
  <c r="AY575" i="3"/>
  <c r="AC6" i="3"/>
  <c r="D3" i="6"/>
  <c r="D6" i="6" s="1"/>
  <c r="AY585" i="3"/>
  <c r="AY581" i="3"/>
  <c r="AY577" i="3"/>
  <c r="AY573" i="3"/>
  <c r="AY569" i="3"/>
  <c r="AY565" i="3"/>
  <c r="AY561" i="3"/>
  <c r="AY557" i="3"/>
  <c r="AY553" i="3"/>
  <c r="AY549" i="3"/>
  <c r="AY545" i="3"/>
  <c r="AY541" i="3"/>
  <c r="AY537" i="3"/>
  <c r="AY533" i="3"/>
  <c r="AY529"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523" i="3"/>
  <c r="AY519" i="3"/>
  <c r="AY515" i="3"/>
  <c r="AY511" i="3"/>
  <c r="AY507" i="3"/>
  <c r="AY503" i="3"/>
  <c r="AY499" i="3"/>
  <c r="AY495" i="3"/>
  <c r="AY491" i="3"/>
  <c r="AY487" i="3"/>
  <c r="AY483" i="3"/>
  <c r="AY479" i="3"/>
  <c r="AY475" i="3"/>
  <c r="AY471" i="3"/>
  <c r="AY467" i="3"/>
  <c r="AY463" i="3"/>
  <c r="AY459" i="3"/>
  <c r="AY455" i="3"/>
  <c r="AY451" i="3"/>
  <c r="AY447" i="3"/>
  <c r="AY443"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492" i="3"/>
  <c r="AY488" i="3"/>
  <c r="AY484" i="3"/>
  <c r="AY480" i="3"/>
  <c r="AY476" i="3"/>
  <c r="AY472" i="3"/>
  <c r="AY468" i="3"/>
  <c r="AY464" i="3"/>
  <c r="AY460" i="3"/>
  <c r="AY456" i="3"/>
  <c r="AY452" i="3"/>
  <c r="AY448" i="3"/>
  <c r="AY444"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BD6" i="3"/>
  <c r="BH6" i="3"/>
  <c r="BL6" i="3"/>
  <c r="BP6" i="3"/>
  <c r="BT6" i="3"/>
  <c r="AY16" i="3"/>
  <c r="AY20" i="3"/>
  <c r="AY24" i="3"/>
  <c r="AY28" i="3"/>
  <c r="AY32" i="3"/>
  <c r="AY36" i="3"/>
  <c r="AY40" i="3"/>
  <c r="AY44" i="3"/>
  <c r="AY48" i="3"/>
  <c r="AY52" i="3"/>
  <c r="AY56" i="3"/>
  <c r="AY60" i="3"/>
  <c r="AY64" i="3"/>
  <c r="AY68" i="3"/>
  <c r="AY72" i="3"/>
  <c r="AY76" i="3"/>
  <c r="AY80" i="3"/>
  <c r="AY84" i="3"/>
  <c r="AY88" i="3"/>
  <c r="AY92" i="3"/>
  <c r="AY96" i="3"/>
  <c r="AY100" i="3"/>
  <c r="AY104" i="3"/>
  <c r="AY108" i="3"/>
  <c r="AY112" i="3"/>
  <c r="AY116" i="3"/>
  <c r="AY120" i="3"/>
  <c r="AY124" i="3"/>
  <c r="AY128" i="3"/>
  <c r="AY132" i="3"/>
  <c r="AY136" i="3"/>
  <c r="AY140" i="3"/>
  <c r="AY144" i="3"/>
  <c r="AY148" i="3"/>
  <c r="AY152" i="3"/>
  <c r="BC6" i="3"/>
  <c r="BG6" i="3"/>
  <c r="BK6" i="3"/>
  <c r="BO6" i="3"/>
  <c r="BS6" i="3"/>
  <c r="AY15" i="3"/>
  <c r="AY19" i="3"/>
  <c r="AY23" i="3"/>
  <c r="AY27" i="3"/>
  <c r="AY31" i="3"/>
  <c r="AY35" i="3"/>
  <c r="AY39" i="3"/>
  <c r="AY43" i="3"/>
  <c r="AY47" i="3"/>
  <c r="AY51" i="3"/>
  <c r="AY55" i="3"/>
  <c r="AY59" i="3"/>
  <c r="AY63" i="3"/>
  <c r="AY67" i="3"/>
  <c r="AY71" i="3"/>
  <c r="AY75" i="3"/>
  <c r="AY79" i="3"/>
  <c r="AY83" i="3"/>
  <c r="AY87" i="3"/>
  <c r="AY91" i="3"/>
  <c r="AY95" i="3"/>
  <c r="AY99" i="3"/>
  <c r="AY103" i="3"/>
  <c r="AY107" i="3"/>
  <c r="AY111" i="3"/>
  <c r="AY115" i="3"/>
  <c r="AY119" i="3"/>
  <c r="AY123" i="3"/>
  <c r="AY127" i="3"/>
  <c r="AY131" i="3"/>
  <c r="AY135" i="3"/>
  <c r="AY139" i="3"/>
  <c r="AY143"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5" i="3"/>
  <c r="AY259" i="3"/>
  <c r="AY263" i="3"/>
  <c r="AY267" i="3"/>
  <c r="AY271" i="3"/>
  <c r="AY275" i="3"/>
  <c r="AY279" i="3"/>
  <c r="AY283" i="3"/>
  <c r="AY287" i="3"/>
  <c r="AY291" i="3"/>
  <c r="AY295" i="3"/>
  <c r="AY299" i="3"/>
  <c r="AY303" i="3"/>
  <c r="AY307" i="3"/>
  <c r="AY311" i="3"/>
  <c r="AY315" i="3"/>
  <c r="AY319" i="3"/>
  <c r="AY323" i="3"/>
  <c r="AY156" i="3"/>
  <c r="AY160" i="3"/>
  <c r="AY164" i="3"/>
  <c r="AY168" i="3"/>
  <c r="AY172" i="3"/>
  <c r="AY178" i="3"/>
  <c r="AY186" i="3"/>
  <c r="AY194" i="3"/>
  <c r="AY202" i="3"/>
  <c r="AY210" i="3"/>
  <c r="AY218" i="3"/>
  <c r="AY226" i="3"/>
  <c r="AY234" i="3"/>
  <c r="AY242" i="3"/>
  <c r="AY250" i="3"/>
  <c r="AY258" i="3"/>
  <c r="AY266" i="3"/>
  <c r="AY274" i="3"/>
  <c r="AY282" i="3"/>
  <c r="AY290" i="3"/>
  <c r="AY298" i="3"/>
  <c r="AY306" i="3"/>
  <c r="AY314" i="3"/>
  <c r="AY322" i="3"/>
  <c r="AY331" i="3"/>
  <c r="AY339" i="3"/>
  <c r="AY347" i="3"/>
  <c r="AY355" i="3"/>
  <c r="AY363" i="3"/>
  <c r="AY371" i="3"/>
  <c r="AY379" i="3"/>
  <c r="AY387" i="3"/>
  <c r="AY395" i="3"/>
  <c r="AY403" i="3"/>
  <c r="AY411" i="3"/>
  <c r="AY419" i="3"/>
  <c r="AY427" i="3"/>
  <c r="AY435" i="3"/>
  <c r="AY442" i="3"/>
  <c r="AY450" i="3"/>
  <c r="AY458" i="3"/>
  <c r="AY466" i="3"/>
  <c r="AY474" i="3"/>
  <c r="AY482" i="3"/>
  <c r="AY490" i="3"/>
  <c r="AY328" i="3"/>
  <c r="AY336" i="3"/>
  <c r="AY344" i="3"/>
  <c r="AY352" i="3"/>
  <c r="AY360" i="3"/>
  <c r="AY368" i="3"/>
  <c r="AY376" i="3"/>
  <c r="AY384" i="3"/>
  <c r="AY392" i="3"/>
  <c r="AY400" i="3"/>
  <c r="AY408" i="3"/>
  <c r="AY416" i="3"/>
  <c r="AY424" i="3"/>
  <c r="AY432" i="3"/>
  <c r="AY440" i="3"/>
  <c r="AY449" i="3"/>
  <c r="AY457" i="3"/>
  <c r="AY465" i="3"/>
  <c r="AY473" i="3"/>
  <c r="AY481" i="3"/>
  <c r="AY489" i="3"/>
  <c r="AY497" i="3"/>
  <c r="AY505" i="3"/>
  <c r="AY513" i="3"/>
  <c r="AY521" i="3"/>
  <c r="AY496" i="3"/>
  <c r="AY504" i="3"/>
  <c r="AY512" i="3"/>
  <c r="AY520" i="3"/>
  <c r="AY528" i="3"/>
  <c r="AY536" i="3"/>
  <c r="AY544" i="3"/>
  <c r="AY552" i="3"/>
  <c r="AY560" i="3"/>
  <c r="AY568" i="3"/>
  <c r="AY576" i="3"/>
  <c r="AY584" i="3"/>
  <c r="AY531" i="3"/>
  <c r="AY539" i="3"/>
  <c r="AY547" i="3"/>
  <c r="AY555" i="3"/>
  <c r="AY563" i="3"/>
  <c r="AY571" i="3"/>
  <c r="AY579" i="3"/>
  <c r="AY587" i="3"/>
  <c r="E6" i="3"/>
  <c r="P28" i="43"/>
  <c r="O28" i="43"/>
  <c r="G20" i="43" s="1"/>
  <c r="C20" i="43" s="1"/>
  <c r="T16" i="43" s="1"/>
  <c r="V16" i="43" s="1"/>
  <c r="J10" i="79"/>
  <c r="W10" i="79" s="1"/>
  <c r="H10" i="79"/>
  <c r="U10" i="79" s="1"/>
  <c r="F10" i="79"/>
  <c r="S10" i="79" s="1"/>
  <c r="J10" i="40"/>
  <c r="AC10" i="40" s="1"/>
  <c r="H10" i="39"/>
  <c r="U10" i="39" s="1"/>
  <c r="F10" i="39"/>
  <c r="AA10" i="39" s="1"/>
  <c r="H10" i="40"/>
  <c r="AB10" i="40" s="1"/>
  <c r="F10" i="40"/>
  <c r="S10" i="40" s="1"/>
  <c r="J10" i="39"/>
  <c r="AC10" i="39" s="1"/>
  <c r="E68" i="79"/>
  <c r="D70" i="79"/>
  <c r="D14" i="71"/>
  <c r="C13" i="71"/>
  <c r="E52" i="37"/>
  <c r="C34" i="69"/>
  <c r="M6" i="1"/>
  <c r="K16" i="1"/>
  <c r="H16" i="1"/>
  <c r="Q16" i="1"/>
  <c r="AP6" i="1"/>
  <c r="C36" i="69" s="1"/>
  <c r="L21" i="6"/>
  <c r="M21" i="6" s="1"/>
  <c r="I21" i="6" s="1"/>
  <c r="S21" i="6" s="1"/>
  <c r="L19" i="6"/>
  <c r="AC10" i="79"/>
  <c r="AB10" i="79"/>
  <c r="F25" i="12"/>
  <c r="C26" i="12" s="1"/>
  <c r="D25" i="12" s="1"/>
  <c r="C19" i="67"/>
  <c r="C20" i="67" s="1"/>
  <c r="C23" i="11"/>
  <c r="C26" i="11"/>
  <c r="D22" i="11" s="1"/>
  <c r="F22" i="69"/>
  <c r="C26" i="69" s="1"/>
  <c r="D22" i="69" s="1"/>
  <c r="C48" i="15"/>
  <c r="C60" i="15" s="1"/>
  <c r="C24" i="11"/>
  <c r="C44" i="11"/>
  <c r="D41" i="11" s="1"/>
  <c r="F24" i="15"/>
  <c r="C24" i="15" s="1"/>
  <c r="F22" i="68"/>
  <c r="C44" i="68" s="1"/>
  <c r="D41" i="68" s="1"/>
  <c r="F24" i="67"/>
  <c r="C24" i="67" s="1"/>
  <c r="C53" i="67"/>
  <c r="C48" i="67" s="1"/>
  <c r="C60" i="67" s="1"/>
  <c r="J26" i="67"/>
  <c r="J29" i="67" s="1"/>
  <c r="M22" i="6"/>
  <c r="I22" i="6" s="1"/>
  <c r="S22" i="6" s="1"/>
  <c r="S9" i="1"/>
  <c r="J26" i="15"/>
  <c r="S8" i="1"/>
  <c r="D19" i="69"/>
  <c r="D37" i="69" s="1"/>
  <c r="C37" i="69" s="1"/>
  <c r="C8" i="69"/>
  <c r="C5" i="69" s="1"/>
  <c r="M20" i="6"/>
  <c r="I20" i="6" s="1"/>
  <c r="S7" i="1"/>
  <c r="N107" i="43"/>
  <c r="N105" i="43"/>
  <c r="N103" i="43"/>
  <c r="N109" i="43"/>
  <c r="N106" i="43"/>
  <c r="N104" i="43"/>
  <c r="N102" i="43"/>
  <c r="C107" i="43"/>
  <c r="C105" i="43"/>
  <c r="C103" i="43"/>
  <c r="C109" i="43"/>
  <c r="C106" i="43"/>
  <c r="C104" i="43"/>
  <c r="C102" i="43"/>
  <c r="K107" i="43"/>
  <c r="K105" i="43"/>
  <c r="K103" i="43"/>
  <c r="K106" i="43"/>
  <c r="K109" i="43"/>
  <c r="K104" i="43"/>
  <c r="K102" i="43"/>
  <c r="D22" i="43"/>
  <c r="C21" i="43" s="1"/>
  <c r="E107" i="43"/>
  <c r="E105" i="43"/>
  <c r="E103" i="43"/>
  <c r="E109" i="43"/>
  <c r="E106" i="43"/>
  <c r="E104" i="43"/>
  <c r="E102" i="43"/>
  <c r="M107" i="43"/>
  <c r="M105" i="43"/>
  <c r="M103" i="43"/>
  <c r="M109" i="43"/>
  <c r="M106" i="43"/>
  <c r="M104" i="43"/>
  <c r="M102" i="43"/>
  <c r="D109" i="43"/>
  <c r="D106" i="43"/>
  <c r="D104" i="43"/>
  <c r="D102" i="43"/>
  <c r="D107" i="43"/>
  <c r="D105" i="43"/>
  <c r="D103" i="43"/>
  <c r="H107" i="43"/>
  <c r="H105" i="43"/>
  <c r="H103" i="43"/>
  <c r="H109" i="43"/>
  <c r="H106" i="43"/>
  <c r="H104" i="43"/>
  <c r="H102" i="43"/>
  <c r="S6" i="1"/>
  <c r="M19" i="6"/>
  <c r="K27" i="6"/>
  <c r="L19" i="9"/>
  <c r="D25" i="6"/>
  <c r="D23" i="6"/>
  <c r="D21" i="6"/>
  <c r="M19" i="9"/>
  <c r="C118" i="9" s="1"/>
  <c r="C14" i="74" s="1"/>
  <c r="B2" i="74" s="1"/>
  <c r="D28" i="6"/>
  <c r="D19" i="6"/>
  <c r="D8" i="6"/>
  <c r="H26" i="6"/>
  <c r="D11" i="6"/>
  <c r="D12" i="6"/>
  <c r="D13" i="6"/>
  <c r="H25" i="6"/>
  <c r="L107" i="43"/>
  <c r="L105" i="43"/>
  <c r="L103" i="43"/>
  <c r="L109" i="43"/>
  <c r="L106" i="43"/>
  <c r="L104" i="43"/>
  <c r="L102" i="43"/>
  <c r="F109" i="43"/>
  <c r="F106" i="43"/>
  <c r="F104" i="43"/>
  <c r="F102" i="43"/>
  <c r="F107" i="43"/>
  <c r="F105" i="43"/>
  <c r="F103" i="43"/>
  <c r="G109" i="43"/>
  <c r="G106" i="43"/>
  <c r="G104" i="43"/>
  <c r="G102" i="43"/>
  <c r="G107" i="43"/>
  <c r="G105" i="43"/>
  <c r="G103" i="43"/>
  <c r="D118" i="43"/>
  <c r="E118" i="43" s="1"/>
  <c r="F118" i="43" s="1"/>
  <c r="D117" i="43"/>
  <c r="E117" i="43" s="1"/>
  <c r="F117" i="43" s="1"/>
  <c r="G117" i="43" s="1"/>
  <c r="H117" i="43" s="1"/>
  <c r="D116" i="43"/>
  <c r="E116" i="43" s="1"/>
  <c r="F116" i="43" s="1"/>
  <c r="G116" i="43" s="1"/>
  <c r="H116" i="43" s="1"/>
  <c r="D115" i="43"/>
  <c r="E115" i="43" s="1"/>
  <c r="F115" i="43" s="1"/>
  <c r="G115" i="43" s="1"/>
  <c r="H115" i="43" s="1"/>
  <c r="G118" i="43"/>
  <c r="H118" i="43" s="1"/>
  <c r="I117" i="43"/>
  <c r="J117" i="43" s="1"/>
  <c r="K117" i="43" s="1"/>
  <c r="L117" i="43" s="1"/>
  <c r="M117" i="43" s="1"/>
  <c r="I115" i="43"/>
  <c r="J115" i="43" s="1"/>
  <c r="K115" i="43" s="1"/>
  <c r="L115" i="43" s="1"/>
  <c r="M115" i="43" s="1"/>
  <c r="B117" i="43"/>
  <c r="C117" i="43" s="1"/>
  <c r="B115" i="43"/>
  <c r="C115" i="43" s="1"/>
  <c r="I116" i="43"/>
  <c r="J116" i="43" s="1"/>
  <c r="K116" i="43" s="1"/>
  <c r="L116" i="43" s="1"/>
  <c r="M116" i="43" s="1"/>
  <c r="B118" i="43"/>
  <c r="C118" i="43" s="1"/>
  <c r="B116" i="43"/>
  <c r="C116" i="43" s="1"/>
  <c r="I118" i="43"/>
  <c r="J118" i="43" s="1"/>
  <c r="K118" i="43" s="1"/>
  <c r="L118" i="43" s="1"/>
  <c r="M118" i="43" s="1"/>
  <c r="J109" i="43"/>
  <c r="J106" i="43"/>
  <c r="J104" i="43"/>
  <c r="J102" i="43"/>
  <c r="J107" i="43"/>
  <c r="J105" i="43"/>
  <c r="J103" i="43"/>
  <c r="I109" i="43"/>
  <c r="I106" i="43"/>
  <c r="I104" i="43"/>
  <c r="I102" i="43"/>
  <c r="I107" i="43"/>
  <c r="I105" i="43"/>
  <c r="I103" i="43"/>
  <c r="C8" i="68"/>
  <c r="D19" i="68"/>
  <c r="D37" i="68" s="1"/>
  <c r="AC7" i="21"/>
  <c r="W7" i="21"/>
  <c r="S10" i="39"/>
  <c r="R39" i="35"/>
  <c r="E38" i="35"/>
  <c r="I43" i="35" s="1"/>
  <c r="J43" i="35" s="1"/>
  <c r="E70" i="39"/>
  <c r="F68" i="39"/>
  <c r="AB7" i="36"/>
  <c r="T36" i="36" s="1"/>
  <c r="G36" i="36" s="1"/>
  <c r="U7" i="36"/>
  <c r="E65" i="40"/>
  <c r="F63" i="40"/>
  <c r="AC7" i="34"/>
  <c r="V49" i="34" s="1"/>
  <c r="I49" i="34" s="1"/>
  <c r="W7" i="34"/>
  <c r="AA7" i="21"/>
  <c r="S7" i="21"/>
  <c r="I42" i="35"/>
  <c r="J42" i="35" s="1"/>
  <c r="G52" i="33"/>
  <c r="H52" i="33" s="1"/>
  <c r="I40" i="36"/>
  <c r="J40" i="36" s="1"/>
  <c r="R50" i="34"/>
  <c r="E49" i="34"/>
  <c r="G43" i="35"/>
  <c r="H43" i="35" s="1"/>
  <c r="G42" i="35"/>
  <c r="H42" i="35" s="1"/>
  <c r="R49" i="33"/>
  <c r="E48" i="33"/>
  <c r="S7" i="36"/>
  <c r="AA7" i="36"/>
  <c r="R36" i="36" s="1"/>
  <c r="U7" i="34"/>
  <c r="AB7" i="34"/>
  <c r="T49" i="34" s="1"/>
  <c r="G49" i="34" s="1"/>
  <c r="U7" i="21"/>
  <c r="AB7" i="21"/>
  <c r="AC7" i="33"/>
  <c r="V48" i="33" s="1"/>
  <c r="I48" i="33" s="1"/>
  <c r="W7" i="33"/>
  <c r="C38" i="67"/>
  <c r="C38" i="15"/>
  <c r="F41" i="15"/>
  <c r="C17" i="15"/>
  <c r="AA10" i="40" l="1"/>
  <c r="W10" i="40"/>
  <c r="C29" i="43"/>
  <c r="C30" i="43" s="1"/>
  <c r="E30" i="43" s="1"/>
  <c r="H23" i="6"/>
  <c r="R23" i="6" s="1"/>
  <c r="D14" i="6"/>
  <c r="D10" i="6"/>
  <c r="D5" i="6"/>
  <c r="H24" i="6"/>
  <c r="D15" i="6"/>
  <c r="C18" i="4"/>
  <c r="D20" i="6"/>
  <c r="D29" i="6"/>
  <c r="D9" i="6"/>
  <c r="D22" i="6"/>
  <c r="D24" i="6"/>
  <c r="D26" i="6"/>
  <c r="E61" i="40"/>
  <c r="U10" i="40"/>
  <c r="H22" i="6"/>
  <c r="W10" i="39"/>
  <c r="AB10" i="39"/>
  <c r="AA10" i="79"/>
  <c r="H21" i="6"/>
  <c r="R21" i="6" s="1"/>
  <c r="R8" i="1" s="1"/>
  <c r="T3" i="43"/>
  <c r="V3" i="43" s="1"/>
  <c r="T2" i="43"/>
  <c r="V2" i="43" s="1"/>
  <c r="T12" i="43"/>
  <c r="V12" i="43" s="1"/>
  <c r="T15" i="43"/>
  <c r="V15" i="43" s="1"/>
  <c r="T11" i="43"/>
  <c r="V11" i="43" s="1"/>
  <c r="C19" i="69"/>
  <c r="C24" i="69" s="1"/>
  <c r="C23" i="69"/>
  <c r="T6" i="43"/>
  <c r="V6" i="43" s="1"/>
  <c r="C34" i="43"/>
  <c r="E34" i="43" s="1"/>
  <c r="T9" i="43"/>
  <c r="V9" i="43" s="1"/>
  <c r="C35" i="43"/>
  <c r="E35" i="43" s="1"/>
  <c r="T7" i="43"/>
  <c r="V7" i="43" s="1"/>
  <c r="T8" i="43"/>
  <c r="V8" i="43" s="1"/>
  <c r="T14" i="43"/>
  <c r="V14" i="43" s="1"/>
  <c r="C36" i="43"/>
  <c r="E36" i="43" s="1"/>
  <c r="T5" i="43"/>
  <c r="V5" i="43" s="1"/>
  <c r="T13" i="43"/>
  <c r="V13" i="43" s="1"/>
  <c r="C33" i="43"/>
  <c r="E33" i="43" s="1"/>
  <c r="C37" i="43"/>
  <c r="E37" i="43" s="1"/>
  <c r="T4" i="43"/>
  <c r="V4" i="43" s="1"/>
  <c r="T10" i="43"/>
  <c r="V10" i="43" s="1"/>
  <c r="E41" i="43"/>
  <c r="C41" i="43" s="1"/>
  <c r="C38" i="43" s="1"/>
  <c r="E38" i="43" s="1"/>
  <c r="C66" i="15"/>
  <c r="C26" i="67"/>
  <c r="F27" i="11"/>
  <c r="F28" i="12"/>
  <c r="C29" i="12" s="1"/>
  <c r="D28" i="12" s="1"/>
  <c r="F27" i="68"/>
  <c r="F27" i="69"/>
  <c r="C38" i="69"/>
  <c r="C35" i="69"/>
  <c r="E70" i="79"/>
  <c r="F68" i="79"/>
  <c r="L27" i="6"/>
  <c r="O6" i="1"/>
  <c r="M16" i="1"/>
  <c r="F52" i="37"/>
  <c r="T13" i="71"/>
  <c r="D13" i="71"/>
  <c r="U13" i="71" s="1"/>
  <c r="C12" i="71"/>
  <c r="C22" i="11"/>
  <c r="F41" i="69"/>
  <c r="C44" i="69"/>
  <c r="D41" i="69" s="1"/>
  <c r="C66" i="67"/>
  <c r="C24" i="68"/>
  <c r="F69" i="15"/>
  <c r="J29" i="15"/>
  <c r="C23" i="67"/>
  <c r="F41" i="68"/>
  <c r="C26" i="68"/>
  <c r="D22" i="68" s="1"/>
  <c r="C20" i="69"/>
  <c r="AR9" i="1"/>
  <c r="T9" i="1"/>
  <c r="AQ9" i="1"/>
  <c r="AQ8" i="1"/>
  <c r="T8" i="1"/>
  <c r="AR8" i="1"/>
  <c r="R25" i="6"/>
  <c r="D113" i="43"/>
  <c r="A7" i="51"/>
  <c r="B7" i="72" s="1"/>
  <c r="C4" i="52"/>
  <c r="B45" i="72" s="1"/>
  <c r="A10" i="51"/>
  <c r="B9" i="72" s="1"/>
  <c r="M27" i="6"/>
  <c r="I19" i="6"/>
  <c r="T7" i="1"/>
  <c r="AR7" i="1"/>
  <c r="AQ7" i="1"/>
  <c r="E7" i="70"/>
  <c r="E2" i="70" s="1"/>
  <c r="R22" i="6"/>
  <c r="R9" i="1" s="1"/>
  <c r="R26" i="6"/>
  <c r="D16" i="6"/>
  <c r="D30" i="6"/>
  <c r="D8" i="74"/>
  <c r="D7" i="74"/>
  <c r="AR6" i="1"/>
  <c r="T6" i="1"/>
  <c r="AQ6" i="1"/>
  <c r="S16" i="1"/>
  <c r="H20" i="6"/>
  <c r="S20" i="6"/>
  <c r="C18" i="12"/>
  <c r="I53" i="33"/>
  <c r="J53" i="33" s="1"/>
  <c r="I52" i="33"/>
  <c r="J52" i="33" s="1"/>
  <c r="G53" i="34"/>
  <c r="H53" i="34" s="1"/>
  <c r="G54" i="34"/>
  <c r="H54" i="34" s="1"/>
  <c r="R37" i="36"/>
  <c r="E36" i="36"/>
  <c r="E53" i="33"/>
  <c r="F53" i="33" s="1"/>
  <c r="E52" i="33"/>
  <c r="F52" i="33" s="1"/>
  <c r="E54" i="34"/>
  <c r="F54" i="34" s="1"/>
  <c r="E53" i="34"/>
  <c r="F53" i="34" s="1"/>
  <c r="G53" i="33"/>
  <c r="H53" i="33" s="1"/>
  <c r="I54" i="34"/>
  <c r="J54" i="34" s="1"/>
  <c r="I53" i="34"/>
  <c r="J53" i="34" s="1"/>
  <c r="G41" i="36"/>
  <c r="H41" i="36" s="1"/>
  <c r="G40" i="36"/>
  <c r="H40" i="36" s="1"/>
  <c r="C39" i="35"/>
  <c r="B2" i="35" s="1"/>
  <c r="B3" i="35" s="1"/>
  <c r="C38" i="35"/>
  <c r="C48" i="33"/>
  <c r="C49" i="33"/>
  <c r="B2" i="33" s="1"/>
  <c r="B3" i="33" s="1"/>
  <c r="C50" i="34"/>
  <c r="B2" i="34" s="1"/>
  <c r="B3" i="34" s="1"/>
  <c r="C49" i="34"/>
  <c r="F65" i="40"/>
  <c r="G63" i="40"/>
  <c r="F70" i="39"/>
  <c r="G68" i="39"/>
  <c r="E43" i="35"/>
  <c r="F43" i="35" s="1"/>
  <c r="E42" i="35"/>
  <c r="F42" i="35" s="1"/>
  <c r="E29" i="43"/>
  <c r="C33" i="15"/>
  <c r="J59" i="15"/>
  <c r="J60" i="15" s="1"/>
  <c r="C14" i="15"/>
  <c r="G35" i="43" l="1"/>
  <c r="I35" i="43" s="1"/>
  <c r="G37" i="43"/>
  <c r="I37" i="43" s="1"/>
  <c r="D27" i="6"/>
  <c r="R20" i="6"/>
  <c r="R7" i="1" s="1"/>
  <c r="R24" i="6"/>
  <c r="G36" i="43"/>
  <c r="I36" i="43" s="1"/>
  <c r="G34" i="43"/>
  <c r="I34" i="43" s="1"/>
  <c r="G33" i="43"/>
  <c r="I33" i="43" s="1"/>
  <c r="C33" i="69"/>
  <c r="C42" i="69" s="1"/>
  <c r="G38" i="43"/>
  <c r="I38" i="43" s="1"/>
  <c r="C39" i="43"/>
  <c r="G39" i="43" s="1"/>
  <c r="I39" i="43" s="1"/>
  <c r="C29" i="67"/>
  <c r="C36" i="67" s="1"/>
  <c r="C39" i="69"/>
  <c r="C46" i="69" s="1"/>
  <c r="C45" i="69" s="1"/>
  <c r="C28" i="69"/>
  <c r="C27" i="69" s="1"/>
  <c r="L16" i="1"/>
  <c r="N16" i="1"/>
  <c r="F70" i="79"/>
  <c r="G68" i="79"/>
  <c r="C47" i="69"/>
  <c r="D45" i="69" s="1"/>
  <c r="C29" i="69"/>
  <c r="D27" i="69" s="1"/>
  <c r="F45" i="69"/>
  <c r="D12" i="71"/>
  <c r="C11" i="71"/>
  <c r="G52" i="37"/>
  <c r="P6" i="1"/>
  <c r="O16" i="1"/>
  <c r="C29" i="68"/>
  <c r="D27" i="68" s="1"/>
  <c r="F45" i="68"/>
  <c r="C47" i="68"/>
  <c r="D45" i="68" s="1"/>
  <c r="C28" i="11"/>
  <c r="C27" i="11" s="1"/>
  <c r="C47" i="11"/>
  <c r="D45" i="11" s="1"/>
  <c r="C29" i="11"/>
  <c r="D27" i="11" s="1"/>
  <c r="C18" i="15"/>
  <c r="C15" i="15"/>
  <c r="C25" i="69"/>
  <c r="C22" i="69" s="1"/>
  <c r="C33" i="67"/>
  <c r="C31" i="67" s="1"/>
  <c r="I27" i="6"/>
  <c r="S19" i="6"/>
  <c r="S27" i="6" s="1"/>
  <c r="H19" i="6"/>
  <c r="D31" i="6"/>
  <c r="T16" i="1"/>
  <c r="G70" i="39"/>
  <c r="H68" i="39"/>
  <c r="G65" i="40"/>
  <c r="H63" i="40"/>
  <c r="C37" i="36"/>
  <c r="B2" i="36" s="1"/>
  <c r="B3" i="36" s="1"/>
  <c r="C36" i="36"/>
  <c r="E41" i="36"/>
  <c r="F41" i="36" s="1"/>
  <c r="E40" i="36"/>
  <c r="F40" i="36" s="1"/>
  <c r="I41" i="36"/>
  <c r="J41" i="36" s="1"/>
  <c r="Q48" i="15"/>
  <c r="F35" i="15"/>
  <c r="M21" i="15"/>
  <c r="C13" i="67" l="1"/>
  <c r="C37" i="67" s="1"/>
  <c r="C30" i="67" s="1"/>
  <c r="C39" i="67" s="1"/>
  <c r="Q69" i="67" s="1"/>
  <c r="C27" i="43"/>
  <c r="J20" i="15"/>
  <c r="F63" i="15"/>
  <c r="C62" i="15" s="1"/>
  <c r="C34" i="15"/>
  <c r="C31" i="15" s="1"/>
  <c r="E39" i="43"/>
  <c r="C26" i="43" s="1"/>
  <c r="B2" i="43" s="1"/>
  <c r="C43" i="69"/>
  <c r="C41" i="69" s="1"/>
  <c r="C49" i="69" s="1"/>
  <c r="C51" i="69" s="1"/>
  <c r="C57" i="67"/>
  <c r="C64" i="67" s="1"/>
  <c r="J59" i="67"/>
  <c r="J60" i="67" s="1"/>
  <c r="L46" i="67" s="1"/>
  <c r="C31" i="69"/>
  <c r="J19" i="67"/>
  <c r="J17" i="67" s="1"/>
  <c r="J14" i="67"/>
  <c r="J22" i="67" s="1"/>
  <c r="Q49" i="67"/>
  <c r="C31" i="11"/>
  <c r="H52" i="37"/>
  <c r="H68" i="79"/>
  <c r="G70" i="79"/>
  <c r="F11" i="12"/>
  <c r="C14" i="12" s="1"/>
  <c r="F34" i="11"/>
  <c r="F34" i="68"/>
  <c r="P16" i="1"/>
  <c r="C11" i="12" s="1"/>
  <c r="C13" i="12"/>
  <c r="D11" i="71"/>
  <c r="C10" i="71"/>
  <c r="C19" i="15"/>
  <c r="C20" i="15" s="1"/>
  <c r="C26" i="15" s="1"/>
  <c r="I6" i="6"/>
  <c r="I5" i="6"/>
  <c r="H27" i="6"/>
  <c r="R19" i="6"/>
  <c r="H65" i="40"/>
  <c r="I63" i="40"/>
  <c r="H70" i="39"/>
  <c r="I68" i="39"/>
  <c r="E6" i="76"/>
  <c r="B6" i="76"/>
  <c r="Q70" i="67" l="1"/>
  <c r="J13" i="67"/>
  <c r="J23" i="67" s="1"/>
  <c r="J16" i="67" s="1"/>
  <c r="J25" i="67" s="1"/>
  <c r="C75" i="67"/>
  <c r="C80" i="67" s="1"/>
  <c r="C79" i="67" s="1"/>
  <c r="C56" i="67"/>
  <c r="C65" i="67" s="1"/>
  <c r="Q48" i="67"/>
  <c r="E2" i="76"/>
  <c r="C61" i="67"/>
  <c r="C59" i="67" s="1"/>
  <c r="C9" i="71"/>
  <c r="D10" i="71"/>
  <c r="C34" i="68"/>
  <c r="C37" i="68"/>
  <c r="C36" i="68"/>
  <c r="I68" i="79"/>
  <c r="H70" i="79"/>
  <c r="I52" i="37"/>
  <c r="C12" i="12"/>
  <c r="C15" i="12"/>
  <c r="C37" i="11"/>
  <c r="C36" i="11"/>
  <c r="C34" i="11"/>
  <c r="C11" i="39"/>
  <c r="H11" i="39" s="1"/>
  <c r="C11" i="79"/>
  <c r="C11" i="21"/>
  <c r="C23" i="15"/>
  <c r="C29" i="15" s="1"/>
  <c r="Q68" i="67"/>
  <c r="C40" i="67"/>
  <c r="R27" i="6"/>
  <c r="R6" i="1"/>
  <c r="R16" i="1" s="1"/>
  <c r="F11" i="39"/>
  <c r="C52" i="69"/>
  <c r="B2" i="69" s="1"/>
  <c r="B3" i="69" s="1"/>
  <c r="I70" i="39"/>
  <c r="J68" i="39"/>
  <c r="I65" i="40"/>
  <c r="J63" i="40"/>
  <c r="B2" i="76"/>
  <c r="L57" i="15"/>
  <c r="L60" i="15" s="1"/>
  <c r="L46" i="15" s="1"/>
  <c r="B3" i="43"/>
  <c r="L51" i="67"/>
  <c r="C58" i="67" l="1"/>
  <c r="C67" i="67" s="1"/>
  <c r="C68" i="67" s="1"/>
  <c r="C71" i="67" s="1"/>
  <c r="B3" i="76"/>
  <c r="C16" i="12"/>
  <c r="C21" i="12" s="1"/>
  <c r="C22" i="12" s="1"/>
  <c r="J11" i="39"/>
  <c r="C35" i="11"/>
  <c r="C38" i="11"/>
  <c r="J52" i="37"/>
  <c r="I70" i="79"/>
  <c r="J68" i="79"/>
  <c r="C38" i="68"/>
  <c r="C35" i="68"/>
  <c r="T9" i="71"/>
  <c r="D9" i="71"/>
  <c r="U9" i="71" s="1"/>
  <c r="C8" i="71"/>
  <c r="L57" i="67"/>
  <c r="L60" i="67" s="1"/>
  <c r="Q57" i="67" s="1"/>
  <c r="Q67" i="67"/>
  <c r="C36" i="15"/>
  <c r="Q49" i="15"/>
  <c r="C13" i="15"/>
  <c r="J19" i="15"/>
  <c r="J17" i="15" s="1"/>
  <c r="J14" i="15"/>
  <c r="C57" i="15"/>
  <c r="J11" i="79"/>
  <c r="H11" i="79"/>
  <c r="F11" i="79"/>
  <c r="J11" i="21"/>
  <c r="F11" i="21"/>
  <c r="H11" i="21"/>
  <c r="C45" i="67"/>
  <c r="C46" i="67" s="1"/>
  <c r="Q47" i="67"/>
  <c r="Q53" i="67" s="1"/>
  <c r="Q65" i="67"/>
  <c r="D2" i="67"/>
  <c r="C43" i="67"/>
  <c r="Q56" i="67"/>
  <c r="C83" i="67"/>
  <c r="C82" i="67" s="1"/>
  <c r="W11" i="39"/>
  <c r="AC11" i="39"/>
  <c r="U11" i="39"/>
  <c r="AB11" i="39"/>
  <c r="S11" i="39"/>
  <c r="AA11" i="39"/>
  <c r="C57" i="69"/>
  <c r="C56" i="69" s="1"/>
  <c r="J65" i="40"/>
  <c r="K63" i="40"/>
  <c r="J70" i="39"/>
  <c r="K68" i="39"/>
  <c r="Q66" i="15"/>
  <c r="Q57" i="15"/>
  <c r="C33" i="11" l="1"/>
  <c r="C33" i="68"/>
  <c r="C42" i="68" s="1"/>
  <c r="C39" i="11"/>
  <c r="C43" i="11" s="1"/>
  <c r="C42" i="11"/>
  <c r="C46" i="11"/>
  <c r="C45" i="11" s="1"/>
  <c r="D8" i="71"/>
  <c r="C7" i="71"/>
  <c r="K68" i="79"/>
  <c r="J70" i="79"/>
  <c r="K52" i="37"/>
  <c r="Q62" i="67"/>
  <c r="Q66" i="67"/>
  <c r="Q75" i="67" s="1"/>
  <c r="U11" i="21"/>
  <c r="AB11" i="21"/>
  <c r="T48" i="21" s="1"/>
  <c r="G48" i="21" s="1"/>
  <c r="W11" i="21"/>
  <c r="AC11" i="21"/>
  <c r="V48" i="21" s="1"/>
  <c r="I48" i="21" s="1"/>
  <c r="I52" i="21" s="1"/>
  <c r="J52" i="21" s="1"/>
  <c r="U11" i="79"/>
  <c r="AB11" i="79"/>
  <c r="C64" i="15"/>
  <c r="C61" i="15"/>
  <c r="C59" i="15" s="1"/>
  <c r="S11" i="21"/>
  <c r="AA11" i="21"/>
  <c r="R48" i="21" s="1"/>
  <c r="S11" i="79"/>
  <c r="AA11" i="79"/>
  <c r="AC11" i="79"/>
  <c r="W11" i="79"/>
  <c r="J22" i="15"/>
  <c r="J13" i="15"/>
  <c r="J23" i="15" s="1"/>
  <c r="Q70" i="15"/>
  <c r="C37" i="15"/>
  <c r="C30" i="15" s="1"/>
  <c r="C39" i="15" s="1"/>
  <c r="C56" i="15"/>
  <c r="C65" i="15" s="1"/>
  <c r="C75" i="15"/>
  <c r="B2" i="67"/>
  <c r="B3" i="67"/>
  <c r="K70" i="39"/>
  <c r="L68" i="39"/>
  <c r="K65" i="40"/>
  <c r="L63" i="40"/>
  <c r="L51" i="15"/>
  <c r="C39" i="68" l="1"/>
  <c r="C43" i="68" s="1"/>
  <c r="C41" i="68" s="1"/>
  <c r="C41" i="11"/>
  <c r="C49" i="11" s="1"/>
  <c r="C51" i="11" s="1"/>
  <c r="C52" i="11" s="1"/>
  <c r="B2" i="11" s="1"/>
  <c r="B3" i="11" s="1"/>
  <c r="C46" i="68"/>
  <c r="C45" i="68" s="1"/>
  <c r="L52" i="37"/>
  <c r="K70" i="79"/>
  <c r="L68" i="79"/>
  <c r="D7" i="71"/>
  <c r="C6" i="71"/>
  <c r="C80" i="15"/>
  <c r="C79" i="15" s="1"/>
  <c r="J16" i="15"/>
  <c r="J25" i="15" s="1"/>
  <c r="Q67" i="15"/>
  <c r="C40" i="15"/>
  <c r="Q69" i="15"/>
  <c r="Q68" i="15" s="1"/>
  <c r="E48" i="21"/>
  <c r="R49" i="21"/>
  <c r="C58" i="15"/>
  <c r="C67" i="15" s="1"/>
  <c r="C68" i="15" s="1"/>
  <c r="G53" i="21"/>
  <c r="H53" i="21" s="1"/>
  <c r="G52" i="21"/>
  <c r="H52" i="21" s="1"/>
  <c r="L65" i="40"/>
  <c r="M63" i="40"/>
  <c r="L70" i="39"/>
  <c r="M68" i="39"/>
  <c r="C49" i="68" l="1"/>
  <c r="C51" i="68" s="1"/>
  <c r="C56" i="11"/>
  <c r="C57" i="11" s="1"/>
  <c r="D6" i="71"/>
  <c r="C5" i="71"/>
  <c r="L70" i="79"/>
  <c r="M68" i="79"/>
  <c r="M52" i="37"/>
  <c r="N52" i="37" s="1"/>
  <c r="O52" i="37" s="1"/>
  <c r="F7" i="37" s="1"/>
  <c r="J7" i="37"/>
  <c r="H7" i="37"/>
  <c r="C48" i="21"/>
  <c r="C49" i="21"/>
  <c r="B2" i="21" s="1"/>
  <c r="C71" i="15"/>
  <c r="C46" i="15"/>
  <c r="I53" i="21"/>
  <c r="J53" i="21" s="1"/>
  <c r="E52" i="21"/>
  <c r="F52" i="21" s="1"/>
  <c r="E53" i="21"/>
  <c r="F53" i="21" s="1"/>
  <c r="Q65" i="15"/>
  <c r="Q75" i="15" s="1"/>
  <c r="Q56" i="15"/>
  <c r="Q62" i="15" s="1"/>
  <c r="C83" i="15"/>
  <c r="C82" i="15" s="1"/>
  <c r="C43" i="15"/>
  <c r="Q47" i="15"/>
  <c r="Q53" i="15" s="1"/>
  <c r="B2" i="15"/>
  <c r="D8" i="12" s="1"/>
  <c r="M70" i="39"/>
  <c r="N68" i="39"/>
  <c r="M65" i="40"/>
  <c r="N63" i="40"/>
  <c r="AO7" i="1"/>
  <c r="W7" i="37" l="1"/>
  <c r="AC7" i="37"/>
  <c r="V42" i="37" s="1"/>
  <c r="I42" i="37" s="1"/>
  <c r="M70" i="79"/>
  <c r="N68" i="79"/>
  <c r="D5" i="71"/>
  <c r="M20" i="43"/>
  <c r="AB7" i="37"/>
  <c r="T42" i="37" s="1"/>
  <c r="G42" i="37" s="1"/>
  <c r="U7" i="37"/>
  <c r="AA7" i="37"/>
  <c r="R42" i="37" s="1"/>
  <c r="S7" i="37"/>
  <c r="B7" i="70"/>
  <c r="B2" i="70" s="1"/>
  <c r="B3" i="70" s="1"/>
  <c r="B3" i="21"/>
  <c r="C6" i="12" s="1"/>
  <c r="C8" i="12"/>
  <c r="B3" i="15"/>
  <c r="D6" i="12" s="1"/>
  <c r="N65" i="40"/>
  <c r="O63" i="40"/>
  <c r="O65" i="40" s="1"/>
  <c r="N70" i="39"/>
  <c r="O68" i="39"/>
  <c r="O70" i="39" s="1"/>
  <c r="E8" i="12" l="1"/>
  <c r="L7" i="12" s="1"/>
  <c r="E6" i="12"/>
  <c r="F6" i="12" s="1"/>
  <c r="F8" i="12" s="1"/>
  <c r="N70" i="79"/>
  <c r="O68" i="79"/>
  <c r="O70" i="79" s="1"/>
  <c r="I46" i="37"/>
  <c r="J46" i="37" s="1"/>
  <c r="R43" i="37"/>
  <c r="E42" i="37"/>
  <c r="G46" i="37"/>
  <c r="H46" i="37" s="1"/>
  <c r="G47" i="37"/>
  <c r="H47" i="37" s="1"/>
  <c r="J7" i="79"/>
  <c r="F7" i="79"/>
  <c r="H7" i="79"/>
  <c r="H7" i="39"/>
  <c r="J7" i="39"/>
  <c r="F7" i="39"/>
  <c r="J7" i="40"/>
  <c r="F7" i="40"/>
  <c r="H7" i="40"/>
  <c r="AA7" i="79" l="1"/>
  <c r="R47" i="79" s="1"/>
  <c r="S7" i="79"/>
  <c r="E47" i="37"/>
  <c r="F47" i="37" s="1"/>
  <c r="E46" i="37"/>
  <c r="F46" i="37" s="1"/>
  <c r="U7" i="79"/>
  <c r="AB7" i="79"/>
  <c r="T47" i="79" s="1"/>
  <c r="G47" i="79" s="1"/>
  <c r="AC7" i="79"/>
  <c r="V47" i="79" s="1"/>
  <c r="I47" i="79" s="1"/>
  <c r="I51" i="79" s="1"/>
  <c r="J51" i="79" s="1"/>
  <c r="W7" i="79"/>
  <c r="C42" i="37"/>
  <c r="C43" i="37"/>
  <c r="B2" i="37" s="1"/>
  <c r="B3" i="37" s="1"/>
  <c r="I47" i="37"/>
  <c r="J47" i="37" s="1"/>
  <c r="C4" i="12"/>
  <c r="C23" i="12" s="1"/>
  <c r="U7" i="40"/>
  <c r="AB7" i="40"/>
  <c r="T42" i="40" s="1"/>
  <c r="G42" i="40" s="1"/>
  <c r="AC7" i="40"/>
  <c r="V42" i="40" s="1"/>
  <c r="I42" i="40" s="1"/>
  <c r="W7" i="40"/>
  <c r="AC7" i="39"/>
  <c r="V47" i="39" s="1"/>
  <c r="I47" i="39" s="1"/>
  <c r="W7" i="39"/>
  <c r="AA7" i="40"/>
  <c r="R42" i="40" s="1"/>
  <c r="S7" i="40"/>
  <c r="AA7" i="39"/>
  <c r="R47" i="39" s="1"/>
  <c r="S7" i="39"/>
  <c r="U7" i="39"/>
  <c r="AB7" i="39"/>
  <c r="T47" i="39" s="1"/>
  <c r="G47" i="39" s="1"/>
  <c r="G52" i="79" l="1"/>
  <c r="H52" i="79" s="1"/>
  <c r="G51" i="79"/>
  <c r="H51" i="79" s="1"/>
  <c r="R48" i="79"/>
  <c r="E47" i="79"/>
  <c r="C31" i="12"/>
  <c r="C27" i="12"/>
  <c r="C25" i="12" s="1"/>
  <c r="C30" i="12"/>
  <c r="C28" i="12" s="1"/>
  <c r="R48" i="39"/>
  <c r="E47" i="39"/>
  <c r="R43" i="40"/>
  <c r="E42" i="40"/>
  <c r="I47" i="40" s="1"/>
  <c r="J47" i="40" s="1"/>
  <c r="I51" i="39"/>
  <c r="J51" i="39" s="1"/>
  <c r="I52" i="39"/>
  <c r="J52" i="39" s="1"/>
  <c r="I46" i="40"/>
  <c r="J46" i="40" s="1"/>
  <c r="G52" i="39"/>
  <c r="H52" i="39" s="1"/>
  <c r="G51" i="39"/>
  <c r="H51" i="39" s="1"/>
  <c r="G47" i="40"/>
  <c r="H47" i="40" s="1"/>
  <c r="G46" i="40"/>
  <c r="H46" i="40" s="1"/>
  <c r="E52" i="79" l="1"/>
  <c r="F52" i="79" s="1"/>
  <c r="I52" i="79"/>
  <c r="J52" i="79" s="1"/>
  <c r="E51" i="79"/>
  <c r="F51" i="79" s="1"/>
  <c r="C47" i="79"/>
  <c r="C48" i="79"/>
  <c r="C32" i="12"/>
  <c r="B2" i="12" s="1"/>
  <c r="B3" i="12" s="1"/>
  <c r="C43" i="40"/>
  <c r="C42" i="40"/>
  <c r="C48" i="39"/>
  <c r="C47" i="39"/>
  <c r="E47" i="40"/>
  <c r="F47" i="40" s="1"/>
  <c r="E46" i="40"/>
  <c r="F46" i="40" s="1"/>
  <c r="E51" i="39"/>
  <c r="F51" i="39" s="1"/>
  <c r="E52" i="39"/>
  <c r="F52" i="39" s="1"/>
  <c r="D20" i="9"/>
  <c r="D19" i="9"/>
  <c r="B64" i="79" l="1"/>
  <c r="F64" i="79" s="1"/>
  <c r="B62" i="79"/>
  <c r="F62" i="79" s="1"/>
  <c r="B59" i="79"/>
  <c r="F59" i="79" s="1"/>
  <c r="B56" i="79"/>
  <c r="F56" i="79" s="1"/>
  <c r="B58" i="79"/>
  <c r="F58" i="79" s="1"/>
  <c r="B65" i="79"/>
  <c r="F65" i="79" s="1"/>
  <c r="B63" i="79"/>
  <c r="F63" i="79" s="1"/>
  <c r="B61" i="79"/>
  <c r="F61" i="79" s="1"/>
  <c r="B57" i="79"/>
  <c r="F57" i="79" s="1"/>
  <c r="B60" i="79"/>
  <c r="F60" i="79" s="1"/>
  <c r="D21" i="9"/>
  <c r="D102" i="9"/>
  <c r="D103" i="9"/>
  <c r="B60" i="39"/>
  <c r="F60" i="39" s="1"/>
  <c r="B58" i="39"/>
  <c r="F58" i="39" s="1"/>
  <c r="B56" i="39"/>
  <c r="F56" i="39" s="1"/>
  <c r="B65" i="39"/>
  <c r="F65" i="39" s="1"/>
  <c r="B63" i="39"/>
  <c r="F63" i="39" s="1"/>
  <c r="B61" i="39"/>
  <c r="F61" i="39" s="1"/>
  <c r="B59" i="39"/>
  <c r="F59" i="39" s="1"/>
  <c r="B57" i="39"/>
  <c r="F57" i="39" s="1"/>
  <c r="B64" i="39"/>
  <c r="F64" i="39" s="1"/>
  <c r="B62" i="39"/>
  <c r="F62" i="39" s="1"/>
  <c r="F61" i="40"/>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F66" i="79" l="1"/>
  <c r="B2" i="79" s="1"/>
  <c r="B3" i="79" s="1"/>
  <c r="F66" i="39"/>
  <c r="B2" i="39" s="1"/>
  <c r="B3" i="39" s="1"/>
  <c r="C6" i="68"/>
  <c r="C7" i="68" l="1"/>
  <c r="C5" i="68" s="1"/>
  <c r="C20" i="68" l="1"/>
  <c r="C23" i="68"/>
  <c r="C28" i="68" l="1"/>
  <c r="C27" i="68" s="1"/>
  <c r="C25" i="68"/>
  <c r="C22" i="68" s="1"/>
  <c r="C31" i="68" l="1"/>
  <c r="C52" i="68" s="1"/>
  <c r="C57" i="68" s="1"/>
  <c r="C56" i="68" s="1"/>
  <c r="B2" i="68" l="1"/>
  <c r="C19" i="9"/>
  <c r="C21" i="9" l="1"/>
  <c r="C102" i="9"/>
  <c r="D22" i="9"/>
  <c r="G19" i="9"/>
  <c r="G21" i="9" s="1"/>
  <c r="B3" i="68"/>
  <c r="D34" i="9"/>
  <c r="D35" i="9"/>
  <c r="C20" i="9"/>
  <c r="G20" i="9" l="1"/>
  <c r="C32" i="9" s="1"/>
  <c r="C35" i="9" s="1"/>
  <c r="C34" i="9" s="1"/>
  <c r="D118" i="9" s="1"/>
  <c r="D4" i="52" s="1"/>
  <c r="B47" i="72" s="1"/>
  <c r="C103" i="9"/>
  <c r="F118" i="9" l="1"/>
  <c r="G118" i="9" s="1"/>
  <c r="G4" i="52" s="1"/>
  <c r="B52" i="72" s="1"/>
  <c r="H118" i="9"/>
  <c r="D119" i="9"/>
  <c r="D5" i="52" s="1"/>
  <c r="B49" i="72" s="1"/>
  <c r="F4" i="52" l="1"/>
  <c r="B51" i="72" s="1"/>
  <c r="F119" i="9"/>
  <c r="F5" i="52" s="1"/>
  <c r="B53" i="72" s="1"/>
  <c r="C104" i="9"/>
  <c r="H4" i="52"/>
  <c r="D14" i="74"/>
  <c r="H119" i="9"/>
  <c r="H5" i="52" s="1"/>
  <c r="H101" i="9"/>
  <c r="I118" i="9"/>
  <c r="C105" i="9" l="1"/>
  <c r="H102" i="9"/>
  <c r="D7" i="53" s="1"/>
  <c r="B21" i="72" s="1"/>
  <c r="E118" i="9"/>
  <c r="E4" i="52" s="1"/>
  <c r="B48" i="72" s="1"/>
  <c r="I4" i="52"/>
  <c r="D5" i="53"/>
  <c r="D45" i="9"/>
  <c r="M48" i="9"/>
  <c r="H107" i="9"/>
  <c r="B5" i="74"/>
  <c r="E14" i="74"/>
  <c r="F14" i="74"/>
  <c r="B20" i="72" l="1"/>
  <c r="D6" i="53"/>
  <c r="B22" i="72" s="1"/>
  <c r="H108" i="9"/>
  <c r="D15" i="53" s="1"/>
  <c r="B31" i="72" s="1"/>
  <c r="M49" i="9"/>
  <c r="D13" i="53"/>
  <c r="D122" i="9"/>
  <c r="D55" i="9"/>
  <c r="M53" i="9" s="1"/>
  <c r="D52" i="9"/>
  <c r="C93" i="9"/>
  <c r="C86" i="9" s="1"/>
  <c r="C72" i="9"/>
  <c r="C85" i="9"/>
  <c r="C95" i="9" s="1"/>
  <c r="D53" i="9"/>
  <c r="C78" i="9"/>
  <c r="C73" i="9" s="1"/>
  <c r="C64" i="9"/>
  <c r="C63" i="9" s="1"/>
  <c r="C67" i="9" s="1"/>
  <c r="C5" i="74"/>
  <c r="D5" i="74"/>
  <c r="C79" i="9" l="1"/>
  <c r="C80" i="9" s="1"/>
  <c r="E80" i="9" s="1"/>
  <c r="E81" i="9" s="1"/>
  <c r="D123" i="9"/>
  <c r="D9" i="52" s="1"/>
  <c r="G14" i="74"/>
  <c r="B6" i="74" s="1"/>
  <c r="D8" i="52"/>
  <c r="L65" i="9"/>
  <c r="M65" i="9" s="1"/>
  <c r="L67" i="9"/>
  <c r="M67" i="9" s="1"/>
  <c r="L68" i="9"/>
  <c r="M68" i="9" s="1"/>
  <c r="L66" i="9"/>
  <c r="M66" i="9" s="1"/>
  <c r="L64" i="9"/>
  <c r="M64" i="9" s="1"/>
  <c r="L63" i="9"/>
  <c r="M63" i="9" s="1"/>
  <c r="D59" i="9"/>
  <c r="M55" i="9" s="1"/>
  <c r="C68" i="9"/>
  <c r="D54" i="9" s="1"/>
  <c r="C96" i="9"/>
  <c r="E96" i="9" s="1"/>
  <c r="E97" i="9" s="1"/>
  <c r="B30" i="72"/>
  <c r="D14" i="53"/>
  <c r="B32" i="72" s="1"/>
  <c r="C81" i="9" l="1"/>
  <c r="C97" i="9"/>
  <c r="D58" i="9" s="1"/>
  <c r="D56" i="9" s="1"/>
  <c r="M54" i="9" s="1"/>
  <c r="N57" i="9" s="1"/>
  <c r="M69" i="9"/>
  <c r="N69" i="9" s="1"/>
  <c r="C6" i="74"/>
  <c r="D6" i="74"/>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70" authorId="1" shapeId="0" xr:uid="{00000000-0006-0000-2000-000002000000}">
      <text>
        <r>
          <rPr>
            <b/>
            <sz val="12"/>
            <rFont val="宋体"/>
            <family val="3"/>
            <charset val="134"/>
          </rPr>
          <t>价值时点所在季度</t>
        </r>
        <r>
          <rPr>
            <sz val="12"/>
            <rFont val="宋体"/>
            <family val="3"/>
            <charset val="134"/>
          </rPr>
          <t xml:space="preserve">
</t>
        </r>
      </text>
    </comment>
    <comment ref="B71"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D17" authorId="2" shapeId="0" xr:uid="{00000000-0006-0000-22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2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rFont val="宋体"/>
            <family val="3"/>
            <charset val="134"/>
          </rPr>
          <t xml:space="preserve">需在此处填写剩余土地年限
</t>
        </r>
      </text>
    </comment>
    <comment ref="C99" authorId="0" shapeId="0" xr:uid="{00000000-0006-0000-2200-000006000000}">
      <text>
        <r>
          <rPr>
            <b/>
            <sz val="9"/>
            <rFont val="宋体"/>
            <family val="3"/>
            <charset val="134"/>
          </rPr>
          <t xml:space="preserve">所在楼层
</t>
        </r>
        <r>
          <rPr>
            <sz val="9"/>
            <rFont val="宋体"/>
            <family val="3"/>
            <charset val="134"/>
          </rPr>
          <t xml:space="preserve">
</t>
        </r>
      </text>
    </comment>
    <comment ref="D99" authorId="0" shapeId="0" xr:uid="{00000000-0006-0000-2200-000007000000}">
      <text>
        <r>
          <rPr>
            <b/>
            <sz val="9"/>
            <rFont val="宋体"/>
            <family val="3"/>
            <charset val="134"/>
          </rPr>
          <t xml:space="preserve">所在楼层
</t>
        </r>
        <r>
          <rPr>
            <sz val="9"/>
            <rFont val="宋体"/>
            <family val="3"/>
            <charset val="134"/>
          </rPr>
          <t xml:space="preserve">
</t>
        </r>
      </text>
    </comment>
    <comment ref="E99" authorId="0" shapeId="0" xr:uid="{00000000-0006-0000-2200-000008000000}">
      <text>
        <r>
          <rPr>
            <b/>
            <sz val="9"/>
            <rFont val="宋体"/>
            <family val="3"/>
            <charset val="134"/>
          </rPr>
          <t xml:space="preserve">所在楼层
</t>
        </r>
        <r>
          <rPr>
            <sz val="9"/>
            <rFont val="宋体"/>
            <family val="3"/>
            <charset val="134"/>
          </rPr>
          <t xml:space="preserve">
</t>
        </r>
      </text>
    </comment>
    <comment ref="F99" authorId="0" shapeId="0" xr:uid="{00000000-0006-0000-2200-000009000000}">
      <text>
        <r>
          <rPr>
            <b/>
            <sz val="9"/>
            <rFont val="宋体"/>
            <family val="3"/>
            <charset val="134"/>
          </rPr>
          <t xml:space="preserve">所在楼层
</t>
        </r>
        <r>
          <rPr>
            <sz val="9"/>
            <rFont val="宋体"/>
            <family val="3"/>
            <charset val="134"/>
          </rPr>
          <t xml:space="preserve">
</t>
        </r>
      </text>
    </comment>
    <comment ref="G99" authorId="0" shapeId="0" xr:uid="{00000000-0006-0000-2200-00000A000000}">
      <text>
        <r>
          <rPr>
            <b/>
            <sz val="9"/>
            <rFont val="宋体"/>
            <family val="3"/>
            <charset val="134"/>
          </rPr>
          <t xml:space="preserve">所在楼层
</t>
        </r>
        <r>
          <rPr>
            <sz val="9"/>
            <rFont val="宋体"/>
            <family val="3"/>
            <charset val="134"/>
          </rPr>
          <t xml:space="preserve">
</t>
        </r>
      </text>
    </comment>
    <comment ref="H99" authorId="0" shapeId="0" xr:uid="{00000000-0006-0000-2200-00000B000000}">
      <text>
        <r>
          <rPr>
            <b/>
            <sz val="9"/>
            <rFont val="宋体"/>
            <family val="3"/>
            <charset val="134"/>
          </rPr>
          <t xml:space="preserve">所在楼层
</t>
        </r>
        <r>
          <rPr>
            <sz val="9"/>
            <rFont val="宋体"/>
            <family val="3"/>
            <charset val="134"/>
          </rPr>
          <t xml:space="preserve">
</t>
        </r>
      </text>
    </comment>
    <comment ref="I99" authorId="0" shapeId="0" xr:uid="{00000000-0006-0000-2200-00000C000000}">
      <text>
        <r>
          <rPr>
            <b/>
            <sz val="9"/>
            <rFont val="宋体"/>
            <family val="3"/>
            <charset val="134"/>
          </rPr>
          <t xml:space="preserve">所在楼层
</t>
        </r>
        <r>
          <rPr>
            <sz val="9"/>
            <rFont val="宋体"/>
            <family val="3"/>
            <charset val="134"/>
          </rPr>
          <t xml:space="preserve">
</t>
        </r>
      </text>
    </comment>
    <comment ref="J99" authorId="0" shapeId="0" xr:uid="{00000000-0006-0000-2200-00000D000000}">
      <text>
        <r>
          <rPr>
            <b/>
            <sz val="9"/>
            <rFont val="宋体"/>
            <family val="3"/>
            <charset val="134"/>
          </rPr>
          <t xml:space="preserve">所在楼层
</t>
        </r>
        <r>
          <rPr>
            <sz val="9"/>
            <rFont val="宋体"/>
            <family val="3"/>
            <charset val="134"/>
          </rPr>
          <t xml:space="preserve">
</t>
        </r>
      </text>
    </comment>
    <comment ref="K99" authorId="0" shapeId="0" xr:uid="{00000000-0006-0000-2200-00000E000000}">
      <text>
        <r>
          <rPr>
            <b/>
            <sz val="9"/>
            <rFont val="宋体"/>
            <family val="3"/>
            <charset val="134"/>
          </rPr>
          <t xml:space="preserve">所在楼层
</t>
        </r>
        <r>
          <rPr>
            <sz val="9"/>
            <rFont val="宋体"/>
            <family val="3"/>
            <charset val="134"/>
          </rPr>
          <t xml:space="preserve">
</t>
        </r>
      </text>
    </comment>
    <comment ref="L99" authorId="0" shapeId="0" xr:uid="{00000000-0006-0000-2200-00000F000000}">
      <text>
        <r>
          <rPr>
            <b/>
            <sz val="9"/>
            <rFont val="宋体"/>
            <family val="3"/>
            <charset val="134"/>
          </rPr>
          <t xml:space="preserve">所在楼层
</t>
        </r>
        <r>
          <rPr>
            <sz val="9"/>
            <rFont val="宋体"/>
            <family val="3"/>
            <charset val="134"/>
          </rPr>
          <t xml:space="preserve">
</t>
        </r>
      </text>
    </comment>
    <comment ref="M99" authorId="0" shapeId="0" xr:uid="{00000000-0006-0000-2200-000010000000}">
      <text>
        <r>
          <rPr>
            <b/>
            <sz val="9"/>
            <rFont val="宋体"/>
            <family val="3"/>
            <charset val="134"/>
          </rPr>
          <t xml:space="preserve">所在楼层
</t>
        </r>
        <r>
          <rPr>
            <sz val="9"/>
            <rFont val="宋体"/>
            <family val="3"/>
            <charset val="134"/>
          </rPr>
          <t xml:space="preserve">
</t>
        </r>
      </text>
    </comment>
    <comment ref="N99" authorId="0" shapeId="0" xr:uid="{00000000-0006-0000-2200-000011000000}">
      <text>
        <r>
          <rPr>
            <b/>
            <sz val="9"/>
            <rFont val="宋体"/>
            <family val="3"/>
            <charset val="134"/>
          </rPr>
          <t xml:space="preserve">所在楼层
</t>
        </r>
        <r>
          <rPr>
            <sz val="9"/>
            <rFont val="宋体"/>
            <family val="3"/>
            <charset val="134"/>
          </rPr>
          <t xml:space="preserve">
</t>
        </r>
      </text>
    </comment>
    <comment ref="C101" authorId="0" shapeId="0" xr:uid="{00000000-0006-0000-2200-000012000000}">
      <text>
        <r>
          <rPr>
            <b/>
            <sz val="9"/>
            <rFont val="宋体"/>
            <family val="3"/>
            <charset val="134"/>
          </rPr>
          <t xml:space="preserve">容积率
</t>
        </r>
      </text>
    </comment>
    <comment ref="D101" authorId="0" shapeId="0" xr:uid="{00000000-0006-0000-2200-000013000000}">
      <text>
        <r>
          <rPr>
            <b/>
            <sz val="9"/>
            <rFont val="宋体"/>
            <family val="3"/>
            <charset val="134"/>
          </rPr>
          <t xml:space="preserve">容积率
</t>
        </r>
      </text>
    </comment>
    <comment ref="E101" authorId="0" shapeId="0" xr:uid="{00000000-0006-0000-2200-000014000000}">
      <text>
        <r>
          <rPr>
            <b/>
            <sz val="9"/>
            <rFont val="宋体"/>
            <family val="3"/>
            <charset val="134"/>
          </rPr>
          <t xml:space="preserve">容积率
</t>
        </r>
      </text>
    </comment>
    <comment ref="F101" authorId="0" shapeId="0" xr:uid="{00000000-0006-0000-2200-000015000000}">
      <text>
        <r>
          <rPr>
            <b/>
            <sz val="9"/>
            <rFont val="宋体"/>
            <family val="3"/>
            <charset val="134"/>
          </rPr>
          <t xml:space="preserve">容积率
</t>
        </r>
      </text>
    </comment>
    <comment ref="G101" authorId="0" shapeId="0" xr:uid="{00000000-0006-0000-2200-000016000000}">
      <text>
        <r>
          <rPr>
            <b/>
            <sz val="9"/>
            <rFont val="宋体"/>
            <family val="3"/>
            <charset val="134"/>
          </rPr>
          <t xml:space="preserve">容积率
</t>
        </r>
      </text>
    </comment>
    <comment ref="H101" authorId="0" shapeId="0" xr:uid="{00000000-0006-0000-2200-000017000000}">
      <text>
        <r>
          <rPr>
            <b/>
            <sz val="9"/>
            <rFont val="宋体"/>
            <family val="3"/>
            <charset val="134"/>
          </rPr>
          <t xml:space="preserve">容积率
</t>
        </r>
      </text>
    </comment>
    <comment ref="I101" authorId="0" shapeId="0" xr:uid="{00000000-0006-0000-2200-000018000000}">
      <text>
        <r>
          <rPr>
            <b/>
            <sz val="9"/>
            <rFont val="宋体"/>
            <family val="3"/>
            <charset val="134"/>
          </rPr>
          <t xml:space="preserve">容积率
</t>
        </r>
      </text>
    </comment>
    <comment ref="J101" authorId="0" shapeId="0" xr:uid="{00000000-0006-0000-2200-000019000000}">
      <text>
        <r>
          <rPr>
            <b/>
            <sz val="9"/>
            <rFont val="宋体"/>
            <family val="3"/>
            <charset val="134"/>
          </rPr>
          <t xml:space="preserve">容积率
</t>
        </r>
      </text>
    </comment>
    <comment ref="K101" authorId="0" shapeId="0" xr:uid="{00000000-0006-0000-2200-00001A000000}">
      <text>
        <r>
          <rPr>
            <b/>
            <sz val="9"/>
            <rFont val="宋体"/>
            <family val="3"/>
            <charset val="134"/>
          </rPr>
          <t xml:space="preserve">容积率
</t>
        </r>
      </text>
    </comment>
    <comment ref="L101" authorId="0" shapeId="0" xr:uid="{00000000-0006-0000-2200-00001B000000}">
      <text>
        <r>
          <rPr>
            <b/>
            <sz val="9"/>
            <rFont val="宋体"/>
            <family val="3"/>
            <charset val="134"/>
          </rPr>
          <t xml:space="preserve">容积率
</t>
        </r>
      </text>
    </comment>
    <comment ref="M101" authorId="0" shapeId="0" xr:uid="{00000000-0006-0000-2200-00001C000000}">
      <text>
        <r>
          <rPr>
            <b/>
            <sz val="9"/>
            <rFont val="宋体"/>
            <family val="3"/>
            <charset val="134"/>
          </rPr>
          <t xml:space="preserve">容积率
</t>
        </r>
      </text>
    </comment>
    <comment ref="N101" authorId="0" shapeId="0" xr:uid="{00000000-0006-0000-2200-00001D000000}">
      <text>
        <r>
          <rPr>
            <b/>
            <sz val="9"/>
            <rFont val="宋体"/>
            <family val="3"/>
            <charset val="134"/>
          </rPr>
          <t xml:space="preserve">容积率
</t>
        </r>
      </text>
    </comment>
    <comment ref="C108" authorId="0" shapeId="0" xr:uid="{00000000-0006-0000-2200-00001E000000}">
      <text>
        <r>
          <rPr>
            <b/>
            <sz val="9"/>
            <rFont val="宋体"/>
            <family val="3"/>
            <charset val="134"/>
          </rPr>
          <t xml:space="preserve">所在楼层
</t>
        </r>
        <r>
          <rPr>
            <sz val="9"/>
            <rFont val="宋体"/>
            <family val="3"/>
            <charset val="134"/>
          </rPr>
          <t xml:space="preserve">
</t>
        </r>
      </text>
    </comment>
    <comment ref="D108" authorId="0" shapeId="0" xr:uid="{00000000-0006-0000-2200-00001F000000}">
      <text>
        <r>
          <rPr>
            <b/>
            <sz val="9"/>
            <rFont val="宋体"/>
            <family val="3"/>
            <charset val="134"/>
          </rPr>
          <t xml:space="preserve">所在楼层
</t>
        </r>
        <r>
          <rPr>
            <sz val="9"/>
            <rFont val="宋体"/>
            <family val="3"/>
            <charset val="134"/>
          </rPr>
          <t xml:space="preserve">
</t>
        </r>
      </text>
    </comment>
    <comment ref="E108" authorId="0" shapeId="0" xr:uid="{00000000-0006-0000-2200-000020000000}">
      <text>
        <r>
          <rPr>
            <b/>
            <sz val="9"/>
            <rFont val="宋体"/>
            <family val="3"/>
            <charset val="134"/>
          </rPr>
          <t xml:space="preserve">所在楼层
</t>
        </r>
        <r>
          <rPr>
            <sz val="9"/>
            <rFont val="宋体"/>
            <family val="3"/>
            <charset val="134"/>
          </rPr>
          <t xml:space="preserve">
</t>
        </r>
      </text>
    </comment>
    <comment ref="F108" authorId="0" shapeId="0" xr:uid="{00000000-0006-0000-2200-000021000000}">
      <text>
        <r>
          <rPr>
            <b/>
            <sz val="9"/>
            <rFont val="宋体"/>
            <family val="3"/>
            <charset val="134"/>
          </rPr>
          <t xml:space="preserve">所在楼层
</t>
        </r>
        <r>
          <rPr>
            <sz val="9"/>
            <rFont val="宋体"/>
            <family val="3"/>
            <charset val="134"/>
          </rPr>
          <t xml:space="preserve">
</t>
        </r>
      </text>
    </comment>
    <comment ref="G108" authorId="0" shapeId="0" xr:uid="{00000000-0006-0000-2200-000022000000}">
      <text>
        <r>
          <rPr>
            <b/>
            <sz val="9"/>
            <rFont val="宋体"/>
            <family val="3"/>
            <charset val="134"/>
          </rPr>
          <t xml:space="preserve">所在楼层
</t>
        </r>
        <r>
          <rPr>
            <sz val="9"/>
            <rFont val="宋体"/>
            <family val="3"/>
            <charset val="134"/>
          </rPr>
          <t xml:space="preserve">
</t>
        </r>
      </text>
    </comment>
    <comment ref="H108" authorId="0" shapeId="0" xr:uid="{00000000-0006-0000-2200-000023000000}">
      <text>
        <r>
          <rPr>
            <b/>
            <sz val="9"/>
            <rFont val="宋体"/>
            <family val="3"/>
            <charset val="134"/>
          </rPr>
          <t xml:space="preserve">所在楼层
</t>
        </r>
        <r>
          <rPr>
            <sz val="9"/>
            <rFont val="宋体"/>
            <family val="3"/>
            <charset val="134"/>
          </rPr>
          <t xml:space="preserve">
</t>
        </r>
      </text>
    </comment>
    <comment ref="I108" authorId="0" shapeId="0" xr:uid="{00000000-0006-0000-2200-000024000000}">
      <text>
        <r>
          <rPr>
            <b/>
            <sz val="9"/>
            <rFont val="宋体"/>
            <family val="3"/>
            <charset val="134"/>
          </rPr>
          <t xml:space="preserve">所在楼层
</t>
        </r>
        <r>
          <rPr>
            <sz val="9"/>
            <rFont val="宋体"/>
            <family val="3"/>
            <charset val="134"/>
          </rPr>
          <t xml:space="preserve">
</t>
        </r>
      </text>
    </comment>
    <comment ref="J108" authorId="0" shapeId="0" xr:uid="{00000000-0006-0000-2200-000025000000}">
      <text>
        <r>
          <rPr>
            <b/>
            <sz val="9"/>
            <rFont val="宋体"/>
            <family val="3"/>
            <charset val="134"/>
          </rPr>
          <t xml:space="preserve">所在楼层
</t>
        </r>
        <r>
          <rPr>
            <sz val="9"/>
            <rFont val="宋体"/>
            <family val="3"/>
            <charset val="134"/>
          </rPr>
          <t xml:space="preserve">
</t>
        </r>
      </text>
    </comment>
    <comment ref="K108" authorId="0" shapeId="0" xr:uid="{00000000-0006-0000-2200-000026000000}">
      <text>
        <r>
          <rPr>
            <b/>
            <sz val="9"/>
            <rFont val="宋体"/>
            <family val="3"/>
            <charset val="134"/>
          </rPr>
          <t xml:space="preserve">所在楼层
</t>
        </r>
        <r>
          <rPr>
            <sz val="9"/>
            <rFont val="宋体"/>
            <family val="3"/>
            <charset val="134"/>
          </rPr>
          <t xml:space="preserve">
</t>
        </r>
      </text>
    </comment>
    <comment ref="L108" authorId="0" shapeId="0" xr:uid="{00000000-0006-0000-2200-000027000000}">
      <text>
        <r>
          <rPr>
            <b/>
            <sz val="9"/>
            <rFont val="宋体"/>
            <family val="3"/>
            <charset val="134"/>
          </rPr>
          <t xml:space="preserve">所在楼层
</t>
        </r>
        <r>
          <rPr>
            <sz val="9"/>
            <rFont val="宋体"/>
            <family val="3"/>
            <charset val="134"/>
          </rPr>
          <t xml:space="preserve">
</t>
        </r>
      </text>
    </comment>
    <comment ref="M108" authorId="0" shapeId="0" xr:uid="{00000000-0006-0000-2200-000028000000}">
      <text>
        <r>
          <rPr>
            <b/>
            <sz val="9"/>
            <rFont val="宋体"/>
            <family val="3"/>
            <charset val="134"/>
          </rPr>
          <t xml:space="preserve">所在楼层
</t>
        </r>
        <r>
          <rPr>
            <sz val="9"/>
            <rFont val="宋体"/>
            <family val="3"/>
            <charset val="134"/>
          </rPr>
          <t xml:space="preserve">
</t>
        </r>
      </text>
    </comment>
    <comment ref="N108" authorId="0" shapeId="0" xr:uid="{00000000-0006-0000-2200-000029000000}">
      <text>
        <r>
          <rPr>
            <b/>
            <sz val="9"/>
            <rFont val="宋体"/>
            <family val="3"/>
            <charset val="134"/>
          </rPr>
          <t xml:space="preserve">所在楼层
</t>
        </r>
        <r>
          <rPr>
            <sz val="9"/>
            <rFont val="宋体"/>
            <family val="3"/>
            <charset val="134"/>
          </rPr>
          <t xml:space="preserve">
</t>
        </r>
      </text>
    </comment>
    <comment ref="D113" authorId="0" shapeId="0" xr:uid="{00000000-0006-0000-22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rFont val="宋体"/>
            <family val="3"/>
            <charset val="134"/>
          </rPr>
          <t>权重验证</t>
        </r>
        <r>
          <rPr>
            <sz val="9"/>
            <rFont val="宋体"/>
            <family val="3"/>
            <charset val="134"/>
          </rPr>
          <t xml:space="preserve">
</t>
        </r>
      </text>
    </comment>
    <comment ref="C70" authorId="1" shapeId="0" xr:uid="{00000000-0006-0000-1400-000002000000}">
      <text>
        <r>
          <rPr>
            <b/>
            <sz val="12"/>
            <rFont val="宋体"/>
            <family val="3"/>
            <charset val="134"/>
          </rPr>
          <t>价值时点所在季度</t>
        </r>
        <r>
          <rPr>
            <sz val="12"/>
            <rFont val="宋体"/>
            <family val="3"/>
            <charset val="134"/>
          </rPr>
          <t xml:space="preserve">
</t>
        </r>
      </text>
    </comment>
    <comment ref="B71" authorId="0" shapeId="0" xr:uid="{00000000-0006-0000-14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<sst xmlns="http://schemas.openxmlformats.org/spreadsheetml/2006/main" count="8663" uniqueCount="2869">
  <si>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</si>
  <si>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</si>
  <si>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</si>
  <si>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</si>
  <si>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</si>
  <si>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</si>
  <si>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</si>
  <si>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</si>
  <si>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</si>
  <si>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</si>
  <si>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</si>
  <si>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</si>
  <si>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</si>
  <si>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</si>
  <si>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</si>
  <si>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</si>
  <si>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</si>
  <si>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</si>
  <si>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</si>
  <si>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</si>
  <si>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</si>
  <si>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</si>
  <si>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</si>
  <si>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</si>
  <si>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</si>
  <si>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</si>
  <si>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</si>
  <si>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</si>
  <si>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</si>
  <si>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</si>
  <si>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</si>
  <si>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</si>
  <si>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</si>
  <si>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</si>
  <si>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</si>
  <si>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</si>
  <si>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</si>
  <si>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</si>
  <si>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</si>
  <si>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</si>
  <si>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</si>
  <si>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</si>
  <si>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</si>
  <si>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</si>
  <si>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</si>
  <si>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</si>
  <si>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</si>
  <si>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</si>
  <si>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</si>
  <si>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</si>
  <si>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</si>
  <si>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</si>
  <si>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</si>
  <si>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</si>
  <si>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</si>
  <si>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</si>
  <si>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</si>
  <si>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</si>
  <si>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</si>
  <si>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</si>
  <si>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</si>
  <si>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</si>
  <si>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</si>
  <si>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</si>
  <si>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</si>
  <si>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</si>
  <si>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</si>
  <si>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</si>
  <si>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</si>
  <si>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</si>
  <si>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</si>
  <si>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</si>
  <si>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</si>
  <si>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</si>
  <si>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</si>
  <si>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</si>
  <si>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</si>
  <si>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</si>
  <si>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</si>
  <si>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</si>
  <si>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</si>
  <si>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</si>
  <si>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</si>
  <si>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</si>
  <si>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</si>
  <si>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</si>
  <si>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</si>
  <si>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</si>
  <si>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</si>
  <si>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</si>
  <si>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</si>
  <si>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</si>
  <si>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</si>
  <si>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</si>
  <si>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</si>
  <si>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</si>
  <si>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</si>
  <si>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</si>
  <si>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</si>
  <si>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</si>
  <si>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</si>
  <si>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</si>
  <si>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</si>
  <si>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</si>
  <si>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</si>
  <si>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</si>
  <si>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</si>
  <si>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</si>
  <si>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</si>
  <si>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</si>
  <si>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</si>
  <si>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</si>
  <si>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</si>
  <si>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</si>
  <si>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</si>
  <si>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</si>
  <si>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</si>
  <si>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</si>
  <si>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</si>
  <si>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</si>
  <si>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</si>
  <si>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</si>
  <si>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</si>
  <si>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</si>
  <si>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</si>
  <si>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</si>
  <si>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</si>
  <si>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</si>
  <si>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</si>
  <si>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</si>
  <si>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</si>
  <si>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</si>
  <si>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</si>
  <si>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</si>
  <si>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</si>
  <si>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</si>
  <si>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</si>
  <si>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</si>
  <si>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</si>
  <si>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</si>
  <si>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</si>
  <si>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</si>
  <si>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</si>
  <si>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</si>
  <si>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</si>
  <si>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</si>
  <si>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</si>
  <si>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</si>
  <si>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</si>
  <si>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</si>
  <si>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</si>
  <si>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</si>
  <si>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</si>
  <si>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</si>
  <si>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</si>
  <si>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</si>
  <si>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</si>
  <si>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</si>
  <si>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</si>
  <si>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</si>
  <si>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</si>
  <si>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</si>
  <si>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</si>
  <si>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</si>
  <si>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</si>
  <si>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</si>
  <si>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</si>
  <si>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</si>
  <si>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</si>
  <si>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</si>
  <si>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</si>
  <si>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</si>
  <si>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</si>
  <si>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</si>
  <si>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</si>
  <si>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</si>
  <si>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</si>
  <si>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</si>
  <si>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</si>
  <si>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</si>
  <si>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</si>
  <si>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</si>
  <si>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</si>
  <si>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</si>
  <si>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</si>
  <si>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</si>
  <si>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</si>
  <si>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</si>
  <si>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</si>
  <si>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</si>
  <si>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</si>
  <si>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</si>
  <si>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</si>
  <si>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</si>
  <si>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</si>
  <si>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</si>
  <si>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</si>
  <si>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</si>
  <si>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</si>
  <si>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</si>
  <si>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</si>
  <si>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</si>
  <si>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</si>
  <si>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</si>
  <si>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</si>
  <si>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</si>
  <si>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</si>
  <si>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</si>
  <si>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</si>
  <si>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</si>
  <si>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</si>
  <si>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</si>
  <si>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</si>
  <si>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</si>
  <si>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</si>
  <si>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</si>
  <si>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</si>
  <si>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</si>
  <si>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</si>
  <si>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</si>
  <si>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</si>
  <si>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</si>
  <si>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</si>
  <si>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</si>
  <si>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</si>
  <si>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</si>
  <si>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</si>
  <si>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</si>
  <si>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</si>
  <si>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</si>
  <si>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</si>
  <si>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</si>
  <si>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</si>
  <si>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</si>
  <si>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</si>
  <si>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</si>
  <si>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</si>
  <si>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</si>
  <si>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</si>
  <si>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</si>
  <si>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</si>
  <si>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</si>
  <si>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</si>
  <si>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</si>
  <si>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</si>
  <si>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</si>
  <si>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</si>
  <si>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</si>
  <si>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</si>
  <si>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</si>
  <si>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</si>
  <si>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</si>
  <si>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</si>
  <si>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</si>
  <si>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</si>
  <si>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</si>
  <si>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</si>
  <si>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</si>
  <si>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</si>
  <si>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</si>
  <si>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</si>
  <si>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</si>
  <si>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</si>
  <si>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</si>
  <si>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</si>
  <si>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</si>
  <si>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</si>
  <si>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</si>
  <si>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</si>
  <si>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</si>
  <si>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</si>
  <si>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</si>
  <si>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</si>
  <si>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</si>
  <si>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</si>
  <si>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</si>
  <si>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</si>
  <si>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</si>
  <si>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</si>
  <si>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</si>
  <si>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</si>
  <si>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</si>
  <si>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</si>
  <si>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</si>
  <si>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</si>
  <si>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</si>
  <si>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</si>
  <si>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</si>
  <si>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</si>
  <si>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</si>
  <si>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</si>
  <si>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</si>
  <si>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</si>
  <si>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</si>
  <si>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</si>
  <si>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</si>
  <si>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</si>
  <si>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</si>
  <si>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</si>
  <si>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</si>
  <si>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</si>
  <si>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</si>
  <si>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</si>
  <si>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</si>
  <si>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</si>
  <si>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</si>
  <si>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</si>
  <si>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</si>
  <si>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</si>
  <si>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</si>
  <si>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</si>
  <si>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</si>
  <si>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</si>
  <si>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</si>
  <si>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</si>
  <si>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</si>
  <si>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</si>
  <si>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</si>
  <si>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</si>
  <si>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</si>
  <si>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</si>
  <si>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</si>
  <si>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</si>
  <si>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</si>
  <si>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</si>
  <si>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</si>
  <si>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</si>
  <si>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</si>
  <si>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</si>
  <si>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</si>
  <si>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</si>
  <si>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</si>
  <si>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</si>
  <si>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</si>
  <si>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</si>
  <si>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</si>
  <si>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</si>
  <si>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</si>
  <si>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</si>
  <si>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</si>
  <si>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</si>
  <si>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</si>
  <si>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</si>
  <si>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</si>
  <si>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</si>
  <si>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</si>
  <si>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</si>
  <si>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</si>
  <si>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</si>
  <si>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</si>
  <si>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</si>
  <si>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</si>
  <si>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</si>
  <si>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</si>
  <si>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</si>
  <si>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</si>
  <si>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</si>
  <si>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</si>
  <si>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</si>
  <si>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</si>
  <si>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</si>
  <si>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</si>
  <si>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</si>
  <si>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</si>
  <si>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</si>
  <si>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</si>
  <si>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</si>
  <si>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</si>
  <si>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</si>
  <si>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</si>
  <si>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</si>
  <si>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</si>
  <si>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</si>
  <si>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</si>
  <si>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</si>
  <si>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</si>
  <si>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</si>
  <si>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</si>
  <si>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</si>
  <si>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</si>
  <si>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</si>
  <si>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</si>
  <si>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</si>
  <si>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</si>
  <si>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</si>
  <si>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</si>
  <si>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</si>
  <si>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</si>
  <si>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</si>
  <si>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</si>
  <si>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</si>
  <si>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</si>
  <si>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</si>
  <si>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</si>
  <si>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</si>
  <si>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</si>
  <si>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</si>
  <si>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</si>
  <si>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</si>
  <si>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</si>
  <si>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</si>
  <si>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t>通热</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</si>
  <si>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</si>
  <si>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</si>
  <si>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</si>
  <si>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</si>
  <si>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</si>
  <si>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</si>
  <si>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</si>
  <si>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</si>
  <si>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</si>
  <si>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</si>
  <si>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</si>
  <si>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</si>
  <si>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</si>
  <si>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</si>
  <si>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</si>
  <si>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</si>
  <si>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</si>
  <si>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</si>
  <si>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</si>
  <si>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</si>
  <si>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</si>
  <si>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</si>
  <si>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</si>
  <si>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</si>
  <si>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</si>
  <si>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</si>
  <si>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</si>
  <si>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</si>
  <si>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</si>
  <si>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</si>
  <si>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</si>
  <si>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</si>
  <si>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</si>
  <si>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</si>
  <si>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</si>
  <si>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</si>
  <si>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</si>
  <si>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</si>
  <si>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</si>
  <si>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</si>
  <si>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</si>
  <si>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</si>
  <si>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</si>
  <si>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</si>
  <si>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</si>
  <si>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</si>
  <si>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</si>
  <si>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</si>
  <si>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</si>
  <si>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</si>
  <si>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</si>
  <si>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</si>
  <si>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</si>
  <si>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</si>
  <si>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</si>
  <si>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</si>
  <si>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</si>
  <si>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</si>
  <si>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</si>
  <si>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</si>
  <si>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</si>
  <si>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</si>
  <si>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</si>
  <si>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</si>
  <si>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</si>
  <si>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</si>
  <si>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</si>
  <si>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</si>
  <si>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</si>
  <si>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</si>
  <si>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</si>
  <si>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</si>
  <si>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</si>
  <si>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</si>
  <si>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</si>
  <si>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</si>
  <si>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</si>
  <si>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</si>
  <si>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</si>
  <si>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</si>
  <si>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</si>
  <si>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</si>
  <si>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</si>
  <si>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</si>
  <si>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</si>
  <si>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</si>
  <si>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</si>
  <si>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</si>
  <si>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</si>
  <si>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</si>
  <si>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</si>
  <si>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</si>
  <si>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</si>
  <si>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</si>
  <si>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</si>
  <si>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</si>
  <si>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</si>
  <si>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</si>
  <si>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</si>
  <si>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</si>
  <si>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</si>
  <si>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</si>
  <si>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</si>
  <si>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</si>
  <si>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</si>
  <si>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</si>
  <si>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</si>
  <si>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</si>
  <si>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</si>
  <si>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</si>
  <si>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</si>
  <si>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</si>
  <si>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</si>
  <si>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</si>
  <si>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</si>
  <si>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</si>
  <si>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</si>
  <si>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</si>
  <si>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</si>
  <si>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</si>
  <si>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</si>
  <si>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</si>
  <si>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</si>
  <si>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</si>
  <si>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</si>
  <si>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</si>
  <si>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</si>
  <si>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</si>
  <si>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</si>
  <si>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</si>
  <si>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</si>
  <si>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</si>
  <si>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</si>
  <si>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</si>
  <si>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</si>
  <si>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</si>
  <si>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</si>
  <si>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</si>
  <si>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</si>
  <si>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</si>
  <si>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</si>
  <si>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</si>
  <si>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</si>
  <si>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</si>
  <si>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</si>
  <si>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</si>
  <si>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</si>
  <si>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</si>
  <si>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</si>
  <si>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</si>
  <si>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</si>
  <si>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</si>
  <si>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</si>
  <si>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</si>
  <si>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</si>
  <si>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</si>
  <si>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</si>
  <si>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</si>
  <si>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</si>
  <si>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</si>
  <si>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</si>
  <si>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</si>
  <si>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</si>
  <si>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</si>
  <si>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</si>
  <si>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</si>
  <si>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</si>
  <si>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</si>
  <si>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</si>
  <si>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</si>
  <si>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</si>
  <si>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</si>
  <si>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</si>
  <si>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</si>
  <si>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</si>
  <si>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</si>
  <si>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</si>
  <si>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</si>
  <si>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</si>
  <si>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</si>
  <si>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</si>
  <si>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</si>
  <si>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</si>
  <si>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</si>
  <si>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</si>
  <si>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</si>
  <si>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</si>
  <si>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</si>
  <si>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</si>
  <si>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</si>
  <si>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</si>
  <si>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</si>
  <si>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</si>
  <si>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</si>
  <si>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</si>
  <si>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</si>
  <si>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</si>
  <si>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</si>
  <si>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</si>
  <si>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</si>
  <si>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</si>
  <si>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</si>
  <si>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</si>
  <si>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</si>
  <si>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</si>
  <si>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</si>
  <si>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</si>
  <si>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</si>
  <si>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</si>
  <si>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</si>
  <si>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</si>
  <si>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</si>
  <si>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</si>
  <si>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</si>
  <si>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</si>
  <si>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</si>
  <si>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</si>
  <si>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</si>
  <si>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</si>
  <si>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</si>
  <si>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</si>
  <si>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</si>
  <si>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</si>
  <si>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</si>
  <si>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</si>
  <si>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</si>
  <si>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</si>
  <si>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</si>
  <si>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</si>
  <si>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</si>
  <si>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</si>
  <si>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</si>
  <si>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</si>
  <si>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</si>
  <si>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</si>
  <si>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</si>
  <si>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</si>
  <si>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</si>
  <si>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</si>
  <si>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</si>
  <si>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</si>
  <si>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</si>
  <si>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</si>
  <si>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</si>
  <si>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</si>
  <si>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</si>
  <si>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</si>
  <si>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</si>
  <si>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</si>
  <si>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</si>
  <si>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</si>
  <si>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</si>
  <si>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</si>
  <si>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</si>
  <si>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</si>
  <si>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</si>
  <si>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</si>
  <si>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</si>
  <si>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</si>
  <si>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</si>
  <si>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</si>
  <si>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</si>
  <si>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</si>
  <si>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</si>
  <si>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</si>
  <si>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</si>
  <si>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</si>
  <si>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</si>
  <si>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</si>
  <si>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</si>
  <si>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</si>
  <si>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</si>
  <si>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</si>
  <si>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</si>
  <si>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</si>
  <si>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</si>
  <si>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</si>
  <si>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</si>
  <si>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</si>
  <si>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</si>
  <si>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</si>
  <si>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</si>
  <si>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</si>
  <si>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</si>
  <si>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</si>
  <si>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</si>
  <si>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</si>
  <si>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</si>
  <si>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</si>
  <si>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</si>
  <si>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</si>
  <si>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</si>
  <si>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</si>
  <si>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</si>
  <si>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</si>
  <si>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</si>
  <si>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</si>
  <si>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</si>
  <si>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</si>
  <si>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</si>
  <si>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</si>
  <si>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</si>
  <si>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</si>
  <si>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</si>
  <si>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</si>
  <si>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</si>
  <si>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</si>
  <si>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</si>
  <si>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</si>
  <si>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</si>
  <si>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</si>
  <si>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</si>
  <si>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</si>
  <si>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</si>
  <si>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</si>
  <si>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</si>
  <si>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</si>
  <si>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</si>
  <si>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</si>
  <si>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</si>
  <si>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</si>
  <si>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</si>
  <si>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</si>
  <si>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</si>
  <si>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</si>
  <si>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</si>
  <si>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</si>
  <si>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</si>
  <si>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</si>
  <si>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</si>
  <si>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</si>
  <si>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</si>
  <si>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</si>
  <si>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</si>
  <si>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</si>
  <si>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</si>
  <si>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</si>
  <si>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</si>
  <si>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</si>
  <si>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</si>
  <si>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</si>
  <si>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</si>
  <si>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</si>
  <si>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</si>
  <si>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</si>
  <si>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</si>
  <si>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</si>
  <si>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</si>
  <si>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</si>
  <si>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</si>
  <si>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</si>
  <si>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</si>
  <si>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</si>
  <si>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</si>
  <si>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</si>
  <si>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</si>
  <si>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</si>
  <si>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</si>
  <si>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</si>
  <si>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</si>
  <si>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</si>
  <si>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</si>
  <si>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</si>
  <si>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</si>
  <si>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</si>
  <si>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</si>
  <si>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</si>
  <si>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</si>
  <si>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</si>
  <si>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</si>
  <si>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</si>
  <si>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</si>
  <si>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</si>
  <si>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</si>
  <si>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</si>
  <si>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</si>
  <si>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</si>
  <si>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</si>
  <si>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</si>
  <si>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</si>
  <si>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</si>
  <si>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</si>
  <si>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</si>
  <si>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</si>
  <si>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</si>
  <si>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</si>
  <si>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</si>
  <si>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</si>
  <si>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</si>
  <si>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</si>
  <si>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</si>
  <si>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</si>
  <si>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</si>
  <si>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</si>
  <si>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</si>
  <si>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</si>
  <si>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</si>
  <si>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</si>
  <si>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</si>
  <si>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</si>
  <si>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</si>
  <si>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</si>
  <si>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</si>
  <si>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</si>
  <si>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</si>
  <si>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</si>
  <si>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</si>
  <si>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</si>
  <si>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</si>
  <si>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</si>
  <si>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</si>
  <si>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</si>
  <si>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</si>
  <si>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</si>
  <si>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</si>
  <si>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</si>
  <si>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</si>
  <si>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</si>
  <si>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</si>
  <si>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</si>
  <si>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</si>
  <si>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</si>
  <si>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</si>
  <si>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</si>
  <si>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</si>
  <si>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</si>
  <si>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</si>
  <si>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</si>
  <si>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</si>
  <si>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</si>
  <si>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</si>
  <si>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</si>
  <si>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</si>
  <si>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</si>
  <si>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</si>
  <si>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</si>
  <si>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</si>
  <si>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</si>
  <si>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</si>
  <si>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</si>
  <si>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</si>
  <si>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</si>
  <si>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</si>
  <si>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</si>
  <si>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</si>
  <si>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</si>
  <si>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</si>
  <si>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</si>
  <si>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</si>
  <si>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</si>
  <si>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</si>
  <si>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</si>
  <si>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</si>
  <si>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</si>
  <si>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</si>
  <si>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</si>
  <si>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</si>
  <si>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</si>
  <si>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</si>
  <si>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</si>
  <si>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</si>
  <si>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</si>
  <si>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</si>
  <si>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</si>
  <si>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</si>
  <si>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</si>
  <si>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</si>
  <si>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</si>
  <si>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</si>
  <si>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</si>
  <si>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</si>
  <si>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</si>
  <si>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</si>
  <si>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</si>
  <si>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</si>
  <si>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</si>
  <si>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</si>
  <si>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</si>
  <si>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</si>
  <si>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</si>
  <si>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</si>
  <si>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</si>
  <si>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</si>
  <si>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</si>
  <si>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</si>
  <si>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</si>
  <si>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</si>
  <si>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</si>
  <si>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</si>
  <si>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</si>
  <si>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</si>
  <si>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</si>
  <si>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</si>
  <si>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</si>
  <si>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</si>
  <si>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</si>
  <si>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</si>
  <si>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</si>
  <si>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</si>
  <si>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</si>
  <si>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</si>
  <si>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</si>
  <si>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</si>
  <si>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</si>
  <si>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</si>
  <si>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</si>
  <si>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</si>
  <si>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</si>
  <si>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</si>
  <si>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</si>
  <si>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</si>
  <si>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</si>
  <si>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</si>
  <si>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</si>
  <si>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</si>
  <si>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</si>
  <si>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</si>
  <si>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</si>
  <si>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</si>
  <si>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</si>
  <si>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</si>
  <si>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</si>
  <si>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</si>
  <si>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</si>
  <si>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</si>
  <si>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</si>
  <si>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</si>
  <si>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</si>
  <si>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</si>
  <si>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</si>
  <si>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</si>
  <si>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</si>
  <si>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</si>
  <si>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</si>
  <si>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</si>
  <si>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</si>
  <si>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</si>
  <si>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</si>
  <si>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</si>
  <si>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</si>
  <si>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</si>
  <si>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</si>
  <si>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</si>
  <si>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</si>
  <si>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</si>
  <si>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</si>
  <si>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</si>
  <si>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</si>
  <si>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</si>
  <si>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</si>
  <si>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</si>
  <si>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</si>
  <si>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</si>
  <si>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</si>
  <si>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</si>
  <si>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</si>
  <si>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</si>
  <si>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</si>
  <si>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</si>
  <si>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</si>
  <si>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</si>
  <si>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</si>
  <si>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</si>
  <si>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</si>
  <si>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</si>
  <si>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</si>
  <si>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</si>
  <si>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</si>
  <si>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</si>
  <si>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</si>
  <si>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</si>
  <si>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</si>
  <si>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</si>
  <si>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</si>
  <si>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</si>
  <si>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</si>
  <si>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</si>
  <si>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</si>
  <si>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</si>
  <si>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</si>
  <si>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</si>
  <si>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</si>
  <si>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</si>
  <si>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</si>
  <si>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</si>
  <si>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</si>
  <si>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</si>
  <si>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</si>
  <si>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</si>
  <si>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</si>
  <si>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</si>
  <si>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</si>
  <si>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</si>
  <si>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</si>
  <si>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</si>
  <si>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</si>
  <si>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</si>
  <si>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</si>
  <si>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</si>
  <si>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</si>
  <si>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</si>
  <si>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</si>
  <si>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</si>
  <si>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</si>
  <si>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</si>
  <si>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</si>
  <si>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</si>
  <si>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</si>
  <si>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</si>
  <si>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</si>
  <si>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</si>
  <si>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</si>
  <si>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</si>
  <si>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</si>
  <si>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</si>
  <si>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</si>
  <si>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</si>
  <si>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</si>
  <si>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</si>
  <si>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</si>
  <si>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</si>
  <si>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</si>
  <si>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</si>
  <si>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</si>
  <si>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</si>
  <si>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</si>
  <si>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</si>
  <si>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</si>
  <si>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</si>
  <si>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</si>
  <si>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</si>
  <si>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</si>
  <si>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</si>
  <si>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</si>
  <si>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</si>
  <si>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</si>
  <si>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</si>
  <si>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</si>
  <si>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</si>
  <si>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</si>
  <si>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</si>
  <si>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</si>
  <si>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</si>
  <si>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</si>
  <si>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</si>
  <si>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</si>
  <si>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</si>
  <si>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</si>
  <si>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</si>
  <si>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</si>
  <si>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</si>
  <si>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</si>
  <si>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</si>
  <si>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</si>
  <si>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</si>
  <si>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</si>
  <si>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</si>
  <si>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</si>
  <si>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</si>
  <si>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</si>
  <si>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</si>
  <si>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</si>
  <si>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</si>
  <si>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</si>
  <si>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</si>
  <si>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</si>
  <si>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</si>
  <si>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</si>
  <si>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</si>
  <si>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</si>
  <si>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</si>
  <si>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</si>
  <si>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</si>
  <si>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</si>
  <si>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</si>
  <si>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</si>
  <si>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</si>
  <si>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</si>
  <si>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</si>
  <si>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</si>
  <si>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</si>
  <si>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</si>
  <si>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</si>
  <si>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</si>
  <si>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</si>
  <si>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</si>
  <si>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</si>
  <si>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</si>
  <si>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</si>
  <si>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</si>
  <si>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</si>
  <si>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</si>
  <si>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</si>
  <si>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</si>
  <si>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</si>
  <si>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</si>
  <si>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</si>
  <si>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</si>
  <si>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</si>
  <si>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</si>
  <si>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</si>
  <si>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</si>
  <si>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</si>
  <si>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</si>
  <si>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</si>
  <si>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</si>
  <si>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</si>
  <si>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</si>
  <si>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</si>
  <si>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</si>
  <si>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</si>
  <si>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</si>
  <si>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</si>
  <si>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</si>
  <si>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</si>
  <si>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</si>
  <si>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</si>
  <si>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</si>
  <si>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</si>
  <si>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</si>
  <si>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</si>
  <si>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</si>
  <si>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</si>
  <si>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</si>
  <si>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</si>
  <si>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</si>
  <si>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</si>
  <si>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</si>
  <si>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</si>
  <si>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</si>
  <si>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</si>
  <si>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</si>
  <si>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</si>
  <si>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</si>
  <si>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</si>
  <si>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</si>
  <si>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</si>
  <si>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</si>
  <si>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</si>
  <si>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</si>
  <si>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</si>
  <si>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</si>
  <si>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</si>
  <si>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</si>
  <si>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</si>
  <si>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</si>
  <si>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</si>
  <si>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</si>
  <si>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</si>
  <si>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</si>
  <si>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</si>
  <si>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</si>
  <si>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</si>
  <si>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</si>
  <si>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</si>
  <si>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</si>
  <si>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</si>
  <si>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</si>
  <si>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</si>
  <si>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</si>
  <si>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</si>
  <si>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</si>
  <si>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</si>
  <si>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</si>
  <si>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</si>
  <si>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</si>
  <si>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</si>
  <si>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</si>
  <si>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</si>
  <si>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</si>
  <si>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</si>
  <si>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</si>
  <si>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</si>
  <si>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</si>
  <si>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</si>
  <si>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</si>
  <si>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</si>
  <si>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</si>
  <si>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</si>
  <si>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</si>
  <si>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</si>
  <si>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</si>
  <si>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</si>
  <si>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</si>
  <si>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</si>
  <si>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</si>
  <si>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</si>
  <si>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</si>
  <si>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</si>
  <si>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</si>
  <si>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</si>
  <si>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</si>
  <si>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</si>
  <si>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</si>
  <si>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</si>
  <si>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</si>
  <si>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</si>
  <si>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</si>
  <si>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</si>
  <si>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</si>
  <si>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</si>
  <si>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</si>
  <si>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</si>
  <si>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</si>
  <si>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</si>
  <si>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</si>
  <si>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</si>
  <si>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</si>
  <si>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</si>
  <si>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</si>
  <si>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</si>
  <si>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</si>
  <si>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</si>
  <si>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</si>
  <si>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</si>
  <si>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</si>
  <si>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</si>
  <si>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</si>
  <si>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</si>
  <si>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</si>
  <si>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</si>
  <si>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</si>
  <si>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</si>
  <si>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</si>
  <si>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</si>
  <si>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</si>
  <si>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</si>
  <si>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</si>
  <si>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</si>
  <si>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</si>
  <si>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</si>
  <si>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</si>
  <si>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</si>
  <si>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</si>
  <si>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</si>
  <si>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</si>
  <si>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</si>
  <si>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</si>
  <si>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</si>
  <si>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</si>
  <si>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</si>
  <si>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</si>
  <si>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</si>
  <si>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</si>
  <si>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</si>
  <si>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</si>
  <si>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</si>
  <si>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</si>
  <si>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</si>
  <si>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</si>
  <si>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</si>
  <si>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</si>
  <si>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</si>
  <si>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</si>
  <si>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</si>
  <si>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</si>
  <si>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</si>
  <si>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</si>
  <si>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</si>
  <si>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</si>
  <si>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</si>
  <si>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</si>
  <si>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</si>
  <si>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</si>
  <si>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</si>
  <si>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</si>
  <si>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</si>
  <si>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</si>
  <si>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</si>
  <si>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</si>
  <si>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</si>
  <si>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</si>
  <si>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</si>
  <si>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</si>
  <si>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</si>
  <si>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</si>
  <si>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</si>
  <si>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</si>
  <si>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</si>
  <si>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</si>
  <si>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</si>
  <si>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</si>
  <si>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</si>
  <si>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</si>
  <si>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</si>
  <si>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</si>
  <si>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</si>
  <si>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</si>
  <si>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</si>
  <si>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</si>
  <si>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</si>
  <si>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</si>
  <si>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</si>
  <si>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</si>
  <si>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</si>
  <si>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</si>
  <si>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</si>
  <si>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</si>
  <si>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</si>
  <si>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</si>
  <si>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</si>
  <si>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</si>
  <si>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</si>
  <si>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</si>
  <si>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</si>
  <si>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</si>
  <si>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</si>
  <si>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</si>
  <si>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</si>
  <si>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</si>
  <si>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</si>
  <si>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</si>
  <si>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</si>
  <si>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</si>
  <si>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</si>
  <si>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</si>
  <si>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</si>
  <si>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</si>
  <si>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</si>
  <si>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</si>
  <si>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</si>
  <si>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</si>
  <si>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</si>
  <si>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</si>
  <si>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</si>
  <si>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</si>
  <si>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</si>
  <si>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</si>
  <si>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</si>
  <si>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</si>
  <si>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</si>
  <si>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</si>
  <si>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</si>
  <si>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</si>
  <si>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</si>
  <si>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</si>
  <si>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</si>
  <si>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</si>
  <si>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</si>
  <si>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</si>
  <si>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</si>
  <si>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</si>
  <si>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</si>
  <si>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</si>
  <si>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</si>
  <si>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</si>
  <si>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</si>
  <si>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</si>
  <si>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</si>
  <si>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</si>
  <si>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</si>
  <si>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</si>
  <si>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</si>
  <si>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</si>
  <si>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</si>
  <si>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</si>
  <si>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</si>
  <si>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</si>
  <si>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</si>
  <si>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</si>
  <si>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</si>
  <si>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</si>
  <si>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</si>
  <si>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</si>
  <si>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</si>
  <si>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</si>
  <si>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</si>
  <si>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</si>
  <si>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</si>
  <si>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</si>
  <si>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</si>
  <si>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</si>
  <si>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</si>
  <si>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</si>
  <si>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</si>
  <si>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</si>
  <si>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</si>
  <si>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</si>
  <si>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</si>
  <si>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</si>
  <si>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</si>
  <si>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</si>
  <si>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</si>
  <si>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</si>
  <si>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</si>
  <si>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</si>
  <si>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</si>
  <si>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</si>
  <si>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</si>
  <si>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</si>
  <si>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</si>
  <si>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</si>
  <si>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</si>
  <si>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</si>
  <si>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</si>
  <si>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</si>
  <si>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</si>
  <si>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</si>
  <si>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</si>
  <si>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</si>
  <si>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</si>
  <si>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</si>
  <si>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</si>
  <si>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</si>
  <si>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</si>
  <si>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</si>
  <si>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</si>
  <si>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</si>
  <si>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</si>
  <si>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</si>
  <si>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</si>
  <si>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</si>
  <si>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</si>
  <si>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</si>
  <si>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</si>
  <si>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</si>
  <si>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</si>
  <si>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</si>
  <si>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</si>
  <si>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</si>
  <si>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</si>
  <si>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</si>
  <si>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</si>
  <si>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</si>
  <si>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</si>
  <si>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</si>
  <si>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</si>
  <si>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</si>
  <si>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</si>
  <si>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</si>
  <si>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</si>
  <si>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</si>
  <si>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</si>
  <si>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</si>
  <si>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</si>
  <si>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</si>
  <si>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</si>
  <si>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</si>
  <si>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</si>
  <si>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</si>
  <si>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</si>
  <si>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</si>
  <si>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</si>
  <si>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</si>
  <si>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</si>
  <si>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</si>
  <si>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</si>
  <si>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</si>
  <si>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</si>
  <si>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</si>
  <si>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</si>
  <si>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</si>
  <si>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</si>
  <si>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</si>
  <si>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</si>
  <si>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</si>
  <si>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</si>
  <si>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</si>
  <si>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</si>
  <si>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</si>
  <si>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</si>
  <si>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</si>
  <si>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</si>
  <si>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</si>
  <si>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</si>
  <si>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</si>
  <si>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</si>
  <si>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</si>
  <si>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</si>
  <si>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</si>
  <si>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</si>
  <si>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</si>
  <si>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</si>
  <si>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</si>
  <si>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</si>
  <si>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</si>
  <si>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</si>
  <si>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</si>
  <si>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</si>
  <si>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</si>
  <si>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</si>
  <si>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</si>
  <si>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</si>
  <si>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</si>
  <si>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</si>
  <si>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</si>
  <si>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</si>
  <si>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是否配建</t>
  </si>
  <si>
    <t>配建较少</t>
  </si>
  <si>
    <t>配建较多</t>
  </si>
  <si>
    <t>配建一般</t>
  </si>
  <si>
    <t>是否自持</t>
  </si>
  <si>
    <t>溢价比例</t>
  </si>
  <si>
    <t>＜10%</t>
  </si>
  <si>
    <r>
      <t>＜</t>
    </r>
    <r>
      <rPr>
        <sz val="11"/>
        <rFont val="Arial"/>
        <family val="2"/>
      </rPr>
      <t>10%</t>
    </r>
  </si>
  <si>
    <t>10%-30%</t>
  </si>
  <si>
    <t>好</t>
  </si>
  <si>
    <t>较好</t>
  </si>
  <si>
    <r>
      <rPr>
        <sz val="11"/>
        <color indexed="8"/>
        <rFont val="宋体"/>
        <family val="3"/>
        <charset val="134"/>
      </rPr>
      <t>区域土地利用方向</t>
    </r>
  </si>
  <si>
    <r>
      <rPr>
        <sz val="11"/>
        <color indexed="8"/>
        <rFont val="宋体"/>
        <family val="3"/>
        <charset val="134"/>
      </rPr>
      <t>自然及人文环境状况</t>
    </r>
  </si>
  <si>
    <t>一般</t>
  </si>
  <si>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</si>
  <si>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</si>
  <si>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</si>
  <si>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</si>
  <si>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</si>
  <si>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</si>
  <si>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</si>
  <si>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</si>
  <si>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</si>
  <si>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</si>
  <si>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</si>
  <si>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</si>
  <si>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</si>
  <si>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</si>
  <si>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</si>
  <si>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</si>
  <si>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</si>
  <si>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</si>
  <si>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</si>
  <si>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</si>
  <si>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</si>
  <si>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</si>
  <si>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</si>
  <si>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</si>
  <si>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</si>
  <si>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</si>
  <si>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</si>
  <si>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</si>
  <si>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</si>
  <si>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</si>
  <si>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</si>
  <si>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</si>
  <si>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</si>
  <si>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t>＜</t>
    </r>
    <r>
      <rPr>
        <sz val="11"/>
        <color rgb="FF000000"/>
        <rFont val="Arial"/>
        <family val="2"/>
      </rPr>
      <t>10%</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</si>
  <si>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</si>
  <si>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</si>
  <si>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</si>
  <si>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</si>
  <si>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</si>
  <si>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</si>
  <si>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</si>
  <si>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</si>
  <si>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</si>
  <si>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</si>
  <si>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</si>
  <si>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</si>
  <si>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</si>
  <si>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</si>
  <si>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</si>
  <si>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</si>
  <si>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</si>
  <si>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</si>
  <si>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</si>
  <si>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</si>
  <si>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</si>
  <si>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</si>
  <si>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</si>
  <si>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</si>
  <si>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</si>
  <si>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</si>
  <si>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</si>
  <si>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</si>
  <si>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</si>
  <si>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</si>
  <si>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</si>
  <si>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</si>
  <si>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</si>
  <si>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</si>
  <si>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</si>
  <si>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</si>
  <si>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</si>
  <si>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</si>
  <si>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</si>
  <si>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</si>
  <si>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</si>
  <si>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</si>
  <si>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</si>
  <si>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</si>
  <si>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</si>
  <si>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</si>
  <si>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</si>
  <si>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</si>
  <si>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</si>
  <si>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</si>
  <si>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</si>
  <si>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</si>
  <si>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</si>
  <si>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</si>
  <si>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</si>
  <si>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</si>
  <si>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</si>
  <si>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</si>
  <si>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</si>
  <si>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</si>
  <si>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</si>
  <si>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</si>
  <si>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</si>
  <si>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</si>
  <si>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</si>
  <si>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</si>
  <si>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</si>
  <si>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</si>
  <si>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</si>
  <si>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</si>
  <si>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</si>
  <si>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</si>
  <si>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</si>
  <si>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</si>
  <si>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</si>
  <si>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</si>
  <si>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</si>
  <si>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</si>
  <si>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</si>
  <si>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</si>
  <si>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无</t>
  </si>
  <si>
    <t>有</t>
  </si>
  <si>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</si>
  <si>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</si>
  <si>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</si>
  <si>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</si>
  <si>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</si>
  <si>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</si>
  <si>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</si>
  <si>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</si>
  <si>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</si>
  <si>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</si>
  <si>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</si>
  <si>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</si>
  <si>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</si>
  <si>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</si>
  <si>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</si>
  <si>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</si>
  <si>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</si>
  <si>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</si>
  <si>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</si>
  <si>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</si>
  <si>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</si>
  <si>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</si>
  <si>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</si>
  <si>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</si>
  <si>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</si>
  <si>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</si>
  <si>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</si>
  <si>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</si>
  <si>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</si>
  <si>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</si>
  <si>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</si>
  <si>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</si>
  <si>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</si>
  <si>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</si>
  <si>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</si>
  <si>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</si>
  <si>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</si>
  <si>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</si>
  <si>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</si>
  <si>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</si>
  <si>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</si>
  <si>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</si>
  <si>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</si>
  <si>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</si>
  <si>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</si>
  <si>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</si>
  <si>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</si>
  <si>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</si>
  <si>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</si>
  <si>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</si>
  <si>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</si>
  <si>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</si>
  <si>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</si>
  <si>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</si>
  <si>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</si>
  <si>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</si>
  <si>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</si>
  <si>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</si>
  <si>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</si>
  <si>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</si>
  <si>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</si>
  <si>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</si>
  <si>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</si>
  <si>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</si>
  <si>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</si>
  <si>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</si>
  <si>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</si>
  <si>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</si>
  <si>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</si>
  <si>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</si>
  <si>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</si>
  <si>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</si>
  <si>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</si>
  <si>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</si>
  <si>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</si>
  <si>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</si>
  <si>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</si>
  <si>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</si>
  <si>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</si>
  <si>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</si>
  <si>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</si>
  <si>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</si>
  <si>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</si>
  <si>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</si>
  <si>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</si>
  <si>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</si>
  <si>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</si>
  <si>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</si>
  <si>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</si>
  <si>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</si>
  <si>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</si>
  <si>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</si>
  <si>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</si>
  <si>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</si>
  <si>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</si>
  <si>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</si>
  <si>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</si>
  <si>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</si>
  <si>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</si>
  <si>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</si>
  <si>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</si>
  <si>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</si>
  <si>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</si>
  <si>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</si>
  <si>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</si>
  <si>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</si>
  <si>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</si>
  <si>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</si>
  <si>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</si>
  <si>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</si>
  <si>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</si>
  <si>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</si>
  <si>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</si>
  <si>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</si>
  <si>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</si>
  <si>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</si>
  <si>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</si>
  <si>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</si>
  <si>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</si>
  <si>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</si>
  <si>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</si>
  <si>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</si>
  <si>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</si>
  <si>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用地性质</t>
  </si>
  <si>
    <t>出让方式</t>
  </si>
  <si>
    <t>详细规划</t>
  </si>
  <si>
    <t>建设用地面积(㎡)</t>
  </si>
  <si>
    <t>规划建筑面积(㎡)</t>
  </si>
  <si>
    <t>容积率</t>
  </si>
  <si>
    <t>成交保障房面积(㎡)</t>
  </si>
  <si>
    <t>配建自住房情况</t>
  </si>
  <si>
    <t>成交特殊政策</t>
  </si>
  <si>
    <t>成交日期</t>
  </si>
  <si>
    <t>受让单位</t>
  </si>
  <si>
    <t>成交价(万元)</t>
  </si>
  <si>
    <t>成交每亩价(万元/亩)</t>
  </si>
  <si>
    <t>成交楼面价(元/㎡)</t>
  </si>
  <si>
    <t>溢价率</t>
  </si>
  <si>
    <t>出让年限</t>
  </si>
  <si>
    <t>竞报整体自持比例(%)</t>
  </si>
  <si>
    <t>竞报商品住房自持比例(%)</t>
  </si>
  <si>
    <t>竞报商办部分自持比例(%)</t>
  </si>
  <si>
    <t>土地星级</t>
  </si>
  <si>
    <t>北京市朝阳区东坝北东南一期土地储备项目1104-611地块R2二类居住用地</t>
  </si>
  <si>
    <t>住宅用地</t>
  </si>
  <si>
    <t>挂牌</t>
  </si>
  <si>
    <t>R2二类居住用地</t>
  </si>
  <si>
    <t>≤2.8</t>
  </si>
  <si>
    <t>--</t>
  </si>
  <si>
    <t>限地价,限房价,竞自持</t>
  </si>
  <si>
    <t>2020-12-14</t>
  </si>
  <si>
    <t>北京宏远慧业科技有限公司、北京兴诺咨询服务有限公司、北京首都开发股份有限公司</t>
  </si>
  <si>
    <t>居住70年、商业40年、办公50年</t>
  </si>
  <si>
    <t>4星</t>
  </si>
  <si>
    <t>北京市朝阳区东坝乡东风村1104-613地块R2二类居住用地、1104-614地块A33基础教育用地</t>
  </si>
  <si>
    <t>综合用地(含住宅)</t>
  </si>
  <si>
    <t>R2二类居住用地、A33基础教育用地</t>
  </si>
  <si>
    <t>r2≤2.8,a33≤0.8</t>
  </si>
  <si>
    <t>限地价,限房价,90/70</t>
  </si>
  <si>
    <t>2020-05-15</t>
  </si>
  <si>
    <t>北京盛智房地产有限公司、北京鑫远嘉业科技有限公司和北京首都开发股份有限公司联合体</t>
  </si>
  <si>
    <t>北京市朝阳区金盏乡小店村3005-12地块R2二类居住用地、3005-14地块A33基础教育用地、3005-15地块A22文化活动用地、3005-17地块A8社区综合服务设施用地</t>
  </si>
  <si>
    <t>R2二类居住用地、A33基础教育用地、A22文化活动用地、A8社区综合服务设施用地</t>
  </si>
  <si>
    <t>r2≤1.5,a33≤0.8,a22、a8≤1</t>
  </si>
  <si>
    <t>限地价</t>
  </si>
  <si>
    <t>2020-04-02</t>
  </si>
  <si>
    <t>北京中海地产有限公司和北京首都开发股份有限公司联合体</t>
  </si>
  <si>
    <t>3星</t>
  </si>
  <si>
    <t>北京市海淀区“海淀北部地区整体开发”西北旺镇HD00-0403-0061、0050、0031、0040、0046地块二类居住、其他类多功能、医院及机构养老设施用地</t>
  </si>
  <si>
    <t>R2二类居住用地、F3其他类多功能用地、A51医院用地、A61机构养老设施用地</t>
  </si>
  <si>
    <t>r2≤2.5,f3≤3,a51≤1.6,a61≤0.8</t>
  </si>
  <si>
    <t>2020-02-25</t>
  </si>
  <si>
    <t>北京润置商业运营管理有限公司、北京科技园建设(集团)股份有限公司和华通置业有限公司联合体</t>
  </si>
  <si>
    <t>北京市海淀区“海淀北部地区整体开发”西北旺镇HD00-0403-0043、0049地块二类居住及基础教育用地</t>
  </si>
  <si>
    <t>r2≤2.5,a33≤0.8</t>
  </si>
  <si>
    <t>2020-02-14</t>
  </si>
  <si>
    <t>北京润置商业运营管理有限公司、北京首都开发股份有限公司、北京住总房地产开发有限责任公司和华通置业有限公司联合体</t>
  </si>
  <si>
    <t>北京市海淀区安宁庄东路1号1820-618B、1820-619B、1820-624A、1820-622地块R2二类居住用地、A33基础教育用地</t>
  </si>
  <si>
    <t>招标</t>
  </si>
  <si>
    <t>r2(618、624)≤2.56,r2(619)≤2,a33≤0.8</t>
  </si>
  <si>
    <t>该宗地居住用途建筑规模全部用于建设“共有产权住房”,房屋销售均价不高于44800元/平方米(含全装修费用)</t>
  </si>
  <si>
    <t>限房价,含自住房/共有产权住房</t>
  </si>
  <si>
    <t>2020-01-23</t>
  </si>
  <si>
    <t>北京金隅程远房地产开发有限公司</t>
  </si>
  <si>
    <t>北京市海淀区四季青镇中坞重点村资金平衡用地南地块R2二类居住用地</t>
  </si>
  <si>
    <t>≤1.5</t>
  </si>
  <si>
    <t>2020-01-20</t>
  </si>
  <si>
    <t>北京海益嘉和置业有限公司</t>
  </si>
  <si>
    <t>北京市海淀区“海淀北部地区整体开发”永丰产业基地(新)HD00-0403-013、122地块R2二类居住用地、A33基础教育用地</t>
  </si>
  <si>
    <t>r2≤2.1,a33≤0.7</t>
  </si>
  <si>
    <t>居住建筑规模全部用于建设“共有产权住房”,房屋销售均价不高于37000元/平方米(含全装修费用)。</t>
  </si>
  <si>
    <t>北京海开房地产股份有限公司和北京建工地产有限责任公司联合体</t>
  </si>
  <si>
    <t>北京市海淀区四季青镇中坞重点村资金平衡用地北地块R2二类居住用地</t>
  </si>
  <si>
    <t>天津北方中茂置地有限公司</t>
  </si>
  <si>
    <t>北京市朝阳区孙河乡西甸村、孙河村2902-88地块F1住宅混合公建用地</t>
  </si>
  <si>
    <t>F1住宅混合公建用地</t>
  </si>
  <si>
    <t>2019-09-12</t>
  </si>
  <si>
    <t>北京天恒正同资产管理有限公司和徐州恒江房地产开发有限公司联合体</t>
  </si>
  <si>
    <t>居住70年商业40年办公50年</t>
  </si>
  <si>
    <t>北京市朝阳区东坝乡驹子房1106-720地块F1住宅混合公建用地、1106-721地块A33基础教育用地</t>
  </si>
  <si>
    <t>F1住宅混合公建用地、A33基础教育用地</t>
  </si>
  <si>
    <t>f1≤3,a33≤0.9</t>
  </si>
  <si>
    <t>本次出让宗地居住建筑规模全部建设“共有产权住房”,销售价格41000元/平方米(含全装修费用)</t>
  </si>
  <si>
    <t>2019-08-29</t>
  </si>
  <si>
    <t>北京房地置业发展有限公司</t>
  </si>
  <si>
    <t>5星</t>
  </si>
  <si>
    <t>北京市海淀区&amp;quot海淀北部地区整体开发&amp;quot苏家坨镇HD00-0303-6031、6032、6033地块(中关村环保科技示范园)F1住宅混合公建用地、A33基础教育用地</t>
  </si>
  <si>
    <t>f1≤3,a33≤0.8</t>
  </si>
  <si>
    <t>90/70,含租赁用地,含人才住房</t>
  </si>
  <si>
    <t>2019-05-28</t>
  </si>
  <si>
    <t>北京实创科技园开发建设股份有限公司</t>
  </si>
  <si>
    <t>北京市朝阳区孙河乡北甸西村、北甸东村、西甸村、孙河村2902-31地块R2二类居住用地</t>
  </si>
  <si>
    <t>≤1.1</t>
  </si>
  <si>
    <t>苏州恒相房地产开发有限公司</t>
  </si>
  <si>
    <t>北京市朝阳区将台乡1016-030地块R2二类居住用地、1016-033地块F2公建混合住宅用地</t>
  </si>
  <si>
    <t>R2二类居住用地、F2公建混合住宅用地</t>
  </si>
  <si>
    <t>r2=2.5,f2=3</t>
  </si>
  <si>
    <t>居住建筑规模全部建设“共有产权住房”,销售价格43000元/平方米(含全装修费用)</t>
  </si>
  <si>
    <t>2019-02-01</t>
  </si>
  <si>
    <t>华通置业有限公司和北京茂康企业管理有限公司联合体</t>
  </si>
  <si>
    <t>北京市海淀区西三旗建材城中路东侧1814-630等地块R2二类居住用地、A4体育用地、A334托幼用地</t>
  </si>
  <si>
    <t>R2二类居住用地、A4体育用地、A334托幼用地</t>
  </si>
  <si>
    <t>居住用途建筑规模全部用于建设“共有产权住房”,房屋销售均价不高于43600元/平方米(含全装修)</t>
  </si>
  <si>
    <t>2019-01-24</t>
  </si>
  <si>
    <t>北京市海淀区地铁16号线北安河车辆段综合利用项目HD00-0700-0001、0002、0003、0004地块A334托幼用地、F3其他类多功能用地、R2二类居住用地</t>
  </si>
  <si>
    <t>A334托幼用地、F3其他类多功能用地、R2二类居住用地</t>
  </si>
  <si>
    <t>限房价</t>
  </si>
  <si>
    <t>北京市基础设施投资有限公司、北京京投置地房地产有限公司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</si>
  <si>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</si>
  <si>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</si>
  <si>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居住用途建筑规模全部用于建设“共有产权住房”,房屋销售均价不高于44800元/平方米(含全装修)</t>
  </si>
  <si>
    <t>北京市朝阳区东坝乡单店村1108-006地块R2二类居住用地</t>
  </si>
  <si>
    <t>出让宗地居住建筑规模全部建设“共有产权住房”,销售价格37000元/平方米(含全装修费用)</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</si>
  <si>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</si>
  <si>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</si>
  <si>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</si>
  <si>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</si>
  <si>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</si>
  <si>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</si>
  <si>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</si>
  <si>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</si>
  <si>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R2二类居住用地、A33基础教育用地、A8社区综合服务设施用地</t>
  </si>
  <si>
    <t>限地价,限房价</t>
  </si>
  <si>
    <t>2018-09-13</t>
  </si>
  <si>
    <t>北京中海地产有限公司</t>
  </si>
  <si>
    <t>北京市朝阳区豆各庄乡水牛坊村1306-635地块R2二类居住用地、1306-636地块A8社区综合服务用地</t>
  </si>
  <si>
    <t>R2二类居住用地、A8社区综合服务用地</t>
  </si>
  <si>
    <t>出让宗地居住建筑规模全部用于建设“共有产权住房”,销售价格36000元/平方米(含全装修费用)</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</si>
  <si>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</si>
  <si>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</si>
  <si>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</si>
  <si>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</si>
  <si>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</si>
  <si>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北京市海淀区“海淀北部地区整体开发”翠湖科技园HD00-0303-6022地块R2二类居住用地</t>
  </si>
  <si>
    <t>2018-01-12</t>
  </si>
  <si>
    <t>中国葛洲坝集团房地产开发有限公司</t>
  </si>
  <si>
    <t>北京市朝阳区孙河乡北甸西村、北甸东村、西甸村2902-46地块R2二类居住用地</t>
  </si>
  <si>
    <t>2018-01-04</t>
  </si>
  <si>
    <t>北京中瑞凯华投资管理有限公司和北京德俊置业有限公司联合体</t>
  </si>
  <si>
    <t>北京市海淀区苏州街站一体化棚户区改造项目前期工作及拟改造土地使用权</t>
  </si>
  <si>
    <t>含保障房用地</t>
  </si>
  <si>
    <t>2017-12-29</t>
  </si>
  <si>
    <t>北京城投地下空间开发建设有限公司</t>
  </si>
  <si>
    <t>北京市朝阳区豆各庄乡马家湾村1306-606地块R2二类居住用地</t>
  </si>
  <si>
    <t>2017-12-14</t>
  </si>
  <si>
    <t>北京市海淀区“海淀北部地区整体开发”西北旺镇亮甲店村HD00-0404-0010、6015、6016、6003、6004地块A2文化设施用地、R2二类居住用地、F1住宅混合公建用地</t>
  </si>
  <si>
    <t>A2文化设施用地、R2二类居住用地、F1住宅混合公建用地</t>
  </si>
  <si>
    <t>2017-11-16</t>
  </si>
  <si>
    <t>北京紫光科城科技发展有限公司</t>
  </si>
  <si>
    <t>北京市朝阳区东坝乡驹子房村1109-663地块R2二类居住用地</t>
  </si>
  <si>
    <t>居住建筑规模全部用于建设“共有产权住房”</t>
  </si>
  <si>
    <t>2017-11-03</t>
  </si>
  <si>
    <t>天恒+旭辉+首开+房地</t>
  </si>
  <si>
    <t>北京市海淀区&amp;quot海淀北部地区整体开发”西北旺镇亮甲店村HD00-0404-6005、6006地块R2二类居住用地</t>
  </si>
  <si>
    <t>居住建筑规模全部建设“共有产权住房”</t>
  </si>
  <si>
    <t>中铁置业集团北京有限公司和北京建工地产有限责任公司联合体</t>
  </si>
  <si>
    <t>北京市海淀区四道口地区I地块F1住宅混合公建用地</t>
  </si>
  <si>
    <t>限地价,限房价,竞自持,90/70</t>
  </si>
  <si>
    <t>2017-10-11</t>
  </si>
  <si>
    <t>北京天恒正同资产管理有限公司</t>
  </si>
  <si>
    <t>北京市朝阳区孙河乡北甸西村、西甸村2902-29地块R2二类居住用地、2902-17地块A8社区综合服务设施用地、2902-15地块A334托幼用地</t>
  </si>
  <si>
    <t>R2二类居住用地、A8社区综合服务设施用地、A334托幼用地</t>
  </si>
  <si>
    <t>2017-09-07</t>
  </si>
  <si>
    <t>张家口鸿运房地产开发有限公司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</si>
  <si>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</si>
  <si>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</si>
  <si>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</si>
  <si>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</si>
  <si>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</si>
  <si>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</si>
  <si>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限地价,限房价,竞自持,90/70,含保障房用地</t>
  </si>
  <si>
    <t>北京万翰企业管理有限公司和深圳安创投资管理有限公司联合体</t>
  </si>
  <si>
    <t>朝阳区孙河乡西甸村2902-86地块</t>
  </si>
  <si>
    <t>2017-05-03</t>
  </si>
  <si>
    <t>中粮地产(北京)有限公司、北京天恒正同资产管理有限公司和北京辉广企业管理有限公司联合体</t>
  </si>
  <si>
    <t>朝阳区管庄乡塔营村1208-605地块</t>
  </si>
  <si>
    <t>居住建筑规模全部为自住型商品房,销售限价29000元/平方米</t>
  </si>
  <si>
    <t>2017-04-25</t>
  </si>
  <si>
    <t>北京世纪鸿城置业有限公司</t>
  </si>
  <si>
    <t>朝阳区东风乡豆各庄村0311-610等地块(东风乡农民安置房项目)</t>
  </si>
  <si>
    <t>2016-12-28</t>
  </si>
  <si>
    <t>北京星火房地产开发有限责任公司</t>
  </si>
  <si>
    <t>海淀区“海淀北部地区整体开发”永丰产业基地(新)HD00-0401-0062、0166、0158地块</t>
  </si>
  <si>
    <t>限地价,限房价,竞自持,报高标准商品住宅建设方案</t>
  </si>
  <si>
    <t>2016-12-01</t>
  </si>
  <si>
    <t>北京万科企业有限公司</t>
  </si>
  <si>
    <t>海淀区“海淀北部地区整体开发”永丰产业基地(新)HD00-0401-0132、0120、0162地块</t>
  </si>
  <si>
    <t>R2二类居住用地、B11零售商业用地</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</si>
  <si>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</si>
  <si>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</si>
  <si>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</si>
  <si>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</si>
  <si>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</si>
  <si>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除公共租赁住房外,居住剩余建筑规模全部建设自住型商品住房,销售限价35000元/平方米(含全装修成本)。</t>
  </si>
  <si>
    <t>2016-11-02</t>
  </si>
  <si>
    <t>中铁置业集团北京有限公司</t>
  </si>
  <si>
    <t>朝阳区将台乡驼房营村1016-34、36、40、41地块</t>
  </si>
  <si>
    <t>F2公建混合住宅用地、A33基础教育用地、R2二类居住用地、U12供电用地</t>
  </si>
  <si>
    <t>2016-02-03</t>
  </si>
  <si>
    <t>致昌(北京)企业管理有限公司、杭州臻美投资有限公司和中交地产有限公司联合体</t>
  </si>
  <si>
    <t>朝阳区常营乡1201-602、603地块</t>
  </si>
  <si>
    <t>现场竞报“自住型商品住房”面积36000平方米,销售限价为22000元/平方米。</t>
  </si>
  <si>
    <t>2015-11-12</t>
  </si>
  <si>
    <t>北京世博宏业房地产开发有限公司和北京首都开发股份有限公司联合体</t>
  </si>
  <si>
    <t>朝阳区孙河乡西甸村2902-L01、2902-L02地块</t>
  </si>
  <si>
    <t>A61机构养老设施用地、R2二类居住用地</t>
  </si>
  <si>
    <t>2015-09-09</t>
  </si>
  <si>
    <t>北京懋源房屋开发有限公司和北京懋源宏展投资管理中心(有限合伙)联合体</t>
  </si>
  <si>
    <t>住宅70年、商业40年、办公50年</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</si>
  <si>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</si>
  <si>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</si>
  <si>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</si>
  <si>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</si>
  <si>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F1住宅混合公建用地、R2二类居住用地、R22社区配套服务设施</t>
  </si>
  <si>
    <t>2015-09-02</t>
  </si>
  <si>
    <t>北京保利营房地产开发有限公司和北京首都开发股份有限公司联合体</t>
  </si>
  <si>
    <t>海淀北部地区整体开发中关村永丰产业基地HD-0402-0030地块</t>
  </si>
  <si>
    <t>现场竞报自住型商品住房面积60500平方米,销售限价为22500元/平方米。</t>
  </si>
  <si>
    <t>2015-04-27</t>
  </si>
  <si>
    <t>北京郎园置业有限公司</t>
  </si>
  <si>
    <t>住宅70年、商业40年、综合50年</t>
  </si>
  <si>
    <t>朝阳区东坝南区1106-692、634、693地块二类居住、基础教育用地</t>
  </si>
  <si>
    <t>二类居住用地、基础教育用地</t>
  </si>
  <si>
    <t>现场竞报自住型商品住房面积21500平方米,销售限价22000元/平方米。</t>
  </si>
  <si>
    <t>2015-01-16</t>
  </si>
  <si>
    <t>北京首都开发股份有限公司和北京龙湖中佰置业有限公司联合体</t>
  </si>
  <si>
    <t>海淀区太平庄村2号地项目(原星竹园)F1住宅混合公建用地</t>
  </si>
  <si>
    <t>2014-12-04</t>
  </si>
  <si>
    <t>北京金地兴业房地产有限公司、北京永同昌房地产开发有限公司和北京中金元泰销售有限公司联合体</t>
  </si>
  <si>
    <t>朝阳区六公主坟住宅及配套项目棚户区改造前期工作及拟改造土地使用权</t>
  </si>
  <si>
    <t>2014-11-26</t>
  </si>
  <si>
    <t>北京昆泰房地产开发集团有限公司</t>
  </si>
  <si>
    <t>居住70年</t>
  </si>
  <si>
    <t>天街苑</t>
  </si>
  <si>
    <t>中骏天宸</t>
  </si>
  <si>
    <t>办公</t>
  </si>
  <si>
    <t>工业</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</si>
  <si>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</si>
  <si>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</si>
  <si>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</si>
  <si>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</si>
  <si>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</si>
  <si>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</si>
  <si>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</si>
  <si>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</si>
  <si>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</si>
  <si>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</si>
  <si>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</si>
  <si>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</si>
  <si>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</si>
  <si>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</si>
  <si>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</si>
  <si>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</si>
  <si>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</si>
  <si>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</si>
  <si>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</si>
  <si>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</si>
  <si>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</si>
  <si>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</si>
  <si>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</si>
  <si>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</si>
  <si>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</si>
  <si>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</si>
  <si>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</si>
  <si>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</si>
  <si>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</si>
  <si>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</si>
  <si>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</si>
  <si>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</si>
  <si>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</si>
  <si>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</si>
  <si>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</si>
  <si>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</si>
  <si>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</si>
  <si>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</si>
  <si>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</si>
  <si>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</si>
  <si>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</si>
  <si>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</si>
  <si>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</si>
  <si>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</si>
  <si>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</si>
  <si>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</si>
  <si>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</si>
  <si>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</si>
  <si>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</si>
  <si>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</si>
  <si>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</si>
  <si>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</si>
  <si>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</si>
  <si>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</si>
  <si>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</si>
  <si>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</si>
  <si>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</si>
  <si>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</si>
  <si>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</si>
  <si>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</si>
  <si>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</si>
  <si>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</si>
  <si>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</si>
  <si>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</si>
  <si>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</si>
  <si>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</si>
  <si>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</si>
  <si>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</si>
  <si>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</si>
  <si>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</si>
  <si>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</si>
  <si>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</si>
  <si>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</si>
  <si>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</si>
  <si>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</si>
  <si>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</si>
  <si>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</si>
  <si>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</si>
  <si>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</si>
  <si>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</si>
  <si>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</si>
  <si>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</si>
  <si>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</si>
  <si>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</si>
  <si>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</si>
  <si>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</si>
  <si>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</si>
  <si>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</si>
  <si>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</si>
  <si>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</si>
  <si>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</si>
  <si>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</si>
  <si>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</si>
  <si>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</si>
  <si>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</si>
  <si>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</si>
  <si>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</si>
  <si>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</si>
  <si>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</si>
  <si>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</si>
  <si>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</si>
  <si>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</si>
  <si>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</si>
  <si>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</si>
  <si>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</si>
  <si>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</si>
  <si>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</si>
  <si>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</si>
  <si>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</si>
  <si>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</si>
  <si>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</si>
  <si>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</si>
  <si>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</si>
  <si>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</si>
  <si>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</si>
  <si>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</si>
  <si>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</si>
  <si>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</si>
  <si>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</si>
  <si>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</si>
  <si>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</si>
  <si>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</si>
  <si>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</si>
  <si>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</si>
  <si>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</si>
  <si>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</si>
  <si>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</si>
  <si>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</si>
  <si>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</si>
  <si>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</si>
  <si>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</si>
  <si>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</si>
  <si>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</si>
  <si>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</si>
  <si>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</si>
  <si>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</si>
  <si>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</si>
  <si>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</si>
  <si>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</si>
  <si>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</si>
  <si>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</si>
  <si>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</si>
  <si>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</si>
  <si>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</si>
  <si>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</si>
  <si>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</si>
  <si>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</si>
  <si>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</si>
  <si>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</si>
  <si>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</si>
  <si>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</si>
  <si>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</si>
  <si>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</si>
  <si>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</si>
  <si>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</si>
  <si>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</si>
  <si>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</si>
  <si>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</si>
  <si>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</si>
  <si>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</si>
  <si>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</si>
  <si>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</si>
  <si>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</si>
  <si>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</si>
  <si>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</si>
  <si>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</si>
  <si>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</si>
  <si>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</si>
  <si>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</si>
  <si>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</si>
  <si>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</si>
  <si>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</si>
  <si>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</si>
  <si>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</si>
  <si>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</si>
  <si>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</si>
  <si>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</si>
  <si>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</si>
  <si>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</si>
  <si>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</si>
  <si>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</si>
  <si>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</si>
  <si>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</si>
  <si>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</si>
  <si>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</si>
  <si>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</si>
  <si>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</si>
  <si>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</si>
  <si>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</si>
  <si>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</si>
  <si>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</si>
  <si>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</si>
  <si>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</si>
  <si>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</si>
  <si>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</si>
  <si>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</si>
  <si>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</si>
  <si>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</si>
  <si>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</si>
  <si>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</si>
  <si>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</si>
  <si>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</si>
  <si>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</si>
  <si>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</si>
  <si>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</si>
  <si>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</si>
  <si>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</si>
  <si>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</si>
  <si>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</si>
  <si>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</si>
  <si>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</si>
  <si>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</si>
  <si>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</si>
  <si>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</si>
  <si>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</si>
  <si>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</si>
  <si>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</si>
  <si>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</si>
  <si>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</si>
  <si>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</si>
  <si>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</si>
  <si>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</si>
  <si>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</si>
  <si>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</si>
  <si>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</si>
  <si>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</si>
  <si>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</si>
  <si>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</si>
  <si>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</si>
  <si>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</si>
  <si>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</si>
  <si>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</si>
  <si>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</si>
  <si>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</si>
  <si>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</si>
  <si>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</si>
  <si>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</si>
  <si>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</si>
  <si>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</si>
  <si>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</si>
  <si>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</si>
  <si>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</si>
  <si>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</si>
  <si>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</si>
  <si>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</si>
  <si>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</si>
  <si>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</si>
  <si>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</si>
  <si>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</si>
  <si>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</si>
  <si>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</si>
  <si>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</si>
  <si>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</si>
  <si>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</si>
  <si>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</si>
  <si>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</si>
  <si>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</si>
  <si>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</si>
  <si>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</si>
  <si>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</si>
  <si>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</si>
  <si>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</si>
  <si>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</si>
  <si>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</si>
  <si>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</si>
  <si>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</si>
  <si>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</si>
  <si>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</si>
  <si>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</si>
  <si>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</si>
  <si>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</si>
  <si>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</si>
  <si>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</si>
  <si>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</si>
  <si>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</si>
  <si>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</si>
  <si>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</si>
  <si>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</si>
  <si>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</si>
  <si>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</si>
  <si>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</si>
  <si>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</si>
  <si>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</si>
  <si>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</si>
  <si>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</si>
  <si>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</si>
  <si>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</si>
  <si>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</si>
  <si>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</si>
  <si>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</si>
  <si>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</si>
  <si>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</si>
  <si>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</si>
  <si>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</si>
  <si>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</si>
  <si>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</si>
  <si>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</si>
  <si>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</si>
  <si>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</si>
  <si>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</si>
  <si>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</si>
  <si>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</si>
  <si>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</si>
  <si>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</si>
  <si>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</si>
  <si>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</si>
  <si>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</si>
  <si>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</si>
  <si>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</si>
  <si>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</si>
  <si>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</si>
  <si>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</si>
  <si>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</si>
  <si>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</si>
  <si>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</si>
  <si>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</si>
  <si>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</si>
  <si>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</si>
  <si>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</si>
  <si>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</si>
  <si>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</si>
  <si>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</si>
  <si>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</si>
  <si>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</si>
  <si>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</si>
  <si>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</si>
  <si>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</si>
  <si>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</si>
  <si>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</si>
  <si>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</si>
  <si>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</si>
  <si>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</si>
  <si>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</si>
  <si>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</si>
  <si>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</si>
  <si>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</si>
  <si>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</si>
  <si>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</si>
  <si>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</si>
  <si>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</si>
  <si>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</si>
  <si>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</si>
  <si>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</si>
  <si>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</si>
  <si>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</si>
  <si>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</si>
  <si>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</si>
  <si>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</si>
  <si>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</si>
  <si>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</si>
  <si>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</si>
  <si>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</si>
  <si>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</si>
  <si>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</si>
  <si>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</si>
  <si>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</si>
  <si>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</si>
  <si>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</si>
  <si>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</si>
  <si>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</si>
  <si>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</si>
  <si>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</si>
  <si>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</si>
  <si>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</si>
  <si>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</si>
  <si>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</si>
  <si>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</si>
  <si>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</si>
  <si>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</si>
  <si>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</si>
  <si>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</si>
  <si>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</si>
  <si>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</si>
  <si>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</si>
  <si>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</si>
  <si>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</si>
  <si>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</si>
  <si>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</si>
  <si>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</si>
  <si>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</si>
  <si>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</si>
  <si>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</si>
  <si>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</si>
  <si>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</si>
  <si>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</si>
  <si>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</si>
  <si>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</si>
  <si>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</si>
  <si>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</si>
  <si>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</si>
  <si>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</si>
  <si>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</si>
  <si>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</si>
  <si>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</si>
  <si>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</si>
  <si>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</si>
  <si>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</si>
  <si>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</si>
  <si>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</si>
  <si>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</si>
  <si>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</si>
  <si>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</si>
  <si>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</si>
  <si>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</si>
  <si>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</si>
  <si>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</si>
  <si>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</si>
  <si>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</si>
  <si>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</si>
  <si>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</si>
  <si>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</si>
  <si>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</si>
  <si>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</si>
  <si>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</si>
  <si>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</si>
  <si>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</si>
  <si>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</si>
  <si>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</si>
  <si>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</si>
  <si>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</si>
  <si>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</si>
  <si>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</si>
  <si>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</si>
  <si>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</si>
  <si>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</si>
  <si>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</si>
  <si>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</si>
  <si>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</si>
  <si>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</si>
  <si>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</si>
  <si>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</si>
  <si>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</si>
  <si>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</si>
  <si>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</si>
  <si>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</si>
  <si>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</si>
  <si>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</si>
  <si>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</si>
  <si>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</si>
  <si>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</si>
  <si>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</si>
  <si>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</si>
  <si>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</si>
  <si>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</si>
  <si>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</si>
  <si>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</si>
  <si>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</si>
  <si>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</si>
  <si>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</si>
  <si>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</si>
  <si>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</si>
  <si>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</si>
  <si>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</si>
  <si>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</si>
  <si>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</si>
  <si>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</si>
  <si>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</si>
  <si>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</si>
  <si>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</si>
  <si>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</si>
  <si>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</si>
  <si>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</si>
  <si>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</si>
  <si>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</si>
  <si>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</si>
  <si>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</si>
  <si>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</si>
  <si>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</si>
  <si>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</si>
  <si>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</si>
  <si>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</si>
  <si>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</si>
  <si>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</si>
  <si>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</si>
  <si>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</si>
  <si>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</si>
  <si>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</si>
  <si>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</si>
  <si>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</si>
  <si>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</si>
  <si>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</si>
  <si>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</si>
  <si>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</si>
  <si>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</si>
  <si>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</si>
  <si>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</si>
  <si>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</si>
  <si>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</si>
  <si>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</si>
  <si>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</si>
  <si>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</si>
  <si>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</si>
  <si>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</si>
  <si>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</si>
  <si>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</si>
  <si>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</si>
  <si>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</si>
  <si>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</si>
  <si>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</si>
  <si>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</si>
  <si>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</si>
  <si>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</si>
  <si>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</si>
  <si>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</si>
  <si>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</si>
  <si>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</si>
  <si>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</si>
  <si>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</si>
  <si>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</si>
  <si>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</si>
  <si>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</si>
  <si>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</si>
  <si>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</si>
  <si>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</si>
  <si>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</si>
  <si>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</si>
  <si>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</si>
  <si>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</si>
  <si>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</si>
  <si>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</si>
  <si>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</si>
  <si>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</si>
  <si>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</si>
  <si>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</si>
  <si>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</si>
  <si>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</si>
  <si>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</si>
  <si>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</si>
  <si>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</si>
  <si>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</si>
  <si>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</si>
  <si>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</si>
  <si>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</si>
  <si>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</si>
  <si>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</si>
  <si>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</si>
  <si>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</si>
  <si>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</si>
  <si>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</si>
  <si>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</si>
  <si>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</si>
  <si>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</si>
  <si>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</si>
  <si>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</si>
  <si>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</si>
  <si>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</si>
  <si>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</si>
  <si>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</si>
  <si>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</si>
  <si>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</si>
  <si>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</si>
  <si>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</si>
  <si>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</si>
  <si>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</si>
  <si>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</si>
  <si>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</si>
  <si>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</si>
  <si>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</si>
  <si>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</si>
  <si>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</si>
  <si>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</si>
  <si>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</si>
  <si>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</si>
  <si>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</si>
  <si>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</si>
  <si>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</si>
  <si>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</si>
  <si>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</si>
  <si>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</si>
  <si>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</si>
  <si>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</si>
  <si>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</si>
  <si>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</si>
  <si>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</si>
  <si>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</si>
  <si>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</si>
  <si>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</si>
  <si>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</si>
  <si>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</si>
  <si>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</si>
  <si>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</si>
  <si>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</si>
  <si>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</si>
  <si>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</si>
  <si>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</si>
  <si>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</si>
  <si>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</si>
  <si>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</si>
  <si>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</si>
  <si>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</si>
  <si>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</si>
  <si>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</si>
  <si>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</si>
  <si>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</si>
  <si>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</si>
  <si>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</si>
  <si>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</si>
  <si>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</si>
  <si>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</si>
  <si>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</si>
  <si>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</si>
  <si>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</si>
  <si>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</si>
  <si>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</si>
  <si>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</si>
  <si>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</si>
  <si>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</si>
  <si>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</si>
  <si>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</si>
  <si>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</si>
  <si>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</si>
  <si>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</si>
  <si>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</si>
  <si>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</si>
  <si>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</si>
  <si>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</si>
  <si>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</si>
  <si>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</si>
  <si>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</si>
  <si>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</si>
  <si>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</si>
  <si>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</si>
  <si>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</si>
  <si>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</si>
  <si>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</si>
  <si>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</si>
  <si>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</si>
  <si>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</si>
  <si>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</si>
  <si>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</si>
  <si>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</si>
  <si>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</si>
  <si>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</si>
  <si>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</si>
  <si>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</si>
  <si>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</si>
  <si>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</si>
  <si>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</si>
  <si>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</si>
  <si>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</si>
  <si>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</si>
  <si>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</si>
  <si>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</si>
  <si>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</si>
  <si>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</si>
  <si>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</si>
  <si>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</si>
  <si>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</si>
  <si>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</si>
  <si>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</si>
  <si>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</si>
  <si>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</si>
  <si>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</si>
  <si>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</si>
  <si>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</si>
  <si>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</si>
  <si>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</si>
  <si>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</si>
  <si>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</si>
  <si>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</si>
  <si>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</si>
  <si>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</si>
  <si>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</si>
  <si>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</si>
  <si>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</si>
  <si>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</si>
  <si>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</si>
  <si>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</si>
  <si>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</si>
  <si>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</si>
  <si>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</si>
  <si>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</si>
  <si>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</si>
  <si>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</si>
  <si>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</si>
  <si>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</si>
  <si>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</si>
  <si>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</si>
  <si>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</si>
  <si>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</si>
  <si>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</si>
  <si>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</si>
  <si>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</si>
  <si>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</si>
  <si>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</si>
  <si>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</si>
  <si>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</si>
  <si>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</si>
  <si>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</si>
  <si>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</si>
  <si>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</si>
  <si>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</si>
  <si>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</si>
  <si>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</si>
  <si>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</si>
  <si>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</si>
  <si>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</si>
  <si>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</si>
  <si>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</si>
  <si>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</si>
  <si>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</si>
  <si>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</si>
  <si>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</si>
  <si>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</si>
  <si>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</si>
  <si>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</si>
  <si>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</si>
  <si>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</si>
  <si>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</si>
  <si>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</si>
  <si>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</si>
  <si>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</si>
  <si>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</si>
  <si>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</si>
  <si>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</si>
  <si>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</si>
  <si>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</si>
  <si>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</si>
  <si>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</si>
  <si>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</si>
  <si>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</si>
  <si>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</si>
  <si>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</si>
  <si>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</si>
  <si>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</si>
  <si>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</si>
  <si>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</si>
  <si>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</si>
  <si>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</si>
  <si>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</si>
  <si>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</si>
  <si>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</si>
  <si>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</si>
  <si>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</si>
  <si>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</si>
  <si>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</si>
  <si>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</si>
  <si>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</si>
  <si>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</si>
  <si>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</si>
  <si>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</si>
  <si>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</si>
  <si>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</si>
  <si>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</si>
  <si>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</si>
  <si>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</si>
  <si>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</si>
  <si>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</si>
  <si>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</si>
  <si>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</si>
  <si>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</si>
  <si>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</si>
  <si>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</si>
  <si>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</si>
  <si>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</si>
  <si>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</si>
  <si>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</si>
  <si>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</si>
  <si>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</si>
  <si>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</si>
  <si>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</si>
  <si>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</si>
  <si>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</si>
  <si>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</si>
  <si>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</si>
  <si>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</si>
  <si>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</si>
  <si>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</si>
  <si>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</si>
  <si>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</si>
  <si>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</si>
  <si>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</si>
  <si>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</si>
  <si>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</si>
  <si>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</si>
  <si>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</si>
  <si>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</si>
  <si>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</si>
  <si>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</si>
  <si>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</si>
  <si>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</si>
  <si>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</si>
  <si>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</si>
  <si>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</si>
  <si>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</si>
  <si>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</si>
  <si>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</si>
  <si>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</si>
  <si>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</si>
  <si>
    <t>住宅（小高层）</t>
  </si>
  <si>
    <t>住宅（小高层）</t>
    <phoneticPr fontId="212" type="noConversion"/>
  </si>
  <si>
    <t>住宅（1层）</t>
  </si>
  <si>
    <t>住宅（1层）</t>
    <phoneticPr fontId="212" type="noConversion"/>
  </si>
  <si>
    <t>仓储</t>
    <phoneticPr fontId="212" type="noConversion"/>
  </si>
  <si>
    <t>6-2#</t>
    <phoneticPr fontId="212" type="noConversion"/>
  </si>
  <si>
    <t>共10层，已结构封顶</t>
    <phoneticPr fontId="212" type="noConversion"/>
  </si>
  <si>
    <t>6-3-1#</t>
    <phoneticPr fontId="212" type="noConversion"/>
  </si>
  <si>
    <t>6-3-2#</t>
    <phoneticPr fontId="212" type="noConversion"/>
  </si>
  <si>
    <r>
      <t>10/10</t>
    </r>
    <r>
      <rPr>
        <sz val="10"/>
        <color indexed="8"/>
        <rFont val="宋体"/>
        <family val="3"/>
        <charset val="134"/>
      </rPr>
      <t>层，预计半个月结构封顶</t>
    </r>
    <phoneticPr fontId="212" type="noConversion"/>
  </si>
  <si>
    <r>
      <rPr>
        <sz val="10"/>
        <color indexed="8"/>
        <rFont val="宋体"/>
        <family val="3"/>
        <charset val="134"/>
      </rPr>
      <t>施工至</t>
    </r>
    <r>
      <rPr>
        <sz val="10"/>
        <color indexed="8"/>
        <rFont val="Arial"/>
        <family val="2"/>
      </rPr>
      <t>8</t>
    </r>
    <r>
      <rPr>
        <sz val="10"/>
        <color indexed="8"/>
        <rFont val="宋体"/>
        <family val="3"/>
        <charset val="134"/>
      </rPr>
      <t>层，共</t>
    </r>
    <r>
      <rPr>
        <sz val="10"/>
        <color indexed="8"/>
        <rFont val="Arial"/>
        <family val="2"/>
      </rPr>
      <t>10</t>
    </r>
    <r>
      <rPr>
        <sz val="10"/>
        <color indexed="8"/>
        <rFont val="宋体"/>
        <family val="3"/>
        <charset val="134"/>
      </rPr>
      <t>层</t>
    </r>
    <phoneticPr fontId="212" type="noConversion"/>
  </si>
  <si>
    <t>在建（套用方法）</t>
  </si>
  <si>
    <t>押一</t>
  </si>
  <si>
    <t>按租金收入计税</t>
  </si>
  <si>
    <t>钢混</t>
  </si>
  <si>
    <t>非生产用房</t>
  </si>
  <si>
    <t>住宅</t>
    <phoneticPr fontId="212" type="noConversion"/>
  </si>
  <si>
    <t>期房现房</t>
    <phoneticPr fontId="212" type="noConversion"/>
  </si>
  <si>
    <t>期房</t>
    <phoneticPr fontId="212" type="noConversion"/>
  </si>
  <si>
    <t>现房</t>
    <phoneticPr fontId="212" type="noConversion"/>
  </si>
  <si>
    <t>小高层</t>
  </si>
  <si>
    <t>小高层</t>
    <phoneticPr fontId="212" type="noConversion"/>
  </si>
  <si>
    <t>高层</t>
  </si>
  <si>
    <t>高层</t>
    <phoneticPr fontId="212" type="noConversion"/>
  </si>
  <si>
    <t>东叁金茂府</t>
    <phoneticPr fontId="212" type="noConversion"/>
  </si>
  <si>
    <t>带装修</t>
    <phoneticPr fontId="212" type="noConversion"/>
  </si>
  <si>
    <t>洋房</t>
    <phoneticPr fontId="212" type="noConversion"/>
  </si>
  <si>
    <t>葛洲坝北京中国府</t>
    <phoneticPr fontId="212" type="noConversion"/>
  </si>
  <si>
    <t>首开璞瑅</t>
    <phoneticPr fontId="212" type="noConversion"/>
  </si>
  <si>
    <t>60-70（含）</t>
  </si>
  <si>
    <t>城市</t>
  </si>
  <si>
    <t>截止日期</t>
  </si>
  <si>
    <t>起始价(万元)</t>
  </si>
  <si>
    <t>北京市丰台区卢沟桥大瓦窑DWY-L33等地块(大瓦窑新村项目一期)二类居住、基础教育及绿隔产业用地</t>
  </si>
  <si>
    <t>r2≤2.8,a33≤0.8,f81≤1.4</t>
  </si>
  <si>
    <t>R2二类居住用地、A33基础教育用地、F81绿隔产业用地</t>
  </si>
  <si>
    <t>2020-07-22</t>
  </si>
  <si>
    <t>北京远东新地置业有限公司和北京城建投资发展股份有限公司联合体</t>
  </si>
  <si>
    <t>北京市丰台区卢沟桥大瓦窑DWY-L39等地块(大瓦窑馨城项目)二类居住、基础教育及绿隔产业用地</t>
  </si>
  <si>
    <t>r2≤2.8,a33≤0.8,f81≤3</t>
  </si>
  <si>
    <t>首金祺志(天津)投资管理有限公司</t>
  </si>
  <si>
    <t>北京市丰台区南苑乡分钟寺村L-39地块R2二类居住用地</t>
  </si>
  <si>
    <t>2020-05-19</t>
  </si>
  <si>
    <t>北京合昕辰锐企业管理有限公司</t>
  </si>
  <si>
    <t>北京市丰台区南苑乡分钟寺村L-41地块R2二类居住用地</t>
  </si>
  <si>
    <t>北京合盈锐恒房地产开发有限公司</t>
  </si>
  <si>
    <t>北京市丰台区南苑乡分钟寺村L-24、L-26地块R2二类居住用地</t>
  </si>
  <si>
    <t>2020-05-09</t>
  </si>
  <si>
    <t>北京合宏达盛企业管理有限公司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</si>
  <si>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</si>
  <si>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</si>
  <si>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</si>
  <si>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</si>
  <si>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</si>
  <si>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</si>
  <si>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保利(北京)房地产开发有限公司和北京首都开发股份有限公司联合体</t>
  </si>
  <si>
    <t>2星</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</si>
  <si>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</si>
  <si>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</si>
  <si>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</si>
  <si>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</si>
  <si>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</si>
  <si>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R2二类居住用地、B4综合性商业金融服务业用地</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</si>
  <si>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</si>
  <si>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</si>
  <si>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</si>
  <si>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</si>
  <si>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</si>
  <si>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</si>
  <si>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R2二类居住用地、B4综合性商业金融服务业用地、A33基础教育用地</t>
  </si>
  <si>
    <t>2019-01-11</t>
  </si>
  <si>
    <t>北京京投置地房地产有限公司、北京郭公庄投资管理公司和北京市基础设施投资有限公司联合体</t>
  </si>
  <si>
    <t>北京市丰台区花乡白盆窑村BPY-L011地块R2二类居住用地</t>
  </si>
  <si>
    <t>2018-11-26</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</si>
  <si>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</si>
  <si>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</si>
  <si>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</si>
  <si>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F81绿隔产业用地、F1住宅混合公建用地、A33基础教育用地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</si>
  <si>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</si>
  <si>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</si>
  <si>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</si>
  <si>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</si>
  <si>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</si>
  <si>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经营性用房</t>
    <phoneticPr fontId="212" type="noConversion"/>
  </si>
  <si>
    <t>成交楼面价</t>
    <phoneticPr fontId="212" type="noConversion"/>
  </si>
  <si>
    <t>否</t>
    <phoneticPr fontId="212" type="noConversion"/>
  </si>
  <si>
    <t>四</t>
  </si>
  <si>
    <t>四</t>
    <phoneticPr fontId="212" type="noConversion"/>
  </si>
  <si>
    <t>五</t>
  </si>
  <si>
    <t>五</t>
    <phoneticPr fontId="212" type="noConversion"/>
  </si>
  <si>
    <r>
      <rPr>
        <sz val="10"/>
        <color indexed="8"/>
        <rFont val="宋体"/>
        <family val="3"/>
        <charset val="134"/>
      </rPr>
      <t>工程给</t>
    </r>
    <r>
      <rPr>
        <sz val="10"/>
        <color indexed="8"/>
        <rFont val="Arial"/>
        <family val="2"/>
      </rPr>
      <t>50%</t>
    </r>
    <r>
      <rPr>
        <sz val="10"/>
        <color indexed="8"/>
        <rFont val="宋体"/>
        <family val="3"/>
        <charset val="134"/>
      </rPr>
      <t>工程量，装修给</t>
    </r>
    <r>
      <rPr>
        <sz val="10"/>
        <color indexed="8"/>
        <rFont val="Arial"/>
        <family val="2"/>
      </rPr>
      <t>50%</t>
    </r>
    <r>
      <rPr>
        <sz val="10"/>
        <color indexed="8"/>
        <rFont val="宋体"/>
        <family val="3"/>
        <charset val="134"/>
      </rPr>
      <t>的工程量</t>
    </r>
    <phoneticPr fontId="212" type="noConversion"/>
  </si>
  <si>
    <r>
      <rPr>
        <sz val="10"/>
        <color indexed="8"/>
        <rFont val="宋体"/>
        <family val="3"/>
        <charset val="134"/>
      </rPr>
      <t>结构封顶给到</t>
    </r>
    <r>
      <rPr>
        <sz val="10"/>
        <color indexed="8"/>
        <rFont val="Arial"/>
        <family val="2"/>
      </rPr>
      <t>60%</t>
    </r>
    <r>
      <rPr>
        <sz val="10"/>
        <color indexed="8"/>
        <rFont val="宋体"/>
        <family val="3"/>
        <charset val="134"/>
      </rPr>
      <t>中的</t>
    </r>
    <r>
      <rPr>
        <sz val="10"/>
        <color indexed="8"/>
        <rFont val="Arial"/>
        <family val="2"/>
      </rPr>
      <t>50%</t>
    </r>
    <phoneticPr fontId="212" type="noConversion"/>
  </si>
  <si>
    <t>＜10%</t>
    <phoneticPr fontId="212" type="noConversion"/>
  </si>
  <si>
    <t>10%-30%</t>
    <phoneticPr fontId="212" type="noConversion"/>
  </si>
  <si>
    <t>31%-50%</t>
    <phoneticPr fontId="212" type="noConversion"/>
  </si>
  <si>
    <t>总价</t>
  </si>
  <si>
    <t>成本比率</t>
  </si>
  <si>
    <t>地下1层不可分摊面积</t>
    <phoneticPr fontId="212" type="noConversion"/>
  </si>
  <si>
    <t>地下库房</t>
    <phoneticPr fontId="212" type="noConversion"/>
  </si>
  <si>
    <t>地上住宅</t>
    <phoneticPr fontId="212" type="noConversion"/>
  </si>
  <si>
    <r>
      <t>6</t>
    </r>
    <r>
      <rPr>
        <sz val="11"/>
        <color theme="1"/>
        <rFont val="宋体"/>
        <family val="3"/>
        <charset val="134"/>
        <scheme val="minor"/>
      </rPr>
      <t>-2#</t>
    </r>
    <phoneticPr fontId="212" type="noConversion"/>
  </si>
  <si>
    <r>
      <t>6</t>
    </r>
    <r>
      <rPr>
        <sz val="11"/>
        <color theme="1"/>
        <rFont val="宋体"/>
        <family val="3"/>
        <charset val="134"/>
        <scheme val="minor"/>
      </rPr>
      <t>-3-1#</t>
    </r>
    <phoneticPr fontId="212" type="noConversion"/>
  </si>
  <si>
    <t>地下库房</t>
    <phoneticPr fontId="212" type="noConversion"/>
  </si>
  <si>
    <r>
      <t>6</t>
    </r>
    <r>
      <rPr>
        <sz val="11"/>
        <color theme="1"/>
        <rFont val="宋体"/>
        <family val="3"/>
        <charset val="134"/>
        <scheme val="minor"/>
      </rPr>
      <t>-3-2#</t>
    </r>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</si>
</sst>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00%"/>
    <numFmt numFmtId="177" formatCode="0.0_ "/>
    <numFmt numFmtId="178" formatCode="yyyy/m/d;@"/>
    <numFmt numFmtId="179" formatCode="yyyy&quot;年&quot;m&quot;月&quot;;@"/>
    <numFmt numFmtId="180" formatCode="0_ "/>
    <numFmt numFmtId="181" formatCode="0.0_);[Red]\(0.0\)"/>
    <numFmt numFmtId="182" formatCode="0.0%"/>
    <numFmt numFmtId="183" formatCode="0.00_ "/>
    <numFmt numFmtId="184" formatCode="[DBNum1][$-804]yyyy&quot;年&quot;m&quot;月&quot;d&quot;日&quot;;@"/>
    <numFmt numFmtId="185" formatCode="0.0000_ "/>
    <numFmt numFmtId="186" formatCode="0_);[Red]\(0\)"/>
    <numFmt numFmtId="187" formatCode="[$-F800]dddd\,\ mmmm\ dd\,\ yyyy"/>
    <numFmt numFmtId="188" formatCode="0.000_ "/>
    <numFmt numFmtId="189" formatCode="[DBNum2][$-804]General"/>
    <numFmt numFmtId="190" formatCode="yyyy&quot;年&quot;m&quot;月&quot;d&quot;日&quot;;@"/>
    <numFmt numFmtId="191" formatCode="0.00_);[Red]\(0.00\)"/>
    <numFmt numFmtId="192" formatCode="0;_쐀"/>
    <numFmt numFmtId="193" formatCode="0.000_);[Red]\(0.000\)"/>
    <numFmt numFmtId="194" formatCode="[DBNum1][$-804]General"/>
    <numFmt numFmtId="195" formatCode="0_ ;[Red]\-0\ "/>
    <numFmt numFmtId="196" formatCode="0.000%"/>
  </numFmts>
  <fonts count="21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0"/>
      <name val="Arial"/>
      <family val="2"/>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theme="1"/>
      <name val="宋体"/>
      <family val="3"/>
      <charset val="134"/>
      <scheme val="minor"/>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rgb="FF000000"/>
      <name val="Arial"/>
      <family val="2"/>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b/>
      <sz val="8"/>
      <name val="宋体"/>
      <family val="3"/>
      <charset val="134"/>
    </font>
    <font>
      <sz val="9"/>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04" fillId="0" borderId="0"/>
    <xf numFmtId="9" fontId="84" fillId="0" borderId="0" applyFont="0" applyFill="0" applyBorder="0" applyAlignment="0" applyProtection="0">
      <alignment vertical="center"/>
    </xf>
    <xf numFmtId="0" fontId="141" fillId="0" borderId="0">
      <alignment vertical="center"/>
    </xf>
    <xf numFmtId="0" fontId="141" fillId="0" borderId="0">
      <alignment vertical="center"/>
    </xf>
    <xf numFmtId="0" fontId="102" fillId="0" borderId="0"/>
    <xf numFmtId="0" fontId="141" fillId="0" borderId="0">
      <alignment vertical="center"/>
    </xf>
    <xf numFmtId="0" fontId="104" fillId="0" borderId="0">
      <alignment vertical="center"/>
    </xf>
    <xf numFmtId="0" fontId="104" fillId="0" borderId="0">
      <alignment vertical="center"/>
    </xf>
    <xf numFmtId="0" fontId="141"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xf numFmtId="0" fontId="84" fillId="0" borderId="0"/>
    <xf numFmtId="0" fontId="104" fillId="0" borderId="0">
      <alignment vertical="center"/>
    </xf>
    <xf numFmtId="0" fontId="104" fillId="0" borderId="0">
      <alignment vertical="center"/>
    </xf>
    <xf numFmtId="0" fontId="29" fillId="0" borderId="0"/>
  </cellStyleXfs>
  <cellXfs count="342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2"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6"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2" fontId="29" fillId="2" borderId="1" xfId="0" applyNumberFormat="1" applyFont="1" applyFill="1" applyBorder="1" applyAlignment="1" applyProtection="1">
      <alignment horizontal="center"/>
    </xf>
    <xf numFmtId="182"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4" applyFont="1" applyAlignment="1">
      <alignment horizontal="left" vertical="center"/>
    </xf>
    <xf numFmtId="0" fontId="40" fillId="0" borderId="74" xfId="4" applyFont="1" applyBorder="1" applyAlignment="1">
      <alignment horizontal="left" vertical="center"/>
    </xf>
    <xf numFmtId="0" fontId="40" fillId="8" borderId="0" xfId="4" applyFont="1" applyFill="1" applyAlignment="1">
      <alignment horizontal="left" vertical="center"/>
    </xf>
    <xf numFmtId="0" fontId="40" fillId="0" borderId="0" xfId="4" applyFont="1" applyFill="1" applyAlignment="1">
      <alignment horizontal="left" vertical="center"/>
    </xf>
    <xf numFmtId="0" fontId="40" fillId="9" borderId="0" xfId="4" applyFont="1" applyFill="1" applyAlignment="1">
      <alignment horizontal="left" vertical="center"/>
    </xf>
    <xf numFmtId="0" fontId="41"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2"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4" fillId="2" borderId="74" xfId="8" applyFont="1" applyFill="1" applyBorder="1" applyAlignment="1" applyProtection="1">
      <alignment horizontal="left" vertical="center"/>
    </xf>
    <xf numFmtId="0" fontId="45" fillId="2" borderId="74" xfId="8" applyFont="1" applyFill="1" applyBorder="1" applyAlignment="1" applyProtection="1">
      <alignment horizontal="left" vertical="center"/>
    </xf>
    <xf numFmtId="0" fontId="40" fillId="0" borderId="76" xfId="4" applyFont="1" applyBorder="1" applyAlignment="1">
      <alignment horizontal="left" vertical="center"/>
    </xf>
    <xf numFmtId="0" fontId="9" fillId="8" borderId="0" xfId="4" applyFont="1" applyFill="1" applyAlignment="1">
      <alignment horizontal="left" vertical="center"/>
    </xf>
    <xf numFmtId="0" fontId="46" fillId="8" borderId="0" xfId="8" applyFont="1" applyFill="1" applyAlignment="1" applyProtection="1">
      <alignment horizontal="left" vertical="center"/>
    </xf>
    <xf numFmtId="0" fontId="45" fillId="8" borderId="0" xfId="8" applyFont="1" applyFill="1" applyAlignment="1" applyProtection="1">
      <alignment horizontal="left" vertical="center"/>
    </xf>
    <xf numFmtId="0" fontId="40" fillId="8" borderId="75" xfId="4" applyFont="1" applyFill="1" applyBorder="1" applyAlignment="1">
      <alignment horizontal="left" vertical="center"/>
    </xf>
    <xf numFmtId="0" fontId="40" fillId="8" borderId="0" xfId="4" applyFont="1" applyFill="1" applyBorder="1" applyAlignment="1">
      <alignment horizontal="left" vertical="center"/>
    </xf>
    <xf numFmtId="0" fontId="46" fillId="0" borderId="0" xfId="8" applyFont="1" applyFill="1" applyAlignment="1" applyProtection="1">
      <alignment horizontal="left" vertical="center"/>
    </xf>
    <xf numFmtId="0" fontId="45" fillId="0" borderId="0" xfId="8" applyFont="1" applyFill="1" applyAlignment="1" applyProtection="1">
      <alignment horizontal="left" vertical="center"/>
    </xf>
    <xf numFmtId="0" fontId="40" fillId="0" borderId="75" xfId="4" applyFont="1" applyFill="1" applyBorder="1" applyAlignment="1">
      <alignment horizontal="left" vertical="center"/>
    </xf>
    <xf numFmtId="0" fontId="40" fillId="0" borderId="0" xfId="4" applyFont="1" applyFill="1" applyBorder="1" applyAlignment="1">
      <alignment horizontal="left" vertical="center"/>
    </xf>
    <xf numFmtId="49" fontId="29" fillId="9" borderId="1" xfId="4" applyNumberFormat="1" applyFont="1" applyFill="1" applyBorder="1" applyAlignment="1" applyProtection="1">
      <alignment horizontal="left" vertical="center" wrapText="1"/>
    </xf>
    <xf numFmtId="186" fontId="41" fillId="9" borderId="0" xfId="4" applyNumberFormat="1" applyFont="1" applyFill="1" applyAlignment="1">
      <alignment horizontal="left" vertical="center"/>
    </xf>
    <xf numFmtId="0" fontId="47" fillId="10" borderId="77" xfId="4" applyFont="1" applyFill="1" applyBorder="1" applyAlignment="1" applyProtection="1">
      <alignment horizontal="left" vertical="center" wrapText="1"/>
    </xf>
    <xf numFmtId="0" fontId="47" fillId="9" borderId="78" xfId="4" applyFont="1" applyFill="1" applyBorder="1" applyAlignment="1" applyProtection="1">
      <alignment horizontal="left" vertical="center" wrapText="1"/>
    </xf>
    <xf numFmtId="49" fontId="29" fillId="2" borderId="1" xfId="4" applyNumberFormat="1" applyFont="1" applyFill="1" applyBorder="1" applyAlignment="1" applyProtection="1">
      <alignment horizontal="left" vertical="center" wrapText="1"/>
    </xf>
    <xf numFmtId="186" fontId="6" fillId="0" borderId="0" xfId="4" applyNumberFormat="1" applyFont="1" applyAlignment="1">
      <alignment horizontal="left" vertical="center"/>
    </xf>
    <xf numFmtId="0" fontId="47" fillId="11" borderId="78" xfId="4" applyFont="1" applyFill="1" applyBorder="1" applyAlignment="1" applyProtection="1">
      <alignment horizontal="left" vertical="center" wrapText="1"/>
    </xf>
    <xf numFmtId="0" fontId="47" fillId="10" borderId="79" xfId="4" applyFont="1" applyFill="1" applyBorder="1" applyAlignment="1" applyProtection="1">
      <alignment horizontal="left" vertical="center" wrapText="1"/>
    </xf>
    <xf numFmtId="186" fontId="40" fillId="10" borderId="79" xfId="4" applyNumberFormat="1" applyFont="1" applyFill="1" applyBorder="1" applyAlignment="1" applyProtection="1">
      <alignment horizontal="left" vertical="center" wrapText="1"/>
    </xf>
    <xf numFmtId="186" fontId="40" fillId="10" borderId="80" xfId="4" applyNumberFormat="1" applyFont="1" applyFill="1" applyBorder="1" applyAlignment="1" applyProtection="1">
      <alignment horizontal="left" vertical="center" wrapText="1"/>
    </xf>
    <xf numFmtId="0" fontId="47" fillId="10" borderId="78" xfId="4" applyFont="1" applyFill="1" applyBorder="1" applyAlignment="1" applyProtection="1">
      <alignment horizontal="left" vertical="center" wrapText="1"/>
    </xf>
    <xf numFmtId="186" fontId="40" fillId="10" borderId="79" xfId="4" applyNumberFormat="1" applyFont="1" applyFill="1" applyBorder="1" applyAlignment="1">
      <alignment horizontal="left" vertical="center" wrapText="1"/>
    </xf>
    <xf numFmtId="186" fontId="40" fillId="10" borderId="80" xfId="4" applyNumberFormat="1" applyFont="1" applyFill="1" applyBorder="1" applyAlignment="1">
      <alignment horizontal="left" vertical="center" wrapText="1"/>
    </xf>
    <xf numFmtId="0" fontId="47" fillId="10" borderId="85" xfId="4" applyFont="1" applyFill="1" applyBorder="1" applyAlignment="1" applyProtection="1">
      <alignment horizontal="left" vertical="center" wrapText="1"/>
    </xf>
    <xf numFmtId="0" fontId="47" fillId="11" borderId="79" xfId="4" applyFont="1" applyFill="1" applyBorder="1" applyAlignment="1" applyProtection="1">
      <alignment horizontal="left" vertical="center" wrapText="1"/>
    </xf>
    <xf numFmtId="186" fontId="40" fillId="10" borderId="78" xfId="4" applyNumberFormat="1" applyFont="1" applyFill="1" applyBorder="1" applyAlignment="1">
      <alignment horizontal="left" vertical="center" wrapText="1"/>
    </xf>
    <xf numFmtId="186" fontId="40"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29" fillId="3" borderId="1" xfId="4" applyNumberFormat="1" applyFont="1" applyFill="1" applyBorder="1" applyAlignment="1" applyProtection="1">
      <alignment horizontal="left" vertical="center" wrapText="1"/>
    </xf>
    <xf numFmtId="186"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6" fontId="40" fillId="10" borderId="85" xfId="4" applyNumberFormat="1" applyFont="1" applyFill="1" applyBorder="1" applyAlignment="1">
      <alignment horizontal="left" vertical="center" wrapText="1"/>
    </xf>
    <xf numFmtId="186" fontId="40" fillId="10" borderId="87" xfId="4" applyNumberFormat="1" applyFont="1" applyFill="1" applyBorder="1" applyAlignment="1">
      <alignment horizontal="left" vertical="center" wrapText="1"/>
    </xf>
    <xf numFmtId="186" fontId="6" fillId="9" borderId="0" xfId="4" applyNumberFormat="1" applyFont="1" applyFill="1" applyAlignment="1">
      <alignment horizontal="left" vertical="center"/>
    </xf>
    <xf numFmtId="186" fontId="6" fillId="0" borderId="21" xfId="4" applyNumberFormat="1" applyFont="1" applyBorder="1" applyAlignment="1">
      <alignment horizontal="left" vertical="center"/>
    </xf>
    <xf numFmtId="0" fontId="47" fillId="11" borderId="88" xfId="4" applyFont="1" applyFill="1" applyBorder="1" applyAlignment="1" applyProtection="1">
      <alignment horizontal="left" vertical="center" wrapText="1"/>
    </xf>
    <xf numFmtId="0" fontId="47" fillId="10" borderId="89" xfId="4" applyFont="1" applyFill="1" applyBorder="1" applyAlignment="1" applyProtection="1">
      <alignment horizontal="left" vertical="center" wrapText="1"/>
    </xf>
    <xf numFmtId="0" fontId="41" fillId="8" borderId="0" xfId="4" applyFont="1" applyFill="1" applyBorder="1" applyAlignment="1" applyProtection="1">
      <alignment horizontal="left" vertical="center"/>
      <protection locked="0"/>
    </xf>
    <xf numFmtId="0" fontId="40" fillId="0" borderId="0" xfId="4" applyFont="1" applyFill="1" applyBorder="1" applyAlignment="1" applyProtection="1">
      <alignment horizontal="left" vertical="center"/>
      <protection locked="0"/>
    </xf>
    <xf numFmtId="0" fontId="41" fillId="9" borderId="0" xfId="4" applyFont="1" applyFill="1" applyBorder="1" applyAlignment="1" applyProtection="1">
      <alignment horizontal="left" vertical="center"/>
      <protection locked="0"/>
    </xf>
    <xf numFmtId="10" fontId="41" fillId="9" borderId="90" xfId="4" applyNumberFormat="1" applyFont="1" applyFill="1" applyBorder="1" applyAlignment="1">
      <alignment horizontal="left" vertical="center"/>
    </xf>
    <xf numFmtId="0" fontId="47" fillId="11" borderId="78" xfId="9" applyFont="1" applyFill="1" applyBorder="1" applyAlignment="1" applyProtection="1">
      <alignment horizontal="left" vertical="center" wrapText="1"/>
    </xf>
    <xf numFmtId="0" fontId="47"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7" fillId="11" borderId="91" xfId="4" applyFont="1" applyFill="1" applyBorder="1" applyAlignment="1" applyProtection="1">
      <alignment horizontal="left" vertical="center" wrapText="1"/>
    </xf>
    <xf numFmtId="0" fontId="47" fillId="10" borderId="92" xfId="4" applyFont="1" applyFill="1" applyBorder="1" applyAlignment="1" applyProtection="1">
      <alignment horizontal="left" vertical="center" wrapText="1"/>
    </xf>
    <xf numFmtId="0" fontId="47" fillId="10" borderId="91" xfId="4" applyFont="1" applyFill="1" applyBorder="1" applyAlignment="1" applyProtection="1">
      <alignment horizontal="left" vertical="center" wrapText="1"/>
    </xf>
    <xf numFmtId="0" fontId="47"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7"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7"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7"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0" fillId="9" borderId="75" xfId="4" applyFont="1" applyFill="1" applyBorder="1" applyAlignment="1">
      <alignment horizontal="left" vertical="center"/>
    </xf>
    <xf numFmtId="0" fontId="42" fillId="3" borderId="0" xfId="4" applyFont="1" applyFill="1" applyAlignment="1">
      <alignment horizontal="left" vertical="center"/>
    </xf>
    <xf numFmtId="0" fontId="6" fillId="9" borderId="0" xfId="4" applyFont="1" applyFill="1" applyAlignment="1">
      <alignment horizontal="left" vertical="center"/>
    </xf>
    <xf numFmtId="180" fontId="6" fillId="0" borderId="0" xfId="4" applyNumberFormat="1" applyFont="1" applyAlignment="1">
      <alignment horizontal="left" vertical="center"/>
    </xf>
    <xf numFmtId="0" fontId="6" fillId="0" borderId="0" xfId="4" applyFont="1" applyFill="1" applyAlignment="1">
      <alignment horizontal="left" vertical="center"/>
    </xf>
    <xf numFmtId="182" fontId="6" fillId="0" borderId="75" xfId="4" applyNumberFormat="1" applyFont="1" applyBorder="1" applyAlignment="1">
      <alignment horizontal="left" vertical="center"/>
    </xf>
    <xf numFmtId="182" fontId="6" fillId="0" borderId="0" xfId="4" applyNumberFormat="1" applyFont="1" applyAlignment="1">
      <alignment horizontal="left" vertical="center"/>
    </xf>
    <xf numFmtId="180"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0" fontId="6" fillId="0" borderId="21" xfId="4" applyNumberFormat="1" applyFont="1" applyBorder="1" applyAlignment="1">
      <alignment horizontal="left" vertical="center"/>
    </xf>
    <xf numFmtId="177"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0" fillId="11" borderId="100" xfId="4" applyFont="1" applyFill="1" applyBorder="1" applyAlignment="1">
      <alignment horizontal="left" vertical="center" wrapText="1"/>
    </xf>
    <xf numFmtId="0" fontId="40" fillId="11" borderId="101" xfId="4" applyFont="1" applyFill="1" applyBorder="1" applyAlignment="1">
      <alignment horizontal="left" vertical="center" wrapText="1"/>
    </xf>
    <xf numFmtId="180" fontId="6" fillId="12" borderId="0" xfId="4" applyNumberFormat="1" applyFont="1" applyFill="1" applyAlignment="1">
      <alignment horizontal="left" vertical="center"/>
    </xf>
    <xf numFmtId="0" fontId="47" fillId="11" borderId="85" xfId="4" applyFont="1" applyFill="1" applyBorder="1" applyAlignment="1" applyProtection="1">
      <alignment horizontal="left" vertical="center" wrapText="1"/>
    </xf>
    <xf numFmtId="0" fontId="40" fillId="10" borderId="85" xfId="4" applyFont="1" applyFill="1" applyBorder="1" applyAlignment="1">
      <alignment horizontal="left" vertical="center" wrapText="1"/>
    </xf>
    <xf numFmtId="0" fontId="40" fillId="10" borderId="87" xfId="4" applyFont="1" applyFill="1" applyBorder="1" applyAlignment="1">
      <alignment horizontal="left" vertical="center" wrapText="1"/>
    </xf>
    <xf numFmtId="0" fontId="47" fillId="3" borderId="78" xfId="4" applyFont="1" applyFill="1" applyBorder="1" applyAlignment="1" applyProtection="1">
      <alignment horizontal="left" vertical="center" wrapText="1"/>
    </xf>
    <xf numFmtId="0" fontId="40" fillId="10" borderId="102" xfId="4" applyFont="1" applyFill="1" applyBorder="1" applyAlignment="1">
      <alignment horizontal="left" vertical="center" wrapText="1"/>
    </xf>
    <xf numFmtId="0" fontId="40" fillId="10" borderId="103" xfId="4" applyFont="1" applyFill="1" applyBorder="1" applyAlignment="1">
      <alignment horizontal="left" vertical="center" wrapText="1"/>
    </xf>
    <xf numFmtId="0" fontId="40" fillId="10" borderId="104" xfId="4" applyFont="1" applyFill="1" applyBorder="1" applyAlignment="1">
      <alignment horizontal="left" vertical="center" wrapText="1"/>
    </xf>
    <xf numFmtId="0" fontId="19" fillId="0" borderId="0" xfId="4" applyFont="1" applyAlignment="1">
      <alignment horizontal="left" vertical="center"/>
    </xf>
    <xf numFmtId="0" fontId="42"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8" fontId="6" fillId="0" borderId="0" xfId="4" applyNumberFormat="1" applyFont="1" applyAlignment="1">
      <alignment horizontal="left" vertical="center"/>
    </xf>
    <xf numFmtId="188" fontId="6" fillId="0" borderId="75" xfId="4" applyNumberFormat="1" applyFont="1" applyBorder="1" applyAlignment="1">
      <alignment horizontal="left" vertical="center"/>
    </xf>
    <xf numFmtId="188"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8" fontId="42" fillId="0" borderId="0" xfId="4" applyNumberFormat="1" applyFont="1" applyAlignment="1">
      <alignment horizontal="left" vertical="center"/>
    </xf>
    <xf numFmtId="188" fontId="42" fillId="0" borderId="75" xfId="4" applyNumberFormat="1" applyFont="1" applyBorder="1" applyAlignment="1">
      <alignment horizontal="left" vertical="center"/>
    </xf>
    <xf numFmtId="177" fontId="6" fillId="0" borderId="21" xfId="4" applyNumberFormat="1" applyFont="1" applyBorder="1" applyAlignment="1">
      <alignment horizontal="left" vertical="center"/>
    </xf>
    <xf numFmtId="177" fontId="6" fillId="3" borderId="0" xfId="4" applyNumberFormat="1" applyFont="1" applyFill="1" applyAlignment="1">
      <alignment horizontal="left" vertical="center"/>
    </xf>
    <xf numFmtId="0" fontId="47" fillId="11" borderId="105" xfId="4" applyFont="1" applyFill="1" applyBorder="1" applyAlignment="1">
      <alignment horizontal="left" vertical="center" wrapText="1"/>
    </xf>
    <xf numFmtId="0" fontId="47" fillId="11" borderId="79" xfId="4" applyFont="1" applyFill="1" applyBorder="1" applyAlignment="1">
      <alignment horizontal="left" vertical="center" wrapText="1"/>
    </xf>
    <xf numFmtId="0" fontId="47" fillId="10" borderId="106" xfId="4" applyFont="1" applyFill="1" applyBorder="1" applyAlignment="1">
      <alignment horizontal="left" vertical="center" wrapText="1"/>
    </xf>
    <xf numFmtId="0" fontId="47" fillId="10" borderId="78" xfId="4" applyFont="1" applyFill="1" applyBorder="1" applyAlignment="1">
      <alignment horizontal="left" vertical="center" wrapText="1"/>
    </xf>
    <xf numFmtId="0" fontId="47" fillId="11" borderId="106" xfId="4" applyFont="1" applyFill="1" applyBorder="1" applyAlignment="1">
      <alignment horizontal="left" vertical="center" wrapText="1"/>
    </xf>
    <xf numFmtId="0" fontId="47" fillId="11" borderId="78" xfId="4" applyFont="1" applyFill="1" applyBorder="1" applyAlignment="1">
      <alignment horizontal="left" vertical="center" wrapText="1"/>
    </xf>
    <xf numFmtId="0" fontId="47" fillId="10" borderId="107" xfId="4" applyFont="1" applyFill="1" applyBorder="1" applyAlignment="1">
      <alignment horizontal="left" vertical="center" wrapText="1"/>
    </xf>
    <xf numFmtId="0" fontId="47" fillId="10" borderId="85" xfId="4"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3"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3"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Fill="1" applyBorder="1" applyAlignment="1"/>
    <xf numFmtId="0" fontId="54" fillId="13" borderId="0" xfId="0" applyFont="1" applyFill="1" applyBorder="1" applyAlignment="1"/>
    <xf numFmtId="0" fontId="54" fillId="3" borderId="0" xfId="0" applyFont="1" applyFill="1" applyBorder="1" applyAlignment="1"/>
    <xf numFmtId="0" fontId="5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14"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29" fillId="2" borderId="40" xfId="11"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3"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2" fillId="0" borderId="1" xfId="11" applyNumberFormat="1" applyFont="1" applyFill="1" applyBorder="1" applyAlignment="1" applyProtection="1">
      <alignment horizontal="center" vertical="center"/>
      <protection locked="0"/>
    </xf>
    <xf numFmtId="180" fontId="42" fillId="2" borderId="1" xfId="11" applyNumberFormat="1" applyFont="1" applyFill="1" applyBorder="1" applyAlignment="1" applyProtection="1">
      <alignment horizontal="center" vertical="center"/>
    </xf>
    <xf numFmtId="18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0"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6" fontId="56" fillId="2" borderId="45" xfId="0" applyNumberFormat="1" applyFont="1" applyFill="1" applyBorder="1" applyAlignment="1" applyProtection="1">
      <alignment vertical="center" wrapText="1"/>
    </xf>
    <xf numFmtId="0" fontId="28" fillId="14" borderId="46" xfId="0" applyNumberFormat="1" applyFont="1" applyFill="1" applyBorder="1" applyAlignment="1" applyProtection="1">
      <alignment horizontal="left" vertical="center" wrapText="1"/>
      <protection locked="0"/>
    </xf>
    <xf numFmtId="182" fontId="56" fillId="14" borderId="46" xfId="0" applyNumberFormat="1" applyFont="1" applyFill="1" applyBorder="1" applyAlignment="1" applyProtection="1">
      <alignment horizontal="left" vertical="center" wrapText="1"/>
      <protection locked="0"/>
    </xf>
    <xf numFmtId="18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6"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1"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1" fontId="68" fillId="2" borderId="0" xfId="0" applyNumberFormat="1" applyFont="1" applyFill="1" applyBorder="1" applyAlignment="1" applyProtection="1">
      <alignment horizontal="center" vertical="center"/>
      <protection locked="0"/>
    </xf>
    <xf numFmtId="182"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1"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2"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2"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1"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91" fontId="55" fillId="2" borderId="42" xfId="0" applyNumberFormat="1" applyFont="1" applyFill="1" applyBorder="1" applyAlignment="1" applyProtection="1">
      <alignment horizontal="left" vertical="center" wrapText="1"/>
    </xf>
    <xf numFmtId="181"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1"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1"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79" fillId="0" borderId="48" xfId="0" applyFont="1" applyFill="1" applyBorder="1" applyAlignment="1" applyProtection="1">
      <alignment horizontal="center" vertical="center" wrapText="1"/>
      <protection locked="0"/>
    </xf>
    <xf numFmtId="0" fontId="79" fillId="0" borderId="58" xfId="0" applyNumberFormat="1" applyFont="1" applyFill="1" applyBorder="1" applyAlignment="1" applyProtection="1">
      <alignment horizontal="center" vertical="center" wrapText="1"/>
      <protection locked="0"/>
    </xf>
    <xf numFmtId="49" fontId="79" fillId="0" borderId="58" xfId="0" applyNumberFormat="1" applyFont="1" applyFill="1" applyBorder="1" applyAlignment="1" applyProtection="1">
      <alignment horizontal="center" vertical="center" wrapText="1"/>
      <protection locked="0"/>
    </xf>
    <xf numFmtId="49" fontId="79" fillId="0" borderId="10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9" fillId="0" borderId="33" xfId="0"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9" fontId="79" fillId="7" borderId="41"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55" fillId="2" borderId="64"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1"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79" fontId="61" fillId="2" borderId="113" xfId="0" applyNumberFormat="1"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1" fontId="68" fillId="2" borderId="128" xfId="0" applyNumberFormat="1" applyFont="1" applyFill="1" applyBorder="1" applyAlignment="1" applyProtection="1">
      <alignment horizontal="center" vertical="center"/>
    </xf>
    <xf numFmtId="182"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1"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1" fontId="68" fillId="2" borderId="128" xfId="0" applyNumberFormat="1" applyFont="1" applyFill="1" applyBorder="1" applyAlignment="1" applyProtection="1">
      <alignment horizontal="center" vertical="center"/>
      <protection locked="0"/>
    </xf>
    <xf numFmtId="182"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1" fontId="55" fillId="4" borderId="4" xfId="0" applyNumberFormat="1" applyFont="1" applyFill="1" applyBorder="1" applyAlignment="1" applyProtection="1">
      <alignment horizontal="center" vertical="center"/>
      <protection locked="0"/>
    </xf>
    <xf numFmtId="181"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2" fontId="55" fillId="2" borderId="0" xfId="0" applyNumberFormat="1" applyFont="1" applyFill="1" applyBorder="1" applyAlignment="1" applyProtection="1">
      <alignment vertical="center" wrapText="1"/>
      <protection locked="0"/>
    </xf>
    <xf numFmtId="182"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9"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1" fontId="27" fillId="2" borderId="0" xfId="0" applyNumberFormat="1" applyFont="1" applyFill="1" applyBorder="1" applyAlignment="1" applyProtection="1">
      <alignment horizontal="center" vertical="center"/>
      <protection locked="0"/>
    </xf>
    <xf numFmtId="182"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1" fontId="61" fillId="2" borderId="39" xfId="0" applyNumberFormat="1" applyFont="1" applyFill="1" applyBorder="1" applyAlignment="1" applyProtection="1">
      <alignment horizontal="center" vertical="center" wrapText="1"/>
    </xf>
    <xf numFmtId="181"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1" fontId="55" fillId="2" borderId="42" xfId="0" applyNumberFormat="1" applyFont="1" applyFill="1" applyBorder="1" applyAlignment="1" applyProtection="1">
      <alignment horizontal="center" vertical="center"/>
    </xf>
    <xf numFmtId="191" fontId="55" fillId="14" borderId="42" xfId="0" applyNumberFormat="1" applyFont="1" applyFill="1" applyBorder="1" applyAlignment="1" applyProtection="1">
      <alignment horizontal="left" vertical="center" wrapText="1"/>
    </xf>
    <xf numFmtId="181"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60"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2"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2"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2"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2"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2"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4"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2" fontId="35" fillId="14"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2"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5" fillId="2" borderId="0" xfId="0" applyFont="1" applyFill="1" applyBorder="1" applyAlignment="1" applyProtection="1">
      <alignment vertical="center"/>
    </xf>
    <xf numFmtId="182"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2"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3"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2"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11" borderId="0" xfId="12"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0"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0"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12" applyFont="1" applyFill="1" applyBorder="1" applyAlignment="1" applyProtection="1">
      <alignment horizontal="center" vertical="center"/>
    </xf>
    <xf numFmtId="0" fontId="39"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4"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4" borderId="2" xfId="12" applyNumberFormat="1" applyFont="1" applyFill="1" applyBorder="1" applyAlignment="1" applyProtection="1">
      <alignment horizontal="center" vertical="center"/>
    </xf>
    <xf numFmtId="9" fontId="28" fillId="14"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3"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2"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89" fillId="14"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14"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4" borderId="33" xfId="0" applyFont="1" applyFill="1" applyBorder="1" applyAlignment="1" applyProtection="1">
      <alignment horizontal="left" vertical="center"/>
    </xf>
    <xf numFmtId="0" fontId="35" fillId="14" borderId="13" xfId="0" applyFont="1" applyFill="1" applyBorder="1" applyAlignment="1" applyProtection="1">
      <alignment horizontal="left" vertical="center" wrapText="1"/>
    </xf>
    <xf numFmtId="10" fontId="35" fillId="14"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9" fillId="14"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6"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35" fillId="14"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2"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4"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0"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0"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2"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2"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2"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4"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2"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13" applyFont="1" applyFill="1" applyProtection="1">
      <protection locked="0"/>
    </xf>
    <xf numFmtId="0" fontId="101" fillId="5" borderId="0" xfId="0" applyFont="1" applyFill="1" applyProtection="1">
      <alignment vertical="center"/>
    </xf>
    <xf numFmtId="0" fontId="46" fillId="0" borderId="10" xfId="0" applyFont="1" applyFill="1" applyBorder="1" applyProtection="1">
      <alignment vertical="center"/>
      <protection locked="0"/>
    </xf>
    <xf numFmtId="0" fontId="78" fillId="5" borderId="0" xfId="0" applyFont="1" applyFill="1" applyProtection="1">
      <alignment vertical="center"/>
    </xf>
    <xf numFmtId="0" fontId="46" fillId="5" borderId="0" xfId="0" applyFont="1" applyFill="1" applyProtection="1">
      <alignment vertical="center"/>
    </xf>
    <xf numFmtId="0" fontId="9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2"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102" fillId="11" borderId="0" xfId="5" applyFill="1" applyBorder="1" applyAlignment="1" applyProtection="1">
      <alignment horizontal="left"/>
      <protection locked="0"/>
    </xf>
    <xf numFmtId="0" fontId="102"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102"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104"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102"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83"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3"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3"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8"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3" fontId="61"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61" fillId="2" borderId="1" xfId="12" applyNumberFormat="1" applyFont="1" applyFill="1" applyBorder="1" applyAlignment="1" applyProtection="1">
      <alignment vertical="center"/>
    </xf>
    <xf numFmtId="180" fontId="61"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3" fontId="55" fillId="2" borderId="1" xfId="12" applyNumberFormat="1" applyFont="1" applyFill="1" applyBorder="1" applyAlignment="1" applyProtection="1">
      <alignment horizontal="center" vertical="center"/>
    </xf>
    <xf numFmtId="188" fontId="55" fillId="2" borderId="1" xfId="12"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80" fontId="61" fillId="2" borderId="10" xfId="12" applyNumberFormat="1" applyFont="1" applyFill="1" applyBorder="1" applyAlignment="1" applyProtection="1">
      <alignment horizontal="left" vertical="center" wrapText="1"/>
      <protection locked="0"/>
    </xf>
    <xf numFmtId="180" fontId="61" fillId="2" borderId="2" xfId="12"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2" fontId="71"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3" fontId="35"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3" fontId="61" fillId="11" borderId="0" xfId="0" applyNumberFormat="1" applyFont="1" applyFill="1" applyAlignment="1" applyProtection="1">
      <alignment vertical="center"/>
      <protection locked="0"/>
    </xf>
    <xf numFmtId="191" fontId="55" fillId="2" borderId="7" xfId="12" applyNumberFormat="1" applyFont="1" applyFill="1" applyBorder="1" applyAlignment="1" applyProtection="1">
      <alignment vertical="center" wrapText="1"/>
    </xf>
    <xf numFmtId="191" fontId="55"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91" fontId="55" fillId="2" borderId="10" xfId="12" applyNumberFormat="1" applyFont="1" applyFill="1" applyBorder="1" applyAlignment="1" applyProtection="1">
      <alignment vertical="center" wrapText="1"/>
    </xf>
    <xf numFmtId="191"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1" fontId="61" fillId="2" borderId="10" xfId="12" applyNumberFormat="1" applyFont="1" applyFill="1" applyBorder="1" applyAlignment="1" applyProtection="1">
      <alignment vertical="center" wrapText="1"/>
    </xf>
    <xf numFmtId="191" fontId="55" fillId="2" borderId="11" xfId="12" applyNumberFormat="1" applyFont="1" applyFill="1" applyBorder="1" applyAlignment="1" applyProtection="1">
      <alignment horizontal="center" vertical="center"/>
    </xf>
    <xf numFmtId="191" fontId="55" fillId="2" borderId="12" xfId="12" applyNumberFormat="1" applyFont="1" applyFill="1" applyBorder="1" applyAlignment="1" applyProtection="1">
      <alignment vertical="center" wrapText="1"/>
    </xf>
    <xf numFmtId="191"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83"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2"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2" fontId="35" fillId="0" borderId="11" xfId="0" applyNumberFormat="1" applyFont="1" applyFill="1" applyBorder="1" applyAlignment="1" applyProtection="1">
      <alignment horizontal="center" vertical="center"/>
      <protection locked="0"/>
    </xf>
    <xf numFmtId="183" fontId="78" fillId="11" borderId="0" xfId="0" applyNumberFormat="1" applyFont="1" applyFill="1" applyAlignment="1" applyProtection="1">
      <alignment vertical="center"/>
      <protection locked="0"/>
    </xf>
    <xf numFmtId="182" fontId="35" fillId="0" borderId="14" xfId="0" applyNumberFormat="1" applyFont="1" applyFill="1" applyBorder="1" applyAlignment="1" applyProtection="1">
      <alignment horizontal="center" vertical="center"/>
      <protection locked="0"/>
    </xf>
    <xf numFmtId="182" fontId="35" fillId="0" borderId="28" xfId="0" applyNumberFormat="1" applyFont="1" applyFill="1" applyBorder="1" applyAlignment="1" applyProtection="1">
      <alignment horizontal="center" vertical="center"/>
      <protection locked="0"/>
    </xf>
    <xf numFmtId="182"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6" fillId="11" borderId="0" xfId="0" applyNumberFormat="1" applyFont="1" applyFill="1" applyAlignment="1" applyProtection="1">
      <alignment horizontal="center" vertical="center"/>
    </xf>
    <xf numFmtId="196"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0"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3"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0"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1"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107"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61" fillId="2" borderId="10" xfId="12" applyNumberFormat="1" applyFont="1" applyFill="1" applyBorder="1" applyAlignment="1" applyProtection="1">
      <alignment horizontal="center" vertical="center"/>
    </xf>
    <xf numFmtId="183"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2" fontId="35"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3" fontId="61" fillId="2" borderId="12" xfId="12" applyNumberFormat="1" applyFont="1" applyFill="1" applyBorder="1" applyAlignment="1" applyProtection="1">
      <alignment horizontal="center" vertical="center"/>
    </xf>
    <xf numFmtId="183"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5"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6"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6" fontId="35" fillId="0" borderId="1" xfId="0" applyNumberFormat="1" applyFont="1" applyBorder="1" applyAlignment="1" applyProtection="1">
      <alignment horizontal="center" vertical="center"/>
      <protection locked="0"/>
    </xf>
    <xf numFmtId="182" fontId="35"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6"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6"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3"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1"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1"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1"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1"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1" fontId="56" fillId="2" borderId="17" xfId="12" applyNumberFormat="1" applyFont="1" applyFill="1" applyBorder="1" applyAlignment="1" applyProtection="1">
      <alignment horizontal="center" vertical="center"/>
    </xf>
    <xf numFmtId="191" fontId="56" fillId="2" borderId="38" xfId="12" applyNumberFormat="1" applyFont="1" applyFill="1" applyBorder="1" applyAlignment="1" applyProtection="1">
      <alignment horizontal="center" vertical="center"/>
    </xf>
    <xf numFmtId="191"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1" fontId="55" fillId="2" borderId="16" xfId="12"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107" fillId="0" borderId="1" xfId="12" applyNumberFormat="1" applyFont="1" applyFill="1" applyBorder="1" applyAlignment="1" applyProtection="1">
      <alignment vertical="center"/>
      <protection locked="0" hidden="1"/>
    </xf>
    <xf numFmtId="191" fontId="61"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61" fillId="0" borderId="1" xfId="12"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12" applyNumberFormat="1" applyFont="1" applyFill="1" applyBorder="1" applyAlignment="1" applyProtection="1">
      <alignment vertical="center"/>
      <protection locked="0"/>
    </xf>
    <xf numFmtId="191" fontId="71" fillId="2" borderId="1" xfId="0" applyNumberFormat="1"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191" fontId="71" fillId="2" borderId="11" xfId="0" applyNumberFormat="1" applyFont="1" applyFill="1" applyBorder="1" applyAlignment="1" applyProtection="1">
      <alignment vertical="center"/>
    </xf>
    <xf numFmtId="19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3" fontId="71" fillId="2" borderId="62"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3" fontId="61" fillId="2" borderId="16" xfId="0" applyNumberFormat="1" applyFont="1" applyFill="1" applyBorder="1" applyProtection="1">
      <alignment vertical="center"/>
    </xf>
    <xf numFmtId="19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2" borderId="39" xfId="0" applyFont="1" applyFill="1" applyBorder="1" applyProtection="1">
      <alignment vertical="center"/>
    </xf>
    <xf numFmtId="183" fontId="71" fillId="7" borderId="11" xfId="0" applyNumberFormat="1" applyFont="1" applyFill="1" applyBorder="1" applyAlignment="1" applyProtection="1">
      <alignment horizontal="center" vertical="center"/>
      <protection locked="0"/>
    </xf>
    <xf numFmtId="183"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1"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1" fontId="61"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1" fontId="61" fillId="2" borderId="1" xfId="0" applyNumberFormat="1" applyFont="1" applyFill="1" applyBorder="1" applyAlignment="1" applyProtection="1">
      <alignment horizontal="center" vertical="center" wrapText="1"/>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61"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7"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7"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7"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7" borderId="96" xfId="0" applyFont="1" applyFill="1" applyBorder="1" applyAlignment="1" applyProtection="1">
      <alignment vertical="center" wrapText="1"/>
    </xf>
    <xf numFmtId="190" fontId="35" fillId="0" borderId="1" xfId="0" applyNumberFormat="1" applyFont="1" applyFill="1" applyBorder="1" applyAlignment="1" applyProtection="1">
      <alignment horizontal="center" vertical="center" shrinkToFit="1"/>
      <protection locked="0"/>
    </xf>
    <xf numFmtId="180" fontId="35" fillId="3" borderId="1" xfId="12"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3" fontId="35" fillId="2" borderId="1" xfId="0" applyNumberFormat="1" applyFont="1" applyFill="1" applyBorder="1" applyAlignment="1" applyProtection="1">
      <alignment horizontal="center" vertical="center" wrapText="1"/>
    </xf>
    <xf numFmtId="49" fontId="35" fillId="2" borderId="64" xfId="0" applyNumberFormat="1" applyFont="1" applyFill="1" applyBorder="1" applyAlignment="1" applyProtection="1">
      <alignment horizontal="left" vertical="center" wrapText="1"/>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0"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0"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7"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0" fontId="35" fillId="2" borderId="50" xfId="0" applyNumberFormat="1" applyFont="1" applyFill="1" applyBorder="1" applyAlignment="1" applyProtection="1">
      <alignment horizontal="center" vertical="center" wrapText="1"/>
      <protection locked="0"/>
    </xf>
    <xf numFmtId="183"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3" fontId="35" fillId="2" borderId="5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4"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104" fillId="0" borderId="0" xfId="0" applyFont="1" applyAlignment="1" applyProtection="1">
      <alignment horizontal="center" vertical="center" wrapText="1"/>
    </xf>
    <xf numFmtId="0" fontId="104" fillId="0" borderId="0" xfId="0" applyFont="1" applyBorder="1" applyAlignment="1" applyProtection="1">
      <alignment horizontal="center" vertical="center"/>
    </xf>
    <xf numFmtId="0" fontId="104" fillId="0" borderId="0" xfId="0" applyFont="1" applyProtection="1">
      <alignmen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4" fillId="2" borderId="64"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wrapText="1"/>
    </xf>
    <xf numFmtId="0" fontId="104" fillId="2" borderId="0" xfId="0" applyFont="1" applyFill="1" applyAlignment="1" applyProtection="1">
      <alignment horizontal="center" vertical="center" wrapText="1"/>
    </xf>
    <xf numFmtId="0" fontId="104" fillId="0" borderId="1" xfId="0" applyFont="1" applyBorder="1" applyAlignment="1" applyProtection="1">
      <alignment horizontal="left" vertical="center"/>
      <protection locked="0"/>
    </xf>
    <xf numFmtId="0" fontId="104"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4"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Alignment="1" applyProtection="1">
      <alignment horizontal="left" vertical="center"/>
    </xf>
    <xf numFmtId="0" fontId="104"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3" borderId="15" xfId="15" applyFont="1" applyFill="1" applyBorder="1" applyAlignment="1">
      <alignment horizontal="left" vertical="center"/>
    </xf>
    <xf numFmtId="0" fontId="118" fillId="0" borderId="1" xfId="15" applyFont="1" applyBorder="1" applyAlignment="1">
      <alignment horizontal="left" vertical="center"/>
    </xf>
    <xf numFmtId="0" fontId="118" fillId="0" borderId="2" xfId="15" applyFont="1" applyBorder="1" applyAlignment="1">
      <alignment horizontal="left" vertical="center"/>
    </xf>
    <xf numFmtId="0" fontId="117" fillId="3" borderId="155" xfId="15" applyFont="1" applyFill="1" applyBorder="1" applyAlignment="1">
      <alignment horizontal="left" vertical="center"/>
    </xf>
    <xf numFmtId="0" fontId="118" fillId="0" borderId="1" xfId="15" applyFont="1" applyFill="1" applyBorder="1" applyAlignment="1">
      <alignment horizontal="left" vertical="center"/>
    </xf>
    <xf numFmtId="187" fontId="118" fillId="0" borderId="1" xfId="15" applyNumberFormat="1" applyFont="1" applyFill="1" applyBorder="1" applyAlignment="1">
      <alignment horizontal="left" vertical="center"/>
    </xf>
    <xf numFmtId="187" fontId="119" fillId="0" borderId="2" xfId="15" applyNumberFormat="1" applyFont="1" applyFill="1" applyBorder="1" applyAlignment="1">
      <alignment horizontal="left" vertical="center"/>
    </xf>
    <xf numFmtId="0" fontId="118" fillId="0" borderId="156" xfId="15" applyFont="1" applyFill="1" applyBorder="1" applyAlignment="1">
      <alignment horizontal="left" vertical="center"/>
    </xf>
    <xf numFmtId="190"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87" fontId="118" fillId="0" borderId="2"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90" fontId="118" fillId="0" borderId="2" xfId="15" applyNumberFormat="1" applyFont="1" applyFill="1" applyBorder="1" applyAlignment="1">
      <alignment horizontal="left" vertical="center"/>
    </xf>
    <xf numFmtId="0" fontId="115" fillId="0" borderId="156" xfId="15" applyFont="1" applyBorder="1" applyAlignment="1">
      <alignment horizontal="left" vertical="center"/>
    </xf>
    <xf numFmtId="190" fontId="118"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2" xfId="15" applyNumberFormat="1" applyFont="1" applyBorder="1" applyAlignment="1">
      <alignment horizontal="left" vertical="center"/>
    </xf>
    <xf numFmtId="0" fontId="120" fillId="0" borderId="1" xfId="15" applyFont="1" applyBorder="1" applyAlignment="1">
      <alignment horizontal="left" vertical="center"/>
    </xf>
    <xf numFmtId="190" fontId="120"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14" fontId="112" fillId="0" borderId="157"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104"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104" fillId="0" borderId="1" xfId="0" applyFont="1" applyBorder="1" applyAlignment="1" applyProtection="1">
      <alignment horizontal="left" vertical="center"/>
    </xf>
    <xf numFmtId="0" fontId="104" fillId="19" borderId="2" xfId="0" applyFont="1" applyFill="1" applyBorder="1" applyAlignment="1" applyProtection="1">
      <alignment vertical="center"/>
    </xf>
    <xf numFmtId="0" fontId="104" fillId="5" borderId="3" xfId="0" applyFont="1" applyFill="1" applyBorder="1" applyAlignment="1" applyProtection="1">
      <alignment vertical="center"/>
    </xf>
    <xf numFmtId="0" fontId="104"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1" fontId="111" fillId="0" borderId="0" xfId="0" applyNumberFormat="1" applyFont="1" applyAlignment="1" applyProtection="1">
      <alignment horizontal="left" vertical="center"/>
    </xf>
    <xf numFmtId="0" fontId="104" fillId="0" borderId="0" xfId="0" applyFont="1" applyProtection="1">
      <alignment vertical="center"/>
      <protection locked="0"/>
    </xf>
    <xf numFmtId="0" fontId="127" fillId="0" borderId="0" xfId="0" applyFont="1" applyBorder="1" applyAlignment="1" applyProtection="1">
      <alignment horizontal="left" vertical="center"/>
    </xf>
    <xf numFmtId="0" fontId="104"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6" fillId="0" borderId="0" xfId="16" applyFont="1">
      <alignment vertical="center"/>
    </xf>
    <xf numFmtId="0" fontId="128" fillId="0" borderId="0" xfId="16" applyFont="1" applyProtection="1">
      <alignment vertical="center"/>
    </xf>
    <xf numFmtId="0" fontId="46" fillId="0" borderId="0" xfId="16" applyFont="1" applyProtection="1">
      <alignment vertical="center"/>
    </xf>
    <xf numFmtId="0" fontId="128"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46"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0"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5" applyFont="1">
      <alignment vertical="center"/>
    </xf>
    <xf numFmtId="0" fontId="104"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3" applyFont="1" applyBorder="1" applyAlignment="1" applyProtection="1">
      <alignment vertical="center" wrapText="1"/>
    </xf>
    <xf numFmtId="0" fontId="112" fillId="0" borderId="6" xfId="0" applyFont="1" applyBorder="1" applyAlignment="1" applyProtection="1">
      <alignment horizontal="left" vertical="center"/>
    </xf>
    <xf numFmtId="184" fontId="112" fillId="0" borderId="6" xfId="0" applyNumberFormat="1" applyFont="1" applyBorder="1" applyAlignment="1" applyProtection="1">
      <alignment horizontal="left" vertical="center"/>
    </xf>
    <xf numFmtId="0" fontId="112" fillId="0" borderId="16" xfId="3"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61" fillId="2"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180" fontId="89" fillId="0" borderId="1" xfId="12" applyNumberFormat="1" applyFont="1" applyFill="1" applyBorder="1" applyAlignment="1" applyProtection="1">
      <alignment vertical="center"/>
      <protection locked="0" hidden="1"/>
    </xf>
    <xf numFmtId="180" fontId="160" fillId="0" borderId="1" xfId="12" applyNumberFormat="1" applyFont="1" applyFill="1" applyBorder="1" applyAlignment="1" applyProtection="1">
      <alignment vertical="center"/>
      <protection locked="0"/>
    </xf>
    <xf numFmtId="9" fontId="61" fillId="0" borderId="11" xfId="0" applyNumberFormat="1" applyFont="1" applyFill="1" applyBorder="1" applyAlignment="1" applyProtection="1">
      <alignment vertical="center"/>
      <protection locked="0"/>
    </xf>
    <xf numFmtId="0" fontId="160" fillId="0" borderId="37" xfId="0" applyNumberFormat="1" applyFont="1" applyFill="1" applyBorder="1" applyAlignment="1" applyProtection="1">
      <alignment horizontal="center" vertical="center" wrapText="1"/>
      <protection locked="0"/>
    </xf>
    <xf numFmtId="0" fontId="160" fillId="0" borderId="2" xfId="0" applyFont="1" applyFill="1" applyBorder="1" applyAlignment="1" applyProtection="1">
      <alignment horizontal="center" vertical="center" wrapText="1"/>
      <protection locked="0"/>
    </xf>
    <xf numFmtId="0" fontId="160" fillId="0" borderId="41" xfId="0" applyNumberFormat="1" applyFont="1" applyFill="1" applyBorder="1" applyAlignment="1" applyProtection="1">
      <alignment horizontal="center" vertical="center" wrapText="1"/>
      <protection locked="0"/>
    </xf>
    <xf numFmtId="0" fontId="160" fillId="0" borderId="123" xfId="0" applyNumberFormat="1" applyFont="1" applyFill="1" applyBorder="1" applyAlignment="1" applyProtection="1">
      <alignment horizontal="center" vertical="center" wrapText="1"/>
      <protection locked="0"/>
    </xf>
    <xf numFmtId="49" fontId="80" fillId="7" borderId="10" xfId="0" applyNumberFormat="1" applyFont="1" applyFill="1" applyBorder="1" applyAlignment="1" applyProtection="1">
      <alignment horizontal="center" vertical="center" wrapText="1"/>
      <protection locked="0"/>
    </xf>
    <xf numFmtId="0" fontId="80" fillId="7" borderId="7" xfId="0" applyFont="1" applyFill="1" applyBorder="1" applyAlignment="1" applyProtection="1">
      <alignment horizontal="center" vertical="center" wrapText="1"/>
      <protection locked="0"/>
    </xf>
    <xf numFmtId="0" fontId="80" fillId="7" borderId="113" xfId="0" applyFont="1" applyFill="1" applyBorder="1" applyAlignment="1" applyProtection="1">
      <alignment horizontal="center" vertical="center" wrapText="1"/>
      <protection locked="0"/>
    </xf>
    <xf numFmtId="49" fontId="80" fillId="7" borderId="4" xfId="0" applyNumberFormat="1" applyFont="1" applyFill="1" applyBorder="1" applyAlignment="1" applyProtection="1">
      <alignment horizontal="center" vertical="center" wrapText="1"/>
      <protection locked="0"/>
    </xf>
    <xf numFmtId="0" fontId="29" fillId="0" borderId="0" xfId="17"/>
    <xf numFmtId="0" fontId="8" fillId="0" borderId="0" xfId="0" applyFont="1" applyFill="1" applyBorder="1" applyAlignment="1"/>
    <xf numFmtId="0" fontId="29" fillId="3" borderId="0" xfId="17" applyFill="1"/>
    <xf numFmtId="0" fontId="0" fillId="3" borderId="0" xfId="0" applyFill="1">
      <alignment vertical="center"/>
    </xf>
    <xf numFmtId="0" fontId="80" fillId="0" borderId="123" xfId="0" applyNumberFormat="1" applyFont="1" applyFill="1" applyBorder="1" applyAlignment="1" applyProtection="1">
      <alignment horizontal="center" vertical="center" wrapText="1"/>
      <protection locked="0"/>
    </xf>
    <xf numFmtId="0" fontId="29" fillId="20" borderId="14" xfId="12" applyNumberFormat="1" applyFont="1" applyFill="1" applyBorder="1" applyAlignment="1" applyProtection="1">
      <alignment horizontal="center" vertical="center"/>
      <protection locked="0"/>
    </xf>
    <xf numFmtId="49" fontId="80" fillId="3" borderId="10" xfId="0" applyNumberFormat="1" applyFont="1" applyFill="1" applyBorder="1" applyAlignment="1" applyProtection="1">
      <alignment horizontal="center" vertical="center" wrapText="1"/>
      <protection locked="0"/>
    </xf>
    <xf numFmtId="0" fontId="102" fillId="0" borderId="0" xfId="0" applyFont="1">
      <alignment vertical="center"/>
    </xf>
    <xf numFmtId="0" fontId="140"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9"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9" fontId="76" fillId="0" borderId="1" xfId="0" applyNumberFormat="1" applyFont="1" applyFill="1" applyBorder="1" applyAlignment="1" applyProtection="1">
      <alignment horizontal="center" vertical="center" wrapText="1"/>
    </xf>
    <xf numFmtId="189" fontId="76" fillId="0" borderId="2" xfId="0" applyNumberFormat="1" applyFont="1" applyFill="1" applyBorder="1" applyAlignment="1" applyProtection="1">
      <alignment horizontal="center" vertical="center" wrapText="1"/>
    </xf>
    <xf numFmtId="189" fontId="76" fillId="0" borderId="3" xfId="0" applyNumberFormat="1" applyFont="1" applyFill="1" applyBorder="1" applyAlignment="1" applyProtection="1">
      <alignment horizontal="center" vertical="center" wrapText="1"/>
    </xf>
    <xf numFmtId="189" fontId="76"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84" fontId="133"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70"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4" fillId="0" borderId="2" xfId="0" applyFont="1" applyBorder="1" applyAlignment="1" applyProtection="1">
      <alignment horizontal="left" vertical="center"/>
    </xf>
    <xf numFmtId="0" fontId="104" fillId="0" borderId="4" xfId="0" applyFont="1" applyBorder="1" applyAlignment="1" applyProtection="1">
      <alignment horizontal="left" vertical="center"/>
    </xf>
    <xf numFmtId="0" fontId="104" fillId="3" borderId="15" xfId="0" applyFont="1" applyFill="1" applyBorder="1" applyAlignment="1" applyProtection="1">
      <alignment horizontal="left" vertical="center"/>
    </xf>
    <xf numFmtId="0" fontId="104" fillId="3" borderId="64" xfId="0" applyFont="1" applyFill="1" applyBorder="1" applyAlignment="1" applyProtection="1">
      <alignment horizontal="left" vertical="center"/>
    </xf>
    <xf numFmtId="0" fontId="104" fillId="3" borderId="16" xfId="0" applyFont="1" applyFill="1" applyBorder="1" applyAlignment="1" applyProtection="1">
      <alignment horizontal="left" vertical="center"/>
    </xf>
    <xf numFmtId="0" fontId="104" fillId="13" borderId="1" xfId="0" applyFont="1" applyFill="1" applyBorder="1" applyAlignment="1" applyProtection="1">
      <alignment horizontal="left" vertical="center"/>
    </xf>
    <xf numFmtId="0" fontId="104"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6" xfId="15" applyFont="1" applyBorder="1" applyAlignment="1">
      <alignment horizontal="left" vertical="center"/>
    </xf>
    <xf numFmtId="0" fontId="104"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112"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115" xfId="0" applyFont="1" applyFill="1" applyBorder="1" applyAlignment="1" applyProtection="1">
      <alignment horizontal="left"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0" fontId="38" fillId="0" borderId="4"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17" borderId="15" xfId="0" applyFont="1" applyFill="1" applyBorder="1" applyAlignment="1" applyProtection="1">
      <alignment horizontal="center" vertical="center" wrapText="1"/>
    </xf>
    <xf numFmtId="0" fontId="35" fillId="17"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35"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 xfId="0" applyFont="1" applyBorder="1" applyAlignment="1" applyProtection="1">
      <alignment horizontal="center" vertical="center"/>
      <protection locked="0"/>
    </xf>
    <xf numFmtId="189" fontId="61" fillId="2" borderId="2" xfId="0" applyNumberFormat="1" applyFont="1" applyFill="1" applyBorder="1" applyAlignment="1" applyProtection="1">
      <alignment horizontal="left" vertical="center" wrapText="1"/>
    </xf>
    <xf numFmtId="189" fontId="61" fillId="2" borderId="3" xfId="0" applyNumberFormat="1" applyFont="1" applyFill="1" applyBorder="1" applyAlignment="1" applyProtection="1">
      <alignment horizontal="left" vertical="center" wrapText="1"/>
    </xf>
    <xf numFmtId="189" fontId="61" fillId="2" borderId="4"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10" fontId="89"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0" fillId="2" borderId="1"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187" fontId="96"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186"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86" fontId="56" fillId="14" borderId="1" xfId="0" applyNumberFormat="1" applyFont="1" applyFill="1" applyBorder="1" applyAlignment="1" applyProtection="1">
      <alignment horizontal="center"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1" xfId="0" applyNumberFormat="1" applyFont="1" applyFill="1" applyBorder="1" applyAlignment="1" applyProtection="1">
      <alignment horizontal="center" vertical="center"/>
    </xf>
    <xf numFmtId="0" fontId="56" fillId="14"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161" fillId="0" borderId="10" xfId="0" applyFont="1" applyFill="1" applyBorder="1" applyAlignment="1" applyProtection="1">
      <alignment horizontal="center" vertical="center" wrapText="1"/>
      <protection locked="0"/>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left" vertical="center" wrapText="1"/>
    </xf>
    <xf numFmtId="0" fontId="47" fillId="10" borderId="77" xfId="4" applyFont="1" applyFill="1" applyBorder="1" applyAlignment="1" applyProtection="1">
      <alignment horizontal="left" vertical="center" wrapText="1"/>
    </xf>
    <xf numFmtId="0" fontId="47"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0" fillId="0" borderId="0" xfId="4" applyFont="1" applyAlignment="1">
      <alignment horizontal="left" vertical="center"/>
    </xf>
    <xf numFmtId="0" fontId="40" fillId="0" borderId="0" xfId="4" applyFont="1" applyAlignment="1">
      <alignment horizontal="left" vertical="center"/>
    </xf>
    <xf numFmtId="0" fontId="47" fillId="10" borderId="81" xfId="4" applyFont="1" applyFill="1" applyBorder="1" applyAlignment="1" applyProtection="1">
      <alignment horizontal="left" vertical="center" wrapText="1"/>
    </xf>
    <xf numFmtId="0" fontId="47" fillId="10" borderId="82" xfId="4" applyFont="1" applyFill="1" applyBorder="1" applyAlignment="1" applyProtection="1">
      <alignment horizontal="left" vertical="center" wrapText="1"/>
    </xf>
    <xf numFmtId="0" fontId="43" fillId="0" borderId="0" xfId="4" applyFont="1" applyAlignment="1">
      <alignment horizontal="left"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61" fillId="20" borderId="14" xfId="0" applyFont="1" applyFill="1" applyBorder="1" applyAlignment="1" applyProtection="1">
      <alignment horizontal="center" vertical="center"/>
      <protection locked="0"/>
    </xf>
    <xf numFmtId="0" fontId="79" fillId="20" borderId="58" xfId="0" applyNumberFormat="1" applyFont="1" applyFill="1" applyBorder="1" applyAlignment="1" applyProtection="1">
      <alignment horizontal="center" vertical="center" wrapText="1"/>
      <protection locked="0"/>
    </xf>
    <xf numFmtId="0" fontId="61" fillId="20" borderId="10" xfId="0" applyNumberFormat="1" applyFont="1" applyFill="1" applyBorder="1" applyAlignment="1" applyProtection="1">
      <alignment horizontal="center" vertical="center" wrapText="1"/>
      <protection locked="0"/>
    </xf>
    <xf numFmtId="183" fontId="35" fillId="20" borderId="1" xfId="0" applyNumberFormat="1" applyFont="1" applyFill="1" applyBorder="1" applyAlignment="1" applyProtection="1">
      <alignment horizontal="center" vertical="center" wrapText="1"/>
      <protection locked="0"/>
    </xf>
    <xf numFmtId="182" fontId="61" fillId="20" borderId="1" xfId="0" applyNumberFormat="1" applyFont="1" applyFill="1" applyBorder="1" applyAlignment="1" applyProtection="1">
      <alignment vertical="center"/>
      <protection locked="0"/>
    </xf>
    <xf numFmtId="186" fontId="6" fillId="13" borderId="15" xfId="0" applyNumberFormat="1" applyFont="1" applyFill="1" applyBorder="1" applyAlignment="1" applyProtection="1">
      <alignment horizontal="center" vertical="center"/>
      <protection locked="0"/>
    </xf>
    <xf numFmtId="0" fontId="61" fillId="20" borderId="2"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49" fontId="55" fillId="20" borderId="108" xfId="0" applyNumberFormat="1" applyFont="1" applyFill="1" applyBorder="1" applyAlignment="1" applyProtection="1">
      <alignment horizontal="center" vertical="center" wrapText="1"/>
      <protection locked="0"/>
    </xf>
    <xf numFmtId="0" fontId="55" fillId="20" borderId="58" xfId="0" applyNumberFormat="1" applyFont="1" applyFill="1" applyBorder="1" applyAlignment="1" applyProtection="1">
      <alignment horizontal="center" vertical="center" wrapText="1"/>
      <protection locked="0"/>
    </xf>
  </cellXfs>
  <cellStyles count="18">
    <cellStyle name="百分比 2" xfId="2" xr:uid="{00000000-0005-0000-0000-000000000000}"/>
    <cellStyle name="常规" xfId="0" builtinId="0"/>
    <cellStyle name="常规 10" xfId="17" xr:uid="{00000000-0005-0000-0000-000002000000}"/>
    <cellStyle name="常规 16" xfId="8" xr:uid="{00000000-0005-0000-0000-000003000000}"/>
    <cellStyle name="常规 2" xfId="12" xr:uid="{00000000-0005-0000-0000-000004000000}"/>
    <cellStyle name="常规 2 2" xfId="11" xr:uid="{00000000-0005-0000-0000-000005000000}"/>
    <cellStyle name="常规 2 2 2 2 3" xfId="7" xr:uid="{00000000-0005-0000-0000-000006000000}"/>
    <cellStyle name="常规 3" xfId="13" xr:uid="{00000000-0005-0000-0000-000007000000}"/>
    <cellStyle name="常规 3 2" xfId="10" xr:uid="{00000000-0005-0000-0000-000008000000}"/>
    <cellStyle name="常规 4" xfId="14" xr:uid="{00000000-0005-0000-0000-000009000000}"/>
    <cellStyle name="常规 5" xfId="15" xr:uid="{00000000-0005-0000-0000-00000A000000}"/>
    <cellStyle name="常规 6" xfId="1" xr:uid="{00000000-0005-0000-0000-00000B000000}"/>
    <cellStyle name="常规 6 2" xfId="4" xr:uid="{00000000-0005-0000-0000-00000C000000}"/>
    <cellStyle name="常规 6 2 2" xfId="9" xr:uid="{00000000-0005-0000-0000-00000D000000}"/>
    <cellStyle name="常规 6 2 3" xfId="6" xr:uid="{00000000-0005-0000-0000-00000E000000}"/>
    <cellStyle name="常规 7" xfId="16" xr:uid="{00000000-0005-0000-0000-00000F000000}"/>
    <cellStyle name="常规 8" xfId="3" xr:uid="{00000000-0005-0000-0000-000010000000}"/>
    <cellStyle name="常规 9" xfId="5" xr:uid="{00000000-0005-0000-0000-000011000000}"/>
  </cellStyles>
  <dxfs count="249">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 Type="http://schemas.openxmlformats.org/officeDocument/2006/relationships/image" Target="../media/image11.png"/><Relationship Id="rId16" Type="http://schemas.openxmlformats.org/officeDocument/2006/relationships/image" Target="../media/image2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6</xdr:col>
      <xdr:colOff>303985</xdr:colOff>
      <xdr:row>75</xdr:row>
      <xdr:rowOff>123296</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8258175"/>
          <a:ext cx="6523810" cy="4238096"/>
        </a:xfrm>
        <a:prstGeom prst="rect">
          <a:avLst/>
        </a:prstGeom>
      </xdr:spPr>
    </xdr:pic>
    <xdr:clientData/>
  </xdr:twoCellAnchor>
  <xdr:twoCellAnchor editAs="oneCell">
    <xdr:from>
      <xdr:col>0</xdr:col>
      <xdr:colOff>0</xdr:colOff>
      <xdr:row>76</xdr:row>
      <xdr:rowOff>0</xdr:rowOff>
    </xdr:from>
    <xdr:to>
      <xdr:col>12</xdr:col>
      <xdr:colOff>227195</xdr:colOff>
      <xdr:row>101</xdr:row>
      <xdr:rowOff>104226</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0" y="12544425"/>
          <a:ext cx="11247620" cy="4390476"/>
        </a:xfrm>
        <a:prstGeom prst="rect">
          <a:avLst/>
        </a:prstGeom>
      </xdr:spPr>
    </xdr:pic>
    <xdr:clientData/>
  </xdr:twoCellAnchor>
  <xdr:twoCellAnchor editAs="oneCell">
    <xdr:from>
      <xdr:col>0</xdr:col>
      <xdr:colOff>0</xdr:colOff>
      <xdr:row>102</xdr:row>
      <xdr:rowOff>0</xdr:rowOff>
    </xdr:from>
    <xdr:to>
      <xdr:col>12</xdr:col>
      <xdr:colOff>179576</xdr:colOff>
      <xdr:row>130</xdr:row>
      <xdr:rowOff>151781</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0" y="17002125"/>
          <a:ext cx="11200001" cy="4952381"/>
        </a:xfrm>
        <a:prstGeom prst="rect">
          <a:avLst/>
        </a:prstGeom>
      </xdr:spPr>
    </xdr:pic>
    <xdr:clientData/>
  </xdr:twoCellAnchor>
  <xdr:twoCellAnchor editAs="oneCell">
    <xdr:from>
      <xdr:col>0</xdr:col>
      <xdr:colOff>0</xdr:colOff>
      <xdr:row>131</xdr:row>
      <xdr:rowOff>76200</xdr:rowOff>
    </xdr:from>
    <xdr:to>
      <xdr:col>12</xdr:col>
      <xdr:colOff>274814</xdr:colOff>
      <xdr:row>158</xdr:row>
      <xdr:rowOff>56574</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0" y="22050375"/>
          <a:ext cx="11295239" cy="4609524"/>
        </a:xfrm>
        <a:prstGeom prst="rect">
          <a:avLst/>
        </a:prstGeom>
      </xdr:spPr>
    </xdr:pic>
    <xdr:clientData/>
  </xdr:twoCellAnchor>
  <xdr:twoCellAnchor editAs="oneCell">
    <xdr:from>
      <xdr:col>0</xdr:col>
      <xdr:colOff>0</xdr:colOff>
      <xdr:row>177</xdr:row>
      <xdr:rowOff>0</xdr:rowOff>
    </xdr:from>
    <xdr:to>
      <xdr:col>12</xdr:col>
      <xdr:colOff>227195</xdr:colOff>
      <xdr:row>200</xdr:row>
      <xdr:rowOff>104269</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0" y="29860875"/>
          <a:ext cx="11247620" cy="4047619"/>
        </a:xfrm>
        <a:prstGeom prst="rect">
          <a:avLst/>
        </a:prstGeom>
      </xdr:spPr>
    </xdr:pic>
    <xdr:clientData/>
  </xdr:twoCellAnchor>
  <xdr:twoCellAnchor editAs="oneCell">
    <xdr:from>
      <xdr:col>0</xdr:col>
      <xdr:colOff>0</xdr:colOff>
      <xdr:row>201</xdr:row>
      <xdr:rowOff>0</xdr:rowOff>
    </xdr:from>
    <xdr:to>
      <xdr:col>12</xdr:col>
      <xdr:colOff>312909</xdr:colOff>
      <xdr:row>225</xdr:row>
      <xdr:rowOff>151867</xdr:rowOff>
    </xdr:to>
    <xdr:pic>
      <xdr:nvPicPr>
        <xdr:cNvPr id="7" name="图片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6"/>
        <a:stretch>
          <a:fillRect/>
        </a:stretch>
      </xdr:blipFill>
      <xdr:spPr>
        <a:xfrm>
          <a:off x="0" y="33975675"/>
          <a:ext cx="11333334" cy="4266667"/>
        </a:xfrm>
        <a:prstGeom prst="rect">
          <a:avLst/>
        </a:prstGeom>
      </xdr:spPr>
    </xdr:pic>
    <xdr:clientData/>
  </xdr:twoCellAnchor>
  <xdr:twoCellAnchor editAs="oneCell">
    <xdr:from>
      <xdr:col>0</xdr:col>
      <xdr:colOff>0</xdr:colOff>
      <xdr:row>227</xdr:row>
      <xdr:rowOff>0</xdr:rowOff>
    </xdr:from>
    <xdr:to>
      <xdr:col>12</xdr:col>
      <xdr:colOff>284338</xdr:colOff>
      <xdr:row>252</xdr:row>
      <xdr:rowOff>47084</xdr:rowOff>
    </xdr:to>
    <xdr:pic>
      <xdr:nvPicPr>
        <xdr:cNvPr id="8" name="图片 7">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7"/>
        <a:stretch>
          <a:fillRect/>
        </a:stretch>
      </xdr:blipFill>
      <xdr:spPr>
        <a:xfrm>
          <a:off x="0" y="38433375"/>
          <a:ext cx="11304763" cy="43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15240</xdr:colOff>
      <xdr:row>21</xdr:row>
      <xdr:rowOff>53340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11597640" cy="3893820"/>
        </a:xfrm>
        <a:prstGeom prst="rect">
          <a:avLst/>
        </a:prstGeom>
        <a:noFill/>
        <a:ln w="9525">
          <a:noFill/>
        </a:ln>
      </xdr:spPr>
    </xdr:pic>
    <xdr:clientData/>
  </xdr:twoCellAnchor>
  <xdr:twoCellAnchor editAs="oneCell">
    <xdr:from>
      <xdr:col>0</xdr:col>
      <xdr:colOff>0</xdr:colOff>
      <xdr:row>23</xdr:row>
      <xdr:rowOff>0</xdr:rowOff>
    </xdr:from>
    <xdr:to>
      <xdr:col>19</xdr:col>
      <xdr:colOff>533400</xdr:colOff>
      <xdr:row>48</xdr:row>
      <xdr:rowOff>152400</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0" y="4206240"/>
          <a:ext cx="12115800" cy="4724400"/>
        </a:xfrm>
        <a:prstGeom prst="rect">
          <a:avLst/>
        </a:prstGeom>
        <a:noFill/>
        <a:ln w="9525">
          <a:noFill/>
        </a:ln>
      </xdr:spPr>
    </xdr:pic>
    <xdr:clientData/>
  </xdr:twoCellAnchor>
  <xdr:twoCellAnchor editAs="oneCell">
    <xdr:from>
      <xdr:col>0</xdr:col>
      <xdr:colOff>0</xdr:colOff>
      <xdr:row>49</xdr:row>
      <xdr:rowOff>0</xdr:rowOff>
    </xdr:from>
    <xdr:to>
      <xdr:col>19</xdr:col>
      <xdr:colOff>548640</xdr:colOff>
      <xdr:row>80</xdr:row>
      <xdr:rowOff>0</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0" y="8961120"/>
          <a:ext cx="12131040" cy="5669280"/>
        </a:xfrm>
        <a:prstGeom prst="rect">
          <a:avLst/>
        </a:prstGeom>
        <a:noFill/>
        <a:ln w="9525">
          <a:noFill/>
        </a:ln>
      </xdr:spPr>
    </xdr:pic>
    <xdr:clientData/>
  </xdr:twoCellAnchor>
  <xdr:twoCellAnchor editAs="oneCell">
    <xdr:from>
      <xdr:col>0</xdr:col>
      <xdr:colOff>0</xdr:colOff>
      <xdr:row>82</xdr:row>
      <xdr:rowOff>0</xdr:rowOff>
    </xdr:from>
    <xdr:to>
      <xdr:col>19</xdr:col>
      <xdr:colOff>281940</xdr:colOff>
      <xdr:row>111</xdr:row>
      <xdr:rowOff>68580</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0" y="14996160"/>
          <a:ext cx="11864340" cy="5372100"/>
        </a:xfrm>
        <a:prstGeom prst="rect">
          <a:avLst/>
        </a:prstGeom>
        <a:noFill/>
        <a:ln w="9525">
          <a:noFill/>
        </a:ln>
      </xdr:spPr>
    </xdr:pic>
    <xdr:clientData/>
  </xdr:twoCellAnchor>
  <xdr:twoCellAnchor editAs="oneCell">
    <xdr:from>
      <xdr:col>0</xdr:col>
      <xdr:colOff>0</xdr:colOff>
      <xdr:row>112</xdr:row>
      <xdr:rowOff>0</xdr:rowOff>
    </xdr:from>
    <xdr:to>
      <xdr:col>20</xdr:col>
      <xdr:colOff>7620</xdr:colOff>
      <xdr:row>141</xdr:row>
      <xdr:rowOff>167640</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0" y="20482560"/>
          <a:ext cx="12199620" cy="5471160"/>
        </a:xfrm>
        <a:prstGeom prst="rect">
          <a:avLst/>
        </a:prstGeom>
        <a:noFill/>
        <a:ln w="9525">
          <a:noFill/>
        </a:ln>
      </xdr:spPr>
    </xdr:pic>
    <xdr:clientData/>
  </xdr:twoCellAnchor>
  <xdr:twoCellAnchor editAs="oneCell">
    <xdr:from>
      <xdr:col>0</xdr:col>
      <xdr:colOff>0</xdr:colOff>
      <xdr:row>142</xdr:row>
      <xdr:rowOff>0</xdr:rowOff>
    </xdr:from>
    <xdr:to>
      <xdr:col>19</xdr:col>
      <xdr:colOff>358140</xdr:colOff>
      <xdr:row>177</xdr:row>
      <xdr:rowOff>121920</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0" y="25968960"/>
          <a:ext cx="11940540" cy="6522720"/>
        </a:xfrm>
        <a:prstGeom prst="rect">
          <a:avLst/>
        </a:prstGeom>
        <a:noFill/>
        <a:ln w="9525">
          <a:noFill/>
        </a:ln>
      </xdr:spPr>
    </xdr:pic>
    <xdr:clientData/>
  </xdr:twoCellAnchor>
  <xdr:twoCellAnchor editAs="oneCell">
    <xdr:from>
      <xdr:col>0</xdr:col>
      <xdr:colOff>0</xdr:colOff>
      <xdr:row>178</xdr:row>
      <xdr:rowOff>0</xdr:rowOff>
    </xdr:from>
    <xdr:to>
      <xdr:col>17</xdr:col>
      <xdr:colOff>419100</xdr:colOff>
      <xdr:row>215</xdr:row>
      <xdr:rowOff>121920</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0" y="32552640"/>
          <a:ext cx="10782300" cy="6888480"/>
        </a:xfrm>
        <a:prstGeom prst="rect">
          <a:avLst/>
        </a:prstGeom>
        <a:noFill/>
        <a:ln w="9525">
          <a:noFill/>
        </a:ln>
      </xdr:spPr>
    </xdr:pic>
    <xdr:clientData/>
  </xdr:twoCellAnchor>
  <xdr:twoCellAnchor editAs="oneCell">
    <xdr:from>
      <xdr:col>0</xdr:col>
      <xdr:colOff>0</xdr:colOff>
      <xdr:row>216</xdr:row>
      <xdr:rowOff>104775</xdr:rowOff>
    </xdr:from>
    <xdr:to>
      <xdr:col>16</xdr:col>
      <xdr:colOff>331982</xdr:colOff>
      <xdr:row>243</xdr:row>
      <xdr:rowOff>37530</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8"/>
        <a:stretch>
          <a:fillRect/>
        </a:stretch>
      </xdr:blipFill>
      <xdr:spPr>
        <a:xfrm>
          <a:off x="0" y="37137975"/>
          <a:ext cx="11152382" cy="4561905"/>
        </a:xfrm>
        <a:prstGeom prst="rect">
          <a:avLst/>
        </a:prstGeom>
      </xdr:spPr>
    </xdr:pic>
    <xdr:clientData/>
  </xdr:twoCellAnchor>
  <xdr:twoCellAnchor editAs="oneCell">
    <xdr:from>
      <xdr:col>0</xdr:col>
      <xdr:colOff>0</xdr:colOff>
      <xdr:row>244</xdr:row>
      <xdr:rowOff>0</xdr:rowOff>
    </xdr:from>
    <xdr:to>
      <xdr:col>16</xdr:col>
      <xdr:colOff>255791</xdr:colOff>
      <xdr:row>269</xdr:row>
      <xdr:rowOff>56607</xdr:rowOff>
    </xdr:to>
    <xdr:pic>
      <xdr:nvPicPr>
        <xdr:cNvPr id="10" name="图片 9">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9"/>
        <a:stretch>
          <a:fillRect/>
        </a:stretch>
      </xdr:blipFill>
      <xdr:spPr>
        <a:xfrm>
          <a:off x="0" y="41833800"/>
          <a:ext cx="11076191" cy="4342857"/>
        </a:xfrm>
        <a:prstGeom prst="rect">
          <a:avLst/>
        </a:prstGeom>
      </xdr:spPr>
    </xdr:pic>
    <xdr:clientData/>
  </xdr:twoCellAnchor>
  <xdr:twoCellAnchor editAs="oneCell">
    <xdr:from>
      <xdr:col>0</xdr:col>
      <xdr:colOff>0</xdr:colOff>
      <xdr:row>270</xdr:row>
      <xdr:rowOff>0</xdr:rowOff>
    </xdr:from>
    <xdr:to>
      <xdr:col>16</xdr:col>
      <xdr:colOff>312934</xdr:colOff>
      <xdr:row>292</xdr:row>
      <xdr:rowOff>47148</xdr:rowOff>
    </xdr:to>
    <xdr:pic>
      <xdr:nvPicPr>
        <xdr:cNvPr id="11" name="图片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10"/>
        <a:stretch>
          <a:fillRect/>
        </a:stretch>
      </xdr:blipFill>
      <xdr:spPr>
        <a:xfrm>
          <a:off x="0" y="46291500"/>
          <a:ext cx="11133334" cy="3819048"/>
        </a:xfrm>
        <a:prstGeom prst="rect">
          <a:avLst/>
        </a:prstGeom>
      </xdr:spPr>
    </xdr:pic>
    <xdr:clientData/>
  </xdr:twoCellAnchor>
  <xdr:twoCellAnchor editAs="oneCell">
    <xdr:from>
      <xdr:col>0</xdr:col>
      <xdr:colOff>0</xdr:colOff>
      <xdr:row>293</xdr:row>
      <xdr:rowOff>0</xdr:rowOff>
    </xdr:from>
    <xdr:to>
      <xdr:col>16</xdr:col>
      <xdr:colOff>312934</xdr:colOff>
      <xdr:row>322</xdr:row>
      <xdr:rowOff>75569</xdr:rowOff>
    </xdr:to>
    <xdr:pic>
      <xdr:nvPicPr>
        <xdr:cNvPr id="12" name="图片 11">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11"/>
        <a:stretch>
          <a:fillRect/>
        </a:stretch>
      </xdr:blipFill>
      <xdr:spPr>
        <a:xfrm>
          <a:off x="0" y="50234850"/>
          <a:ext cx="11133334" cy="5047619"/>
        </a:xfrm>
        <a:prstGeom prst="rect">
          <a:avLst/>
        </a:prstGeom>
      </xdr:spPr>
    </xdr:pic>
    <xdr:clientData/>
  </xdr:twoCellAnchor>
  <xdr:twoCellAnchor editAs="oneCell">
    <xdr:from>
      <xdr:col>0</xdr:col>
      <xdr:colOff>0</xdr:colOff>
      <xdr:row>323</xdr:row>
      <xdr:rowOff>0</xdr:rowOff>
    </xdr:from>
    <xdr:to>
      <xdr:col>16</xdr:col>
      <xdr:colOff>208172</xdr:colOff>
      <xdr:row>347</xdr:row>
      <xdr:rowOff>75676</xdr:rowOff>
    </xdr:to>
    <xdr:pic>
      <xdr:nvPicPr>
        <xdr:cNvPr id="13" name="图片 12">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12"/>
        <a:stretch>
          <a:fillRect/>
        </a:stretch>
      </xdr:blipFill>
      <xdr:spPr>
        <a:xfrm>
          <a:off x="0" y="55378350"/>
          <a:ext cx="11028572" cy="4190476"/>
        </a:xfrm>
        <a:prstGeom prst="rect">
          <a:avLst/>
        </a:prstGeom>
      </xdr:spPr>
    </xdr:pic>
    <xdr:clientData/>
  </xdr:twoCellAnchor>
  <xdr:twoCellAnchor editAs="oneCell">
    <xdr:from>
      <xdr:col>0</xdr:col>
      <xdr:colOff>0</xdr:colOff>
      <xdr:row>349</xdr:row>
      <xdr:rowOff>0</xdr:rowOff>
    </xdr:from>
    <xdr:to>
      <xdr:col>16</xdr:col>
      <xdr:colOff>227220</xdr:colOff>
      <xdr:row>370</xdr:row>
      <xdr:rowOff>132884</xdr:rowOff>
    </xdr:to>
    <xdr:pic>
      <xdr:nvPicPr>
        <xdr:cNvPr id="14" name="图片 13">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13"/>
        <a:stretch>
          <a:fillRect/>
        </a:stretch>
      </xdr:blipFill>
      <xdr:spPr>
        <a:xfrm>
          <a:off x="0" y="59836050"/>
          <a:ext cx="11047620" cy="3733334"/>
        </a:xfrm>
        <a:prstGeom prst="rect">
          <a:avLst/>
        </a:prstGeom>
      </xdr:spPr>
    </xdr:pic>
    <xdr:clientData/>
  </xdr:twoCellAnchor>
  <xdr:twoCellAnchor editAs="oneCell">
    <xdr:from>
      <xdr:col>0</xdr:col>
      <xdr:colOff>0</xdr:colOff>
      <xdr:row>372</xdr:row>
      <xdr:rowOff>0</xdr:rowOff>
    </xdr:from>
    <xdr:to>
      <xdr:col>16</xdr:col>
      <xdr:colOff>179601</xdr:colOff>
      <xdr:row>394</xdr:row>
      <xdr:rowOff>18576</xdr:rowOff>
    </xdr:to>
    <xdr:pic>
      <xdr:nvPicPr>
        <xdr:cNvPr id="15" name="图片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14"/>
        <a:stretch>
          <a:fillRect/>
        </a:stretch>
      </xdr:blipFill>
      <xdr:spPr>
        <a:xfrm>
          <a:off x="0" y="63779400"/>
          <a:ext cx="11000001" cy="3790476"/>
        </a:xfrm>
        <a:prstGeom prst="rect">
          <a:avLst/>
        </a:prstGeom>
      </xdr:spPr>
    </xdr:pic>
    <xdr:clientData/>
  </xdr:twoCellAnchor>
  <xdr:twoCellAnchor editAs="oneCell">
    <xdr:from>
      <xdr:col>0</xdr:col>
      <xdr:colOff>0</xdr:colOff>
      <xdr:row>395</xdr:row>
      <xdr:rowOff>0</xdr:rowOff>
    </xdr:from>
    <xdr:to>
      <xdr:col>16</xdr:col>
      <xdr:colOff>379601</xdr:colOff>
      <xdr:row>417</xdr:row>
      <xdr:rowOff>66196</xdr:rowOff>
    </xdr:to>
    <xdr:pic>
      <xdr:nvPicPr>
        <xdr:cNvPr id="16" name="图片 15">
          <a:extLst>
            <a:ext uri="{FF2B5EF4-FFF2-40B4-BE49-F238E27FC236}">
              <a16:creationId xmlns:a16="http://schemas.microsoft.com/office/drawing/2014/main" id="{00000000-0008-0000-2400-000010000000}"/>
            </a:ext>
          </a:extLst>
        </xdr:cNvPr>
        <xdr:cNvPicPr>
          <a:picLocks noChangeAspect="1"/>
        </xdr:cNvPicPr>
      </xdr:nvPicPr>
      <xdr:blipFill>
        <a:blip xmlns:r="http://schemas.openxmlformats.org/officeDocument/2006/relationships" r:embed="rId15"/>
        <a:stretch>
          <a:fillRect/>
        </a:stretch>
      </xdr:blipFill>
      <xdr:spPr>
        <a:xfrm>
          <a:off x="0" y="67722750"/>
          <a:ext cx="11200001" cy="3838096"/>
        </a:xfrm>
        <a:prstGeom prst="rect">
          <a:avLst/>
        </a:prstGeom>
      </xdr:spPr>
    </xdr:pic>
    <xdr:clientData/>
  </xdr:twoCellAnchor>
  <xdr:twoCellAnchor editAs="oneCell">
    <xdr:from>
      <xdr:col>16</xdr:col>
      <xdr:colOff>485775</xdr:colOff>
      <xdr:row>292</xdr:row>
      <xdr:rowOff>161925</xdr:rowOff>
    </xdr:from>
    <xdr:to>
      <xdr:col>33</xdr:col>
      <xdr:colOff>208148</xdr:colOff>
      <xdr:row>309</xdr:row>
      <xdr:rowOff>85370</xdr:rowOff>
    </xdr:to>
    <xdr:pic>
      <xdr:nvPicPr>
        <xdr:cNvPr id="17" name="图片 16">
          <a:extLst>
            <a:ext uri="{FF2B5EF4-FFF2-40B4-BE49-F238E27FC236}">
              <a16:creationId xmlns:a16="http://schemas.microsoft.com/office/drawing/2014/main" id="{00000000-0008-0000-2400-000011000000}"/>
            </a:ext>
          </a:extLst>
        </xdr:cNvPr>
        <xdr:cNvPicPr>
          <a:picLocks noChangeAspect="1"/>
        </xdr:cNvPicPr>
      </xdr:nvPicPr>
      <xdr:blipFill>
        <a:blip xmlns:r="http://schemas.openxmlformats.org/officeDocument/2006/relationships" r:embed="rId16"/>
        <a:stretch>
          <a:fillRect/>
        </a:stretch>
      </xdr:blipFill>
      <xdr:spPr>
        <a:xfrm>
          <a:off x="11306175" y="50225325"/>
          <a:ext cx="11219048" cy="2838095"/>
        </a:xfrm>
        <a:prstGeom prst="rect">
          <a:avLst/>
        </a:prstGeom>
      </xdr:spPr>
    </xdr:pic>
    <xdr:clientData/>
  </xdr:twoCellAnchor>
  <xdr:twoCellAnchor editAs="oneCell">
    <xdr:from>
      <xdr:col>16</xdr:col>
      <xdr:colOff>390525</xdr:colOff>
      <xdr:row>350</xdr:row>
      <xdr:rowOff>0</xdr:rowOff>
    </xdr:from>
    <xdr:to>
      <xdr:col>31</xdr:col>
      <xdr:colOff>160686</xdr:colOff>
      <xdr:row>367</xdr:row>
      <xdr:rowOff>123445</xdr:rowOff>
    </xdr:to>
    <xdr:pic>
      <xdr:nvPicPr>
        <xdr:cNvPr id="18" name="图片 17">
          <a:extLst>
            <a:ext uri="{FF2B5EF4-FFF2-40B4-BE49-F238E27FC236}">
              <a16:creationId xmlns:a16="http://schemas.microsoft.com/office/drawing/2014/main" id="{00000000-0008-0000-2400-000012000000}"/>
            </a:ext>
          </a:extLst>
        </xdr:cNvPr>
        <xdr:cNvPicPr>
          <a:picLocks noChangeAspect="1"/>
        </xdr:cNvPicPr>
      </xdr:nvPicPr>
      <xdr:blipFill>
        <a:blip xmlns:r="http://schemas.openxmlformats.org/officeDocument/2006/relationships" r:embed="rId17"/>
        <a:stretch>
          <a:fillRect/>
        </a:stretch>
      </xdr:blipFill>
      <xdr:spPr>
        <a:xfrm>
          <a:off x="11210925" y="60007500"/>
          <a:ext cx="9914286" cy="3038095"/>
        </a:xfrm>
        <a:prstGeom prst="rect">
          <a:avLst/>
        </a:prstGeom>
      </xdr:spPr>
    </xdr:pic>
    <xdr:clientData/>
  </xdr:twoCellAnchor>
  <xdr:twoCellAnchor editAs="oneCell">
    <xdr:from>
      <xdr:col>0</xdr:col>
      <xdr:colOff>0</xdr:colOff>
      <xdr:row>418</xdr:row>
      <xdr:rowOff>0</xdr:rowOff>
    </xdr:from>
    <xdr:to>
      <xdr:col>16</xdr:col>
      <xdr:colOff>322458</xdr:colOff>
      <xdr:row>440</xdr:row>
      <xdr:rowOff>104291</xdr:rowOff>
    </xdr:to>
    <xdr:pic>
      <xdr:nvPicPr>
        <xdr:cNvPr id="19" name="图片 18">
          <a:extLst>
            <a:ext uri="{FF2B5EF4-FFF2-40B4-BE49-F238E27FC236}">
              <a16:creationId xmlns:a16="http://schemas.microsoft.com/office/drawing/2014/main" id="{00000000-0008-0000-2400-000013000000}"/>
            </a:ext>
          </a:extLst>
        </xdr:cNvPr>
        <xdr:cNvPicPr>
          <a:picLocks noChangeAspect="1"/>
        </xdr:cNvPicPr>
      </xdr:nvPicPr>
      <xdr:blipFill>
        <a:blip xmlns:r="http://schemas.openxmlformats.org/officeDocument/2006/relationships" r:embed="rId18"/>
        <a:stretch>
          <a:fillRect/>
        </a:stretch>
      </xdr:blipFill>
      <xdr:spPr>
        <a:xfrm>
          <a:off x="0" y="71666100"/>
          <a:ext cx="11142858" cy="3876191"/>
        </a:xfrm>
        <a:prstGeom prst="rect">
          <a:avLst/>
        </a:prstGeom>
      </xdr:spPr>
    </xdr:pic>
    <xdr:clientData/>
  </xdr:twoCellAnchor>
  <xdr:twoCellAnchor editAs="oneCell">
    <xdr:from>
      <xdr:col>0</xdr:col>
      <xdr:colOff>0</xdr:colOff>
      <xdr:row>441</xdr:row>
      <xdr:rowOff>0</xdr:rowOff>
    </xdr:from>
    <xdr:to>
      <xdr:col>12</xdr:col>
      <xdr:colOff>341843</xdr:colOff>
      <xdr:row>463</xdr:row>
      <xdr:rowOff>161434</xdr:rowOff>
    </xdr:to>
    <xdr:pic>
      <xdr:nvPicPr>
        <xdr:cNvPr id="20" name="图片 19">
          <a:extLst>
            <a:ext uri="{FF2B5EF4-FFF2-40B4-BE49-F238E27FC236}">
              <a16:creationId xmlns:a16="http://schemas.microsoft.com/office/drawing/2014/main" id="{00000000-0008-0000-2400-000014000000}"/>
            </a:ext>
          </a:extLst>
        </xdr:cNvPr>
        <xdr:cNvPicPr>
          <a:picLocks noChangeAspect="1"/>
        </xdr:cNvPicPr>
      </xdr:nvPicPr>
      <xdr:blipFill>
        <a:blip xmlns:r="http://schemas.openxmlformats.org/officeDocument/2006/relationships" r:embed="rId19"/>
        <a:stretch>
          <a:fillRect/>
        </a:stretch>
      </xdr:blipFill>
      <xdr:spPr>
        <a:xfrm>
          <a:off x="0" y="75609450"/>
          <a:ext cx="8457143" cy="39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551610</xdr:colOff>
      <xdr:row>5</xdr:row>
      <xdr:rowOff>57036</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6723810" cy="914286"/>
        </a:xfrm>
        <a:prstGeom prst="rect">
          <a:avLst/>
        </a:prstGeom>
      </xdr:spPr>
    </xdr:pic>
    <xdr:clientData/>
  </xdr:twoCellAnchor>
  <xdr:twoCellAnchor editAs="oneCell">
    <xdr:from>
      <xdr:col>0</xdr:col>
      <xdr:colOff>0</xdr:colOff>
      <xdr:row>6</xdr:row>
      <xdr:rowOff>0</xdr:rowOff>
    </xdr:from>
    <xdr:to>
      <xdr:col>9</xdr:col>
      <xdr:colOff>418277</xdr:colOff>
      <xdr:row>10</xdr:row>
      <xdr:rowOff>85629</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1028700"/>
          <a:ext cx="6590477" cy="771429"/>
        </a:xfrm>
        <a:prstGeom prst="rect">
          <a:avLst/>
        </a:prstGeom>
      </xdr:spPr>
    </xdr:pic>
    <xdr:clientData/>
  </xdr:twoCellAnchor>
  <xdr:twoCellAnchor editAs="oneCell">
    <xdr:from>
      <xdr:col>0</xdr:col>
      <xdr:colOff>0</xdr:colOff>
      <xdr:row>11</xdr:row>
      <xdr:rowOff>0</xdr:rowOff>
    </xdr:from>
    <xdr:to>
      <xdr:col>9</xdr:col>
      <xdr:colOff>389705</xdr:colOff>
      <xdr:row>15</xdr:row>
      <xdr:rowOff>57057</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0" y="1885950"/>
          <a:ext cx="6561905" cy="742857"/>
        </a:xfrm>
        <a:prstGeom prst="rect">
          <a:avLst/>
        </a:prstGeom>
      </xdr:spPr>
    </xdr:pic>
    <xdr:clientData/>
  </xdr:twoCellAnchor>
  <xdr:twoCellAnchor editAs="oneCell">
    <xdr:from>
      <xdr:col>0</xdr:col>
      <xdr:colOff>0</xdr:colOff>
      <xdr:row>16</xdr:row>
      <xdr:rowOff>0</xdr:rowOff>
    </xdr:from>
    <xdr:to>
      <xdr:col>9</xdr:col>
      <xdr:colOff>589705</xdr:colOff>
      <xdr:row>20</xdr:row>
      <xdr:rowOff>152295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0" y="2743200"/>
          <a:ext cx="6761905" cy="838095"/>
        </a:xfrm>
        <a:prstGeom prst="rect">
          <a:avLst/>
        </a:prstGeom>
      </xdr:spPr>
    </xdr:pic>
    <xdr:clientData/>
  </xdr:twoCellAnchor>
  <xdr:twoCellAnchor editAs="oneCell">
    <xdr:from>
      <xdr:col>0</xdr:col>
      <xdr:colOff>0</xdr:colOff>
      <xdr:row>21</xdr:row>
      <xdr:rowOff>0</xdr:rowOff>
    </xdr:from>
    <xdr:to>
      <xdr:col>9</xdr:col>
      <xdr:colOff>284943</xdr:colOff>
      <xdr:row>25</xdr:row>
      <xdr:rowOff>66581</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0" y="3600450"/>
          <a:ext cx="6457143" cy="752381"/>
        </a:xfrm>
        <a:prstGeom prst="rect">
          <a:avLst/>
        </a:prstGeom>
      </xdr:spPr>
    </xdr:pic>
    <xdr:clientData/>
  </xdr:twoCellAnchor>
  <xdr:twoCellAnchor editAs="oneCell">
    <xdr:from>
      <xdr:col>0</xdr:col>
      <xdr:colOff>0</xdr:colOff>
      <xdr:row>26</xdr:row>
      <xdr:rowOff>0</xdr:rowOff>
    </xdr:from>
    <xdr:to>
      <xdr:col>9</xdr:col>
      <xdr:colOff>380181</xdr:colOff>
      <xdr:row>30</xdr:row>
      <xdr:rowOff>133248</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0" y="4457700"/>
          <a:ext cx="6552381" cy="819048"/>
        </a:xfrm>
        <a:prstGeom prst="rect">
          <a:avLst/>
        </a:prstGeom>
      </xdr:spPr>
    </xdr:pic>
    <xdr:clientData/>
  </xdr:twoCellAnchor>
  <xdr:twoCellAnchor editAs="oneCell">
    <xdr:from>
      <xdr:col>0</xdr:col>
      <xdr:colOff>0</xdr:colOff>
      <xdr:row>31</xdr:row>
      <xdr:rowOff>0</xdr:rowOff>
    </xdr:from>
    <xdr:to>
      <xdr:col>9</xdr:col>
      <xdr:colOff>427800</xdr:colOff>
      <xdr:row>39</xdr:row>
      <xdr:rowOff>56972</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7"/>
        <a:stretch>
          <a:fillRect/>
        </a:stretch>
      </xdr:blipFill>
      <xdr:spPr>
        <a:xfrm>
          <a:off x="0" y="5314950"/>
          <a:ext cx="6600000" cy="1428572"/>
        </a:xfrm>
        <a:prstGeom prst="rect">
          <a:avLst/>
        </a:prstGeom>
      </xdr:spPr>
    </xdr:pic>
    <xdr:clientData/>
  </xdr:twoCellAnchor>
  <xdr:twoCellAnchor editAs="oneCell">
    <xdr:from>
      <xdr:col>0</xdr:col>
      <xdr:colOff>0</xdr:colOff>
      <xdr:row>39</xdr:row>
      <xdr:rowOff>0</xdr:rowOff>
    </xdr:from>
    <xdr:to>
      <xdr:col>8</xdr:col>
      <xdr:colOff>27886</xdr:colOff>
      <xdr:row>49</xdr:row>
      <xdr:rowOff>18833</xdr:rowOff>
    </xdr:to>
    <xdr:pic>
      <xdr:nvPicPr>
        <xdr:cNvPr id="9" name="图片 8">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8"/>
        <a:stretch>
          <a:fillRect/>
        </a:stretch>
      </xdr:blipFill>
      <xdr:spPr>
        <a:xfrm>
          <a:off x="0" y="6686550"/>
          <a:ext cx="5514286" cy="1733333"/>
        </a:xfrm>
        <a:prstGeom prst="rect">
          <a:avLst/>
        </a:prstGeom>
      </xdr:spPr>
    </xdr:pic>
    <xdr:clientData/>
  </xdr:twoCellAnchor>
  <xdr:twoCellAnchor editAs="oneCell">
    <xdr:from>
      <xdr:col>5</xdr:col>
      <xdr:colOff>0</xdr:colOff>
      <xdr:row>51</xdr:row>
      <xdr:rowOff>0</xdr:rowOff>
    </xdr:from>
    <xdr:to>
      <xdr:col>14</xdr:col>
      <xdr:colOff>294467</xdr:colOff>
      <xdr:row>64</xdr:row>
      <xdr:rowOff>37817</xdr:rowOff>
    </xdr:to>
    <xdr:pic>
      <xdr:nvPicPr>
        <xdr:cNvPr id="10" name="图片 9">
          <a:extLst>
            <a:ext uri="{FF2B5EF4-FFF2-40B4-BE49-F238E27FC236}">
              <a16:creationId xmlns:a16="http://schemas.microsoft.com/office/drawing/2014/main" id="{00000000-0008-0000-2F00-00000A000000}"/>
            </a:ext>
          </a:extLst>
        </xdr:cNvPr>
        <xdr:cNvPicPr>
          <a:picLocks noChangeAspect="1"/>
        </xdr:cNvPicPr>
      </xdr:nvPicPr>
      <xdr:blipFill>
        <a:blip xmlns:r="http://schemas.openxmlformats.org/officeDocument/2006/relationships" r:embed="rId9"/>
        <a:stretch>
          <a:fillRect/>
        </a:stretch>
      </xdr:blipFill>
      <xdr:spPr>
        <a:xfrm>
          <a:off x="3429000" y="8743950"/>
          <a:ext cx="6466667" cy="2266667"/>
        </a:xfrm>
        <a:prstGeom prst="rect">
          <a:avLst/>
        </a:prstGeom>
      </xdr:spPr>
    </xdr:pic>
    <xdr:clientData/>
  </xdr:twoCellAnchor>
  <xdr:twoCellAnchor editAs="oneCell">
    <xdr:from>
      <xdr:col>0</xdr:col>
      <xdr:colOff>0</xdr:colOff>
      <xdr:row>85</xdr:row>
      <xdr:rowOff>0</xdr:rowOff>
    </xdr:from>
    <xdr:to>
      <xdr:col>9</xdr:col>
      <xdr:colOff>256372</xdr:colOff>
      <xdr:row>93</xdr:row>
      <xdr:rowOff>171257</xdr:rowOff>
    </xdr:to>
    <xdr:pic>
      <xdr:nvPicPr>
        <xdr:cNvPr id="11" name="图片 10">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10"/>
        <a:stretch>
          <a:fillRect/>
        </a:stretch>
      </xdr:blipFill>
      <xdr:spPr>
        <a:xfrm>
          <a:off x="0" y="14573250"/>
          <a:ext cx="6428572" cy="1542857"/>
        </a:xfrm>
        <a:prstGeom prst="rect">
          <a:avLst/>
        </a:prstGeom>
      </xdr:spPr>
    </xdr:pic>
    <xdr:clientData/>
  </xdr:twoCellAnchor>
  <xdr:twoCellAnchor editAs="oneCell">
    <xdr:from>
      <xdr:col>9</xdr:col>
      <xdr:colOff>400050</xdr:colOff>
      <xdr:row>84</xdr:row>
      <xdr:rowOff>104775</xdr:rowOff>
    </xdr:from>
    <xdr:to>
      <xdr:col>19</xdr:col>
      <xdr:colOff>46812</xdr:colOff>
      <xdr:row>96</xdr:row>
      <xdr:rowOff>47375</xdr:rowOff>
    </xdr:to>
    <xdr:pic>
      <xdr:nvPicPr>
        <xdr:cNvPr id="12" name="图片 11">
          <a:extLst>
            <a:ext uri="{FF2B5EF4-FFF2-40B4-BE49-F238E27FC236}">
              <a16:creationId xmlns:a16="http://schemas.microsoft.com/office/drawing/2014/main" id="{00000000-0008-0000-2F00-00000C000000}"/>
            </a:ext>
          </a:extLst>
        </xdr:cNvPr>
        <xdr:cNvPicPr>
          <a:picLocks noChangeAspect="1"/>
        </xdr:cNvPicPr>
      </xdr:nvPicPr>
      <xdr:blipFill>
        <a:blip xmlns:r="http://schemas.openxmlformats.org/officeDocument/2006/relationships" r:embed="rId11"/>
        <a:stretch>
          <a:fillRect/>
        </a:stretch>
      </xdr:blipFill>
      <xdr:spPr>
        <a:xfrm>
          <a:off x="6572250" y="14506575"/>
          <a:ext cx="6504762" cy="2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36" customWidth="1"/>
    <col min="2" max="2" width="81" style="3037" customWidth="1"/>
    <col min="3" max="16384" width="9" style="3038"/>
  </cols>
  <sheetData>
    <row r="1" spans="1:2" s="3033" customFormat="1" ht="15.75">
      <c r="A1" s="3039" t="s">
        <v>0</v>
      </c>
      <c r="B1" s="3040" t="s">
        <v>1</v>
      </c>
    </row>
    <row r="2" spans="1:2" s="3034" customFormat="1">
      <c r="A2" s="3041" t="s">
        <v>2</v>
      </c>
      <c r="B2" s="3042" t="str">
        <f>'预评函-封皮'!B37:I37</f>
        <v>北京市房地产抵押价值预评估</v>
      </c>
    </row>
    <row r="3" spans="1:2" s="3035" customFormat="1">
      <c r="A3" s="3043" t="s">
        <v>3</v>
      </c>
      <c r="B3" s="3044">
        <f>'预评函-封皮'!B40</f>
        <v>0</v>
      </c>
    </row>
    <row r="4" spans="1:2" s="3035" customFormat="1">
      <c r="A4" s="3043" t="s">
        <v>4</v>
      </c>
      <c r="B4" s="3044" t="str">
        <f>'预评函-封皮'!B46</f>
        <v>（注册号：0)、（注册号：0)</v>
      </c>
    </row>
    <row r="5" spans="1:2" s="3033" customFormat="1">
      <c r="A5" s="3045" t="s">
        <v>5</v>
      </c>
      <c r="B5" s="3046" t="str">
        <f>'预评函-封皮'!B49</f>
        <v>康正预评字号</v>
      </c>
    </row>
    <row r="6" spans="1:2" s="3034" customFormat="1">
      <c r="A6" s="3041" t="s">
        <v>6</v>
      </c>
      <c r="B6" s="3042" t="str">
        <f>'预评函-1'!A4</f>
        <v>受贵公司委托，我公司对北京市房地产抵押价值进行了预评估。</v>
      </c>
    </row>
    <row r="7" spans="1:2" s="3035" customFormat="1">
      <c r="A7" s="3043" t="s">
        <v>7</v>
      </c>
      <c r="B7" s="3044" t="str">
        <f>'预评函-1'!A7</f>
        <v>估价对象为北京市房地产，为所有。根据《国有土地使用证》[]，估价对象（分摊）出让国有建设用地使用权面积为11660.67平方米，建筑面积为39222.73平方米。</v>
      </c>
    </row>
    <row r="8" spans="1:2" s="3035" customFormat="1">
      <c r="A8" s="3043" t="s">
        <v>8</v>
      </c>
      <c r="B8" s="3044" t="str">
        <f>'预评函-1'!A8</f>
        <v>估价对象简述。项目推广名，项目类型（用途），估价对象分布，各用途面积明细情况：XX用途建筑面积XX平方米，XX用途建筑面积XX平方米，……。复杂面积清单需设‘附表’列示：抵押物清单详见附表</v>
      </c>
    </row>
    <row r="9" spans="1:2" s="3035" customFormat="1">
      <c r="A9" s="3043" t="s">
        <v>9</v>
      </c>
      <c r="B9" s="3044" t="str">
        <f>'预评函-1'!A10</f>
        <v>估价对象为北京市房地产,属开发建设的居住项目，该项目尚在开发建设中。根据《国有土地使用证》[]，估价对象（分摊）出让国有建设用地使用权面积为11660.67平方米，规划建筑面积为39222.73平方米。</v>
      </c>
    </row>
    <row r="10" spans="1:2" s="3035" customFormat="1">
      <c r="A10" s="3043" t="s">
        <v>10</v>
      </c>
      <c r="B10" s="30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5" customFormat="1">
      <c r="A11" s="3043" t="s">
        <v>11</v>
      </c>
      <c r="B11" s="30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35" customFormat="1">
      <c r="A12" s="3043" t="s">
        <v>12</v>
      </c>
      <c r="B12" s="3044" t="str">
        <f>'预评函-1'!A15</f>
        <v>2021年4月2日（评估专业人员实地查勘之日）</v>
      </c>
    </row>
    <row r="13" spans="1:2" s="3035" customFormat="1">
      <c r="A13" s="3043" t="s">
        <v>13</v>
      </c>
      <c r="B13" s="3044" t="str">
        <f>'预评函-1'!A18</f>
        <v>本次估价的“房地产价值”是指在正常市场情况下，在价值时点2021年4月2日，估价对象规划用途为，土地取得方式为出让，出让国有建设用地使用权剩余土地使用年限为，假定未设立法定优先受偿款下的房地产市场价值。</v>
      </c>
    </row>
    <row r="14" spans="1:2" s="3035" customFormat="1">
      <c r="A14" s="3043" t="s">
        <v>14</v>
      </c>
      <c r="B14" s="304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5" customFormat="1">
      <c r="A15" s="3043" t="s">
        <v>15</v>
      </c>
      <c r="B15" s="3044" t="str">
        <f>'预评函-1'!A20</f>
        <v>本次估价的“房地产抵押价值”是指估价对象在价值时点的“房地产价值”扣减估价师于价值时点所知悉的法定优先受偿款后的余额。</v>
      </c>
    </row>
    <row r="16" spans="1:2" s="3035" customFormat="1">
      <c r="A16" s="3043" t="s">
        <v>16</v>
      </c>
      <c r="B16" s="30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35" customFormat="1">
      <c r="A17" s="3043" t="s">
        <v>17</v>
      </c>
      <c r="B17" s="304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3" customFormat="1">
      <c r="A18" s="3045" t="s">
        <v>18</v>
      </c>
      <c r="B18" s="3046" t="str">
        <f>'预评函-1'!A24</f>
        <v>本次评估采用的主估价方法为成本法和假设开发法。</v>
      </c>
    </row>
    <row r="19" spans="1:2" s="3034" customFormat="1">
      <c r="A19" s="3041" t="s">
        <v>19</v>
      </c>
      <c r="B19" s="30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35" customFormat="1">
      <c r="A20" s="3043" t="s">
        <v>20</v>
      </c>
      <c r="B20" s="3044">
        <f ca="1">'预评函-2'!D5</f>
        <v>338304</v>
      </c>
    </row>
    <row r="21" spans="1:2" s="3035" customFormat="1">
      <c r="A21" s="3043" t="s">
        <v>21</v>
      </c>
      <c r="B21" s="3044">
        <f ca="1">'预评函-2'!D7</f>
        <v>86252</v>
      </c>
    </row>
    <row r="22" spans="1:2" s="3035" customFormat="1">
      <c r="A22" s="3043" t="s">
        <v>22</v>
      </c>
      <c r="B22" s="3044" t="str">
        <f ca="1">'预评函-2'!D6</f>
        <v>叁拾叁亿捌仟叁佰零肆万元整</v>
      </c>
    </row>
    <row r="23" spans="1:2" s="3035" customFormat="1">
      <c r="A23" s="3043" t="s">
        <v>23</v>
      </c>
      <c r="B23" s="3044" t="str">
        <f>'预评函-2'!B8</f>
        <v>2.估价师知悉的法定优先受偿款</v>
      </c>
    </row>
    <row r="24" spans="1:2" s="3035" customFormat="1">
      <c r="A24" s="3043" t="s">
        <v>24</v>
      </c>
      <c r="B24" s="3044">
        <f>'预评函-2'!D8</f>
        <v>0</v>
      </c>
    </row>
    <row r="25" spans="1:2" s="3035" customFormat="1">
      <c r="A25" s="3043" t="s">
        <v>25</v>
      </c>
      <c r="B25" s="3044" t="str">
        <f>'预评函-2'!D9</f>
        <v>零元整</v>
      </c>
    </row>
    <row r="26" spans="1:2" s="3035" customFormat="1">
      <c r="A26" s="3043" t="s">
        <v>26</v>
      </c>
      <c r="B26" s="3044">
        <f>'预评函-2'!D10</f>
        <v>0</v>
      </c>
    </row>
    <row r="27" spans="1:2" s="3035" customFormat="1">
      <c r="A27" s="3043" t="s">
        <v>27</v>
      </c>
      <c r="B27" s="3044">
        <f>'预评函-2'!D11</f>
        <v>0</v>
      </c>
    </row>
    <row r="28" spans="1:2" s="3035" customFormat="1">
      <c r="A28" s="3043" t="s">
        <v>28</v>
      </c>
      <c r="B28" s="3044">
        <f>'预评函-2'!D12</f>
        <v>0</v>
      </c>
    </row>
    <row r="29" spans="1:2" s="3035" customFormat="1">
      <c r="A29" s="3043" t="s">
        <v>29</v>
      </c>
      <c r="B29" s="3044" t="str">
        <f>'预评函-2'!B13</f>
        <v>3.房地产抵押价值</v>
      </c>
    </row>
    <row r="30" spans="1:2" s="3035" customFormat="1">
      <c r="A30" s="3043" t="s">
        <v>30</v>
      </c>
      <c r="B30" s="3044">
        <f ca="1">'预评函-2'!D13</f>
        <v>338304</v>
      </c>
    </row>
    <row r="31" spans="1:2" s="3035" customFormat="1">
      <c r="A31" s="3043" t="s">
        <v>31</v>
      </c>
      <c r="B31" s="3044">
        <f ca="1">'预评函-2'!D15</f>
        <v>86252</v>
      </c>
    </row>
    <row r="32" spans="1:2" s="3035" customFormat="1">
      <c r="A32" s="3043" t="s">
        <v>32</v>
      </c>
      <c r="B32" s="3044" t="str">
        <f ca="1">'预评函-2'!D14</f>
        <v>叁拾叁亿捌仟叁佰零肆万元整</v>
      </c>
    </row>
    <row r="33" spans="1:2" s="3035" customFormat="1">
      <c r="A33" s="3043" t="s">
        <v>33</v>
      </c>
      <c r="B33" s="3044" t="str">
        <f>'预评函-2'!B16</f>
        <v>——</v>
      </c>
    </row>
    <row r="34" spans="1:2" s="3035" customFormat="1">
      <c r="A34" s="3043" t="s">
        <v>34</v>
      </c>
      <c r="B34" s="3044" t="str">
        <f>'预评函-2'!D16</f>
        <v>——</v>
      </c>
    </row>
    <row r="35" spans="1:2" s="3035" customFormat="1">
      <c r="A35" s="3043" t="s">
        <v>35</v>
      </c>
      <c r="B35" s="3044" t="str">
        <f>'预评函-2'!D18</f>
        <v>——</v>
      </c>
    </row>
    <row r="36" spans="1:2" s="3035" customFormat="1">
      <c r="A36" s="3043" t="s">
        <v>36</v>
      </c>
      <c r="B36" s="3044" t="e">
        <f>'预评函-2'!D17</f>
        <v>#VALUE!</v>
      </c>
    </row>
    <row r="37" spans="1:2" s="3035" customFormat="1">
      <c r="A37" s="3043" t="s">
        <v>37</v>
      </c>
      <c r="B37" s="3044" t="str">
        <f>'预评函-2'!B19</f>
        <v>——</v>
      </c>
    </row>
    <row r="38" spans="1:2" s="3035" customFormat="1">
      <c r="A38" s="3043" t="s">
        <v>38</v>
      </c>
      <c r="B38" s="3044" t="str">
        <f>'预评函-2'!D19</f>
        <v>——</v>
      </c>
    </row>
    <row r="39" spans="1:2" s="3035" customFormat="1">
      <c r="A39" s="3043" t="s">
        <v>39</v>
      </c>
      <c r="B39" s="3044" t="str">
        <f>'预评函-2'!D21</f>
        <v>——</v>
      </c>
    </row>
    <row r="40" spans="1:2" s="3035" customFormat="1">
      <c r="A40" s="3043" t="s">
        <v>40</v>
      </c>
      <c r="B40" s="3044" t="e">
        <f>'预评函-2'!D20</f>
        <v>#VALUE!</v>
      </c>
    </row>
    <row r="41" spans="1:2" s="3035" customFormat="1">
      <c r="A41" s="3043" t="s">
        <v>41</v>
      </c>
      <c r="B41" s="3044" t="str">
        <f>'预评函-3'!A4</f>
        <v>北京市房地产</v>
      </c>
    </row>
    <row r="42" spans="1:2" s="3035" customFormat="1">
      <c r="A42" s="3043" t="s">
        <v>42</v>
      </c>
      <c r="B42" s="3044" t="str">
        <f>'预评函-3'!B2</f>
        <v>建筑面积</v>
      </c>
    </row>
    <row r="43" spans="1:2" s="3035" customFormat="1">
      <c r="A43" s="3043" t="s">
        <v>43</v>
      </c>
      <c r="B43" s="3044">
        <f>'预评函-3'!B4</f>
        <v>39222.729999999996</v>
      </c>
    </row>
    <row r="44" spans="1:2" s="3035" customFormat="1">
      <c r="A44" s="3043" t="s">
        <v>44</v>
      </c>
      <c r="B44" s="3044" t="str">
        <f>'预评函-3'!C2</f>
        <v>(分摊)土地面积</v>
      </c>
    </row>
    <row r="45" spans="1:2" s="3035" customFormat="1">
      <c r="A45" s="3043" t="s">
        <v>45</v>
      </c>
      <c r="B45" s="3044">
        <f>'预评函-3'!C4</f>
        <v>11660.67</v>
      </c>
    </row>
    <row r="46" spans="1:2" s="3035" customFormat="1">
      <c r="A46" s="3043" t="s">
        <v>46</v>
      </c>
      <c r="B46" s="3044" t="str">
        <f>'预评函-3'!D2</f>
        <v>出让国有建设用地使用权价值</v>
      </c>
    </row>
    <row r="47" spans="1:2" s="3035" customFormat="1">
      <c r="A47" s="3043" t="s">
        <v>47</v>
      </c>
      <c r="B47" s="3044">
        <f ca="1">'预评函-3'!D4</f>
        <v>325448</v>
      </c>
    </row>
    <row r="48" spans="1:2" s="3035" customFormat="1">
      <c r="A48" s="3043" t="s">
        <v>48</v>
      </c>
      <c r="B48" s="3044">
        <f ca="1">'预评函-3'!E4</f>
        <v>82974</v>
      </c>
    </row>
    <row r="49" spans="1:2" s="3035" customFormat="1">
      <c r="A49" s="3043" t="s">
        <v>49</v>
      </c>
      <c r="B49" s="3044" t="str">
        <f ca="1">'预评函-3'!D5</f>
        <v>叁拾贰亿伍仟肆佰肆拾捌万元整</v>
      </c>
    </row>
    <row r="50" spans="1:2" s="3035" customFormat="1">
      <c r="A50" s="3043" t="s">
        <v>50</v>
      </c>
      <c r="B50" s="3044" t="str">
        <f>'预评函-3'!F2</f>
        <v>在建建筑物价值</v>
      </c>
    </row>
    <row r="51" spans="1:2" s="3035" customFormat="1">
      <c r="A51" s="3043" t="s">
        <v>51</v>
      </c>
      <c r="B51" s="3044">
        <f ca="1">'预评函-3'!F4</f>
        <v>12856</v>
      </c>
    </row>
    <row r="52" spans="1:2" s="3035" customFormat="1">
      <c r="A52" s="3043" t="s">
        <v>52</v>
      </c>
      <c r="B52" s="3044">
        <f ca="1">'预评函-3'!G4</f>
        <v>3278</v>
      </c>
    </row>
    <row r="53" spans="1:2" s="3035" customFormat="1">
      <c r="A53" s="3043" t="s">
        <v>53</v>
      </c>
      <c r="B53" s="3044" t="str">
        <f ca="1">'预评函-3'!F5</f>
        <v>壹亿贰仟捌佰伍拾陆万元整</v>
      </c>
    </row>
    <row r="54" spans="1:2" s="3035" customFormat="1">
      <c r="A54" s="3043" t="s">
        <v>54</v>
      </c>
      <c r="B54" s="3044" t="str">
        <f>'预评函-3'!A8</f>
        <v>房地产抵押价值</v>
      </c>
    </row>
    <row r="55" spans="1:2" s="3035" customFormat="1">
      <c r="A55" s="3043" t="s">
        <v>55</v>
      </c>
      <c r="B55" s="3044" t="str">
        <f>'预评函-3'!A10</f>
        <v/>
      </c>
    </row>
    <row r="56" spans="1:2" s="3035" customFormat="1">
      <c r="A56" s="3043" t="s">
        <v>56</v>
      </c>
      <c r="B56" s="3044" t="str">
        <f>'预评函-3'!A12</f>
        <v/>
      </c>
    </row>
    <row r="57" spans="1:2" s="3033" customFormat="1">
      <c r="A57" s="3045" t="s">
        <v>57</v>
      </c>
      <c r="B57" s="3046" t="str">
        <f>'预评函-3'!A6</f>
        <v>估价师知悉的法定优先受偿款</v>
      </c>
    </row>
    <row r="58" spans="1:2" s="3034" customFormat="1">
      <c r="A58" s="3041" t="s">
        <v>58</v>
      </c>
      <c r="B58" s="3042" t="str">
        <f>'预评函-4'!A12</f>
        <v>2.本《评估意见函》仅供金融机构进行内部审核使用，不做其他目的之用。</v>
      </c>
    </row>
    <row r="59" spans="1:2" s="3035" customFormat="1">
      <c r="A59" s="3043" t="s">
        <v>59</v>
      </c>
      <c r="B59" s="3044" t="str">
        <f>'预评函-4'!A13</f>
        <v>3.抵押双方在办理抵押登记手续时，应使用本公司出具的正式《房地产评估报告》，特提醒报告使用者注意。</v>
      </c>
    </row>
    <row r="60" spans="1:2" s="3035" customFormat="1">
      <c r="A60" s="3043" t="s">
        <v>60</v>
      </c>
      <c r="B60" s="3044" t="str">
        <f>'预评函-4'!A14</f>
        <v>4.本次评估估价师所知悉的法定优先受偿款情况说明如下：</v>
      </c>
    </row>
    <row r="61" spans="1:2" s="3035" customFormat="1">
      <c r="A61" s="3043" t="s">
        <v>61</v>
      </c>
      <c r="B61" s="3044" t="str">
        <f>'预评函-4'!A15</f>
        <v>（1）根据估价对象《房屋所有权证》原件、《国有土地使用权》复印件，截至价值时点，估价对象抵押权未见登记。</v>
      </c>
    </row>
    <row r="62" spans="1:2" s="3035" customFormat="1">
      <c r="A62" s="3043" t="s">
        <v>62</v>
      </c>
      <c r="B62" s="3044" t="str">
        <f>'预评函-4'!A16</f>
        <v>（2）根据《工程款支付情况说明》，截至价值时点，估价对象不存在应付未付工程款项。（只要没有施工方盖章的，均“设定”进行表述）</v>
      </c>
    </row>
    <row r="63" spans="1:2" s="3035" customFormat="1">
      <c r="A63" s="3043" t="s">
        <v>63</v>
      </c>
      <c r="B63" s="30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5" customFormat="1">
      <c r="A64" s="3043" t="s">
        <v>64</v>
      </c>
      <c r="B64" s="3044" t="str">
        <f>'预评函-4'!A18</f>
        <v>故，本次评估不存在估价师知悉的法定优先受偿款</v>
      </c>
    </row>
    <row r="65" spans="1:2" s="3035" customFormat="1">
      <c r="A65" s="3043" t="s">
        <v>65</v>
      </c>
      <c r="B65" s="30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5" customFormat="1">
      <c r="A66" s="3043" t="s">
        <v>66</v>
      </c>
      <c r="B66" s="30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35" customFormat="1">
      <c r="A67" s="3043" t="s">
        <v>67</v>
      </c>
      <c r="B67" s="30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35" customFormat="1">
      <c r="A68" s="3043" t="s">
        <v>68</v>
      </c>
      <c r="B68" s="3044" t="str">
        <f>'预评函-4'!A22</f>
        <v>8.其他需特殊说明事项：无（注意调整序号）</v>
      </c>
    </row>
    <row r="69" spans="1:2" s="3033" customFormat="1">
      <c r="A69" s="3045" t="s">
        <v>69</v>
      </c>
      <c r="B69" s="3047">
        <f>'预评函-4'!C31</f>
        <v>42551</v>
      </c>
    </row>
    <row r="70" spans="1:2">
      <c r="A70" s="3048" t="s">
        <v>70</v>
      </c>
      <c r="B70" s="3049">
        <f>'预评函-4'!A4</f>
        <v>0</v>
      </c>
    </row>
    <row r="71" spans="1:2">
      <c r="A71" s="3043" t="s">
        <v>71</v>
      </c>
      <c r="B71" s="3044">
        <f>'预评函-4'!B4</f>
        <v>0</v>
      </c>
    </row>
    <row r="72" spans="1:2">
      <c r="A72" s="3043" t="s">
        <v>72</v>
      </c>
      <c r="B72" s="3050">
        <f>'预评函-4'!A5</f>
        <v>0</v>
      </c>
    </row>
    <row r="73" spans="1:2" s="3033" customFormat="1">
      <c r="A73" s="3045" t="s">
        <v>73</v>
      </c>
      <c r="B73" s="3046">
        <f>'预评函-4'!B5</f>
        <v>0</v>
      </c>
    </row>
    <row r="74" spans="1:2">
      <c r="A74" s="3036" t="s">
        <v>74</v>
      </c>
      <c r="B74" s="3037"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9" sqref="B29"/>
    </sheetView>
  </sheetViews>
  <sheetFormatPr defaultColWidth="9" defaultRowHeight="13.5"/>
  <cols>
    <col min="1" max="1" width="13.5" style="2910" customWidth="1"/>
    <col min="2" max="2" width="23.25" style="2911" customWidth="1"/>
    <col min="3" max="3" width="13" style="2912" customWidth="1"/>
    <col min="4" max="4" width="5.75" style="2913" customWidth="1"/>
    <col min="5" max="5" width="7.125" style="2913" customWidth="1"/>
    <col min="6" max="6" width="10.625" style="2913" customWidth="1"/>
    <col min="7" max="7" width="7.5" style="2913" customWidth="1"/>
    <col min="8" max="8" width="9" style="2912" customWidth="1"/>
    <col min="9" max="9" width="11.625" style="2912" customWidth="1"/>
    <col min="10" max="10" width="9" style="2912" customWidth="1"/>
    <col min="11" max="19" width="9" style="2913" customWidth="1"/>
    <col min="20" max="23" width="9" style="2912" customWidth="1"/>
    <col min="24" max="24" width="21.125" style="2911" customWidth="1"/>
    <col min="25" max="16384" width="9" style="2911"/>
  </cols>
  <sheetData>
    <row r="1" spans="1:23" s="2909" customFormat="1" ht="27">
      <c r="A1" s="2914" t="s">
        <v>208</v>
      </c>
      <c r="B1" s="2915" t="s">
        <v>209</v>
      </c>
      <c r="C1" s="2916" t="s">
        <v>210</v>
      </c>
      <c r="D1" s="2917" t="s">
        <v>211</v>
      </c>
      <c r="E1" s="2917" t="s">
        <v>212</v>
      </c>
      <c r="F1" s="2917" t="s">
        <v>213</v>
      </c>
      <c r="G1" s="2917" t="s">
        <v>214</v>
      </c>
      <c r="H1" s="2917" t="s">
        <v>215</v>
      </c>
      <c r="I1" s="2917" t="s">
        <v>216</v>
      </c>
      <c r="J1" s="2917" t="s">
        <v>217</v>
      </c>
      <c r="K1" s="2917" t="s">
        <v>218</v>
      </c>
      <c r="L1" s="2917" t="s">
        <v>219</v>
      </c>
      <c r="M1" s="2917" t="s">
        <v>220</v>
      </c>
      <c r="N1" s="2917" t="s">
        <v>221</v>
      </c>
      <c r="O1" s="2917" t="s">
        <v>222</v>
      </c>
      <c r="P1" s="2926" t="s">
        <v>223</v>
      </c>
      <c r="Q1" s="2926" t="s">
        <v>224</v>
      </c>
      <c r="R1" s="2917" t="s">
        <v>225</v>
      </c>
      <c r="S1" s="2917" t="s">
        <v>226</v>
      </c>
      <c r="T1" s="2927" t="s">
        <v>227</v>
      </c>
      <c r="U1" s="2917" t="s">
        <v>228</v>
      </c>
      <c r="V1" s="2917" t="s">
        <v>229</v>
      </c>
      <c r="W1" s="2917" t="s">
        <v>230</v>
      </c>
    </row>
    <row r="2" spans="1:23">
      <c r="A2" s="2918" t="s">
        <v>124</v>
      </c>
      <c r="B2" s="2918" t="s">
        <v>231</v>
      </c>
      <c r="C2" s="2919" t="s">
        <v>232</v>
      </c>
      <c r="D2" s="2913" t="s">
        <v>233</v>
      </c>
      <c r="E2" s="2913" t="s">
        <v>234</v>
      </c>
      <c r="F2" s="2913" t="s">
        <v>159</v>
      </c>
      <c r="G2" s="2913">
        <v>40</v>
      </c>
      <c r="H2" s="2913" t="s">
        <v>159</v>
      </c>
      <c r="I2" s="2913" t="s">
        <v>235</v>
      </c>
      <c r="J2" s="2913" t="s">
        <v>236</v>
      </c>
      <c r="K2" s="2913" t="s">
        <v>237</v>
      </c>
      <c r="L2" s="2913" t="s">
        <v>237</v>
      </c>
      <c r="M2" s="2913" t="s">
        <v>237</v>
      </c>
      <c r="N2" s="2913" t="s">
        <v>237</v>
      </c>
      <c r="O2" s="2913" t="s">
        <v>237</v>
      </c>
      <c r="P2" s="2913" t="s">
        <v>237</v>
      </c>
      <c r="Q2" s="2913" t="s">
        <v>237</v>
      </c>
      <c r="R2" s="2913" t="s">
        <v>238</v>
      </c>
      <c r="S2" s="2913" t="s">
        <v>237</v>
      </c>
      <c r="T2" s="2913" t="s">
        <v>239</v>
      </c>
      <c r="U2" s="2913" t="s">
        <v>237</v>
      </c>
      <c r="V2" s="2913" t="s">
        <v>240</v>
      </c>
      <c r="W2" s="2913" t="s">
        <v>237</v>
      </c>
    </row>
    <row r="3" spans="1:23">
      <c r="A3" s="2918" t="s">
        <v>241</v>
      </c>
      <c r="B3" s="2920" t="s">
        <v>242</v>
      </c>
      <c r="C3" s="2921" t="s">
        <v>243</v>
      </c>
      <c r="D3" s="2913" t="s">
        <v>244</v>
      </c>
      <c r="E3" s="2913" t="s">
        <v>124</v>
      </c>
      <c r="F3" s="2913" t="s">
        <v>160</v>
      </c>
      <c r="G3" s="2913">
        <v>50</v>
      </c>
      <c r="H3" s="2913" t="s">
        <v>160</v>
      </c>
      <c r="I3" s="2913" t="s">
        <v>245</v>
      </c>
      <c r="J3" s="2913" t="s">
        <v>246</v>
      </c>
      <c r="K3" s="2913" t="s">
        <v>247</v>
      </c>
      <c r="L3" s="2913" t="s">
        <v>247</v>
      </c>
      <c r="M3" s="2913" t="s">
        <v>247</v>
      </c>
      <c r="N3" s="2913" t="s">
        <v>247</v>
      </c>
      <c r="O3" s="2913" t="s">
        <v>247</v>
      </c>
      <c r="P3" s="2913" t="s">
        <v>247</v>
      </c>
      <c r="Q3" s="2913" t="s">
        <v>247</v>
      </c>
      <c r="R3" s="2913" t="s">
        <v>248</v>
      </c>
      <c r="S3" s="2913" t="s">
        <v>247</v>
      </c>
      <c r="T3" s="2913" t="s">
        <v>249</v>
      </c>
      <c r="U3" s="2913" t="s">
        <v>247</v>
      </c>
      <c r="V3" s="2913" t="s">
        <v>250</v>
      </c>
      <c r="W3" s="2913" t="s">
        <v>247</v>
      </c>
    </row>
    <row r="4" spans="1:23">
      <c r="A4" s="2918" t="s">
        <v>251</v>
      </c>
      <c r="B4" s="2918" t="s">
        <v>252</v>
      </c>
      <c r="C4" s="2919" t="s">
        <v>253</v>
      </c>
      <c r="D4" s="2913" t="s">
        <v>124</v>
      </c>
      <c r="E4" s="2913" t="s">
        <v>254</v>
      </c>
      <c r="F4" s="2913" t="s">
        <v>161</v>
      </c>
      <c r="G4" s="2913">
        <v>70</v>
      </c>
      <c r="H4" s="2913" t="s">
        <v>161</v>
      </c>
      <c r="I4" s="2913" t="s">
        <v>255</v>
      </c>
      <c r="K4" s="2913" t="s">
        <v>256</v>
      </c>
      <c r="L4" s="2913" t="s">
        <v>256</v>
      </c>
      <c r="M4" s="2913" t="s">
        <v>256</v>
      </c>
      <c r="N4" s="2913" t="s">
        <v>256</v>
      </c>
      <c r="O4" s="2913" t="s">
        <v>256</v>
      </c>
      <c r="P4" s="2913" t="s">
        <v>256</v>
      </c>
      <c r="Q4" s="2913" t="s">
        <v>256</v>
      </c>
      <c r="R4" s="2913" t="s">
        <v>257</v>
      </c>
      <c r="S4" s="2913" t="s">
        <v>256</v>
      </c>
      <c r="T4" s="2913" t="s">
        <v>258</v>
      </c>
      <c r="U4" s="2913" t="s">
        <v>256</v>
      </c>
      <c r="W4" s="2913" t="s">
        <v>256</v>
      </c>
    </row>
    <row r="5" spans="1:23">
      <c r="A5" s="2918" t="s">
        <v>259</v>
      </c>
      <c r="B5" s="2918" t="s">
        <v>260</v>
      </c>
      <c r="C5" s="2919" t="s">
        <v>261</v>
      </c>
      <c r="F5" s="2913" t="s">
        <v>162</v>
      </c>
      <c r="H5" s="2913" t="s">
        <v>262</v>
      </c>
      <c r="I5" s="2913" t="s">
        <v>263</v>
      </c>
      <c r="K5" s="2913" t="s">
        <v>264</v>
      </c>
      <c r="L5" s="2913" t="s">
        <v>264</v>
      </c>
      <c r="M5" s="2913" t="s">
        <v>264</v>
      </c>
      <c r="N5" s="2913" t="s">
        <v>264</v>
      </c>
      <c r="O5" s="2913" t="s">
        <v>264</v>
      </c>
      <c r="P5" s="2913" t="s">
        <v>264</v>
      </c>
      <c r="Q5" s="2913" t="s">
        <v>264</v>
      </c>
      <c r="R5" s="2913" t="s">
        <v>265</v>
      </c>
      <c r="S5" s="2913" t="s">
        <v>264</v>
      </c>
      <c r="T5" s="2913" t="s">
        <v>266</v>
      </c>
      <c r="U5" s="2913" t="s">
        <v>264</v>
      </c>
      <c r="W5" s="2913" t="s">
        <v>264</v>
      </c>
    </row>
    <row r="6" spans="1:23">
      <c r="A6" s="2918" t="s">
        <v>267</v>
      </c>
      <c r="B6" s="2920" t="s">
        <v>268</v>
      </c>
      <c r="C6" s="2922" t="s">
        <v>269</v>
      </c>
      <c r="F6" s="2913" t="s">
        <v>262</v>
      </c>
      <c r="H6" s="2913" t="s">
        <v>164</v>
      </c>
      <c r="I6" s="2913" t="s">
        <v>270</v>
      </c>
      <c r="K6" s="2913" t="s">
        <v>271</v>
      </c>
      <c r="L6" s="2913" t="s">
        <v>271</v>
      </c>
      <c r="M6" s="2913" t="s">
        <v>271</v>
      </c>
      <c r="N6" s="2913" t="s">
        <v>271</v>
      </c>
      <c r="O6" s="2913" t="s">
        <v>271</v>
      </c>
      <c r="P6" s="2913" t="s">
        <v>271</v>
      </c>
      <c r="Q6" s="2913" t="s">
        <v>271</v>
      </c>
      <c r="R6" s="2913" t="s">
        <v>272</v>
      </c>
      <c r="S6" s="2913" t="s">
        <v>271</v>
      </c>
      <c r="T6" s="2913"/>
      <c r="U6" s="2913" t="s">
        <v>271</v>
      </c>
      <c r="W6" s="2913" t="s">
        <v>271</v>
      </c>
    </row>
    <row r="7" spans="1:23">
      <c r="A7" s="2918" t="s">
        <v>273</v>
      </c>
      <c r="B7" s="2920" t="s">
        <v>274</v>
      </c>
      <c r="C7" s="2919" t="s">
        <v>275</v>
      </c>
      <c r="F7" s="2913" t="s">
        <v>276</v>
      </c>
      <c r="H7" s="2913" t="s">
        <v>162</v>
      </c>
      <c r="I7" s="2913" t="s">
        <v>277</v>
      </c>
    </row>
    <row r="8" spans="1:23">
      <c r="A8" s="2918" t="s">
        <v>278</v>
      </c>
      <c r="B8" s="2918" t="s">
        <v>279</v>
      </c>
      <c r="C8" s="2919" t="s">
        <v>280</v>
      </c>
      <c r="F8" s="2913" t="s">
        <v>281</v>
      </c>
      <c r="H8" s="2913"/>
      <c r="I8" s="2913" t="s">
        <v>282</v>
      </c>
    </row>
    <row r="9" spans="1:23">
      <c r="A9" s="2918" t="s">
        <v>283</v>
      </c>
      <c r="B9" s="2918" t="s">
        <v>284</v>
      </c>
      <c r="C9" s="2919" t="s">
        <v>285</v>
      </c>
      <c r="F9" s="2913" t="s">
        <v>164</v>
      </c>
      <c r="H9" s="2913"/>
    </row>
    <row r="10" spans="1:23">
      <c r="A10" s="2918" t="s">
        <v>286</v>
      </c>
      <c r="B10" s="2918" t="s">
        <v>287</v>
      </c>
      <c r="C10" s="2919" t="s">
        <v>288</v>
      </c>
      <c r="F10" s="2913" t="s">
        <v>124</v>
      </c>
    </row>
    <row r="11" spans="1:23">
      <c r="A11" s="2918" t="s">
        <v>289</v>
      </c>
      <c r="B11" s="2918" t="s">
        <v>290</v>
      </c>
      <c r="C11" s="2919" t="s">
        <v>291</v>
      </c>
    </row>
    <row r="12" spans="1:23">
      <c r="A12" s="2918" t="s">
        <v>292</v>
      </c>
      <c r="B12" s="2918" t="s">
        <v>293</v>
      </c>
      <c r="C12" s="2919" t="s">
        <v>294</v>
      </c>
    </row>
    <row r="13" spans="1:23">
      <c r="A13" s="2918" t="s">
        <v>295</v>
      </c>
      <c r="B13" s="2918" t="s">
        <v>296</v>
      </c>
      <c r="C13" s="2919" t="s">
        <v>297</v>
      </c>
    </row>
    <row r="14" spans="1:23">
      <c r="A14" s="2918" t="s">
        <v>298</v>
      </c>
      <c r="B14" s="2918" t="s">
        <v>299</v>
      </c>
      <c r="C14" s="2913" t="s">
        <v>124</v>
      </c>
    </row>
    <row r="15" spans="1:23">
      <c r="A15" s="2918" t="s">
        <v>300</v>
      </c>
      <c r="B15" s="2918" t="s">
        <v>301</v>
      </c>
      <c r="C15" s="2919"/>
    </row>
    <row r="16" spans="1:23">
      <c r="A16" s="2918" t="s">
        <v>302</v>
      </c>
      <c r="B16" s="2918" t="s">
        <v>303</v>
      </c>
      <c r="C16" s="2919"/>
    </row>
    <row r="17" spans="1:3">
      <c r="A17" s="2918" t="s">
        <v>304</v>
      </c>
      <c r="B17" s="2918" t="s">
        <v>305</v>
      </c>
      <c r="C17" s="2919"/>
    </row>
    <row r="18" spans="1:3">
      <c r="A18" s="2918" t="s">
        <v>306</v>
      </c>
      <c r="B18" s="2918" t="s">
        <v>307</v>
      </c>
      <c r="C18" s="2919"/>
    </row>
    <row r="19" spans="1:3">
      <c r="A19" s="2918" t="s">
        <v>308</v>
      </c>
      <c r="B19" s="2918" t="s">
        <v>307</v>
      </c>
      <c r="C19" s="2919"/>
    </row>
    <row r="20" spans="1:3">
      <c r="A20" s="2918" t="s">
        <v>309</v>
      </c>
      <c r="B20" s="2918" t="s">
        <v>307</v>
      </c>
      <c r="C20" s="2919"/>
    </row>
    <row r="21" spans="1:3">
      <c r="A21" s="2918" t="s">
        <v>262</v>
      </c>
      <c r="B21" s="2918" t="s">
        <v>307</v>
      </c>
      <c r="C21" s="2919"/>
    </row>
    <row r="22" spans="1:3">
      <c r="A22" s="2918" t="s">
        <v>310</v>
      </c>
      <c r="B22" s="2918" t="s">
        <v>307</v>
      </c>
      <c r="C22" s="2919"/>
    </row>
    <row r="23" spans="1:3">
      <c r="A23" s="2918" t="s">
        <v>311</v>
      </c>
      <c r="B23" s="2918" t="s">
        <v>307</v>
      </c>
      <c r="C23" s="2919"/>
    </row>
    <row r="24" spans="1:3">
      <c r="A24" s="2918" t="s">
        <v>312</v>
      </c>
      <c r="B24" s="2918" t="s">
        <v>307</v>
      </c>
      <c r="C24" s="2919"/>
    </row>
    <row r="25" spans="1:3">
      <c r="A25" s="2918" t="s">
        <v>313</v>
      </c>
      <c r="B25" s="2918" t="s">
        <v>307</v>
      </c>
      <c r="C25" s="2919"/>
    </row>
    <row r="26" spans="1:3">
      <c r="A26" s="2918" t="s">
        <v>314</v>
      </c>
      <c r="B26" s="2918" t="s">
        <v>307</v>
      </c>
      <c r="C26" s="2919"/>
    </row>
    <row r="27" spans="1:3">
      <c r="A27" s="2918" t="s">
        <v>307</v>
      </c>
      <c r="B27" s="2918" t="s">
        <v>307</v>
      </c>
      <c r="C27" s="2919"/>
    </row>
    <row r="28" spans="1:3">
      <c r="A28" s="2918" t="s">
        <v>307</v>
      </c>
      <c r="B28" s="2918" t="s">
        <v>307</v>
      </c>
      <c r="C28" s="2919"/>
    </row>
    <row r="29" spans="1:3">
      <c r="A29" s="2918" t="s">
        <v>307</v>
      </c>
      <c r="B29" s="2918" t="s">
        <v>307</v>
      </c>
      <c r="C29" s="2919"/>
    </row>
    <row r="30" spans="1:3">
      <c r="A30" s="2918" t="s">
        <v>307</v>
      </c>
      <c r="B30" s="2918" t="s">
        <v>307</v>
      </c>
      <c r="C30" s="2919"/>
    </row>
    <row r="31" spans="1:3">
      <c r="A31" s="2918" t="s">
        <v>307</v>
      </c>
      <c r="B31" s="2918" t="s">
        <v>307</v>
      </c>
      <c r="C31" s="2919"/>
    </row>
    <row r="32" spans="1:3">
      <c r="A32" s="2918" t="s">
        <v>307</v>
      </c>
      <c r="B32" s="2918" t="s">
        <v>307</v>
      </c>
      <c r="C32" s="2919"/>
    </row>
    <row r="33" spans="1:3">
      <c r="A33" s="2918" t="s">
        <v>307</v>
      </c>
      <c r="B33" s="2918" t="s">
        <v>307</v>
      </c>
      <c r="C33" s="2919"/>
    </row>
    <row r="34" spans="1:3">
      <c r="A34" s="2918" t="s">
        <v>307</v>
      </c>
      <c r="B34" s="2918" t="s">
        <v>307</v>
      </c>
      <c r="C34" s="2919"/>
    </row>
    <row r="35" spans="1:3">
      <c r="A35" s="2918" t="s">
        <v>307</v>
      </c>
      <c r="B35" s="2918" t="s">
        <v>307</v>
      </c>
      <c r="C35" s="2919"/>
    </row>
    <row r="36" spans="1:3">
      <c r="A36" s="2918" t="s">
        <v>307</v>
      </c>
      <c r="B36" s="2918" t="s">
        <v>307</v>
      </c>
      <c r="C36" s="2919"/>
    </row>
    <row r="37" spans="1:3">
      <c r="A37" s="2918" t="s">
        <v>307</v>
      </c>
      <c r="B37" s="2918" t="s">
        <v>307</v>
      </c>
      <c r="C37" s="2919"/>
    </row>
    <row r="38" spans="1:3">
      <c r="A38" s="2918" t="s">
        <v>307</v>
      </c>
      <c r="B38" s="2918" t="s">
        <v>307</v>
      </c>
      <c r="C38" s="2919"/>
    </row>
    <row r="39" spans="1:3">
      <c r="A39" s="2918" t="s">
        <v>307</v>
      </c>
      <c r="B39" s="2918" t="s">
        <v>307</v>
      </c>
      <c r="C39" s="2919"/>
    </row>
    <row r="40" spans="1:3">
      <c r="A40" s="2918" t="s">
        <v>307</v>
      </c>
      <c r="B40" s="2918" t="s">
        <v>307</v>
      </c>
      <c r="C40" s="2919"/>
    </row>
    <row r="41" spans="1:3">
      <c r="A41" s="2918" t="s">
        <v>307</v>
      </c>
      <c r="B41" s="2918" t="s">
        <v>307</v>
      </c>
      <c r="C41" s="2919"/>
    </row>
    <row r="42" spans="1:3">
      <c r="A42" s="2918" t="s">
        <v>307</v>
      </c>
      <c r="B42" s="2918" t="s">
        <v>307</v>
      </c>
      <c r="C42" s="2919"/>
    </row>
    <row r="43" spans="1:3">
      <c r="A43" s="2918" t="s">
        <v>307</v>
      </c>
      <c r="B43" s="2918" t="s">
        <v>307</v>
      </c>
      <c r="C43" s="2919"/>
    </row>
    <row r="44" spans="1:3">
      <c r="A44" s="2918" t="s">
        <v>307</v>
      </c>
      <c r="B44" s="2918" t="s">
        <v>307</v>
      </c>
      <c r="C44" s="2919"/>
    </row>
    <row r="45" spans="1:3">
      <c r="A45" s="2918" t="s">
        <v>307</v>
      </c>
      <c r="B45" s="2918" t="s">
        <v>307</v>
      </c>
      <c r="C45" s="2919"/>
    </row>
    <row r="46" spans="1:3">
      <c r="A46" s="2918" t="s">
        <v>307</v>
      </c>
      <c r="B46" s="2918" t="s">
        <v>307</v>
      </c>
      <c r="C46" s="2919"/>
    </row>
    <row r="47" spans="1:3">
      <c r="A47" s="2918" t="s">
        <v>307</v>
      </c>
      <c r="B47" s="2918" t="s">
        <v>307</v>
      </c>
      <c r="C47" s="2919"/>
    </row>
    <row r="48" spans="1:3">
      <c r="A48" s="2918" t="s">
        <v>307</v>
      </c>
      <c r="B48" s="2918" t="s">
        <v>307</v>
      </c>
      <c r="C48" s="2919"/>
    </row>
    <row r="49" spans="1:4">
      <c r="A49" s="2918" t="s">
        <v>307</v>
      </c>
      <c r="B49" s="2918" t="s">
        <v>307</v>
      </c>
      <c r="C49" s="2919"/>
    </row>
    <row r="50" spans="1:4">
      <c r="A50" s="2918" t="s">
        <v>307</v>
      </c>
      <c r="B50" s="2918" t="s">
        <v>307</v>
      </c>
      <c r="C50" s="2919"/>
    </row>
    <row r="51" spans="1:4">
      <c r="A51" s="2923" t="s">
        <v>315</v>
      </c>
      <c r="B51" s="29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24" t="s">
        <v>316</v>
      </c>
    </row>
    <row r="52" spans="1:4">
      <c r="A52" s="2923" t="s">
        <v>317</v>
      </c>
      <c r="B52" s="2923" t="s">
        <v>318</v>
      </c>
      <c r="C52" s="2912" t="s">
        <v>319</v>
      </c>
      <c r="D52" s="2912" t="s">
        <v>320</v>
      </c>
    </row>
    <row r="53" spans="1:4">
      <c r="A53" s="3120" t="s">
        <v>321</v>
      </c>
      <c r="B53" s="2924" t="s">
        <v>322</v>
      </c>
      <c r="C53" s="29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0"/>
      <c r="B54" s="2924" t="s">
        <v>323</v>
      </c>
      <c r="C54" s="2912" t="s">
        <v>324</v>
      </c>
    </row>
    <row r="55" spans="1:4">
      <c r="A55" s="3120"/>
      <c r="B55" s="2924" t="s">
        <v>325</v>
      </c>
      <c r="C55" s="2912" t="s">
        <v>326</v>
      </c>
    </row>
    <row r="56" spans="1:4">
      <c r="A56" s="3120"/>
      <c r="B56" s="2924" t="s">
        <v>327</v>
      </c>
      <c r="C56" s="2912" t="s">
        <v>328</v>
      </c>
    </row>
    <row r="57" spans="1:4">
      <c r="A57" s="3120"/>
      <c r="B57" s="2924" t="s">
        <v>329</v>
      </c>
      <c r="C57" s="2912" t="s">
        <v>330</v>
      </c>
    </row>
    <row r="58" spans="1:4">
      <c r="A58" s="2925"/>
      <c r="B58" s="2912"/>
    </row>
    <row r="59" spans="1:4">
      <c r="A59" s="2925"/>
      <c r="B59" s="2912"/>
    </row>
    <row r="60" spans="1:4">
      <c r="A60" s="2925"/>
      <c r="B60" s="2912"/>
    </row>
    <row r="61" spans="1:4">
      <c r="A61" s="2925"/>
      <c r="B61" s="2912"/>
    </row>
    <row r="62" spans="1:4">
      <c r="A62" s="2925"/>
      <c r="B62" s="2912"/>
    </row>
    <row r="63" spans="1:4">
      <c r="A63" s="2925"/>
      <c r="B63" s="2912"/>
    </row>
    <row r="64" spans="1:4">
      <c r="A64" s="2925"/>
      <c r="B64" s="2912"/>
    </row>
    <row r="65" spans="1:2">
      <c r="A65" s="2925"/>
      <c r="B65" s="2912"/>
    </row>
    <row r="66" spans="1:2">
      <c r="A66" s="2925"/>
      <c r="B66" s="2912"/>
    </row>
    <row r="67" spans="1:2">
      <c r="A67" s="2925"/>
      <c r="B67" s="2912"/>
    </row>
    <row r="68" spans="1:2">
      <c r="A68" s="2925"/>
      <c r="B68" s="2912"/>
    </row>
    <row r="69" spans="1:2">
      <c r="A69" s="2925"/>
      <c r="B69" s="2912"/>
    </row>
    <row r="70" spans="1:2">
      <c r="A70" s="2925"/>
      <c r="B70" s="2912"/>
    </row>
    <row r="71" spans="1:2">
      <c r="A71" s="2925"/>
      <c r="B71" s="2912"/>
    </row>
    <row r="72" spans="1:2">
      <c r="A72" s="2925"/>
      <c r="B72" s="2912"/>
    </row>
    <row r="73" spans="1:2">
      <c r="A73" s="2925"/>
      <c r="B73" s="2912"/>
    </row>
    <row r="74" spans="1:2">
      <c r="A74" s="2925"/>
      <c r="B74" s="2912"/>
    </row>
    <row r="75" spans="1:2">
      <c r="A75" s="2925"/>
      <c r="B75" s="2912"/>
    </row>
    <row r="76" spans="1:2">
      <c r="A76" s="2925"/>
      <c r="B76" s="2912"/>
    </row>
    <row r="77" spans="1:2">
      <c r="A77" s="2925"/>
      <c r="B77" s="2912"/>
    </row>
    <row r="78" spans="1:2">
      <c r="A78" s="2925"/>
      <c r="B78" s="2912"/>
    </row>
    <row r="79" spans="1:2">
      <c r="A79" s="2925"/>
      <c r="B79" s="2912"/>
    </row>
    <row r="80" spans="1:2">
      <c r="A80" s="2925"/>
      <c r="B80" s="2912"/>
    </row>
    <row r="81" spans="1:2">
      <c r="A81" s="2925"/>
      <c r="B81" s="2912"/>
    </row>
    <row r="82" spans="1:2">
      <c r="A82" s="2925"/>
      <c r="B82" s="2912"/>
    </row>
    <row r="83" spans="1:2">
      <c r="A83" s="2925"/>
      <c r="B83" s="2912"/>
    </row>
    <row r="84" spans="1:2">
      <c r="A84" s="2925"/>
      <c r="B84" s="2912"/>
    </row>
    <row r="85" spans="1:2">
      <c r="A85" s="2925"/>
      <c r="B85" s="2912"/>
    </row>
    <row r="86" spans="1:2">
      <c r="A86" s="2925"/>
      <c r="B86" s="2912"/>
    </row>
    <row r="87" spans="1:2">
      <c r="A87" s="2925"/>
      <c r="B87" s="2912"/>
    </row>
    <row r="88" spans="1:2">
      <c r="A88" s="2925"/>
      <c r="B88" s="2912"/>
    </row>
    <row r="89" spans="1:2">
      <c r="A89" s="2925"/>
      <c r="B89" s="2912"/>
    </row>
    <row r="90" spans="1:2">
      <c r="A90" s="2925"/>
      <c r="B90" s="2912"/>
    </row>
    <row r="91" spans="1:2">
      <c r="A91" s="2925"/>
      <c r="B91" s="2912"/>
    </row>
    <row r="92" spans="1:2">
      <c r="A92" s="2925"/>
      <c r="B92" s="2912"/>
    </row>
    <row r="93" spans="1:2">
      <c r="A93" s="2925"/>
      <c r="B93" s="2912"/>
    </row>
    <row r="94" spans="1:2">
      <c r="A94" s="2925"/>
      <c r="B94" s="2912"/>
    </row>
    <row r="95" spans="1:2">
      <c r="A95" s="2925"/>
      <c r="B95" s="2912"/>
    </row>
    <row r="96" spans="1:2">
      <c r="A96" s="2925"/>
      <c r="B96" s="2912"/>
    </row>
    <row r="97" spans="1:2">
      <c r="A97" s="2925"/>
      <c r="B97" s="2912"/>
    </row>
    <row r="98" spans="1:2">
      <c r="A98" s="2925"/>
      <c r="B98" s="2912"/>
    </row>
    <row r="99" spans="1:2">
      <c r="A99" s="2925"/>
      <c r="B99" s="2912"/>
    </row>
    <row r="100" spans="1:2">
      <c r="A100" s="2925"/>
      <c r="B100" s="2912"/>
    </row>
    <row r="101" spans="1:2">
      <c r="A101" s="2925"/>
      <c r="B101" s="2912"/>
    </row>
    <row r="102" spans="1:2">
      <c r="A102" s="2925"/>
      <c r="B102" s="2912"/>
    </row>
    <row r="103" spans="1:2">
      <c r="A103" s="2925"/>
      <c r="B103" s="2912"/>
    </row>
    <row r="104" spans="1:2">
      <c r="A104" s="2925"/>
      <c r="B104" s="2912"/>
    </row>
    <row r="105" spans="1:2">
      <c r="A105" s="2925"/>
      <c r="B105" s="2912"/>
    </row>
    <row r="106" spans="1:2">
      <c r="A106" s="2925"/>
      <c r="B106" s="2912"/>
    </row>
    <row r="107" spans="1:2">
      <c r="A107" s="2925"/>
      <c r="B107" s="2912"/>
    </row>
    <row r="108" spans="1:2">
      <c r="A108" s="2925"/>
      <c r="B108" s="2912"/>
    </row>
    <row r="109" spans="1:2">
      <c r="A109" s="2925"/>
      <c r="B109" s="2912"/>
    </row>
    <row r="110" spans="1:2">
      <c r="A110" s="2925"/>
      <c r="B110" s="2912"/>
    </row>
    <row r="111" spans="1:2">
      <c r="A111" s="2925"/>
      <c r="B111" s="2912"/>
    </row>
    <row r="112" spans="1:2">
      <c r="A112" s="2925"/>
      <c r="B112" s="2912"/>
    </row>
    <row r="113" spans="1:2">
      <c r="A113" s="2925"/>
      <c r="B113" s="2912"/>
    </row>
    <row r="114" spans="1:2">
      <c r="A114" s="2925"/>
      <c r="B114" s="2912"/>
    </row>
    <row r="115" spans="1:2">
      <c r="A115" s="2925"/>
      <c r="B115" s="2912"/>
    </row>
    <row r="116" spans="1:2">
      <c r="A116" s="2925"/>
      <c r="B116" s="2912"/>
    </row>
    <row r="117" spans="1:2">
      <c r="A117" s="2925"/>
      <c r="B117" s="2912"/>
    </row>
    <row r="118" spans="1:2">
      <c r="A118" s="2925"/>
      <c r="B118" s="2912"/>
    </row>
    <row r="119" spans="1:2">
      <c r="A119" s="2925"/>
      <c r="B119" s="2912"/>
    </row>
    <row r="120" spans="1:2">
      <c r="A120" s="2925"/>
      <c r="B120" s="2912"/>
    </row>
    <row r="121" spans="1:2">
      <c r="A121" s="2925"/>
      <c r="B121" s="2912"/>
    </row>
    <row r="122" spans="1:2">
      <c r="A122" s="2925"/>
      <c r="B122" s="2912"/>
    </row>
    <row r="123" spans="1:2">
      <c r="A123" s="2925"/>
      <c r="B123" s="2912"/>
    </row>
    <row r="124" spans="1:2">
      <c r="A124" s="2925"/>
      <c r="B124" s="2912"/>
    </row>
    <row r="125" spans="1:2">
      <c r="A125" s="2925"/>
      <c r="B125" s="2912"/>
    </row>
    <row r="126" spans="1:2">
      <c r="A126" s="2925"/>
      <c r="B126" s="2912"/>
    </row>
    <row r="127" spans="1:2">
      <c r="A127" s="2925"/>
      <c r="B127" s="2912"/>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2400" customWidth="1"/>
    <col min="2" max="2" width="10" style="2400" customWidth="1"/>
    <col min="3" max="3" width="11.5" style="2400" customWidth="1"/>
    <col min="4" max="4" width="10" style="2400" customWidth="1"/>
    <col min="5" max="5" width="12.625" style="2400" customWidth="1"/>
    <col min="6" max="6" width="10" style="2400" customWidth="1"/>
    <col min="7" max="7" width="10.75" style="2400" customWidth="1"/>
    <col min="8" max="8" width="10" style="2400" customWidth="1"/>
    <col min="9" max="9" width="11.125" style="2684" customWidth="1"/>
    <col min="10" max="10" width="10" style="2595" customWidth="1"/>
    <col min="11" max="11" width="10" style="2780" customWidth="1"/>
    <col min="12" max="13" width="10" style="2781" customWidth="1"/>
    <col min="14" max="14" width="10" style="2595" customWidth="1"/>
    <col min="15" max="15" width="10" style="229" customWidth="1"/>
    <col min="16" max="17" width="10" style="2595"/>
    <col min="18" max="18" width="10" style="2595" customWidth="1"/>
    <col min="19" max="30" width="10" style="2595"/>
    <col min="31" max="16384" width="10" style="2400"/>
  </cols>
  <sheetData>
    <row r="1" spans="1:28">
      <c r="A1" s="2782" t="s">
        <v>331</v>
      </c>
      <c r="B1" s="3134" t="str">
        <f>IF(B10="北京市","北京市",C10)&amp;F10&amp;IF(结果表!G1="在建","出让国有建设用地使用权及在建建筑物",IF(结果表!G1="土地","出让国有建设用地使用权",))&amp;B9&amp;"预评估"</f>
        <v>北京市房地产抵押价值预评估</v>
      </c>
      <c r="C1" s="3135"/>
      <c r="D1" s="3135"/>
      <c r="E1" s="3135"/>
      <c r="F1" s="3135"/>
      <c r="G1" s="3135"/>
      <c r="H1" s="3135"/>
      <c r="I1" s="3136"/>
      <c r="J1" s="2350"/>
      <c r="K1" s="2881"/>
      <c r="L1" s="2882"/>
      <c r="M1" s="2882"/>
      <c r="N1" s="2824"/>
      <c r="O1" s="2692"/>
      <c r="P1" s="2824"/>
      <c r="Q1" s="2824"/>
      <c r="R1" s="2824"/>
      <c r="S1" s="2401" t="str">
        <f>IF(B10="北京市","北京市",C10)&amp;F10&amp;IF(结果表!G1="在建","出让国有建设用地使用权及在建建筑物房地产抵押价值",IF(结果表!G1="土地","出让国有建设用地使用权抵押价值",B9))</f>
        <v>北京市房地产抵押价值</v>
      </c>
      <c r="T1" s="2400"/>
      <c r="U1" s="2400"/>
      <c r="V1" s="2400"/>
      <c r="W1" s="2400"/>
      <c r="X1" s="2400"/>
      <c r="Y1" s="2400"/>
      <c r="Z1" s="2400"/>
      <c r="AA1" s="2400"/>
      <c r="AB1" s="2400"/>
    </row>
    <row r="2" spans="1:28">
      <c r="A2" s="2783" t="s">
        <v>332</v>
      </c>
      <c r="B2" s="2784"/>
      <c r="C2" s="2785"/>
      <c r="D2" s="2786"/>
      <c r="E2" s="2787"/>
      <c r="F2" s="2787"/>
      <c r="G2" s="2788"/>
      <c r="H2" s="2788"/>
      <c r="I2" s="2788"/>
      <c r="J2" s="2350"/>
      <c r="K2" s="2881"/>
      <c r="L2" s="2882"/>
      <c r="M2" s="2882"/>
      <c r="N2" s="2824"/>
      <c r="O2" s="2692"/>
      <c r="P2" s="2824"/>
      <c r="Q2" s="2824"/>
      <c r="R2" s="2824"/>
      <c r="S2" s="2401" t="str">
        <f>IF(B10="北京市","北京市",C10)&amp;F10&amp;IF(结果表!G1="在建","出让国有建设用地使用权及在建建筑物房地产",IF(结果表!G1="土地","出让国有建设用地使用权","房地产"))</f>
        <v>北京市房地产</v>
      </c>
      <c r="T2" s="2400"/>
      <c r="U2" s="2400"/>
      <c r="V2" s="2400"/>
      <c r="W2" s="2400"/>
      <c r="X2" s="2400"/>
      <c r="Y2" s="2400"/>
      <c r="Z2" s="2400"/>
      <c r="AA2" s="2400"/>
      <c r="AB2" s="2400"/>
    </row>
    <row r="3" spans="1:28">
      <c r="A3" s="1657" t="s">
        <v>333</v>
      </c>
      <c r="B3" s="2789">
        <v>44288</v>
      </c>
      <c r="C3" s="2790" t="s">
        <v>334</v>
      </c>
      <c r="D3" s="2789">
        <f>B3</f>
        <v>44288</v>
      </c>
      <c r="E3" s="2788"/>
      <c r="F3" s="2788"/>
      <c r="G3" s="2788"/>
      <c r="H3" s="2788"/>
      <c r="I3" s="2788"/>
      <c r="J3" s="2350"/>
      <c r="K3" s="2881"/>
      <c r="L3" s="2882"/>
      <c r="M3" s="2882"/>
      <c r="N3" s="2824"/>
      <c r="O3" s="2692"/>
      <c r="P3" s="2824"/>
      <c r="Q3" s="2824"/>
      <c r="R3" s="2824"/>
      <c r="S3" s="2401"/>
      <c r="T3" s="2400"/>
      <c r="U3" s="2400"/>
      <c r="V3" s="2400"/>
      <c r="W3" s="2400"/>
      <c r="X3" s="2400"/>
      <c r="Y3" s="2400"/>
      <c r="Z3" s="2400"/>
      <c r="AA3" s="2400"/>
      <c r="AB3" s="2400"/>
    </row>
    <row r="4" spans="1:28">
      <c r="A4" s="1679" t="s">
        <v>335</v>
      </c>
      <c r="B4" s="2791"/>
      <c r="C4" s="2792">
        <f>SUMIF(注册房地产估价师,B4,估价师及机构信息!B3:B24)</f>
        <v>0</v>
      </c>
      <c r="D4" s="2791"/>
      <c r="E4" s="2793">
        <f>SUMIF(注册房地产估价师,D4,估价师及机构信息!B3:B24)</f>
        <v>0</v>
      </c>
      <c r="F4" s="2791"/>
      <c r="G4" s="2793">
        <f>SUMIF(注册房地产估价师,F4,估价师及机构信息!B3:B24)</f>
        <v>0</v>
      </c>
      <c r="H4" s="2791"/>
      <c r="I4" s="2793">
        <f>SUMIF(注册房地产估价师,H4,估价师及机构信息!B3:B24)</f>
        <v>0</v>
      </c>
      <c r="J4" s="2384"/>
      <c r="K4" s="2883" t="str">
        <f>CONCATENATE(B4,"（注册号：",C4,")、",D4,"（注册号：",E4,")")</f>
        <v>（注册号：0)、（注册号：0)</v>
      </c>
      <c r="L4" s="2882"/>
      <c r="M4" s="2882"/>
      <c r="N4" s="2824"/>
      <c r="O4" s="2692"/>
      <c r="P4" s="2824"/>
      <c r="Q4" s="2824"/>
      <c r="R4" s="2824"/>
      <c r="S4" s="2401"/>
      <c r="T4" s="2400"/>
      <c r="U4" s="2400"/>
      <c r="V4" s="2400"/>
      <c r="W4" s="2400"/>
      <c r="X4" s="2400"/>
      <c r="Y4" s="2400"/>
      <c r="Z4" s="2400"/>
      <c r="AA4" s="2400"/>
      <c r="AB4" s="2400"/>
    </row>
    <row r="5" spans="1:28">
      <c r="A5" s="2794" t="s">
        <v>336</v>
      </c>
      <c r="B5" s="2795"/>
      <c r="C5" s="2796"/>
      <c r="D5" s="2797"/>
      <c r="E5" s="2504"/>
      <c r="F5" s="2504"/>
      <c r="G5" s="2504"/>
      <c r="H5" s="2504"/>
      <c r="I5" s="2504"/>
      <c r="J5" s="2384"/>
      <c r="K5" s="2883" t="str">
        <f>IF(F4="——","",IF(H4="——",F4&amp;"（注册号："&amp;G4&amp;")",CONCATENATE(F4,"（注册号：",G4,")、",H4,"（注册号：",I4,")")))</f>
        <v>（注册号：0)、（注册号：0)</v>
      </c>
      <c r="L5" s="2882"/>
      <c r="M5" s="2882"/>
      <c r="N5" s="2824"/>
      <c r="O5" s="2692"/>
      <c r="P5" s="2824"/>
      <c r="Q5" s="2824"/>
      <c r="R5" s="2824"/>
      <c r="S5" s="2400"/>
      <c r="T5" s="2400"/>
      <c r="U5" s="2400"/>
      <c r="V5" s="2400"/>
      <c r="W5" s="2400"/>
      <c r="X5" s="2400"/>
      <c r="Y5" s="2400"/>
      <c r="Z5" s="2400"/>
      <c r="AA5" s="2400"/>
      <c r="AB5" s="2400"/>
    </row>
    <row r="6" spans="1:28">
      <c r="A6" s="2798" t="s">
        <v>337</v>
      </c>
      <c r="B6" s="2799"/>
      <c r="C6" s="2800"/>
      <c r="D6" s="2801"/>
      <c r="E6" s="2787"/>
      <c r="F6" s="2504"/>
      <c r="G6" s="2504"/>
      <c r="H6" s="2504"/>
      <c r="I6" s="2504"/>
      <c r="J6" s="2384"/>
      <c r="K6" s="2884" t="str">
        <f>IF(COUNTIF(B6,"*上海银行*"),"上海银行","")</f>
        <v/>
      </c>
      <c r="L6" s="2885"/>
      <c r="M6" s="2885"/>
      <c r="N6" s="2384"/>
      <c r="O6" s="2886"/>
      <c r="P6" s="2384"/>
      <c r="Q6" s="2384"/>
      <c r="R6" s="2384"/>
    </row>
    <row r="7" spans="1:28">
      <c r="A7" s="2798" t="s">
        <v>338</v>
      </c>
      <c r="B7" s="2802"/>
      <c r="C7" s="2800"/>
      <c r="D7" s="2801"/>
      <c r="E7" s="2787"/>
      <c r="F7" s="2504"/>
      <c r="G7" s="2504"/>
      <c r="H7" s="2504"/>
      <c r="I7" s="2504"/>
      <c r="J7" s="2384"/>
      <c r="K7" s="2887"/>
      <c r="L7" s="2885"/>
      <c r="M7" s="2885"/>
      <c r="N7" s="2384"/>
      <c r="O7" s="2886"/>
      <c r="P7" s="2384"/>
      <c r="Q7" s="2384"/>
      <c r="R7" s="2384"/>
    </row>
    <row r="8" spans="1:28">
      <c r="A8" s="2803" t="s">
        <v>339</v>
      </c>
      <c r="B8" s="2804" t="s">
        <v>318</v>
      </c>
      <c r="C8" s="2805"/>
      <c r="D8" s="3149" t="s">
        <v>340</v>
      </c>
      <c r="E8" s="2806" t="s">
        <v>323</v>
      </c>
      <c r="F8" s="2807"/>
      <c r="G8" s="2788"/>
      <c r="H8" s="2788"/>
      <c r="I8" s="2788"/>
      <c r="J8" s="2384"/>
      <c r="K8" s="2888"/>
      <c r="L8" s="2885"/>
      <c r="M8" s="2885"/>
      <c r="N8" s="2384"/>
      <c r="O8" s="2886"/>
      <c r="P8" s="2384"/>
      <c r="Q8" s="2384"/>
      <c r="R8" s="2384"/>
    </row>
    <row r="9" spans="1:28">
      <c r="A9" s="2808" t="s">
        <v>341</v>
      </c>
      <c r="B9" s="2809" t="s">
        <v>323</v>
      </c>
      <c r="C9" s="2810"/>
      <c r="D9" s="3150"/>
      <c r="E9" s="2809"/>
      <c r="F9" s="2811"/>
      <c r="G9" s="2812"/>
      <c r="H9" s="2812"/>
      <c r="I9" s="2812"/>
      <c r="J9" s="2384"/>
      <c r="K9" s="2887"/>
      <c r="L9" s="2885"/>
      <c r="M9" s="2885"/>
      <c r="N9" s="2384"/>
      <c r="O9" s="2886"/>
      <c r="P9" s="2384"/>
      <c r="Q9" s="2384"/>
      <c r="R9" s="2384"/>
    </row>
    <row r="10" spans="1:28">
      <c r="A10" s="2813" t="s">
        <v>342</v>
      </c>
      <c r="B10" s="2814" t="s">
        <v>343</v>
      </c>
      <c r="C10" s="2815"/>
      <c r="D10" s="2797"/>
      <c r="E10" s="2816" t="s">
        <v>344</v>
      </c>
      <c r="F10" s="2817"/>
      <c r="G10" s="2818"/>
      <c r="H10" s="2819"/>
      <c r="I10" s="2889"/>
      <c r="J10" s="2384"/>
      <c r="K10" s="2887"/>
      <c r="L10" s="2885"/>
      <c r="M10" s="2885"/>
      <c r="N10" s="2384"/>
      <c r="O10" s="2886"/>
      <c r="P10" s="2384"/>
      <c r="Q10" s="2384"/>
      <c r="R10" s="2384"/>
    </row>
    <row r="11" spans="1:28">
      <c r="A11" s="2820" t="s">
        <v>345</v>
      </c>
      <c r="B11" s="2821" t="s">
        <v>346</v>
      </c>
      <c r="C11" s="2822"/>
      <c r="D11" s="2823"/>
      <c r="E11" s="2824"/>
      <c r="F11" s="2824"/>
      <c r="G11" s="2824"/>
      <c r="H11" s="2824"/>
      <c r="I11" s="2824"/>
      <c r="J11" s="2384"/>
      <c r="K11" s="2887"/>
      <c r="L11" s="2885"/>
      <c r="M11" s="2885"/>
      <c r="N11" s="2384"/>
      <c r="O11" s="2886"/>
      <c r="P11" s="2384"/>
      <c r="Q11" s="2384"/>
      <c r="R11" s="2384"/>
    </row>
    <row r="12" spans="1:28">
      <c r="A12" s="2825" t="s">
        <v>347</v>
      </c>
      <c r="B12" s="2821" t="s">
        <v>348</v>
      </c>
      <c r="C12" s="1698" t="s">
        <v>349</v>
      </c>
      <c r="D12" s="2826" t="s">
        <v>350</v>
      </c>
      <c r="E12" s="2826" t="s">
        <v>351</v>
      </c>
      <c r="F12" s="2826" t="s">
        <v>352</v>
      </c>
      <c r="G12" s="2826" t="s">
        <v>353</v>
      </c>
      <c r="H12" s="2826" t="s">
        <v>354</v>
      </c>
      <c r="I12" s="2826" t="s">
        <v>355</v>
      </c>
      <c r="J12" s="2384"/>
      <c r="K12" s="2887"/>
      <c r="L12" s="2885"/>
      <c r="M12" s="2885"/>
      <c r="N12" s="2384"/>
      <c r="O12" s="2886"/>
      <c r="P12" s="2384"/>
      <c r="Q12" s="2384"/>
      <c r="R12" s="2384"/>
    </row>
    <row r="13" spans="1:28">
      <c r="A13" s="1684"/>
      <c r="B13" s="2827"/>
      <c r="C13" s="2828" t="s">
        <v>356</v>
      </c>
      <c r="D13" s="2829">
        <v>69749</v>
      </c>
      <c r="E13" s="2829">
        <v>58792</v>
      </c>
      <c r="F13" s="2829"/>
      <c r="G13" s="2829"/>
      <c r="H13" s="2829">
        <v>62444</v>
      </c>
      <c r="I13" s="2829"/>
      <c r="J13" s="2384"/>
      <c r="K13" s="2887"/>
      <c r="L13" s="2885"/>
      <c r="M13" s="2885"/>
      <c r="N13" s="2384"/>
      <c r="O13" s="2886"/>
      <c r="P13" s="2384"/>
      <c r="Q13" s="2384"/>
      <c r="R13" s="2384"/>
    </row>
    <row r="14" spans="1:28">
      <c r="A14" s="1684"/>
      <c r="B14" s="2827"/>
      <c r="C14" s="2828" t="s">
        <v>357</v>
      </c>
      <c r="D14" s="2830">
        <v>70</v>
      </c>
      <c r="E14" s="2830">
        <v>40</v>
      </c>
      <c r="F14" s="2830"/>
      <c r="G14" s="2830"/>
      <c r="H14" s="2830">
        <v>50</v>
      </c>
      <c r="I14" s="2830"/>
      <c r="J14" s="2384"/>
      <c r="K14" s="2890"/>
      <c r="L14" s="2885"/>
      <c r="M14" s="2885"/>
      <c r="N14" s="2384"/>
      <c r="O14" s="2886"/>
      <c r="P14" s="2384"/>
      <c r="Q14" s="2384"/>
      <c r="R14" s="2384"/>
    </row>
    <row r="15" spans="1:28">
      <c r="A15" s="1691"/>
      <c r="B15" s="2831"/>
      <c r="C15" s="2832" t="s">
        <v>358</v>
      </c>
      <c r="D15" s="2833">
        <f>IF(B12="出让",IF(D13="","",ROUNDDOWN(MIN((D13-$D$3)/365,D14),2)),D14)</f>
        <v>69.75</v>
      </c>
      <c r="E15" s="2833">
        <f>IF(B12="出让",IF(E13="","",ROUNDDOWN(MIN((E13-$D$3)/365,E14),2)),E14)</f>
        <v>39.729999999999997</v>
      </c>
      <c r="F15" s="2833" t="str">
        <f>IF(B12="出让",IF(F13="","",ROUNDDOWN(MIN((F13-$D$3)/365,F14),2)),F14)</f>
        <v/>
      </c>
      <c r="G15" s="2833" t="str">
        <f>IF(B12="出让",IF(G13="","",ROUNDDOWN(MIN((G13-$D$3)/365,G14),2)),G14)</f>
        <v/>
      </c>
      <c r="H15" s="2833">
        <f>IF(B12="出让",IF(H13="","",ROUNDDOWN(MIN((H13-$D$3)/365,H14),2)),H14)</f>
        <v>49.74</v>
      </c>
      <c r="I15" s="2833" t="str">
        <f>IF(B12="出让",IF(I13="","",ROUNDDOWN(MIN((I13-$D$3)/365,I14),2)),I14)</f>
        <v/>
      </c>
      <c r="J15" s="2384"/>
      <c r="K15" s="2891"/>
      <c r="L15" s="2892"/>
      <c r="M15" s="2892"/>
      <c r="N15" s="2385"/>
      <c r="O15" s="2892"/>
      <c r="P15" s="2385"/>
      <c r="Q15" s="2384"/>
      <c r="R15" s="2384"/>
    </row>
    <row r="16" spans="1:28">
      <c r="A16" s="2816" t="s">
        <v>359</v>
      </c>
      <c r="B16" s="3137"/>
      <c r="C16" s="3138"/>
      <c r="D16" s="3139"/>
      <c r="E16" s="2834" t="s">
        <v>360</v>
      </c>
      <c r="F16" s="3140"/>
      <c r="G16" s="3141"/>
      <c r="H16" s="3141"/>
      <c r="I16" s="3142"/>
      <c r="J16" s="2384"/>
      <c r="K16" s="2891"/>
      <c r="L16" s="2892"/>
      <c r="M16" s="2892"/>
      <c r="N16" s="2385"/>
      <c r="O16" s="2892"/>
      <c r="P16" s="2385"/>
      <c r="Q16" s="2384"/>
      <c r="R16" s="2384"/>
    </row>
    <row r="17" spans="1:28">
      <c r="A17" s="1668" t="s">
        <v>361</v>
      </c>
      <c r="B17" s="1657" t="s">
        <v>362</v>
      </c>
      <c r="C17" s="291">
        <f>'数据-汇总表'!E3</f>
        <v>39222.729999999996</v>
      </c>
      <c r="D17" s="1711" t="s">
        <v>363</v>
      </c>
      <c r="E17" s="3143" t="s">
        <v>364</v>
      </c>
      <c r="F17" s="3144"/>
      <c r="G17" s="3144"/>
      <c r="H17" s="3144"/>
      <c r="I17" s="3145"/>
      <c r="J17" s="2384"/>
      <c r="K17" s="2893"/>
      <c r="L17" s="2892"/>
      <c r="M17" s="2892"/>
      <c r="N17" s="2385"/>
      <c r="O17" s="2892"/>
      <c r="P17" s="2385"/>
      <c r="Q17" s="2384"/>
      <c r="R17" s="2384"/>
      <c r="S17" s="2384"/>
      <c r="T17" s="2384"/>
      <c r="U17" s="2384"/>
      <c r="V17" s="2384"/>
    </row>
    <row r="18" spans="1:28" ht="24">
      <c r="A18" s="2835" t="s">
        <v>365</v>
      </c>
      <c r="B18" s="1679" t="s">
        <v>366</v>
      </c>
      <c r="C18" s="2836">
        <f>'数据-汇总表'!D3</f>
        <v>11660.67</v>
      </c>
      <c r="D18" s="1704" t="s">
        <v>363</v>
      </c>
      <c r="E18" s="3146" t="s">
        <v>367</v>
      </c>
      <c r="F18" s="3147"/>
      <c r="G18" s="3147"/>
      <c r="H18" s="3147"/>
      <c r="I18" s="3148"/>
      <c r="J18" s="2384"/>
      <c r="K18" s="2893"/>
      <c r="L18" s="2892"/>
      <c r="M18" s="2892"/>
      <c r="N18" s="2385"/>
      <c r="O18" s="2892"/>
      <c r="P18" s="2385"/>
      <c r="Q18" s="2384"/>
      <c r="R18" s="2384"/>
      <c r="S18" s="2384"/>
      <c r="T18" s="2384"/>
      <c r="U18" s="2384"/>
      <c r="V18" s="2384"/>
    </row>
    <row r="19" spans="1:28" ht="36">
      <c r="A19" s="1721" t="s">
        <v>368</v>
      </c>
      <c r="B19" s="1661" t="s">
        <v>369</v>
      </c>
      <c r="C19" s="2837" t="s">
        <v>370</v>
      </c>
      <c r="D19" s="2838" t="s">
        <v>371</v>
      </c>
      <c r="E19" s="2839"/>
      <c r="F19" s="2840" t="str">
        <f>IF(AND(C19="是",E19="否"),"是否提供他项权证或相关说明","")</f>
        <v/>
      </c>
      <c r="G19" s="2841"/>
      <c r="H19" s="2504"/>
      <c r="I19" s="2504"/>
      <c r="J19" s="2384"/>
      <c r="K19" s="2887"/>
      <c r="L19" s="2885"/>
      <c r="M19" s="2885"/>
      <c r="N19" s="2385"/>
      <c r="O19" s="2892"/>
      <c r="P19" s="2385"/>
      <c r="Q19" s="2384"/>
      <c r="R19" s="2384"/>
      <c r="S19" s="2384"/>
      <c r="T19" s="2384"/>
      <c r="U19" s="2384"/>
      <c r="V19" s="2384"/>
    </row>
    <row r="20" spans="1:28">
      <c r="A20" s="2842" t="s">
        <v>372</v>
      </c>
      <c r="B20" s="3123" t="s">
        <v>373</v>
      </c>
      <c r="C20" s="3124"/>
      <c r="D20" s="3125" t="s">
        <v>374</v>
      </c>
      <c r="E20" s="3126"/>
      <c r="F20" s="2843" t="s">
        <v>375</v>
      </c>
      <c r="G20" s="2504"/>
      <c r="H20" s="2504"/>
      <c r="I20" s="2504"/>
      <c r="J20" s="2384"/>
      <c r="K20" s="3121" t="s">
        <v>376</v>
      </c>
      <c r="L20" s="18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2"/>
      <c r="N20" s="2894"/>
      <c r="O20" s="2895"/>
      <c r="P20" s="2894"/>
      <c r="Q20" s="2824"/>
      <c r="R20" s="2824"/>
      <c r="S20" s="2824"/>
      <c r="T20" s="2824"/>
      <c r="U20" s="2824"/>
      <c r="V20" s="2824"/>
      <c r="W20" s="2400"/>
      <c r="X20" s="2400"/>
      <c r="Y20" s="2400"/>
      <c r="Z20" s="2400"/>
      <c r="AA20" s="2400"/>
      <c r="AB20" s="2400"/>
    </row>
    <row r="21" spans="1:28" ht="24">
      <c r="A21" s="2842"/>
      <c r="B21" s="2844" t="s">
        <v>377</v>
      </c>
      <c r="C21" s="2845" t="s">
        <v>378</v>
      </c>
      <c r="D21" s="2846" t="s">
        <v>379</v>
      </c>
      <c r="E21" s="2847" t="s">
        <v>378</v>
      </c>
      <c r="F21" s="2848"/>
      <c r="G21" s="2504"/>
      <c r="H21" s="2504"/>
      <c r="I21" s="2504"/>
      <c r="J21" s="2384"/>
      <c r="K21" s="3121"/>
      <c r="L21" s="18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82"/>
      <c r="N21" s="2894"/>
      <c r="O21" s="2895"/>
      <c r="P21" s="2894"/>
      <c r="Q21" s="2824"/>
      <c r="R21" s="2824"/>
      <c r="S21" s="2824"/>
      <c r="T21" s="2824"/>
      <c r="U21" s="2824"/>
      <c r="V21" s="2824"/>
      <c r="W21" s="2400"/>
      <c r="X21" s="2400"/>
      <c r="Y21" s="2400"/>
      <c r="Z21" s="2400"/>
      <c r="AA21" s="2400"/>
      <c r="AB21" s="2400"/>
    </row>
    <row r="22" spans="1:28" ht="24">
      <c r="A22" s="2842"/>
      <c r="B22" s="2849" t="s">
        <v>380</v>
      </c>
      <c r="C22" s="2845" t="s">
        <v>381</v>
      </c>
      <c r="D22" s="2788"/>
      <c r="E22" s="2788"/>
      <c r="F22" s="2788"/>
      <c r="G22" s="2504"/>
      <c r="H22" s="2504"/>
      <c r="I22" s="2504"/>
      <c r="J22" s="2384"/>
      <c r="K22" s="3121"/>
      <c r="L22" s="18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2"/>
      <c r="N22" s="2894"/>
      <c r="O22" s="2895"/>
      <c r="P22" s="2894"/>
      <c r="Q22" s="2824"/>
      <c r="R22" s="2824"/>
      <c r="S22" s="2824"/>
      <c r="T22" s="2824"/>
      <c r="U22" s="2824"/>
      <c r="V22" s="2824"/>
      <c r="W22" s="2400"/>
      <c r="X22" s="2400"/>
      <c r="Y22" s="2400"/>
      <c r="Z22" s="2400"/>
      <c r="AA22" s="2400"/>
      <c r="AB22" s="2400"/>
    </row>
    <row r="23" spans="1:28">
      <c r="A23" s="2850" t="s">
        <v>382</v>
      </c>
      <c r="B23" s="2375" t="s">
        <v>383</v>
      </c>
      <c r="C23" s="2851"/>
      <c r="D23" s="2852" t="s">
        <v>383</v>
      </c>
      <c r="E23" s="2853"/>
      <c r="F23" s="2788"/>
      <c r="G23" s="2504"/>
      <c r="H23" s="2504"/>
      <c r="I23" s="2504"/>
      <c r="J23" s="2384"/>
      <c r="K23" s="2896"/>
      <c r="L23" s="1819"/>
      <c r="M23" s="2885"/>
      <c r="N23" s="2385"/>
      <c r="O23" s="2892"/>
      <c r="P23" s="2385"/>
      <c r="Q23" s="2384"/>
      <c r="R23" s="2384"/>
      <c r="S23" s="2384"/>
      <c r="T23" s="2384"/>
      <c r="U23" s="2384"/>
      <c r="V23" s="2384"/>
    </row>
    <row r="24" spans="1:28">
      <c r="A24" s="2850"/>
      <c r="B24" s="2375" t="s">
        <v>384</v>
      </c>
      <c r="C24" s="2854"/>
      <c r="D24" s="2850" t="s">
        <v>384</v>
      </c>
      <c r="E24" s="2855"/>
      <c r="F24" s="2788"/>
      <c r="G24" s="2504"/>
      <c r="H24" s="2504"/>
      <c r="I24" s="2504"/>
      <c r="J24" s="2384"/>
      <c r="K24" s="2896"/>
      <c r="L24" s="1819"/>
      <c r="M24" s="2885"/>
      <c r="N24" s="2385"/>
      <c r="O24" s="2892"/>
      <c r="P24" s="2385"/>
      <c r="Q24" s="2384"/>
      <c r="R24" s="2384"/>
      <c r="S24" s="2384"/>
      <c r="T24" s="2384"/>
      <c r="U24" s="2384"/>
      <c r="V24" s="2384"/>
    </row>
    <row r="25" spans="1:28">
      <c r="A25" s="2850"/>
      <c r="B25" s="2375" t="s">
        <v>385</v>
      </c>
      <c r="C25" s="2854"/>
      <c r="D25" s="2850" t="s">
        <v>385</v>
      </c>
      <c r="E25" s="2855"/>
      <c r="F25" s="2788"/>
      <c r="G25" s="2504"/>
      <c r="H25" s="2504"/>
      <c r="I25" s="2504"/>
      <c r="J25" s="2384"/>
      <c r="K25" s="2887"/>
      <c r="L25" s="2885"/>
      <c r="M25" s="2885"/>
      <c r="N25" s="2385"/>
      <c r="O25" s="2892"/>
      <c r="P25" s="2385"/>
      <c r="Q25" s="2384"/>
      <c r="R25" s="2384"/>
      <c r="S25" s="2384"/>
      <c r="T25" s="2384"/>
      <c r="U25" s="2384"/>
      <c r="V25" s="2384"/>
    </row>
    <row r="26" spans="1:28">
      <c r="A26" s="2856"/>
      <c r="B26" s="2857" t="s">
        <v>386</v>
      </c>
      <c r="C26" s="2858"/>
      <c r="D26" s="2856" t="s">
        <v>386</v>
      </c>
      <c r="E26" s="2859"/>
      <c r="F26" s="2812"/>
      <c r="G26" s="2812"/>
      <c r="H26" s="2812"/>
      <c r="I26" s="2812"/>
      <c r="J26" s="2384"/>
      <c r="K26" s="2887"/>
      <c r="L26" s="2885"/>
      <c r="M26" s="2885"/>
      <c r="N26" s="2385"/>
      <c r="O26" s="2892"/>
      <c r="P26" s="2385"/>
      <c r="Q26" s="2384"/>
      <c r="R26" s="2384"/>
      <c r="S26" s="2384"/>
      <c r="T26" s="2384"/>
      <c r="U26" s="2384"/>
      <c r="V26" s="2384"/>
    </row>
    <row r="27" spans="1:28">
      <c r="A27" s="3130" t="s">
        <v>387</v>
      </c>
      <c r="B27" s="1691" t="s">
        <v>388</v>
      </c>
      <c r="C27" s="2860" t="s">
        <v>389</v>
      </c>
      <c r="D27" s="2861"/>
      <c r="E27" s="2504"/>
      <c r="F27" s="2504"/>
      <c r="G27" s="2504"/>
      <c r="H27" s="2504"/>
      <c r="I27" s="2504"/>
      <c r="J27" s="2384"/>
      <c r="K27" s="2891"/>
      <c r="L27" s="2892"/>
      <c r="M27" s="2892"/>
      <c r="N27" s="2385"/>
      <c r="O27" s="2892"/>
      <c r="P27" s="2385"/>
      <c r="Q27" s="2384"/>
      <c r="R27" s="2384"/>
      <c r="S27" s="2384"/>
      <c r="T27" s="2384"/>
      <c r="U27" s="2384"/>
      <c r="V27" s="2384"/>
    </row>
    <row r="28" spans="1:28">
      <c r="A28" s="3130"/>
      <c r="B28" s="1657" t="s">
        <v>390</v>
      </c>
      <c r="C28" s="2862"/>
      <c r="D28" s="2863"/>
      <c r="E28" s="2504"/>
      <c r="F28" s="2504"/>
      <c r="G28" s="2504"/>
      <c r="H28" s="2504"/>
      <c r="I28" s="2504"/>
      <c r="J28" s="2384"/>
      <c r="K28" s="2887"/>
      <c r="L28" s="2885"/>
      <c r="M28" s="2885"/>
      <c r="N28" s="2384"/>
      <c r="O28" s="2886"/>
      <c r="P28" s="2384"/>
      <c r="Q28" s="2384"/>
      <c r="R28" s="2384"/>
      <c r="S28" s="2384"/>
      <c r="T28" s="2384"/>
      <c r="U28" s="2384"/>
      <c r="V28" s="2384"/>
    </row>
    <row r="29" spans="1:28">
      <c r="A29" s="3130"/>
      <c r="B29" s="1657" t="s">
        <v>391</v>
      </c>
      <c r="C29" s="2864"/>
      <c r="D29" s="2865"/>
      <c r="E29" s="2504"/>
      <c r="F29" s="2504"/>
      <c r="G29" s="2504"/>
      <c r="H29" s="2504"/>
      <c r="I29" s="2504"/>
      <c r="J29" s="2384"/>
      <c r="K29" s="2887"/>
      <c r="L29" s="2885"/>
      <c r="M29" s="2885"/>
      <c r="N29" s="2384"/>
      <c r="O29" s="2886"/>
      <c r="P29" s="2384"/>
      <c r="Q29" s="2384"/>
      <c r="R29" s="2384"/>
      <c r="S29" s="2384"/>
      <c r="T29" s="2384"/>
      <c r="U29" s="2384"/>
      <c r="V29" s="2384"/>
    </row>
    <row r="30" spans="1:28">
      <c r="A30" s="3131"/>
      <c r="B30" s="1657" t="s">
        <v>392</v>
      </c>
      <c r="C30" s="3127"/>
      <c r="D30" s="3128"/>
      <c r="E30" s="2504"/>
      <c r="F30" s="2504"/>
      <c r="G30" s="2504"/>
      <c r="H30" s="2504"/>
      <c r="I30" s="2504"/>
      <c r="J30" s="2384"/>
      <c r="K30" s="2887"/>
      <c r="L30" s="2885"/>
      <c r="M30" s="2885"/>
      <c r="N30" s="2384"/>
      <c r="O30" s="2886"/>
      <c r="P30" s="2384"/>
      <c r="Q30" s="2384"/>
      <c r="R30" s="2384"/>
      <c r="S30" s="2384"/>
      <c r="T30" s="2384"/>
      <c r="U30" s="2384"/>
      <c r="V30" s="2384"/>
    </row>
    <row r="31" spans="1:28">
      <c r="A31" s="3132" t="s">
        <v>393</v>
      </c>
      <c r="B31" s="2866" t="s">
        <v>394</v>
      </c>
      <c r="C31" s="1810" t="str">
        <f>IF(B31="现房","成新及维护状况正常否",IF(B31="在建","工程状态是否正常",IF(B31="土地","是否闲置","-")))</f>
        <v>工程状态是否正常</v>
      </c>
      <c r="D31" s="1908"/>
      <c r="E31" s="2867"/>
      <c r="F31" s="2504"/>
      <c r="G31" s="2504"/>
      <c r="H31" s="2504"/>
      <c r="I31" s="2504"/>
      <c r="J31" s="2384"/>
      <c r="K31" s="2884"/>
      <c r="L31" s="2885"/>
      <c r="M31" s="2885"/>
      <c r="N31" s="2384"/>
      <c r="O31" s="2886"/>
      <c r="P31" s="2384"/>
      <c r="Q31" s="2384"/>
      <c r="R31" s="2384"/>
      <c r="S31" s="2384"/>
      <c r="T31" s="2384"/>
      <c r="U31" s="2384"/>
      <c r="V31" s="2384"/>
    </row>
    <row r="32" spans="1:28">
      <c r="A32" s="3133"/>
      <c r="B32" s="2866"/>
      <c r="C32" s="1810" t="str">
        <f>IF(B32="现房","成新及维护状况是否正常",IF(B32="在建","工程状态是否正常",IF(B32="土地","是否闲置","-")))</f>
        <v>-</v>
      </c>
      <c r="D32" s="1908"/>
      <c r="E32" s="2867"/>
      <c r="F32" s="2504"/>
      <c r="G32" s="2504"/>
      <c r="H32" s="2504"/>
      <c r="I32" s="2504"/>
      <c r="J32" s="2384"/>
      <c r="K32" s="2887"/>
      <c r="L32" s="2885"/>
      <c r="M32" s="2885"/>
      <c r="N32" s="2384"/>
      <c r="O32" s="2886"/>
      <c r="P32" s="2384"/>
      <c r="Q32" s="2384"/>
      <c r="R32" s="2384"/>
      <c r="S32" s="2384"/>
      <c r="T32" s="2384"/>
      <c r="U32" s="2384"/>
      <c r="V32" s="2384"/>
    </row>
    <row r="33" spans="1:30">
      <c r="A33" s="3133"/>
      <c r="B33" s="2868"/>
      <c r="C33" s="2136" t="str">
        <f>IF(B33="现房","成新及维护状况是否正常",IF(B33="在建","工程状态是否正常",IF(B33="土地","是否闲置","-")))</f>
        <v>-</v>
      </c>
      <c r="D33" s="1666"/>
      <c r="E33" s="2869"/>
      <c r="F33" s="2504"/>
      <c r="G33" s="2504"/>
      <c r="H33" s="2504"/>
      <c r="I33" s="2504"/>
      <c r="J33" s="2384"/>
      <c r="K33" s="2887"/>
      <c r="L33" s="2885"/>
      <c r="M33" s="2885"/>
      <c r="N33" s="2384"/>
      <c r="O33" s="2886"/>
      <c r="P33" s="2384"/>
      <c r="Q33" s="2384"/>
      <c r="R33" s="2384"/>
      <c r="S33" s="2384"/>
      <c r="T33" s="2384"/>
      <c r="U33" s="2384"/>
      <c r="V33" s="2384"/>
    </row>
    <row r="34" spans="1:30">
      <c r="A34" s="1657" t="s">
        <v>395</v>
      </c>
      <c r="B34" s="595" t="s">
        <v>396</v>
      </c>
      <c r="C34" s="595" t="s">
        <v>397</v>
      </c>
      <c r="D34" s="595" t="s">
        <v>398</v>
      </c>
      <c r="E34" s="595" t="s">
        <v>399</v>
      </c>
      <c r="F34" s="595" t="s">
        <v>400</v>
      </c>
      <c r="G34" s="595" t="s">
        <v>401</v>
      </c>
      <c r="H34" s="595" t="s">
        <v>402</v>
      </c>
      <c r="I34" s="2504"/>
      <c r="J34" s="2384"/>
      <c r="K34" s="291">
        <f>COUNTIF(B34:H34,"——")</f>
        <v>0</v>
      </c>
      <c r="L34" s="1698" t="s">
        <v>403</v>
      </c>
      <c r="M34" s="1698" t="s">
        <v>404</v>
      </c>
      <c r="N34" s="1698" t="s">
        <v>405</v>
      </c>
      <c r="O34" s="1698" t="s">
        <v>406</v>
      </c>
      <c r="P34" s="1698" t="s">
        <v>407</v>
      </c>
      <c r="Q34" s="1698" t="s">
        <v>408</v>
      </c>
      <c r="R34" s="1698" t="s">
        <v>409</v>
      </c>
      <c r="S34" s="3122" t="s">
        <v>410</v>
      </c>
      <c r="T34" s="2906" t="str">
        <f>NUMBERSTRING(7-K34,1)&amp;"通"</f>
        <v>七通</v>
      </c>
      <c r="U34" s="2384"/>
      <c r="V34" s="2384"/>
    </row>
    <row r="35" spans="1:30">
      <c r="A35" s="2870"/>
      <c r="B35" s="3129" t="s">
        <v>411</v>
      </c>
      <c r="C35" s="3129"/>
      <c r="D35" s="3129"/>
      <c r="E35" s="3129"/>
      <c r="F35" s="349">
        <f>C10</f>
        <v>0</v>
      </c>
      <c r="G35" s="2504"/>
      <c r="H35" s="2504"/>
      <c r="I35" s="2504"/>
      <c r="J35" s="2384"/>
      <c r="K35" s="1698"/>
      <c r="L35" s="1698" t="str">
        <f>B34</f>
        <v>通路</v>
      </c>
      <c r="M35" s="1700" t="str">
        <f>B34&amp;"、"&amp;C34</f>
        <v>通路、通电</v>
      </c>
      <c r="N35" s="1700" t="str">
        <f>B34&amp;"、"&amp;C34&amp;"、"&amp;D34</f>
        <v>通路、通电、通讯</v>
      </c>
      <c r="O35" s="1700" t="str">
        <f>B34&amp;"、"&amp;C34&amp;"、"&amp;D34&amp;"、"&amp;E34</f>
        <v>通路、通电、通讯、通上水</v>
      </c>
      <c r="P35" s="1700" t="str">
        <f>B34&amp;"、"&amp;C34&amp;"、"&amp;D34&amp;"、"&amp;E34&amp;"、"&amp;F34</f>
        <v>通路、通电、通讯、通上水、通下水</v>
      </c>
      <c r="Q35" s="1700" t="str">
        <f>B34&amp;"、"&amp;C34&amp;"、"&amp;D34&amp;"、"&amp;E34&amp;"、"&amp;F34&amp;"、"&amp;G34</f>
        <v>通路、通电、通讯、通上水、通下水、通热</v>
      </c>
      <c r="R35" s="1700" t="str">
        <f>B34&amp;"、"&amp;C34&amp;"、"&amp;D34&amp;"、"&amp;E34&amp;"、"&amp;F34&amp;"、"&amp;G34&amp;"、"&amp;H34</f>
        <v>通路、通电、通讯、通上水、通下水、通热、燃气</v>
      </c>
      <c r="S35" s="3122"/>
      <c r="T35" s="1700" t="str">
        <f>IF(T34="一通",L35,IF(T34="二通",M35,IF(T34="三通",N35,IF(T34="四通",O35,IF(T34="五通",P35,IF(T34="六通",Q35,R35))))))</f>
        <v>通路、通电、通讯、通上水、通下水、通热、燃气</v>
      </c>
      <c r="U35" s="2384"/>
      <c r="V35" s="2384"/>
    </row>
    <row r="36" spans="1:30">
      <c r="A36" s="2871"/>
      <c r="B36" s="349" t="s">
        <v>351</v>
      </c>
      <c r="C36" s="349" t="s">
        <v>352</v>
      </c>
      <c r="D36" s="349" t="s">
        <v>350</v>
      </c>
      <c r="E36" s="349" t="s">
        <v>355</v>
      </c>
      <c r="F36" s="2872"/>
      <c r="G36" s="2504"/>
      <c r="H36" s="2504"/>
      <c r="I36" s="2504"/>
      <c r="J36" s="2384"/>
      <c r="K36" s="2887"/>
      <c r="L36" s="2885"/>
      <c r="M36" s="2885"/>
      <c r="N36" s="2384"/>
      <c r="O36" s="2886"/>
      <c r="P36" s="2384"/>
      <c r="Q36" s="2384"/>
      <c r="R36" s="2384"/>
      <c r="S36" s="2384"/>
      <c r="T36" s="2384"/>
      <c r="U36" s="2384"/>
      <c r="V36" s="2384"/>
    </row>
    <row r="37" spans="1:30">
      <c r="A37" s="2873" t="s">
        <v>412</v>
      </c>
      <c r="B37" s="2874" t="s">
        <v>261</v>
      </c>
      <c r="C37" s="2874"/>
      <c r="D37" s="2874" t="s">
        <v>261</v>
      </c>
      <c r="E37" s="2874"/>
      <c r="F37" s="2872"/>
      <c r="G37" s="2504"/>
      <c r="H37" s="2504"/>
      <c r="I37" s="2504"/>
      <c r="J37" s="2384"/>
      <c r="K37" s="2887"/>
      <c r="L37" s="2885"/>
      <c r="M37" s="2885"/>
      <c r="N37" s="2384"/>
      <c r="O37" s="2886"/>
      <c r="P37" s="2384"/>
      <c r="Q37" s="2384"/>
      <c r="R37" s="2384"/>
      <c r="S37" s="2384"/>
      <c r="T37" s="2384"/>
      <c r="U37" s="2384"/>
      <c r="V37" s="2384"/>
    </row>
    <row r="38" spans="1:30">
      <c r="A38" s="2875" t="s">
        <v>413</v>
      </c>
      <c r="B38" s="2876" t="s">
        <v>414</v>
      </c>
      <c r="C38" s="2876"/>
      <c r="D38" s="2876" t="s">
        <v>414</v>
      </c>
      <c r="E38" s="2876"/>
      <c r="F38" s="2877"/>
      <c r="G38" s="2812"/>
      <c r="H38" s="2812"/>
      <c r="I38" s="2812"/>
      <c r="J38" s="2384"/>
      <c r="K38" s="2887"/>
      <c r="L38" s="2885"/>
      <c r="M38" s="2885"/>
      <c r="N38" s="2384"/>
      <c r="O38" s="2886"/>
      <c r="P38" s="2384"/>
      <c r="Q38" s="2384"/>
      <c r="R38" s="2384"/>
      <c r="S38" s="2384"/>
      <c r="T38" s="2384"/>
      <c r="U38" s="2384"/>
      <c r="V38" s="2384"/>
    </row>
    <row r="39" spans="1:30" s="2779" customFormat="1">
      <c r="A39" s="2878" t="s">
        <v>415</v>
      </c>
      <c r="B39" s="2879"/>
      <c r="C39" s="2879"/>
      <c r="D39" s="2879"/>
      <c r="E39" s="2879"/>
      <c r="F39" s="2879"/>
      <c r="G39" s="2879"/>
      <c r="H39" s="2879"/>
      <c r="I39" s="2879"/>
      <c r="J39" s="2897"/>
      <c r="K39" s="2898"/>
      <c r="L39" s="2897"/>
      <c r="M39" s="2897"/>
      <c r="N39" s="2897"/>
      <c r="O39" s="2899"/>
      <c r="P39" s="2897"/>
      <c r="Q39" s="2897"/>
      <c r="R39" s="2897"/>
      <c r="S39" s="2897"/>
      <c r="T39" s="2897"/>
      <c r="U39" s="2897"/>
      <c r="V39" s="2897"/>
      <c r="W39" s="2907"/>
      <c r="X39" s="2907"/>
      <c r="Y39" s="2907"/>
      <c r="Z39" s="2907"/>
      <c r="AA39" s="2907"/>
      <c r="AB39" s="2907"/>
      <c r="AC39" s="2907"/>
      <c r="AD39" s="2907"/>
    </row>
    <row r="40" spans="1:30">
      <c r="A40" s="2824"/>
      <c r="B40" s="2824"/>
      <c r="C40" s="2824"/>
      <c r="D40" s="2824"/>
      <c r="E40" s="2824"/>
      <c r="F40" s="2824"/>
      <c r="G40" s="2824"/>
      <c r="H40" s="2824"/>
      <c r="I40" s="2156"/>
      <c r="J40" s="2385"/>
      <c r="K40" s="2884"/>
      <c r="L40" s="2892"/>
      <c r="M40" s="2892"/>
      <c r="N40" s="2385"/>
      <c r="O40" s="2892"/>
      <c r="P40" s="2384"/>
      <c r="Q40" s="2384"/>
      <c r="R40" s="2384"/>
      <c r="S40" s="2384"/>
      <c r="T40" s="2384"/>
      <c r="U40" s="2384"/>
      <c r="V40" s="2384"/>
    </row>
    <row r="41" spans="1:30">
      <c r="A41" s="2880" t="s">
        <v>416</v>
      </c>
      <c r="B41" s="2042"/>
      <c r="C41" s="1908"/>
      <c r="D41" s="2824"/>
      <c r="E41" s="2824"/>
      <c r="F41" s="2824"/>
      <c r="G41" s="2824"/>
      <c r="H41" s="2824"/>
      <c r="I41" s="2692"/>
      <c r="J41" s="2384"/>
      <c r="K41" s="2887"/>
      <c r="L41" s="2885"/>
      <c r="M41" s="2885"/>
      <c r="N41" s="2384"/>
      <c r="O41" s="2886"/>
      <c r="P41" s="2384"/>
      <c r="Q41" s="2384"/>
      <c r="R41" s="2384"/>
      <c r="S41" s="2384"/>
      <c r="T41" s="2384"/>
      <c r="U41" s="2384"/>
      <c r="V41" s="2384"/>
    </row>
    <row r="42" spans="1:30" ht="25.5">
      <c r="A42" s="1698" t="s">
        <v>417</v>
      </c>
      <c r="B42" s="291" t="s">
        <v>418</v>
      </c>
      <c r="C42" s="291" t="s">
        <v>419</v>
      </c>
      <c r="D42" s="291" t="s">
        <v>420</v>
      </c>
      <c r="E42" s="291" t="s">
        <v>421</v>
      </c>
      <c r="F42" s="291" t="s">
        <v>422</v>
      </c>
      <c r="G42" s="291" t="s">
        <v>423</v>
      </c>
      <c r="H42" s="291" t="s">
        <v>424</v>
      </c>
      <c r="I42" s="291" t="s">
        <v>425</v>
      </c>
      <c r="J42" s="2900" t="s">
        <v>426</v>
      </c>
      <c r="K42" s="2901" t="s">
        <v>427</v>
      </c>
      <c r="L42" s="2901" t="s">
        <v>428</v>
      </c>
      <c r="M42" s="2901" t="s">
        <v>429</v>
      </c>
      <c r="N42" s="2902" t="s">
        <v>430</v>
      </c>
      <c r="O42" s="2902" t="s">
        <v>431</v>
      </c>
      <c r="P42" s="2902" t="s">
        <v>432</v>
      </c>
      <c r="Q42" s="2908" t="s">
        <v>433</v>
      </c>
      <c r="R42" s="2908" t="s">
        <v>434</v>
      </c>
      <c r="S42" s="2384"/>
      <c r="T42" s="2384"/>
      <c r="U42" s="2384"/>
      <c r="V42" s="2384"/>
    </row>
    <row r="43" spans="1:30" s="2595" customFormat="1">
      <c r="A43" s="2716"/>
      <c r="B43" s="2712"/>
      <c r="C43" s="2712"/>
      <c r="D43" s="2712"/>
      <c r="E43" s="2712"/>
      <c r="F43" s="2712"/>
      <c r="G43" s="2712"/>
      <c r="H43" s="2712"/>
      <c r="I43" s="2712"/>
      <c r="J43" s="2903"/>
      <c r="K43" s="2904"/>
      <c r="L43" s="2904"/>
      <c r="M43" s="2712"/>
      <c r="N43" s="2712"/>
      <c r="O43" s="2712"/>
      <c r="P43" s="2712"/>
      <c r="Q43" s="2712"/>
      <c r="R43" s="2712"/>
      <c r="S43" s="2384"/>
      <c r="T43" s="2384"/>
      <c r="U43" s="2384"/>
      <c r="V43" s="2384"/>
    </row>
    <row r="44" spans="1:30" s="2595" customFormat="1">
      <c r="A44" s="2716"/>
      <c r="B44" s="2716"/>
      <c r="C44" s="2712"/>
      <c r="D44" s="2712"/>
      <c r="E44" s="2712"/>
      <c r="F44" s="2712"/>
      <c r="G44" s="2712"/>
      <c r="H44" s="2712"/>
      <c r="I44" s="2712"/>
      <c r="J44" s="2903"/>
      <c r="K44" s="2904"/>
      <c r="L44" s="2904"/>
      <c r="M44" s="2712"/>
      <c r="N44" s="2712"/>
      <c r="O44" s="2712"/>
      <c r="P44" s="2712"/>
      <c r="Q44" s="2712"/>
      <c r="R44" s="2712"/>
      <c r="S44" s="2384"/>
      <c r="T44" s="2384"/>
      <c r="U44" s="2384"/>
      <c r="V44" s="2384"/>
    </row>
    <row r="45" spans="1:30" s="2595" customFormat="1">
      <c r="A45" s="2716"/>
      <c r="B45" s="2716"/>
      <c r="C45" s="2712"/>
      <c r="D45" s="2712"/>
      <c r="E45" s="2712"/>
      <c r="F45" s="2712"/>
      <c r="G45" s="2712"/>
      <c r="H45" s="2712"/>
      <c r="I45" s="2712"/>
      <c r="J45" s="2903"/>
      <c r="K45" s="2904"/>
      <c r="L45" s="2904"/>
      <c r="M45" s="2712"/>
      <c r="N45" s="2712"/>
      <c r="O45" s="2712"/>
      <c r="P45" s="2712"/>
      <c r="Q45" s="2712"/>
      <c r="R45" s="2712"/>
      <c r="S45" s="2384"/>
      <c r="T45" s="2384"/>
      <c r="U45" s="2384"/>
      <c r="V45" s="2384"/>
    </row>
    <row r="46" spans="1:30" s="2595" customFormat="1">
      <c r="A46" s="2716"/>
      <c r="B46" s="2716"/>
      <c r="C46" s="2712"/>
      <c r="D46" s="2712"/>
      <c r="E46" s="2712"/>
      <c r="F46" s="2712"/>
      <c r="G46" s="2712"/>
      <c r="H46" s="2712"/>
      <c r="I46" s="2712"/>
      <c r="J46" s="2903"/>
      <c r="K46" s="2904"/>
      <c r="L46" s="2904"/>
      <c r="M46" s="2712"/>
      <c r="N46" s="2712"/>
      <c r="O46" s="2712"/>
      <c r="P46" s="2712"/>
      <c r="Q46" s="2712"/>
      <c r="R46" s="2712"/>
      <c r="S46" s="2384"/>
      <c r="T46" s="2384"/>
      <c r="U46" s="2384"/>
      <c r="V46" s="2384"/>
    </row>
    <row r="47" spans="1:30" s="2595" customFormat="1">
      <c r="A47" s="2716"/>
      <c r="B47" s="2716"/>
      <c r="C47" s="2712"/>
      <c r="D47" s="2712"/>
      <c r="E47" s="2712"/>
      <c r="F47" s="2712"/>
      <c r="G47" s="2712"/>
      <c r="H47" s="2712"/>
      <c r="I47" s="2712"/>
      <c r="J47" s="2903"/>
      <c r="K47" s="2904"/>
      <c r="L47" s="2904"/>
      <c r="M47" s="2712"/>
      <c r="N47" s="2712"/>
      <c r="O47" s="2712"/>
      <c r="P47" s="2712"/>
      <c r="Q47" s="2712"/>
      <c r="R47" s="2712"/>
      <c r="S47" s="2384"/>
      <c r="T47" s="2384"/>
      <c r="U47" s="2384"/>
      <c r="V47" s="2384"/>
    </row>
    <row r="48" spans="1:30" s="2595" customFormat="1">
      <c r="A48" s="2716"/>
      <c r="B48" s="2716"/>
      <c r="C48" s="2712"/>
      <c r="D48" s="2712"/>
      <c r="E48" s="2712"/>
      <c r="F48" s="2712"/>
      <c r="G48" s="2712"/>
      <c r="H48" s="2712"/>
      <c r="I48" s="2712"/>
      <c r="J48" s="2903"/>
      <c r="K48" s="2904"/>
      <c r="L48" s="2904"/>
      <c r="M48" s="2712"/>
      <c r="N48" s="2712"/>
      <c r="O48" s="2712"/>
      <c r="P48" s="2712"/>
      <c r="Q48" s="2712"/>
      <c r="R48" s="2712"/>
      <c r="S48" s="2384"/>
      <c r="T48" s="2384"/>
      <c r="U48" s="2384"/>
      <c r="V48" s="2384"/>
    </row>
    <row r="49" spans="1:22" s="2595" customFormat="1">
      <c r="A49" s="2716"/>
      <c r="B49" s="2716"/>
      <c r="C49" s="2712"/>
      <c r="D49" s="2712"/>
      <c r="E49" s="2712"/>
      <c r="F49" s="2712"/>
      <c r="G49" s="2712"/>
      <c r="H49" s="2712"/>
      <c r="I49" s="2712"/>
      <c r="J49" s="2903"/>
      <c r="K49" s="2904"/>
      <c r="L49" s="2904"/>
      <c r="M49" s="2712"/>
      <c r="N49" s="2712"/>
      <c r="O49" s="2712"/>
      <c r="P49" s="2712"/>
      <c r="Q49" s="2712"/>
      <c r="R49" s="2712"/>
      <c r="S49" s="2384"/>
      <c r="T49" s="2384"/>
      <c r="U49" s="2384"/>
      <c r="V49" s="2384"/>
    </row>
    <row r="50" spans="1:22" s="2595" customFormat="1">
      <c r="A50" s="2716"/>
      <c r="B50" s="2716"/>
      <c r="C50" s="2712"/>
      <c r="D50" s="2712"/>
      <c r="E50" s="2712"/>
      <c r="F50" s="2712"/>
      <c r="G50" s="2712"/>
      <c r="H50" s="2712"/>
      <c r="I50" s="2712"/>
      <c r="J50" s="2903"/>
      <c r="K50" s="2904"/>
      <c r="L50" s="2904"/>
      <c r="M50" s="2712"/>
      <c r="N50" s="2712"/>
      <c r="O50" s="2712"/>
      <c r="P50" s="2712"/>
      <c r="Q50" s="2712"/>
      <c r="R50" s="2712"/>
      <c r="S50" s="2384"/>
      <c r="T50" s="2384"/>
      <c r="U50" s="2384"/>
      <c r="V50" s="2384"/>
    </row>
    <row r="51" spans="1:22" s="2595" customFormat="1">
      <c r="A51" s="2716"/>
      <c r="B51" s="2716"/>
      <c r="C51" s="2712"/>
      <c r="D51" s="2712"/>
      <c r="E51" s="2712"/>
      <c r="F51" s="2712"/>
      <c r="G51" s="2712"/>
      <c r="H51" s="2712"/>
      <c r="I51" s="2712"/>
      <c r="J51" s="2903"/>
      <c r="K51" s="2904"/>
      <c r="L51" s="2904"/>
      <c r="M51" s="2712"/>
      <c r="N51" s="2712"/>
      <c r="O51" s="2712"/>
      <c r="P51" s="2712"/>
      <c r="Q51" s="2712"/>
      <c r="R51" s="2712"/>
    </row>
    <row r="52" spans="1:22" s="2595" customFormat="1">
      <c r="A52" s="2716"/>
      <c r="B52" s="2716"/>
      <c r="C52" s="2716"/>
      <c r="D52" s="2716"/>
      <c r="E52" s="2716"/>
      <c r="F52" s="2712"/>
      <c r="G52" s="2716"/>
      <c r="H52" s="2716"/>
      <c r="I52" s="2716"/>
      <c r="J52" s="2905"/>
      <c r="K52" s="2904"/>
      <c r="L52" s="2904"/>
      <c r="M52" s="2904"/>
      <c r="N52" s="2716"/>
      <c r="O52" s="2716"/>
      <c r="P52" s="2716"/>
      <c r="Q52" s="2716"/>
      <c r="R52" s="2716"/>
    </row>
    <row r="53" spans="1:22" s="2595" customFormat="1">
      <c r="A53" s="2716"/>
      <c r="B53" s="2716"/>
      <c r="C53" s="2716"/>
      <c r="D53" s="2716"/>
      <c r="E53" s="2716"/>
      <c r="F53" s="2712"/>
      <c r="G53" s="2716"/>
      <c r="H53" s="2716"/>
      <c r="I53" s="2716"/>
      <c r="J53" s="2905"/>
      <c r="K53" s="2904"/>
      <c r="L53" s="2904"/>
      <c r="M53" s="2904"/>
      <c r="N53" s="2716"/>
      <c r="O53" s="2716"/>
      <c r="P53" s="2716"/>
      <c r="Q53" s="2716"/>
      <c r="R53" s="2716"/>
    </row>
    <row r="54" spans="1:22" s="2595" customFormat="1">
      <c r="A54" s="2716"/>
      <c r="B54" s="2716"/>
      <c r="C54" s="2716"/>
      <c r="D54" s="2716"/>
      <c r="E54" s="2716"/>
      <c r="F54" s="2712"/>
      <c r="G54" s="2716"/>
      <c r="H54" s="2716"/>
      <c r="I54" s="2716"/>
      <c r="J54" s="2905"/>
      <c r="K54" s="2904"/>
      <c r="L54" s="2904"/>
      <c r="M54" s="2904"/>
      <c r="N54" s="2716"/>
      <c r="O54" s="2716"/>
      <c r="P54" s="2716"/>
      <c r="Q54" s="2716"/>
      <c r="R54" s="2716"/>
    </row>
    <row r="55" spans="1:22" s="2595" customFormat="1">
      <c r="A55" s="2716"/>
      <c r="B55" s="2716"/>
      <c r="C55" s="2716"/>
      <c r="D55" s="2716"/>
      <c r="E55" s="2716"/>
      <c r="F55" s="2712"/>
      <c r="G55" s="2716"/>
      <c r="H55" s="2716"/>
      <c r="I55" s="2716"/>
      <c r="J55" s="2905"/>
      <c r="K55" s="2904"/>
      <c r="L55" s="2904"/>
      <c r="M55" s="2904"/>
      <c r="N55" s="2716"/>
      <c r="O55" s="2716"/>
      <c r="P55" s="2716"/>
      <c r="Q55" s="2716"/>
      <c r="R55" s="2716"/>
    </row>
    <row r="56" spans="1:22" s="2595" customFormat="1">
      <c r="A56" s="2716"/>
      <c r="B56" s="2716"/>
      <c r="C56" s="2716"/>
      <c r="D56" s="2716"/>
      <c r="E56" s="2716"/>
      <c r="F56" s="2712"/>
      <c r="G56" s="2716"/>
      <c r="H56" s="2716"/>
      <c r="I56" s="2716"/>
      <c r="J56" s="2905"/>
      <c r="K56" s="2904"/>
      <c r="L56" s="2904"/>
      <c r="M56" s="2904"/>
      <c r="N56" s="2716"/>
      <c r="O56" s="2716"/>
      <c r="P56" s="2716"/>
      <c r="Q56" s="2716"/>
      <c r="R56" s="271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showInputMessage="1" showErrorMessage="1" sqref="B11" xr:uid="{00000000-0002-0000-0A00-000000000000}">
      <formula1>"自然人,企业"</formula1>
    </dataValidation>
    <dataValidation type="list" allowBlank="1" showInputMessage="1" showErrorMessage="1" sqref="B8" xr:uid="{00000000-0002-0000-0A00-000001000000}">
      <formula1>"抵押,核定资产,出让"</formula1>
    </dataValidation>
    <dataValidation type="list" allowBlank="1" showInputMessage="1" showErrorMessage="1" sqref="B4 D4 F4 H4" xr:uid="{00000000-0002-0000-0A00-000002000000}">
      <formula1>注册房地产估价师</formula1>
    </dataValidation>
    <dataValidation type="list" allowBlank="1" showInputMessage="1" showErrorMessage="1" sqref="B12" xr:uid="{00000000-0002-0000-0A00-000003000000}">
      <formula1>"出让,划拨"</formula1>
    </dataValidation>
    <dataValidation type="list" allowBlank="1" showInputMessage="1" showErrorMessage="1" sqref="E9" xr:uid="{00000000-0002-0000-0A00-000004000000}">
      <formula1>"抵押净值,——"</formula1>
    </dataValidation>
    <dataValidation type="list" allowBlank="1" showInputMessage="1" showErrorMessage="1" sqref="E8" xr:uid="{00000000-0002-0000-0A00-000005000000}">
      <formula1>价值类型2</formula1>
    </dataValidation>
    <dataValidation type="list" allowBlank="1" showInputMessage="1" showErrorMessage="1" sqref="B9" xr:uid="{00000000-0002-0000-0A00-000006000000}">
      <formula1>"房地产抵押价值,房地产市场价值"</formula1>
    </dataValidation>
    <dataValidation type="list" allowBlank="1" showInputMessage="1" showErrorMessage="1" sqref="B10" xr:uid="{00000000-0002-0000-0A00-000007000000}">
      <formula1>"北京市,其他："</formula1>
    </dataValidation>
    <dataValidation type="list" allowBlank="1" showInputMessage="1" showErrorMessage="1" sqref="D14:I14" xr:uid="{00000000-0002-0000-0A00-000008000000}">
      <formula1>法定最高年限</formula1>
    </dataValidation>
    <dataValidation type="list" allowBlank="1" showInputMessage="1" showErrorMessage="1" sqref="A18" xr:uid="{00000000-0002-0000-0A00-000009000000}">
      <formula1>"建筑与土地面积依据相同,——"</formula1>
    </dataValidation>
    <dataValidation type="list" allowBlank="1" showInputMessage="1" showErrorMessage="1" sqref="C19 E19 G19" xr:uid="{00000000-0002-0000-0A00-00000A000000}">
      <formula1>判定</formula1>
    </dataValidation>
    <dataValidation type="list" allowBlank="1" showInputMessage="1" showErrorMessage="1" sqref="B21 B22" xr:uid="{00000000-0002-0000-0A00-00000B000000}">
      <formula1>"《房屋所有权证》,《国有土地使用证》,《不动产权证书》,——"</formula1>
    </dataValidation>
    <dataValidation type="list" allowBlank="1" showInputMessage="1" showErrorMessage="1" sqref="E21 C21:C22" xr:uid="{00000000-0002-0000-0A00-00000C000000}">
      <formula1>"原件,复印件,——"</formula1>
    </dataValidation>
    <dataValidation type="list" allowBlank="1" showInputMessage="1" showErrorMessage="1" sqref="C27" xr:uid="{00000000-0002-0000-0A00-00000D000000}">
      <formula1>"居住项目,商业项目,办公项目,工业项目,综合项目（居住、综合）,综合项目（商业、办公）"</formula1>
    </dataValidation>
    <dataValidation type="list" allowBlank="1" showInputMessage="1" showErrorMessage="1" sqref="C28" xr:uid="{00000000-0002-0000-0A00-00000E000000}">
      <formula1>"无,低密度住宅,商场,酒店,旅游地产,仓储物流,高新技术产业用地,其他特殊："</formula1>
    </dataValidation>
    <dataValidation type="list" allowBlank="1" showInputMessage="1" showErrorMessage="1" sqref="C29" xr:uid="{00000000-0002-0000-0A00-00000F000000}">
      <formula1>"否,全部为保障性住房,含保障性住房"</formula1>
    </dataValidation>
    <dataValidation type="list" allowBlank="1" showInputMessage="1" showErrorMessage="1" sqref="B34:H34" xr:uid="{00000000-0002-0000-0A00-000010000000}">
      <formula1>七通一平</formula1>
    </dataValidation>
    <dataValidation type="list" allowBlank="1" showInputMessage="1" showErrorMessage="1" sqref="C38" xr:uid="{00000000-0002-0000-0A00-000011000000}">
      <formula1>INDIRECT($C$37)</formula1>
    </dataValidation>
    <dataValidation type="list" allowBlank="1" showInputMessage="1" showErrorMessage="1" sqref="B37:E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pane="topRight"/>
      <selection pane="bottomLeft"/>
      <selection pane="bottomRight" activeCell="K13" sqref="K13"/>
    </sheetView>
  </sheetViews>
  <sheetFormatPr defaultColWidth="8.875" defaultRowHeight="14.25"/>
  <cols>
    <col min="1" max="1" width="10.625" style="2689" customWidth="1"/>
    <col min="2" max="2" width="11" style="2689" customWidth="1"/>
    <col min="3" max="3" width="10.375" style="2689" customWidth="1"/>
    <col min="4" max="4" width="9.125" style="2689" customWidth="1"/>
    <col min="5" max="6" width="10" style="2687" customWidth="1"/>
    <col min="7" max="8" width="10" style="2689" customWidth="1"/>
    <col min="9" max="9" width="10.625" style="2689" customWidth="1"/>
    <col min="10" max="10" width="9.5" style="2689" hidden="1" customWidth="1"/>
    <col min="11" max="11" width="11" style="2689" customWidth="1"/>
    <col min="12" max="12" width="9.5" style="2689" hidden="1" customWidth="1"/>
    <col min="13" max="13" width="9.5" style="2689" customWidth="1"/>
    <col min="14" max="14" width="9.5" style="2689" hidden="1" customWidth="1"/>
    <col min="15" max="15" width="9.875" style="2689" customWidth="1"/>
    <col min="16" max="16" width="9.75" style="2689" customWidth="1"/>
    <col min="17" max="17" width="9.375" style="2689" customWidth="1"/>
    <col min="18" max="18" width="9.25" style="2689" customWidth="1"/>
    <col min="19" max="19" width="10.875" style="2689" customWidth="1"/>
    <col min="20" max="21" width="10.75" style="2689" customWidth="1"/>
    <col min="22" max="22" width="10.875" style="2689" customWidth="1"/>
    <col min="23" max="27" width="10.75" style="2689" customWidth="1"/>
    <col min="28" max="28" width="10.875" style="2689" customWidth="1"/>
    <col min="29" max="29" width="11" style="2689" customWidth="1"/>
    <col min="30" max="30" width="10" style="2689" customWidth="1"/>
    <col min="31" max="31" width="9.75" style="2689" customWidth="1"/>
    <col min="32" max="46" width="9.5" style="2689" customWidth="1"/>
    <col min="47" max="47" width="18.125" style="2689" customWidth="1"/>
    <col min="48" max="50" width="9.75" style="2689" customWidth="1"/>
    <col min="51" max="55" width="10.5" style="2689" customWidth="1"/>
    <col min="56" max="56" width="9.5" style="2689" customWidth="1"/>
    <col min="57" max="63" width="9.125" style="2689" customWidth="1"/>
    <col min="64" max="64" width="9.5" style="2689" customWidth="1"/>
    <col min="65" max="65" width="9.125" style="2689" customWidth="1"/>
    <col min="66" max="66" width="9.5" style="2689" customWidth="1"/>
    <col min="67" max="69" width="9.125" style="2689" customWidth="1"/>
    <col min="70" max="70" width="9.5" style="2689" customWidth="1"/>
    <col min="71" max="71" width="9" style="2689" customWidth="1"/>
    <col min="72" max="72" width="9.125" style="2689" customWidth="1"/>
    <col min="73" max="16384" width="8.875" style="2689"/>
  </cols>
  <sheetData>
    <row r="1" spans="1:72" ht="20.25">
      <c r="A1" s="2690" t="s">
        <v>435</v>
      </c>
      <c r="B1" s="2691"/>
      <c r="C1" s="2691"/>
      <c r="D1" s="2691"/>
      <c r="E1" s="2691"/>
      <c r="F1" s="2691"/>
      <c r="G1" s="2691"/>
      <c r="H1" s="2691"/>
      <c r="I1" s="2691"/>
      <c r="J1" s="2691"/>
      <c r="K1" s="2691"/>
      <c r="L1" s="2691"/>
      <c r="M1" s="2691"/>
      <c r="N1" s="2691"/>
      <c r="O1" s="2691"/>
      <c r="P1" s="2691"/>
      <c r="Q1" s="2691"/>
      <c r="R1" s="2691"/>
      <c r="S1" s="2691"/>
      <c r="T1" s="2691"/>
      <c r="U1" s="2691"/>
      <c r="V1" s="2691"/>
      <c r="W1" s="2691"/>
      <c r="X1" s="2691"/>
      <c r="Y1" s="2691"/>
      <c r="Z1" s="2691"/>
      <c r="AA1" s="2691"/>
      <c r="AB1" s="2691"/>
      <c r="AC1" s="2691"/>
      <c r="AD1" s="2691"/>
      <c r="AE1" s="2691"/>
      <c r="AF1" s="2691"/>
      <c r="AG1" s="2691"/>
      <c r="AH1" s="2691"/>
      <c r="AI1" s="2691"/>
      <c r="AJ1" s="2691"/>
      <c r="AK1" s="2691"/>
      <c r="AL1" s="2691"/>
      <c r="AM1" s="2691"/>
      <c r="AN1" s="2691"/>
      <c r="AO1" s="2691"/>
      <c r="AP1" s="2691"/>
      <c r="AQ1" s="2691"/>
      <c r="AR1" s="2691"/>
      <c r="AS1" s="2691"/>
      <c r="AT1" s="2691"/>
      <c r="AU1" s="2691"/>
      <c r="AV1" s="2742" t="s">
        <v>436</v>
      </c>
      <c r="AW1" s="2691"/>
      <c r="AX1" s="2691"/>
      <c r="AY1" s="2691"/>
      <c r="AZ1" s="2691"/>
      <c r="BA1" s="2691"/>
      <c r="BB1" s="2691"/>
      <c r="BC1" s="2691"/>
      <c r="BD1" s="2691"/>
      <c r="BE1" s="2691"/>
      <c r="BF1" s="2691"/>
      <c r="BG1" s="2691"/>
      <c r="BH1" s="2691"/>
      <c r="BI1" s="2691"/>
      <c r="BJ1" s="2691"/>
      <c r="BK1" s="2691"/>
      <c r="BL1" s="2691"/>
      <c r="BM1" s="2691"/>
      <c r="BN1" s="2691"/>
      <c r="BO1" s="2691"/>
      <c r="BP1" s="2691"/>
      <c r="BQ1" s="2691"/>
      <c r="BR1" s="2691"/>
      <c r="BS1" s="2691"/>
      <c r="BT1" s="2691"/>
    </row>
    <row r="2" spans="1:72" s="2684" customFormat="1" ht="24">
      <c r="A2" s="291" t="s">
        <v>366</v>
      </c>
      <c r="B2" s="291" t="s">
        <v>362</v>
      </c>
      <c r="C2" s="291" t="s">
        <v>437</v>
      </c>
      <c r="D2" s="2692"/>
      <c r="E2" s="2116"/>
      <c r="F2" s="2156"/>
      <c r="G2" s="2692"/>
      <c r="H2" s="2692"/>
      <c r="I2" s="2692"/>
      <c r="J2" s="2692"/>
      <c r="K2" s="2692"/>
      <c r="L2" s="2692"/>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692"/>
      <c r="AO2" s="2692"/>
      <c r="AP2" s="2692"/>
      <c r="AQ2" s="2692"/>
      <c r="AR2" s="2692"/>
      <c r="AS2" s="2692"/>
      <c r="AT2" s="2692"/>
      <c r="AU2" s="2692"/>
      <c r="AV2" s="2692"/>
      <c r="AW2" s="2692"/>
      <c r="AX2" s="2692"/>
      <c r="AY2" s="2752" t="s">
        <v>438</v>
      </c>
      <c r="AZ2" s="2753" t="s">
        <v>439</v>
      </c>
      <c r="BA2" s="291" t="s">
        <v>440</v>
      </c>
      <c r="BB2" s="2692"/>
      <c r="BC2" s="2692"/>
      <c r="BD2" s="2692"/>
      <c r="BE2" s="2692"/>
      <c r="BF2" s="2692"/>
      <c r="BG2" s="2692"/>
      <c r="BH2" s="2692"/>
      <c r="BI2" s="2692"/>
      <c r="BJ2" s="2692"/>
      <c r="BK2" s="2692"/>
      <c r="BL2" s="2692"/>
      <c r="BM2" s="2692"/>
      <c r="BN2" s="2692"/>
      <c r="BO2" s="2692"/>
      <c r="BP2" s="2692"/>
      <c r="BQ2" s="2692"/>
      <c r="BR2" s="2692"/>
      <c r="BS2" s="2692"/>
      <c r="BT2" s="2692"/>
    </row>
    <row r="3" spans="1:72" s="2684" customFormat="1" ht="12.75">
      <c r="A3" s="3421">
        <f>ROUND(G13/91585.74*27227.86,2)</f>
        <v>11660.67</v>
      </c>
      <c r="B3" s="2693">
        <f>IF(C3="否",G5-AT5,G5)</f>
        <v>39222.729999999996</v>
      </c>
      <c r="C3" s="2694" t="s">
        <v>441</v>
      </c>
      <c r="D3" s="2692"/>
      <c r="E3" s="2692"/>
      <c r="F3" s="2692"/>
      <c r="G3" s="2692"/>
      <c r="H3" s="2692"/>
      <c r="I3" s="2692"/>
      <c r="J3" s="2692"/>
      <c r="K3" s="2692"/>
      <c r="L3" s="2692"/>
      <c r="M3" s="2692"/>
      <c r="N3" s="2692"/>
      <c r="O3" s="2692"/>
      <c r="P3" s="2692"/>
      <c r="Q3" s="2692"/>
      <c r="R3" s="2692"/>
      <c r="S3" s="2692"/>
      <c r="T3" s="2692"/>
      <c r="U3" s="2692"/>
      <c r="V3" s="2692"/>
      <c r="W3" s="2692"/>
      <c r="X3" s="2692"/>
      <c r="Y3" s="2692"/>
      <c r="Z3" s="2692"/>
      <c r="AA3" s="2692"/>
      <c r="AB3" s="2692"/>
      <c r="AC3" s="2692"/>
      <c r="AD3" s="2692"/>
      <c r="AE3" s="2692"/>
      <c r="AF3" s="2692"/>
      <c r="AG3" s="2692"/>
      <c r="AH3" s="2692"/>
      <c r="AI3" s="2692"/>
      <c r="AJ3" s="2692"/>
      <c r="AK3" s="2692"/>
      <c r="AL3" s="2692"/>
      <c r="AM3" s="2692"/>
      <c r="AN3" s="2692"/>
      <c r="AO3" s="2692"/>
      <c r="AP3" s="2692"/>
      <c r="AQ3" s="2692"/>
      <c r="AR3" s="2692"/>
      <c r="AS3" s="2692"/>
      <c r="AT3" s="2692"/>
      <c r="AU3" s="2692"/>
      <c r="AV3" s="2692"/>
      <c r="AW3" s="2692"/>
      <c r="AX3" s="2692"/>
      <c r="AY3" s="2754"/>
      <c r="AZ3" s="2712"/>
      <c r="BA3" s="2755"/>
      <c r="BB3" s="2692"/>
      <c r="BC3" s="2692"/>
      <c r="BD3" s="2692"/>
      <c r="BE3" s="2692"/>
      <c r="BF3" s="2692"/>
      <c r="BG3" s="2692"/>
      <c r="BH3" s="2692"/>
      <c r="BI3" s="2692"/>
      <c r="BJ3" s="2692"/>
      <c r="BK3" s="2692"/>
      <c r="BL3" s="2692"/>
      <c r="BM3" s="2692"/>
      <c r="BN3" s="2692"/>
      <c r="BO3" s="2692"/>
      <c r="BP3" s="2692"/>
      <c r="BQ3" s="2692"/>
      <c r="BR3" s="2692"/>
      <c r="BS3" s="2692"/>
      <c r="BT3" s="2692"/>
    </row>
    <row r="4" spans="1:72" s="2685" customFormat="1" ht="12.75">
      <c r="A4" s="2695"/>
      <c r="B4" s="2696"/>
      <c r="C4" s="2697"/>
      <c r="D4" s="2692"/>
      <c r="E4" s="2692"/>
      <c r="F4" s="2692"/>
      <c r="G4" s="2692"/>
      <c r="H4" s="2692"/>
      <c r="I4" s="2692"/>
      <c r="J4" s="2692"/>
      <c r="K4" s="2692"/>
      <c r="L4" s="2692"/>
      <c r="M4" s="2692"/>
      <c r="N4" s="2692"/>
      <c r="O4" s="2692"/>
      <c r="P4" s="2692"/>
      <c r="Q4" s="2692"/>
      <c r="R4" s="2692"/>
      <c r="S4" s="2692"/>
      <c r="T4" s="2692"/>
      <c r="U4" s="2692"/>
      <c r="V4" s="2692"/>
      <c r="W4" s="2692"/>
      <c r="X4" s="2692"/>
      <c r="Y4" s="2692"/>
      <c r="Z4" s="2692"/>
      <c r="AA4" s="2692"/>
      <c r="AB4" s="2692"/>
      <c r="AC4" s="2692"/>
      <c r="AD4" s="2692"/>
      <c r="AE4" s="2692"/>
      <c r="AF4" s="2692"/>
      <c r="AG4" s="2692"/>
      <c r="AH4" s="2692"/>
      <c r="AI4" s="2692"/>
      <c r="AJ4" s="2692"/>
      <c r="AK4" s="2692"/>
      <c r="AL4" s="2692"/>
      <c r="AM4" s="2692"/>
      <c r="AN4" s="2692"/>
      <c r="AO4" s="2692"/>
      <c r="AP4" s="2692"/>
      <c r="AQ4" s="2692"/>
      <c r="AR4" s="2692"/>
      <c r="AS4" s="2692"/>
      <c r="AT4" s="2692"/>
      <c r="AU4" s="2692"/>
      <c r="AV4" s="2692"/>
      <c r="AW4" s="2692"/>
      <c r="AX4" s="2692"/>
      <c r="AY4" s="2692"/>
      <c r="AZ4" s="2692"/>
      <c r="BA4" s="2756"/>
      <c r="BB4" s="2692"/>
      <c r="BC4" s="2692"/>
      <c r="BD4" s="2692"/>
      <c r="BE4" s="2692"/>
      <c r="BF4" s="2692"/>
      <c r="BG4" s="2692"/>
      <c r="BH4" s="2692"/>
      <c r="BI4" s="2692"/>
      <c r="BJ4" s="2692"/>
      <c r="BK4" s="2692"/>
      <c r="BL4" s="2692"/>
      <c r="BM4" s="2692"/>
      <c r="BN4" s="2692"/>
      <c r="BO4" s="2692"/>
      <c r="BP4" s="2692"/>
      <c r="BQ4" s="2692"/>
      <c r="BR4" s="2692"/>
      <c r="BS4" s="2692"/>
      <c r="BT4" s="2692"/>
    </row>
    <row r="5" spans="1:72" s="2684" customFormat="1" ht="12.75">
      <c r="A5" s="1810" t="s">
        <v>442</v>
      </c>
      <c r="B5" s="2039"/>
      <c r="C5" s="2039"/>
      <c r="D5" s="2168"/>
      <c r="E5" s="2698" t="s">
        <v>124</v>
      </c>
      <c r="F5" s="2698">
        <f>SUM(F13:F587)</f>
        <v>0</v>
      </c>
      <c r="G5" s="2698">
        <f>SUM(G13:G587)</f>
        <v>39222.729999999996</v>
      </c>
      <c r="H5" s="2698">
        <f t="shared" ref="H5:AT5" si="0">SUM(H13:H656)</f>
        <v>39222.729999999996</v>
      </c>
      <c r="I5" s="2698">
        <f t="shared" si="0"/>
        <v>33705.019999999997</v>
      </c>
      <c r="J5" s="2698">
        <f t="shared" si="0"/>
        <v>0</v>
      </c>
      <c r="K5" s="2698">
        <f t="shared" si="0"/>
        <v>889.53</v>
      </c>
      <c r="L5" s="2698">
        <f t="shared" si="0"/>
        <v>0</v>
      </c>
      <c r="M5" s="2698">
        <f t="shared" si="0"/>
        <v>2958.2</v>
      </c>
      <c r="N5" s="2698">
        <f t="shared" si="0"/>
        <v>0</v>
      </c>
      <c r="O5" s="2698">
        <f t="shared" si="0"/>
        <v>1669.98</v>
      </c>
      <c r="P5" s="2698">
        <f t="shared" si="0"/>
        <v>0</v>
      </c>
      <c r="Q5" s="2698">
        <f t="shared" si="0"/>
        <v>0</v>
      </c>
      <c r="R5" s="2698">
        <f t="shared" si="0"/>
        <v>0</v>
      </c>
      <c r="S5" s="2698">
        <f t="shared" si="0"/>
        <v>0</v>
      </c>
      <c r="T5" s="2698">
        <f t="shared" si="0"/>
        <v>0</v>
      </c>
      <c r="U5" s="2698">
        <f t="shared" si="0"/>
        <v>0</v>
      </c>
      <c r="V5" s="2698">
        <f t="shared" si="0"/>
        <v>0</v>
      </c>
      <c r="W5" s="2698">
        <f t="shared" si="0"/>
        <v>0</v>
      </c>
      <c r="X5" s="2698">
        <f t="shared" si="0"/>
        <v>0</v>
      </c>
      <c r="Y5" s="2698">
        <f t="shared" si="0"/>
        <v>0</v>
      </c>
      <c r="Z5" s="2698">
        <f t="shared" si="0"/>
        <v>0</v>
      </c>
      <c r="AA5" s="2698">
        <f t="shared" si="0"/>
        <v>0</v>
      </c>
      <c r="AB5" s="2698">
        <f t="shared" si="0"/>
        <v>0</v>
      </c>
      <c r="AC5" s="2698">
        <f t="shared" si="0"/>
        <v>0</v>
      </c>
      <c r="AD5" s="2698">
        <f t="shared" si="0"/>
        <v>0</v>
      </c>
      <c r="AE5" s="2698">
        <f t="shared" si="0"/>
        <v>0</v>
      </c>
      <c r="AF5" s="2698">
        <f t="shared" si="0"/>
        <v>0</v>
      </c>
      <c r="AG5" s="2698">
        <f t="shared" si="0"/>
        <v>0</v>
      </c>
      <c r="AH5" s="2698">
        <f t="shared" si="0"/>
        <v>0</v>
      </c>
      <c r="AI5" s="2698">
        <f t="shared" si="0"/>
        <v>0</v>
      </c>
      <c r="AJ5" s="2698">
        <f t="shared" si="0"/>
        <v>0</v>
      </c>
      <c r="AK5" s="2698">
        <f t="shared" si="0"/>
        <v>0</v>
      </c>
      <c r="AL5" s="2698">
        <f t="shared" si="0"/>
        <v>0</v>
      </c>
      <c r="AM5" s="2698">
        <f t="shared" si="0"/>
        <v>0</v>
      </c>
      <c r="AN5" s="2698">
        <f t="shared" si="0"/>
        <v>0</v>
      </c>
      <c r="AO5" s="2698">
        <f t="shared" si="0"/>
        <v>0</v>
      </c>
      <c r="AP5" s="2698">
        <f t="shared" si="0"/>
        <v>0</v>
      </c>
      <c r="AQ5" s="2698">
        <f t="shared" si="0"/>
        <v>0</v>
      </c>
      <c r="AR5" s="2698">
        <f t="shared" si="0"/>
        <v>0</v>
      </c>
      <c r="AS5" s="2698">
        <f t="shared" si="0"/>
        <v>0</v>
      </c>
      <c r="AT5" s="2698">
        <f t="shared" si="0"/>
        <v>0</v>
      </c>
      <c r="AU5" s="2038"/>
      <c r="AV5" s="1810" t="s">
        <v>442</v>
      </c>
      <c r="AW5" s="2039"/>
      <c r="AX5" s="2039"/>
      <c r="AY5" s="2757" t="s">
        <v>124</v>
      </c>
      <c r="AZ5" s="2758">
        <f t="shared" ref="AZ5:BT5" si="1">SUM(AZ13:AZ656)</f>
        <v>39222.729999999996</v>
      </c>
      <c r="BA5" s="2758">
        <f t="shared" si="1"/>
        <v>39222.729999999996</v>
      </c>
      <c r="BB5" s="2758">
        <f t="shared" si="1"/>
        <v>33705.019999999997</v>
      </c>
      <c r="BC5" s="2758">
        <f t="shared" si="1"/>
        <v>889.53</v>
      </c>
      <c r="BD5" s="2758">
        <f t="shared" si="1"/>
        <v>2958.2</v>
      </c>
      <c r="BE5" s="2758">
        <f t="shared" si="1"/>
        <v>1669.98</v>
      </c>
      <c r="BF5" s="2758">
        <f t="shared" si="1"/>
        <v>0</v>
      </c>
      <c r="BG5" s="2758">
        <f t="shared" si="1"/>
        <v>0</v>
      </c>
      <c r="BH5" s="2758">
        <f t="shared" si="1"/>
        <v>0</v>
      </c>
      <c r="BI5" s="2758">
        <f t="shared" si="1"/>
        <v>0</v>
      </c>
      <c r="BJ5" s="2758">
        <f t="shared" si="1"/>
        <v>0</v>
      </c>
      <c r="BK5" s="2758">
        <f t="shared" si="1"/>
        <v>0</v>
      </c>
      <c r="BL5" s="2758">
        <f t="shared" si="1"/>
        <v>0</v>
      </c>
      <c r="BM5" s="2758">
        <f t="shared" si="1"/>
        <v>0</v>
      </c>
      <c r="BN5" s="2758">
        <f t="shared" si="1"/>
        <v>0</v>
      </c>
      <c r="BO5" s="2758">
        <f t="shared" si="1"/>
        <v>0</v>
      </c>
      <c r="BP5" s="2758">
        <f t="shared" si="1"/>
        <v>0</v>
      </c>
      <c r="BQ5" s="2758">
        <f t="shared" si="1"/>
        <v>0</v>
      </c>
      <c r="BR5" s="2758">
        <f t="shared" si="1"/>
        <v>0</v>
      </c>
      <c r="BS5" s="2758">
        <f t="shared" si="1"/>
        <v>0</v>
      </c>
      <c r="BT5" s="2767">
        <f t="shared" si="1"/>
        <v>0</v>
      </c>
    </row>
    <row r="6" spans="1:72" s="2686" customFormat="1" ht="12.75">
      <c r="A6" s="1810" t="s">
        <v>443</v>
      </c>
      <c r="B6" s="2699"/>
      <c r="C6" s="2699"/>
      <c r="D6" s="2700"/>
      <c r="E6" s="2698">
        <f>H6+AC6+AT6</f>
        <v>11660.660000000002</v>
      </c>
      <c r="F6" s="2698" t="s">
        <v>124</v>
      </c>
      <c r="G6" s="2698" t="s">
        <v>124</v>
      </c>
      <c r="H6" s="2701">
        <f>SUMIF(I$12:AB$12,"总值",I6:AB6)</f>
        <v>11660.660000000002</v>
      </c>
      <c r="I6" s="2698">
        <f t="shared" ref="I6:AB6" si="2">ROUND($A$3*I5/$B$3,2)</f>
        <v>10020.290000000001</v>
      </c>
      <c r="J6" s="2698">
        <f t="shared" si="2"/>
        <v>0</v>
      </c>
      <c r="K6" s="2698">
        <f t="shared" si="2"/>
        <v>264.45</v>
      </c>
      <c r="L6" s="2698">
        <f t="shared" si="2"/>
        <v>0</v>
      </c>
      <c r="M6" s="2698">
        <f t="shared" si="2"/>
        <v>879.45</v>
      </c>
      <c r="N6" s="2698">
        <f t="shared" si="2"/>
        <v>0</v>
      </c>
      <c r="O6" s="2698">
        <f t="shared" si="2"/>
        <v>496.47</v>
      </c>
      <c r="P6" s="2698">
        <f t="shared" si="2"/>
        <v>0</v>
      </c>
      <c r="Q6" s="2698">
        <f t="shared" si="2"/>
        <v>0</v>
      </c>
      <c r="R6" s="2698">
        <f t="shared" si="2"/>
        <v>0</v>
      </c>
      <c r="S6" s="2698">
        <f t="shared" si="2"/>
        <v>0</v>
      </c>
      <c r="T6" s="2698">
        <f t="shared" si="2"/>
        <v>0</v>
      </c>
      <c r="U6" s="2698">
        <f t="shared" si="2"/>
        <v>0</v>
      </c>
      <c r="V6" s="2698">
        <f t="shared" si="2"/>
        <v>0</v>
      </c>
      <c r="W6" s="2698">
        <f t="shared" si="2"/>
        <v>0</v>
      </c>
      <c r="X6" s="2698">
        <f t="shared" si="2"/>
        <v>0</v>
      </c>
      <c r="Y6" s="2698">
        <f t="shared" si="2"/>
        <v>0</v>
      </c>
      <c r="Z6" s="2698">
        <f t="shared" si="2"/>
        <v>0</v>
      </c>
      <c r="AA6" s="2698">
        <f t="shared" si="2"/>
        <v>0</v>
      </c>
      <c r="AB6" s="2698">
        <f t="shared" si="2"/>
        <v>0</v>
      </c>
      <c r="AC6" s="2701">
        <f>SUMIF(AD$12:AS$12,"总值",AD6:AS6)</f>
        <v>0</v>
      </c>
      <c r="AD6" s="2698">
        <f t="shared" ref="AD6:AS6" si="3">ROUND($A$3*AD5/$B$3,2)</f>
        <v>0</v>
      </c>
      <c r="AE6" s="2698">
        <f t="shared" si="3"/>
        <v>0</v>
      </c>
      <c r="AF6" s="2698">
        <f t="shared" si="3"/>
        <v>0</v>
      </c>
      <c r="AG6" s="2698">
        <f t="shared" si="3"/>
        <v>0</v>
      </c>
      <c r="AH6" s="2698">
        <f t="shared" si="3"/>
        <v>0</v>
      </c>
      <c r="AI6" s="2698">
        <f t="shared" si="3"/>
        <v>0</v>
      </c>
      <c r="AJ6" s="2698">
        <f t="shared" si="3"/>
        <v>0</v>
      </c>
      <c r="AK6" s="2698">
        <f t="shared" si="3"/>
        <v>0</v>
      </c>
      <c r="AL6" s="2698">
        <f t="shared" si="3"/>
        <v>0</v>
      </c>
      <c r="AM6" s="2698">
        <f t="shared" si="3"/>
        <v>0</v>
      </c>
      <c r="AN6" s="2698">
        <f t="shared" si="3"/>
        <v>0</v>
      </c>
      <c r="AO6" s="2698">
        <f t="shared" si="3"/>
        <v>0</v>
      </c>
      <c r="AP6" s="2698">
        <f t="shared" si="3"/>
        <v>0</v>
      </c>
      <c r="AQ6" s="2698">
        <f t="shared" si="3"/>
        <v>0</v>
      </c>
      <c r="AR6" s="2698">
        <f t="shared" si="3"/>
        <v>0</v>
      </c>
      <c r="AS6" s="2698">
        <f t="shared" si="3"/>
        <v>0</v>
      </c>
      <c r="AT6" s="2701">
        <f>IF(C3="是",ROUND($A$3*AT5/$B$3,2),0)</f>
        <v>0</v>
      </c>
      <c r="AU6" s="2743"/>
      <c r="AV6" s="1810" t="s">
        <v>443</v>
      </c>
      <c r="AW6" s="2699"/>
      <c r="AX6" s="2699"/>
      <c r="AY6" s="2759">
        <f>IF(AY3&gt;0,AY3,ROUND($A$3*AZ5/$B$3,2))</f>
        <v>11660.67</v>
      </c>
      <c r="AZ6" s="2698" t="s">
        <v>124</v>
      </c>
      <c r="BA6" s="2698">
        <f>ROUND($AY$6*BA5/$AZ$5,2)</f>
        <v>11660.67</v>
      </c>
      <c r="BB6" s="2698">
        <f>ROUND($AY$6*BB5/$AZ$5,2)</f>
        <v>10020.290000000001</v>
      </c>
      <c r="BC6" s="2698">
        <f t="shared" ref="BC6:BH6" si="4">ROUND($AY$6*BC5/$AZ$5,2)</f>
        <v>264.45</v>
      </c>
      <c r="BD6" s="2698">
        <f t="shared" si="4"/>
        <v>879.45</v>
      </c>
      <c r="BE6" s="2698">
        <f t="shared" si="4"/>
        <v>496.47</v>
      </c>
      <c r="BF6" s="2698">
        <f t="shared" si="4"/>
        <v>0</v>
      </c>
      <c r="BG6" s="2698">
        <f t="shared" si="4"/>
        <v>0</v>
      </c>
      <c r="BH6" s="2698">
        <f t="shared" si="4"/>
        <v>0</v>
      </c>
      <c r="BI6" s="2698">
        <f t="shared" ref="BI6:BT6" si="5">ROUND($AY$6*BI5/$AZ$5,2)</f>
        <v>0</v>
      </c>
      <c r="BJ6" s="2698">
        <f t="shared" si="5"/>
        <v>0</v>
      </c>
      <c r="BK6" s="2698">
        <f t="shared" si="5"/>
        <v>0</v>
      </c>
      <c r="BL6" s="2698">
        <f t="shared" si="5"/>
        <v>0</v>
      </c>
      <c r="BM6" s="2698">
        <f t="shared" si="5"/>
        <v>0</v>
      </c>
      <c r="BN6" s="2698">
        <f t="shared" si="5"/>
        <v>0</v>
      </c>
      <c r="BO6" s="2698">
        <f t="shared" si="5"/>
        <v>0</v>
      </c>
      <c r="BP6" s="2698">
        <f t="shared" si="5"/>
        <v>0</v>
      </c>
      <c r="BQ6" s="2698">
        <f t="shared" si="5"/>
        <v>0</v>
      </c>
      <c r="BR6" s="2698">
        <f t="shared" si="5"/>
        <v>0</v>
      </c>
      <c r="BS6" s="2698">
        <f t="shared" si="5"/>
        <v>0</v>
      </c>
      <c r="BT6" s="2768">
        <f t="shared" si="5"/>
        <v>0</v>
      </c>
    </row>
    <row r="7" spans="1:72" s="2684" customFormat="1" ht="24.75">
      <c r="A7" s="2702" t="s">
        <v>444</v>
      </c>
      <c r="B7" s="2702" t="s">
        <v>445</v>
      </c>
      <c r="C7" s="2702" t="s">
        <v>418</v>
      </c>
      <c r="D7" s="2702" t="s">
        <v>446</v>
      </c>
      <c r="E7" s="2702" t="s">
        <v>443</v>
      </c>
      <c r="F7" s="2702" t="s">
        <v>447</v>
      </c>
      <c r="G7" s="2136" t="s">
        <v>448</v>
      </c>
      <c r="H7" s="2703"/>
      <c r="I7" s="2703"/>
      <c r="J7" s="2703"/>
      <c r="K7" s="2703"/>
      <c r="L7" s="2703"/>
      <c r="M7" s="2703"/>
      <c r="N7" s="2703"/>
      <c r="O7" s="2703"/>
      <c r="P7" s="2703"/>
      <c r="Q7" s="2703"/>
      <c r="R7" s="2703"/>
      <c r="S7" s="2703"/>
      <c r="T7" s="2703"/>
      <c r="U7" s="2703"/>
      <c r="V7" s="2703"/>
      <c r="W7" s="2703"/>
      <c r="X7" s="2703"/>
      <c r="Y7" s="2703"/>
      <c r="Z7" s="2703"/>
      <c r="AA7" s="2703"/>
      <c r="AB7" s="2703"/>
      <c r="AC7" s="2703"/>
      <c r="AD7" s="2703"/>
      <c r="AE7" s="2703"/>
      <c r="AF7" s="2703"/>
      <c r="AG7" s="2703"/>
      <c r="AH7" s="2703"/>
      <c r="AI7" s="2703"/>
      <c r="AJ7" s="2703"/>
      <c r="AK7" s="2703"/>
      <c r="AL7" s="2703"/>
      <c r="AM7" s="2703"/>
      <c r="AN7" s="2703"/>
      <c r="AO7" s="2703"/>
      <c r="AP7" s="2703"/>
      <c r="AQ7" s="2703"/>
      <c r="AR7" s="2703"/>
      <c r="AS7" s="2703"/>
      <c r="AT7" s="2168"/>
      <c r="AU7" s="2703" t="s">
        <v>449</v>
      </c>
      <c r="AV7" s="2744" t="s">
        <v>444</v>
      </c>
      <c r="AW7" s="2156" t="s">
        <v>445</v>
      </c>
      <c r="AX7" s="2744" t="s">
        <v>418</v>
      </c>
      <c r="AY7" s="2039" t="s">
        <v>450</v>
      </c>
      <c r="AZ7" s="2735"/>
      <c r="BA7" s="2703"/>
      <c r="BB7" s="2703"/>
      <c r="BC7" s="2703"/>
      <c r="BD7" s="2703"/>
      <c r="BE7" s="2703"/>
      <c r="BF7" s="2703"/>
      <c r="BG7" s="2703"/>
      <c r="BH7" s="2703"/>
      <c r="BI7" s="2703"/>
      <c r="BJ7" s="2703"/>
      <c r="BK7" s="2703"/>
      <c r="BL7" s="2703"/>
      <c r="BM7" s="2703"/>
      <c r="BN7" s="2703"/>
      <c r="BO7" s="2703"/>
      <c r="BP7" s="2703"/>
      <c r="BQ7" s="2703"/>
      <c r="BR7" s="2703"/>
      <c r="BS7" s="2703"/>
      <c r="BT7" s="2769"/>
    </row>
    <row r="8" spans="1:72" s="2403" customFormat="1" ht="24">
      <c r="A8" s="2704"/>
      <c r="B8" s="2704"/>
      <c r="C8" s="2704"/>
      <c r="D8" s="2704"/>
      <c r="E8" s="2704"/>
      <c r="F8" s="2704"/>
      <c r="G8" s="2705" t="s">
        <v>451</v>
      </c>
      <c r="H8" s="2706" t="s">
        <v>452</v>
      </c>
      <c r="I8" s="2724"/>
      <c r="J8" s="290"/>
      <c r="K8" s="290"/>
      <c r="L8" s="290"/>
      <c r="M8" s="290"/>
      <c r="N8" s="290"/>
      <c r="O8" s="290"/>
      <c r="P8" s="290"/>
      <c r="Q8" s="290"/>
      <c r="R8" s="290"/>
      <c r="S8" s="290"/>
      <c r="T8" s="290"/>
      <c r="U8" s="290"/>
      <c r="V8" s="2731"/>
      <c r="W8" s="290"/>
      <c r="X8" s="290"/>
      <c r="Y8" s="290"/>
      <c r="Z8" s="290"/>
      <c r="AA8" s="2731"/>
      <c r="AB8" s="2733"/>
      <c r="AC8" s="1958" t="s">
        <v>453</v>
      </c>
      <c r="AD8" s="2734"/>
      <c r="AE8" s="2735"/>
      <c r="AF8" s="290"/>
      <c r="AG8" s="290"/>
      <c r="AH8" s="290"/>
      <c r="AI8" s="290"/>
      <c r="AJ8" s="290"/>
      <c r="AK8" s="290"/>
      <c r="AL8" s="290"/>
      <c r="AM8" s="290"/>
      <c r="AN8" s="290"/>
      <c r="AO8" s="290"/>
      <c r="AP8" s="290"/>
      <c r="AQ8" s="290"/>
      <c r="AR8" s="290"/>
      <c r="AS8" s="290"/>
      <c r="AT8" s="1650" t="s">
        <v>454</v>
      </c>
      <c r="AU8" s="2704" t="s">
        <v>455</v>
      </c>
      <c r="AV8" s="1650"/>
      <c r="AW8" s="2116"/>
      <c r="AX8" s="1650"/>
      <c r="AY8" s="2156" t="s">
        <v>443</v>
      </c>
      <c r="AZ8" s="289" t="s">
        <v>362</v>
      </c>
      <c r="BA8" s="290"/>
      <c r="BB8" s="290"/>
      <c r="BC8" s="290"/>
      <c r="BD8" s="290"/>
      <c r="BE8" s="290"/>
      <c r="BF8" s="290"/>
      <c r="BG8" s="290"/>
      <c r="BH8" s="290"/>
      <c r="BI8" s="290"/>
      <c r="BJ8" s="290"/>
      <c r="BK8" s="290"/>
      <c r="BL8" s="290"/>
      <c r="BM8" s="290"/>
      <c r="BN8" s="290"/>
      <c r="BO8" s="290"/>
      <c r="BP8" s="290"/>
      <c r="BQ8" s="290"/>
      <c r="BR8" s="290"/>
      <c r="BS8" s="290"/>
      <c r="BT8" s="1696"/>
    </row>
    <row r="9" spans="1:72" s="2403" customFormat="1" ht="12.75">
      <c r="A9" s="2704"/>
      <c r="B9" s="2704"/>
      <c r="C9" s="2704"/>
      <c r="D9" s="2704"/>
      <c r="E9" s="2704"/>
      <c r="F9" s="2704"/>
      <c r="G9" s="1650"/>
      <c r="H9" s="2707" t="s">
        <v>456</v>
      </c>
      <c r="I9" s="2725" t="s">
        <v>457</v>
      </c>
      <c r="J9" s="1958"/>
      <c r="K9" s="2725" t="s">
        <v>457</v>
      </c>
      <c r="L9" s="1958"/>
      <c r="M9" s="2725" t="s">
        <v>457</v>
      </c>
      <c r="N9" s="1958"/>
      <c r="O9" s="2725" t="s">
        <v>458</v>
      </c>
      <c r="P9" s="1958"/>
      <c r="Q9" s="2725"/>
      <c r="R9" s="1958"/>
      <c r="S9" s="2725"/>
      <c r="T9" s="1958"/>
      <c r="U9" s="2725"/>
      <c r="V9" s="1958"/>
      <c r="W9" s="2725"/>
      <c r="X9" s="2732"/>
      <c r="Y9" s="2725"/>
      <c r="Z9" s="1958"/>
      <c r="AA9" s="2725"/>
      <c r="AB9" s="1958"/>
      <c r="AC9" s="2705" t="s">
        <v>456</v>
      </c>
      <c r="AD9" s="1810" t="s">
        <v>459</v>
      </c>
      <c r="AE9" s="1662"/>
      <c r="AF9" s="1810" t="s">
        <v>460</v>
      </c>
      <c r="AG9" s="1662"/>
      <c r="AH9" s="1810" t="s">
        <v>459</v>
      </c>
      <c r="AI9" s="1662"/>
      <c r="AJ9" s="1810" t="s">
        <v>460</v>
      </c>
      <c r="AK9" s="1662"/>
      <c r="AL9" s="1810" t="s">
        <v>459</v>
      </c>
      <c r="AM9" s="1662"/>
      <c r="AN9" s="1810" t="s">
        <v>460</v>
      </c>
      <c r="AO9" s="1662"/>
      <c r="AP9" s="1810" t="s">
        <v>459</v>
      </c>
      <c r="AQ9" s="1662"/>
      <c r="AR9" s="1810" t="s">
        <v>460</v>
      </c>
      <c r="AS9" s="2745"/>
      <c r="AT9" s="2704"/>
      <c r="AU9" s="2704" t="s">
        <v>461</v>
      </c>
      <c r="AV9" s="1650"/>
      <c r="AW9" s="2116"/>
      <c r="AX9" s="1650"/>
      <c r="AY9" s="2708"/>
      <c r="AZ9" s="2708" t="s">
        <v>451</v>
      </c>
      <c r="BA9" s="2760" t="s">
        <v>462</v>
      </c>
      <c r="BB9" s="2761"/>
      <c r="BC9" s="1708"/>
      <c r="BD9" s="1708"/>
      <c r="BE9" s="1708"/>
      <c r="BF9" s="1708"/>
      <c r="BG9" s="1708"/>
      <c r="BH9" s="1708"/>
      <c r="BI9" s="1708"/>
      <c r="BJ9" s="1708"/>
      <c r="BK9" s="2766"/>
      <c r="BL9" s="1810" t="s">
        <v>463</v>
      </c>
      <c r="BM9" s="290"/>
      <c r="BN9" s="2724"/>
      <c r="BO9" s="290"/>
      <c r="BP9" s="290"/>
      <c r="BQ9" s="290"/>
      <c r="BR9" s="290"/>
      <c r="BS9" s="290"/>
      <c r="BT9" s="1696"/>
    </row>
    <row r="10" spans="1:72" s="2403" customFormat="1" ht="12.75">
      <c r="A10" s="2704"/>
      <c r="B10" s="2704"/>
      <c r="C10" s="2704"/>
      <c r="D10" s="2704"/>
      <c r="E10" s="2704"/>
      <c r="F10" s="2704"/>
      <c r="G10" s="1650"/>
      <c r="H10" s="2708"/>
      <c r="I10" s="2725" t="s">
        <v>464</v>
      </c>
      <c r="J10" s="1958"/>
      <c r="K10" s="2726" t="s">
        <v>465</v>
      </c>
      <c r="L10" s="1958"/>
      <c r="M10" s="2726" t="s">
        <v>464</v>
      </c>
      <c r="N10" s="1958"/>
      <c r="O10" s="2726" t="s">
        <v>466</v>
      </c>
      <c r="P10" s="1958"/>
      <c r="Q10" s="2726"/>
      <c r="R10" s="1958"/>
      <c r="S10" s="2726"/>
      <c r="T10" s="1958"/>
      <c r="U10" s="2726"/>
      <c r="V10" s="1958"/>
      <c r="W10" s="2726"/>
      <c r="X10" s="1958"/>
      <c r="Y10" s="2726"/>
      <c r="Z10" s="1958"/>
      <c r="AA10" s="2726"/>
      <c r="AB10" s="1958"/>
      <c r="AC10" s="1650"/>
      <c r="AD10" s="1810" t="s">
        <v>467</v>
      </c>
      <c r="AE10" s="2736"/>
      <c r="AF10" s="1810" t="s">
        <v>467</v>
      </c>
      <c r="AG10" s="2736"/>
      <c r="AH10" s="1810" t="s">
        <v>468</v>
      </c>
      <c r="AI10" s="2736"/>
      <c r="AJ10" s="1810" t="s">
        <v>468</v>
      </c>
      <c r="AK10" s="2736"/>
      <c r="AL10" s="1810" t="s">
        <v>469</v>
      </c>
      <c r="AM10" s="1662"/>
      <c r="AN10" s="1810" t="s">
        <v>469</v>
      </c>
      <c r="AO10" s="1662"/>
      <c r="AP10" s="1810" t="s">
        <v>470</v>
      </c>
      <c r="AQ10" s="1662"/>
      <c r="AR10" s="1810" t="s">
        <v>470</v>
      </c>
      <c r="AS10" s="1662"/>
      <c r="AT10" s="2704"/>
      <c r="AU10" s="2704"/>
      <c r="AV10" s="1650"/>
      <c r="AW10" s="2116"/>
      <c r="AX10" s="1650"/>
      <c r="AY10" s="2708"/>
      <c r="AZ10" s="2708"/>
      <c r="BA10" s="2709" t="s">
        <v>456</v>
      </c>
      <c r="BB10" s="2762" t="str">
        <f>I9</f>
        <v>地上</v>
      </c>
      <c r="BC10" s="1720" t="str">
        <f>K9</f>
        <v>地上</v>
      </c>
      <c r="BD10" s="1720" t="str">
        <f>M9</f>
        <v>地上</v>
      </c>
      <c r="BE10" s="1720" t="str">
        <f>O9</f>
        <v>地下</v>
      </c>
      <c r="BF10" s="1720">
        <f>Q9</f>
        <v>0</v>
      </c>
      <c r="BG10" s="1720">
        <f>S9</f>
        <v>0</v>
      </c>
      <c r="BH10" s="1720">
        <f>U9</f>
        <v>0</v>
      </c>
      <c r="BI10" s="1720">
        <f>W9</f>
        <v>0</v>
      </c>
      <c r="BJ10" s="1720">
        <f>Y9</f>
        <v>0</v>
      </c>
      <c r="BK10" s="1720">
        <f>AA9</f>
        <v>0</v>
      </c>
      <c r="BL10" s="1716" t="s">
        <v>456</v>
      </c>
      <c r="BM10" s="289" t="str">
        <f>AD9</f>
        <v>地上</v>
      </c>
      <c r="BN10" s="1720" t="str">
        <f>AF9</f>
        <v>地下</v>
      </c>
      <c r="BO10" s="289" t="str">
        <f>AH9</f>
        <v>地上</v>
      </c>
      <c r="BP10" s="1720" t="str">
        <f>AJ9</f>
        <v>地下</v>
      </c>
      <c r="BQ10" s="289" t="str">
        <f>AL9</f>
        <v>地上</v>
      </c>
      <c r="BR10" s="1720" t="str">
        <f>AN9</f>
        <v>地下</v>
      </c>
      <c r="BS10" s="289" t="str">
        <f>AP9</f>
        <v>地上</v>
      </c>
      <c r="BT10" s="2770" t="str">
        <f>AR9</f>
        <v>地下</v>
      </c>
    </row>
    <row r="11" spans="1:72" s="2403" customFormat="1" ht="12.75">
      <c r="A11" s="2704"/>
      <c r="B11" s="2704"/>
      <c r="C11" s="2704"/>
      <c r="D11" s="2704"/>
      <c r="E11" s="2704"/>
      <c r="F11" s="2704"/>
      <c r="G11" s="1650"/>
      <c r="H11" s="2709"/>
      <c r="I11" s="2727"/>
      <c r="J11" s="2728"/>
      <c r="K11" s="2727"/>
      <c r="L11" s="2728"/>
      <c r="M11" s="2727"/>
      <c r="N11" s="2728"/>
      <c r="O11" s="2727"/>
      <c r="P11" s="2728"/>
      <c r="Q11" s="2727"/>
      <c r="R11" s="2728"/>
      <c r="S11" s="2727"/>
      <c r="T11" s="2728"/>
      <c r="U11" s="2727"/>
      <c r="V11" s="2728"/>
      <c r="W11" s="2727"/>
      <c r="X11" s="2728"/>
      <c r="Y11" s="2727"/>
      <c r="Z11" s="2728"/>
      <c r="AA11" s="2727"/>
      <c r="AB11" s="2728"/>
      <c r="AC11" s="1650"/>
      <c r="AD11" s="2737" t="s">
        <v>471</v>
      </c>
      <c r="AE11" s="347"/>
      <c r="AF11" s="2737" t="s">
        <v>471</v>
      </c>
      <c r="AG11" s="347"/>
      <c r="AH11" s="2737" t="s">
        <v>472</v>
      </c>
      <c r="AI11" s="2741"/>
      <c r="AJ11" s="2737" t="s">
        <v>472</v>
      </c>
      <c r="AK11" s="347"/>
      <c r="AL11" s="289"/>
      <c r="AM11" s="347"/>
      <c r="AN11" s="289"/>
      <c r="AO11" s="347"/>
      <c r="AP11" s="289"/>
      <c r="AQ11" s="347"/>
      <c r="AR11" s="289"/>
      <c r="AS11" s="347"/>
      <c r="AT11" s="2116"/>
      <c r="AU11" s="2704"/>
      <c r="AV11" s="1650"/>
      <c r="AW11" s="2116"/>
      <c r="AX11" s="1650"/>
      <c r="AY11" s="2708"/>
      <c r="AZ11" s="2708"/>
      <c r="BA11" s="2708"/>
      <c r="BB11" s="2733" t="str">
        <f>I10</f>
        <v>住宅</v>
      </c>
      <c r="BC11" s="2733" t="str">
        <f>K10</f>
        <v>商业</v>
      </c>
      <c r="BD11" s="2733" t="str">
        <f>M10</f>
        <v>住宅</v>
      </c>
      <c r="BE11" s="2733" t="str">
        <f>O10</f>
        <v>仓储</v>
      </c>
      <c r="BF11" s="2733">
        <f>Q10</f>
        <v>0</v>
      </c>
      <c r="BG11" s="2733">
        <f>S10</f>
        <v>0</v>
      </c>
      <c r="BH11" s="2733">
        <f>U10</f>
        <v>0</v>
      </c>
      <c r="BI11" s="2733">
        <f>W10</f>
        <v>0</v>
      </c>
      <c r="BJ11" s="2733">
        <f>Y10</f>
        <v>0</v>
      </c>
      <c r="BK11" s="2733">
        <f>AA10</f>
        <v>0</v>
      </c>
      <c r="BL11" s="1650"/>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716" t="str">
        <f>AP10</f>
        <v>未注明</v>
      </c>
      <c r="BT11" s="2771" t="str">
        <f>AR10</f>
        <v>未注明</v>
      </c>
    </row>
    <row r="12" spans="1:72" s="2684" customFormat="1" ht="12.75">
      <c r="A12" s="2710"/>
      <c r="B12" s="2710"/>
      <c r="C12" s="2710"/>
      <c r="D12" s="2710"/>
      <c r="E12" s="2710"/>
      <c r="F12" s="2710"/>
      <c r="G12" s="613"/>
      <c r="H12" s="2711"/>
      <c r="I12" s="2168" t="s">
        <v>473</v>
      </c>
      <c r="J12" s="291" t="s">
        <v>474</v>
      </c>
      <c r="K12" s="291" t="s">
        <v>473</v>
      </c>
      <c r="L12" s="291" t="s">
        <v>474</v>
      </c>
      <c r="M12" s="291" t="s">
        <v>473</v>
      </c>
      <c r="N12" s="291" t="s">
        <v>474</v>
      </c>
      <c r="O12" s="291" t="s">
        <v>473</v>
      </c>
      <c r="P12" s="291" t="s">
        <v>474</v>
      </c>
      <c r="Q12" s="291" t="s">
        <v>473</v>
      </c>
      <c r="R12" s="291" t="s">
        <v>474</v>
      </c>
      <c r="S12" s="291" t="s">
        <v>473</v>
      </c>
      <c r="T12" s="291" t="s">
        <v>474</v>
      </c>
      <c r="U12" s="291" t="s">
        <v>473</v>
      </c>
      <c r="V12" s="2038" t="s">
        <v>474</v>
      </c>
      <c r="W12" s="291" t="s">
        <v>473</v>
      </c>
      <c r="X12" s="291" t="s">
        <v>474</v>
      </c>
      <c r="Y12" s="291" t="s">
        <v>473</v>
      </c>
      <c r="Z12" s="291" t="s">
        <v>474</v>
      </c>
      <c r="AA12" s="291" t="s">
        <v>473</v>
      </c>
      <c r="AB12" s="291" t="s">
        <v>474</v>
      </c>
      <c r="AC12" s="2738"/>
      <c r="AD12" s="2168" t="s">
        <v>473</v>
      </c>
      <c r="AE12" s="291" t="s">
        <v>474</v>
      </c>
      <c r="AF12" s="291" t="s">
        <v>473</v>
      </c>
      <c r="AG12" s="291" t="s">
        <v>474</v>
      </c>
      <c r="AH12" s="291" t="s">
        <v>473</v>
      </c>
      <c r="AI12" s="291" t="s">
        <v>474</v>
      </c>
      <c r="AJ12" s="291" t="s">
        <v>473</v>
      </c>
      <c r="AK12" s="291" t="s">
        <v>474</v>
      </c>
      <c r="AL12" s="291" t="s">
        <v>473</v>
      </c>
      <c r="AM12" s="291" t="s">
        <v>474</v>
      </c>
      <c r="AN12" s="291" t="s">
        <v>473</v>
      </c>
      <c r="AO12" s="291" t="s">
        <v>474</v>
      </c>
      <c r="AP12" s="291" t="s">
        <v>473</v>
      </c>
      <c r="AQ12" s="291" t="s">
        <v>474</v>
      </c>
      <c r="AR12" s="613" t="s">
        <v>473</v>
      </c>
      <c r="AS12" s="2710" t="s">
        <v>474</v>
      </c>
      <c r="AT12" s="2746"/>
      <c r="AU12" s="2710"/>
      <c r="AV12" s="2747"/>
      <c r="AW12" s="2156"/>
      <c r="AX12" s="2747"/>
      <c r="AY12" s="2763"/>
      <c r="AZ12" s="2708"/>
      <c r="BA12" s="2709"/>
      <c r="BB12" s="288">
        <f>I11</f>
        <v>0</v>
      </c>
      <c r="BC12" s="2764">
        <f>K11</f>
        <v>0</v>
      </c>
      <c r="BD12" s="2764">
        <f>M11</f>
        <v>0</v>
      </c>
      <c r="BE12" s="2733">
        <f>O11</f>
        <v>0</v>
      </c>
      <c r="BF12" s="2733">
        <f>Q11</f>
        <v>0</v>
      </c>
      <c r="BG12" s="2733">
        <f>S11</f>
        <v>0</v>
      </c>
      <c r="BH12" s="2733">
        <f>U11</f>
        <v>0</v>
      </c>
      <c r="BI12" s="2733">
        <f>W11</f>
        <v>0</v>
      </c>
      <c r="BJ12" s="2733">
        <f>Y11</f>
        <v>0</v>
      </c>
      <c r="BK12" s="2733">
        <f>AA11</f>
        <v>0</v>
      </c>
      <c r="BL12" s="1650"/>
      <c r="BM12" s="289" t="str">
        <f>AD11</f>
        <v>（住宅）</v>
      </c>
      <c r="BN12" s="289" t="str">
        <f>AF11</f>
        <v>（住宅）</v>
      </c>
      <c r="BO12" s="288" t="str">
        <f>AH11</f>
        <v>（住宅、计出让金）</v>
      </c>
      <c r="BP12" s="288" t="str">
        <f>AJ11</f>
        <v>（住宅、计出让金）</v>
      </c>
      <c r="BQ12" s="288">
        <f>AL11</f>
        <v>0</v>
      </c>
      <c r="BR12" s="288">
        <f>AN11</f>
        <v>0</v>
      </c>
      <c r="BS12" s="1716">
        <f>AP11</f>
        <v>0</v>
      </c>
      <c r="BT12" s="2771">
        <f>AR11</f>
        <v>0</v>
      </c>
    </row>
    <row r="13" spans="1:72" s="2684" customFormat="1" ht="12.75">
      <c r="A13" s="2712"/>
      <c r="B13" s="2712"/>
      <c r="C13" s="2712"/>
      <c r="D13" s="2713" t="s">
        <v>475</v>
      </c>
      <c r="E13" s="2698">
        <f>IF($C$3="是",ROUND($A$3*G13/$B$3,2),ROUND($A$3*(G13-AT13)/$B$3,2))</f>
        <v>11660.67</v>
      </c>
      <c r="F13" s="2714"/>
      <c r="G13" s="2715">
        <f>H13+AC13+AT13</f>
        <v>39222.729999999996</v>
      </c>
      <c r="H13" s="2701">
        <f>SUMIF(I$12:AB$12,"总值",I13:AB13)</f>
        <v>39222.729999999996</v>
      </c>
      <c r="I13" s="2729">
        <f>9403.92+11484.38+12816.72</f>
        <v>33705.019999999997</v>
      </c>
      <c r="J13" s="2729"/>
      <c r="K13" s="2729">
        <v>889.53</v>
      </c>
      <c r="L13" s="2729"/>
      <c r="M13" s="2729">
        <f>Sheet1!A84+Sheet1!D72</f>
        <v>2958.2</v>
      </c>
      <c r="N13" s="2729"/>
      <c r="O13" s="2729">
        <f>ROUND((2129.85+2498.33)-M13,2)</f>
        <v>1669.98</v>
      </c>
      <c r="P13" s="2729"/>
      <c r="Q13" s="2729"/>
      <c r="R13" s="2729"/>
      <c r="S13" s="2729"/>
      <c r="T13" s="2729"/>
      <c r="U13" s="2729"/>
      <c r="V13" s="2729"/>
      <c r="W13" s="2729"/>
      <c r="X13" s="2729"/>
      <c r="Y13" s="2729"/>
      <c r="Z13" s="2729"/>
      <c r="AA13" s="2729"/>
      <c r="AB13" s="2729"/>
      <c r="AC13" s="2698">
        <f>SUMIF(AD$12:AS$12,"总值",AD13:AS13)</f>
        <v>0</v>
      </c>
      <c r="AD13" s="2739"/>
      <c r="AE13" s="2739"/>
      <c r="AF13" s="2739"/>
      <c r="AG13" s="2739"/>
      <c r="AH13" s="2739"/>
      <c r="AI13" s="2739"/>
      <c r="AJ13" s="2739"/>
      <c r="AK13" s="2739"/>
      <c r="AL13" s="2739"/>
      <c r="AM13" s="2739"/>
      <c r="AN13" s="2739"/>
      <c r="AO13" s="2739"/>
      <c r="AP13" s="2739"/>
      <c r="AQ13" s="2739"/>
      <c r="AR13" s="2739"/>
      <c r="AS13" s="2739"/>
      <c r="AT13" s="2748"/>
      <c r="AU13" s="2749"/>
      <c r="AV13" s="291">
        <f t="shared" ref="AV13:AX17" si="6">A13</f>
        <v>0</v>
      </c>
      <c r="AW13" s="291">
        <f t="shared" si="6"/>
        <v>0</v>
      </c>
      <c r="AX13" s="291">
        <f t="shared" si="6"/>
        <v>0</v>
      </c>
      <c r="AY13" s="2168">
        <f>ROUND($AY$6*AZ13/$AZ$5,2)</f>
        <v>11660.67</v>
      </c>
      <c r="AZ13" s="2698">
        <f>BA13+BL13</f>
        <v>39222.729999999996</v>
      </c>
      <c r="BA13" s="2698">
        <f>SUM(BB13:BK13)</f>
        <v>39222.729999999996</v>
      </c>
      <c r="BB13" s="2698">
        <f>IF($D13="是",I13-J13,0)</f>
        <v>33705.019999999997</v>
      </c>
      <c r="BC13" s="2698">
        <f>IF($D13="是",K13-L13,0)</f>
        <v>889.53</v>
      </c>
      <c r="BD13" s="2698">
        <f>IF($D13="是",M13-N13,0)</f>
        <v>2958.2</v>
      </c>
      <c r="BE13" s="2698">
        <f>IF($D13="是",O13-P13,0)</f>
        <v>1669.98</v>
      </c>
      <c r="BF13" s="2698">
        <f>IF($D13="是",Q13-R13,0)</f>
        <v>0</v>
      </c>
      <c r="BG13" s="2698">
        <f>IF($D13="是",S13-T13,0)</f>
        <v>0</v>
      </c>
      <c r="BH13" s="2698">
        <f>IF($D13="是",U13-V13,0)</f>
        <v>0</v>
      </c>
      <c r="BI13" s="2698">
        <f>IF($D13="是",W13-X13,0)</f>
        <v>0</v>
      </c>
      <c r="BJ13" s="2698">
        <f>IF($D13="是",Y13-Z13,0)</f>
        <v>0</v>
      </c>
      <c r="BK13" s="2698">
        <f>IF($D13="是",AA13-AB13,0)</f>
        <v>0</v>
      </c>
      <c r="BL13" s="2698">
        <f>SUM(BM13:BT13)</f>
        <v>0</v>
      </c>
      <c r="BM13" s="2698">
        <f>IF($D13="是",AD13-AE13,0)</f>
        <v>0</v>
      </c>
      <c r="BN13" s="2698">
        <f>IF($D13="是",AF13-AG13,0)</f>
        <v>0</v>
      </c>
      <c r="BO13" s="2698">
        <f>IF($D13="是",AH13-AI13,0)</f>
        <v>0</v>
      </c>
      <c r="BP13" s="2698">
        <f>IF($D13="是",AJ13-AK13,0)</f>
        <v>0</v>
      </c>
      <c r="BQ13" s="2698">
        <f>IF($D13="是",AL13-AM13,0)</f>
        <v>0</v>
      </c>
      <c r="BR13" s="2698">
        <f>IF($D13="是",AN13-AO13,0)</f>
        <v>0</v>
      </c>
      <c r="BS13" s="2698">
        <f>IF($D13="是",AP13-AQ13,0)</f>
        <v>0</v>
      </c>
      <c r="BT13" s="2768">
        <f>IF($D13="是",AR13-AS13,0)</f>
        <v>0</v>
      </c>
    </row>
    <row r="14" spans="1:72" s="2684" customFormat="1" ht="12.75">
      <c r="A14" s="2712"/>
      <c r="B14" s="2712"/>
      <c r="C14" s="2716"/>
      <c r="D14" s="2713"/>
      <c r="E14" s="2698">
        <f>IF($C$3="是",ROUND($A$3*G14/$B$3,2),ROUND($A$3*(G14-AT14)/$B$3,2))</f>
        <v>0</v>
      </c>
      <c r="F14" s="2714"/>
      <c r="G14" s="2715">
        <f>H14+AC14+AT14</f>
        <v>0</v>
      </c>
      <c r="H14" s="2701">
        <f>SUMIF(I$12:AB$12,"总值",I14:AB14)</f>
        <v>0</v>
      </c>
      <c r="I14" s="2729"/>
      <c r="J14" s="2729"/>
      <c r="K14" s="2729"/>
      <c r="L14" s="2729"/>
      <c r="M14" s="2729"/>
      <c r="N14" s="2729"/>
      <c r="O14" s="2729"/>
      <c r="P14" s="2729"/>
      <c r="Q14" s="2729"/>
      <c r="R14" s="2729"/>
      <c r="S14" s="2729"/>
      <c r="T14" s="2729"/>
      <c r="U14" s="2729"/>
      <c r="V14" s="2729"/>
      <c r="W14" s="2729"/>
      <c r="X14" s="2729"/>
      <c r="Y14" s="2729"/>
      <c r="Z14" s="2729"/>
      <c r="AA14" s="2729"/>
      <c r="AB14" s="2729"/>
      <c r="AC14" s="2698">
        <f>SUMIF(AD$12:AS$12,"总值",AD14:AS14)</f>
        <v>0</v>
      </c>
      <c r="AD14" s="2739"/>
      <c r="AE14" s="2739"/>
      <c r="AF14" s="2739"/>
      <c r="AG14" s="2739"/>
      <c r="AH14" s="2739"/>
      <c r="AI14" s="2739"/>
      <c r="AJ14" s="2739"/>
      <c r="AK14" s="2739"/>
      <c r="AL14" s="2739"/>
      <c r="AM14" s="2739"/>
      <c r="AN14" s="2739"/>
      <c r="AO14" s="2739"/>
      <c r="AP14" s="2739"/>
      <c r="AQ14" s="2739"/>
      <c r="AR14" s="2739"/>
      <c r="AS14" s="2739"/>
      <c r="AT14" s="2748"/>
      <c r="AU14" s="2749"/>
      <c r="AV14" s="291">
        <f t="shared" si="6"/>
        <v>0</v>
      </c>
      <c r="AW14" s="291">
        <f t="shared" si="6"/>
        <v>0</v>
      </c>
      <c r="AX14" s="291">
        <f t="shared" si="6"/>
        <v>0</v>
      </c>
      <c r="AY14" s="2168">
        <f>ROUND($AY$6*AZ14/$AZ$5,2)</f>
        <v>0</v>
      </c>
      <c r="AZ14" s="2698">
        <f>BA14+BL14</f>
        <v>0</v>
      </c>
      <c r="BA14" s="2698">
        <f>SUM(BB14:BK14)</f>
        <v>0</v>
      </c>
      <c r="BB14" s="2698">
        <f>IF($D14="是",I14-J14,0)</f>
        <v>0</v>
      </c>
      <c r="BC14" s="2698">
        <f>IF($D14="是",K14-L14,0)</f>
        <v>0</v>
      </c>
      <c r="BD14" s="2698">
        <f>IF($D14="是",M14-N14,0)</f>
        <v>0</v>
      </c>
      <c r="BE14" s="2698">
        <f>IF($D14="是",O14-P14,0)</f>
        <v>0</v>
      </c>
      <c r="BF14" s="2698">
        <f>IF($D14="是",Q14-R14,0)</f>
        <v>0</v>
      </c>
      <c r="BG14" s="2698">
        <f>IF($D14="是",S14-T14,0)</f>
        <v>0</v>
      </c>
      <c r="BH14" s="2698">
        <f>IF($D14="是",U14-V14,0)</f>
        <v>0</v>
      </c>
      <c r="BI14" s="2698">
        <f>IF($D14="是",W14-X14,0)</f>
        <v>0</v>
      </c>
      <c r="BJ14" s="2698">
        <f>IF($D14="是",Y14-Z14,0)</f>
        <v>0</v>
      </c>
      <c r="BK14" s="2698">
        <f>IF($D14="是",AA14-AB14,0)</f>
        <v>0</v>
      </c>
      <c r="BL14" s="2698">
        <f>SUM(BM14:BT14)</f>
        <v>0</v>
      </c>
      <c r="BM14" s="2698">
        <f>IF($D14="是",AD14-AE14,0)</f>
        <v>0</v>
      </c>
      <c r="BN14" s="2698">
        <f>IF($D14="是",AF14-AG14,0)</f>
        <v>0</v>
      </c>
      <c r="BO14" s="2698">
        <f>IF($D14="是",AH14-AI14,0)</f>
        <v>0</v>
      </c>
      <c r="BP14" s="2698">
        <f>IF($D14="是",AJ14-AK14,0)</f>
        <v>0</v>
      </c>
      <c r="BQ14" s="2698">
        <f>IF($D14="是",AL14-AM14,0)</f>
        <v>0</v>
      </c>
      <c r="BR14" s="2698">
        <f>IF($D14="是",AN14-AO14,0)</f>
        <v>0</v>
      </c>
      <c r="BS14" s="2698">
        <f>IF($D14="是",AP14-AQ14,0)</f>
        <v>0</v>
      </c>
      <c r="BT14" s="2768">
        <f>IF($D14="是",AR14-AS14,0)</f>
        <v>0</v>
      </c>
    </row>
    <row r="15" spans="1:72" s="2684" customFormat="1" ht="12.75">
      <c r="A15" s="2712"/>
      <c r="B15" s="2712"/>
      <c r="C15" s="2716"/>
      <c r="D15" s="2713"/>
      <c r="E15" s="2698">
        <f>IF($C$3="是",ROUND($A$3*G15/$B$3,2),ROUND($A$3*(G15-AT15)/$B$3,2))</f>
        <v>0</v>
      </c>
      <c r="F15" s="2714"/>
      <c r="G15" s="2715">
        <f>H15+AC15+AT15</f>
        <v>0</v>
      </c>
      <c r="H15" s="2701">
        <f>SUMIF(I$12:AB$12,"总值",I15:AB15)</f>
        <v>0</v>
      </c>
      <c r="I15" s="2729"/>
      <c r="J15" s="2729"/>
      <c r="K15" s="2729"/>
      <c r="L15" s="2729"/>
      <c r="M15" s="2729"/>
      <c r="N15" s="2729"/>
      <c r="O15" s="2729"/>
      <c r="P15" s="2729"/>
      <c r="Q15" s="2729"/>
      <c r="R15" s="2729"/>
      <c r="S15" s="2729"/>
      <c r="T15" s="2729"/>
      <c r="U15" s="2729"/>
      <c r="V15" s="2729"/>
      <c r="W15" s="2729"/>
      <c r="X15" s="2729"/>
      <c r="Y15" s="2729"/>
      <c r="Z15" s="2729"/>
      <c r="AA15" s="2729"/>
      <c r="AB15" s="2729"/>
      <c r="AC15" s="2698">
        <f>SUMIF(AD$12:AS$12,"总值",AD15:AS15)</f>
        <v>0</v>
      </c>
      <c r="AD15" s="2739"/>
      <c r="AE15" s="2739"/>
      <c r="AF15" s="2739"/>
      <c r="AG15" s="2739"/>
      <c r="AH15" s="2739"/>
      <c r="AI15" s="2739"/>
      <c r="AJ15" s="2739"/>
      <c r="AK15" s="2739"/>
      <c r="AL15" s="2739"/>
      <c r="AM15" s="2739"/>
      <c r="AN15" s="2739"/>
      <c r="AO15" s="2739"/>
      <c r="AP15" s="2739"/>
      <c r="AQ15" s="2739"/>
      <c r="AR15" s="2739"/>
      <c r="AS15" s="2739"/>
      <c r="AT15" s="2748"/>
      <c r="AU15" s="2749"/>
      <c r="AV15" s="291">
        <f t="shared" si="6"/>
        <v>0</v>
      </c>
      <c r="AW15" s="291">
        <f t="shared" si="6"/>
        <v>0</v>
      </c>
      <c r="AX15" s="291">
        <f t="shared" si="6"/>
        <v>0</v>
      </c>
      <c r="AY15" s="2168">
        <f>ROUND($AY$6*AZ15/$AZ$5,2)</f>
        <v>0</v>
      </c>
      <c r="AZ15" s="2698">
        <f>BA15+BL15</f>
        <v>0</v>
      </c>
      <c r="BA15" s="2698">
        <f>SUM(BB15:BK15)</f>
        <v>0</v>
      </c>
      <c r="BB15" s="2698">
        <f>IF($D15="是",I15-J15,0)</f>
        <v>0</v>
      </c>
      <c r="BC15" s="2698">
        <f>IF($D15="是",K15-L15,0)</f>
        <v>0</v>
      </c>
      <c r="BD15" s="2698">
        <f>IF($D15="是",M15-N15,0)</f>
        <v>0</v>
      </c>
      <c r="BE15" s="2698">
        <f>IF($D15="是",O15-P15,0)</f>
        <v>0</v>
      </c>
      <c r="BF15" s="2698">
        <f>IF($D15="是",Q15-R15,0)</f>
        <v>0</v>
      </c>
      <c r="BG15" s="2698">
        <f>IF($D15="是",S15-T15,0)</f>
        <v>0</v>
      </c>
      <c r="BH15" s="2698">
        <f>IF($D15="是",U15-V15,0)</f>
        <v>0</v>
      </c>
      <c r="BI15" s="2698">
        <f>IF($D15="是",W15-X15,0)</f>
        <v>0</v>
      </c>
      <c r="BJ15" s="2698">
        <f>IF($D15="是",Y15-Z15,0)</f>
        <v>0</v>
      </c>
      <c r="BK15" s="2698">
        <f>IF($D15="是",AA15-AB15,0)</f>
        <v>0</v>
      </c>
      <c r="BL15" s="2698">
        <f>SUM(BM15:BT15)</f>
        <v>0</v>
      </c>
      <c r="BM15" s="2698">
        <f>IF($D15="是",AD15-AE15,0)</f>
        <v>0</v>
      </c>
      <c r="BN15" s="2698">
        <f>IF($D15="是",AF15-AG15,0)</f>
        <v>0</v>
      </c>
      <c r="BO15" s="2698">
        <f>IF($D15="是",AH15-AI15,0)</f>
        <v>0</v>
      </c>
      <c r="BP15" s="2698">
        <f>IF($D15="是",AJ15-AK15,0)</f>
        <v>0</v>
      </c>
      <c r="BQ15" s="2698">
        <f>IF($D15="是",AL15-AM15,0)</f>
        <v>0</v>
      </c>
      <c r="BR15" s="2698">
        <f>IF($D15="是",AN15-AO15,0)</f>
        <v>0</v>
      </c>
      <c r="BS15" s="2698">
        <f>IF($D15="是",AP15-AQ15,0)</f>
        <v>0</v>
      </c>
      <c r="BT15" s="2768">
        <f>IF($D15="是",AR15-AS15,0)</f>
        <v>0</v>
      </c>
    </row>
    <row r="16" spans="1:72" s="2684" customFormat="1" ht="12.75">
      <c r="A16" s="2712"/>
      <c r="B16" s="2712"/>
      <c r="C16" s="2716"/>
      <c r="D16" s="2713"/>
      <c r="E16" s="2698">
        <f>IF($C$3="是",ROUND($A$3*G16/$B$3,2),ROUND($A$3*(G16-AT16)/$B$3,2))</f>
        <v>0</v>
      </c>
      <c r="F16" s="2714"/>
      <c r="G16" s="2715">
        <f>H16+AC16+AT16</f>
        <v>0</v>
      </c>
      <c r="H16" s="2701">
        <f>SUMIF(I$12:AB$12,"总值",I16:AB16)</f>
        <v>0</v>
      </c>
      <c r="I16" s="2729"/>
      <c r="J16" s="2729"/>
      <c r="K16" s="2729"/>
      <c r="L16" s="2729"/>
      <c r="M16" s="2729"/>
      <c r="N16" s="2729"/>
      <c r="O16" s="2729"/>
      <c r="P16" s="2729"/>
      <c r="Q16" s="2729"/>
      <c r="R16" s="2729"/>
      <c r="S16" s="2729"/>
      <c r="T16" s="2729"/>
      <c r="U16" s="2729"/>
      <c r="V16" s="2729"/>
      <c r="W16" s="2729"/>
      <c r="X16" s="2729"/>
      <c r="Y16" s="2729"/>
      <c r="Z16" s="2729"/>
      <c r="AA16" s="2729"/>
      <c r="AB16" s="2729"/>
      <c r="AC16" s="2698">
        <f>SUMIF(AD$12:AS$12,"总值",AD16:AS16)</f>
        <v>0</v>
      </c>
      <c r="AD16" s="2739"/>
      <c r="AE16" s="2739"/>
      <c r="AF16" s="2739"/>
      <c r="AG16" s="2739"/>
      <c r="AH16" s="2739"/>
      <c r="AI16" s="2739"/>
      <c r="AJ16" s="2739"/>
      <c r="AK16" s="2739"/>
      <c r="AL16" s="2739"/>
      <c r="AM16" s="2739"/>
      <c r="AN16" s="2739"/>
      <c r="AO16" s="2739"/>
      <c r="AP16" s="2739"/>
      <c r="AQ16" s="2739"/>
      <c r="AR16" s="2739"/>
      <c r="AS16" s="2739"/>
      <c r="AT16" s="2748"/>
      <c r="AU16" s="2749"/>
      <c r="AV16" s="291">
        <f t="shared" si="6"/>
        <v>0</v>
      </c>
      <c r="AW16" s="291">
        <f t="shared" si="6"/>
        <v>0</v>
      </c>
      <c r="AX16" s="291">
        <f t="shared" si="6"/>
        <v>0</v>
      </c>
      <c r="AY16" s="2168">
        <f>ROUND($AY$6*AZ16/$AZ$5,2)</f>
        <v>0</v>
      </c>
      <c r="AZ16" s="2698">
        <f>BA16+BL16</f>
        <v>0</v>
      </c>
      <c r="BA16" s="2698">
        <f>SUM(BB16:BK16)</f>
        <v>0</v>
      </c>
      <c r="BB16" s="2698">
        <f>IF($D16="是",I16-J16,0)</f>
        <v>0</v>
      </c>
      <c r="BC16" s="2698">
        <f>IF($D16="是",K16-L16,0)</f>
        <v>0</v>
      </c>
      <c r="BD16" s="2698">
        <f>IF($D16="是",M16-N16,0)</f>
        <v>0</v>
      </c>
      <c r="BE16" s="2698">
        <f>IF($D16="是",O16-P16,0)</f>
        <v>0</v>
      </c>
      <c r="BF16" s="2698">
        <f>IF($D16="是",Q16-R16,0)</f>
        <v>0</v>
      </c>
      <c r="BG16" s="2698">
        <f>IF($D16="是",S16-T16,0)</f>
        <v>0</v>
      </c>
      <c r="BH16" s="2698">
        <f>IF($D16="是",U16-V16,0)</f>
        <v>0</v>
      </c>
      <c r="BI16" s="2698">
        <f>IF($D16="是",W16-X16,0)</f>
        <v>0</v>
      </c>
      <c r="BJ16" s="2698">
        <f>IF($D16="是",Y16-Z16,0)</f>
        <v>0</v>
      </c>
      <c r="BK16" s="2698">
        <f>IF($D16="是",AA16-AB16,0)</f>
        <v>0</v>
      </c>
      <c r="BL16" s="2698">
        <f>SUM(BM16:BT16)</f>
        <v>0</v>
      </c>
      <c r="BM16" s="2698">
        <f>IF($D16="是",AD16-AE16,0)</f>
        <v>0</v>
      </c>
      <c r="BN16" s="2698">
        <f>IF($D16="是",AF16-AG16,0)</f>
        <v>0</v>
      </c>
      <c r="BO16" s="2698">
        <f>IF($D16="是",AH16-AI16,0)</f>
        <v>0</v>
      </c>
      <c r="BP16" s="2698">
        <f>IF($D16="是",AJ16-AK16,0)</f>
        <v>0</v>
      </c>
      <c r="BQ16" s="2698">
        <f>IF($D16="是",AL16-AM16,0)</f>
        <v>0</v>
      </c>
      <c r="BR16" s="2698">
        <f>IF($D16="是",AN16-AO16,0)</f>
        <v>0</v>
      </c>
      <c r="BS16" s="2698">
        <f>IF($D16="是",AP16-AQ16,0)</f>
        <v>0</v>
      </c>
      <c r="BT16" s="2768">
        <f>IF($D16="是",AR16-AS16,0)</f>
        <v>0</v>
      </c>
    </row>
    <row r="17" spans="1:72" s="2684" customFormat="1" ht="12.75">
      <c r="A17" s="2712"/>
      <c r="B17" s="2712"/>
      <c r="C17" s="2716"/>
      <c r="D17" s="2713"/>
      <c r="E17" s="2698">
        <f>IF($C$3="是",ROUND($A$3*G17/$B$3,2),ROUND($A$3*(G17-AT17)/$B$3,2))</f>
        <v>0</v>
      </c>
      <c r="F17" s="2714"/>
      <c r="G17" s="2715">
        <f>H17+AC17+AT17</f>
        <v>0</v>
      </c>
      <c r="H17" s="2701">
        <f>SUMIF(I$12:AB$12,"总值",I17:AB17)</f>
        <v>0</v>
      </c>
      <c r="I17" s="2729"/>
      <c r="J17" s="2729"/>
      <c r="K17" s="2729"/>
      <c r="L17" s="2729"/>
      <c r="M17" s="2729"/>
      <c r="N17" s="2729"/>
      <c r="O17" s="2729"/>
      <c r="P17" s="2729"/>
      <c r="Q17" s="2729"/>
      <c r="R17" s="2729"/>
      <c r="S17" s="2729"/>
      <c r="T17" s="2729"/>
      <c r="U17" s="2729"/>
      <c r="V17" s="2729"/>
      <c r="W17" s="2729"/>
      <c r="X17" s="2729"/>
      <c r="Y17" s="2729"/>
      <c r="Z17" s="2729"/>
      <c r="AA17" s="2729"/>
      <c r="AB17" s="2729"/>
      <c r="AC17" s="2698">
        <f>SUMIF(AD$12:AS$12,"总值",AD17:AS17)</f>
        <v>0</v>
      </c>
      <c r="AD17" s="2739"/>
      <c r="AE17" s="2739"/>
      <c r="AF17" s="2739"/>
      <c r="AG17" s="2739"/>
      <c r="AH17" s="2739"/>
      <c r="AI17" s="2739"/>
      <c r="AJ17" s="2739"/>
      <c r="AK17" s="2739"/>
      <c r="AL17" s="2739"/>
      <c r="AM17" s="2739"/>
      <c r="AN17" s="2739"/>
      <c r="AO17" s="2739"/>
      <c r="AP17" s="2739"/>
      <c r="AQ17" s="2739"/>
      <c r="AR17" s="2739"/>
      <c r="AS17" s="2739"/>
      <c r="AT17" s="2748"/>
      <c r="AU17" s="2749"/>
      <c r="AV17" s="291">
        <f t="shared" si="6"/>
        <v>0</v>
      </c>
      <c r="AW17" s="291">
        <f t="shared" si="6"/>
        <v>0</v>
      </c>
      <c r="AX17" s="291">
        <f t="shared" si="6"/>
        <v>0</v>
      </c>
      <c r="AY17" s="2168">
        <f>ROUND($AY$6*AZ17/$AZ$5,2)</f>
        <v>0</v>
      </c>
      <c r="AZ17" s="2698">
        <f>BA17+BL17</f>
        <v>0</v>
      </c>
      <c r="BA17" s="2698">
        <f>SUM(BB17:BK17)</f>
        <v>0</v>
      </c>
      <c r="BB17" s="2698">
        <f>IF($D17="是",I17-J17,0)</f>
        <v>0</v>
      </c>
      <c r="BC17" s="2698">
        <f>IF($D17="是",K17-L17,0)</f>
        <v>0</v>
      </c>
      <c r="BD17" s="2698">
        <f>IF($D17="是",M17-N17,0)</f>
        <v>0</v>
      </c>
      <c r="BE17" s="2698">
        <f>IF($D17="是",O17-P17,0)</f>
        <v>0</v>
      </c>
      <c r="BF17" s="2698">
        <f>IF($D17="是",Q17-R17,0)</f>
        <v>0</v>
      </c>
      <c r="BG17" s="2698">
        <f>IF($D17="是",S17-T17,0)</f>
        <v>0</v>
      </c>
      <c r="BH17" s="2698">
        <f>IF($D17="是",U17-V17,0)</f>
        <v>0</v>
      </c>
      <c r="BI17" s="2698">
        <f>IF($D17="是",W17-X17,0)</f>
        <v>0</v>
      </c>
      <c r="BJ17" s="2698">
        <f>IF($D17="是",Y17-Z17,0)</f>
        <v>0</v>
      </c>
      <c r="BK17" s="2698">
        <f>IF($D17="是",AA17-AB17,0)</f>
        <v>0</v>
      </c>
      <c r="BL17" s="2698">
        <f>SUM(BM17:BT17)</f>
        <v>0</v>
      </c>
      <c r="BM17" s="2698">
        <f>IF($D17="是",AD17-AE17,0)</f>
        <v>0</v>
      </c>
      <c r="BN17" s="2698">
        <f>IF($D17="是",AF17-AG17,0)</f>
        <v>0</v>
      </c>
      <c r="BO17" s="2698">
        <f>IF($D17="是",AH17-AI17,0)</f>
        <v>0</v>
      </c>
      <c r="BP17" s="2698">
        <f>IF($D17="是",AJ17-AK17,0)</f>
        <v>0</v>
      </c>
      <c r="BQ17" s="2698">
        <f>IF($D17="是",AL17-AM17,0)</f>
        <v>0</v>
      </c>
      <c r="BR17" s="2698">
        <f>IF($D17="是",AN17-AO17,0)</f>
        <v>0</v>
      </c>
      <c r="BS17" s="2698">
        <f>IF($D17="是",AP17-AQ17,0)</f>
        <v>0</v>
      </c>
      <c r="BT17" s="2768">
        <f>IF($D17="是",AR17-AS17,0)</f>
        <v>0</v>
      </c>
    </row>
    <row r="18" spans="1:72">
      <c r="A18" s="2717"/>
      <c r="B18" s="2718"/>
      <c r="C18" s="2718"/>
      <c r="D18" s="2719"/>
      <c r="E18" s="2720">
        <f t="shared" ref="E18:E112" si="7">IF($C$3="是",ROUND($A$3*G18/$B$3,2),ROUND($A$3*(G18-AT18)/$B$3,2))</f>
        <v>0</v>
      </c>
      <c r="F18" s="2721"/>
      <c r="G18" s="2722">
        <f t="shared" ref="G18:G109" si="8">H18+AC18+AT18</f>
        <v>0</v>
      </c>
      <c r="H18" s="2723">
        <f t="shared" ref="H18:H109" si="9">SUMIF(I$12:AB$12,"总值",I18:AB18)</f>
        <v>0</v>
      </c>
      <c r="I18" s="2730"/>
      <c r="J18" s="2730"/>
      <c r="K18" s="2730"/>
      <c r="L18" s="2730"/>
      <c r="M18" s="2730"/>
      <c r="N18" s="2730"/>
      <c r="O18" s="2730"/>
      <c r="P18" s="2730"/>
      <c r="Q18" s="2730"/>
      <c r="R18" s="2730"/>
      <c r="S18" s="2730"/>
      <c r="T18" s="2730"/>
      <c r="U18" s="2730"/>
      <c r="V18" s="2730"/>
      <c r="W18" s="2730"/>
      <c r="X18" s="2730"/>
      <c r="Y18" s="2730"/>
      <c r="Z18" s="2730"/>
      <c r="AA18" s="2730"/>
      <c r="AB18" s="2730"/>
      <c r="AC18" s="2720">
        <f t="shared" ref="AC18:AC109" si="10">SUMIF(AD$12:AS$12,"总值",AD18:AS18)</f>
        <v>0</v>
      </c>
      <c r="AD18" s="2740"/>
      <c r="AE18" s="2740"/>
      <c r="AF18" s="2740"/>
      <c r="AG18" s="2740"/>
      <c r="AH18" s="2740"/>
      <c r="AI18" s="2740"/>
      <c r="AJ18" s="2740"/>
      <c r="AK18" s="2740"/>
      <c r="AL18" s="2740"/>
      <c r="AM18" s="2740"/>
      <c r="AN18" s="2740"/>
      <c r="AO18" s="2740"/>
      <c r="AP18" s="2740"/>
      <c r="AQ18" s="2740"/>
      <c r="AR18" s="2740"/>
      <c r="AS18" s="2740"/>
      <c r="AT18" s="2750"/>
      <c r="AU18" s="2751"/>
      <c r="AV18" s="1092">
        <f t="shared" ref="AV18:AV112" si="11">A18</f>
        <v>0</v>
      </c>
      <c r="AW18" s="1092">
        <f t="shared" ref="AW18:AW112" si="12">B18</f>
        <v>0</v>
      </c>
      <c r="AX18" s="1092">
        <f t="shared" ref="AX18:AX112" si="13">C18</f>
        <v>0</v>
      </c>
      <c r="AY18" s="2765">
        <f t="shared" ref="AY18:AY109" si="14">ROUND($AY$6*AZ18/$AZ$5,2)</f>
        <v>0</v>
      </c>
      <c r="AZ18" s="2720">
        <f t="shared" ref="AZ18:AZ109" si="15">BA18+BL18</f>
        <v>0</v>
      </c>
      <c r="BA18" s="2720">
        <f t="shared" ref="BA18:BA109" si="16">SUM(BB18:BK18)</f>
        <v>0</v>
      </c>
      <c r="BB18" s="2720">
        <f t="shared" ref="BB18:BB109" si="17">IF($D18="是",I18-J18,0)</f>
        <v>0</v>
      </c>
      <c r="BC18" s="2720">
        <f t="shared" ref="BC18:BC109" si="18">IF($D18="是",K18-L18,0)</f>
        <v>0</v>
      </c>
      <c r="BD18" s="2720">
        <f t="shared" ref="BD18:BD109" si="19">IF($D18="是",M18-N18,0)</f>
        <v>0</v>
      </c>
      <c r="BE18" s="2720">
        <f t="shared" ref="BE18:BE109" si="20">IF($D18="是",O18-P18,0)</f>
        <v>0</v>
      </c>
      <c r="BF18" s="2720">
        <f t="shared" ref="BF18:BF109" si="21">IF($D18="是",Q18-R18,0)</f>
        <v>0</v>
      </c>
      <c r="BG18" s="2720">
        <f t="shared" ref="BG18:BG109" si="22">IF($D18="是",S18-T18,0)</f>
        <v>0</v>
      </c>
      <c r="BH18" s="2720">
        <f t="shared" ref="BH18:BH109" si="23">IF($D18="是",U18-V18,0)</f>
        <v>0</v>
      </c>
      <c r="BI18" s="2720">
        <f t="shared" ref="BI18:BI109" si="24">IF($D18="是",W18-X18,0)</f>
        <v>0</v>
      </c>
      <c r="BJ18" s="2720">
        <f t="shared" ref="BJ18:BJ109" si="25">IF($D18="是",Y18-Z18,0)</f>
        <v>0</v>
      </c>
      <c r="BK18" s="2720">
        <f t="shared" ref="BK18:BK109" si="26">IF($D18="是",AA18-AB18,0)</f>
        <v>0</v>
      </c>
      <c r="BL18" s="2720">
        <f t="shared" ref="BL18:BL109" si="27">SUM(BM18:BT18)</f>
        <v>0</v>
      </c>
      <c r="BM18" s="2720">
        <f t="shared" ref="BM18:BM109" si="28">IF($D18="是",AD18-AE18,0)</f>
        <v>0</v>
      </c>
      <c r="BN18" s="2720">
        <f t="shared" ref="BN18:BN109" si="29">IF($D18="是",AF18-AG18,0)</f>
        <v>0</v>
      </c>
      <c r="BO18" s="2720">
        <f t="shared" ref="BO18:BO109" si="30">IF($D18="是",AH18-AI18,0)</f>
        <v>0</v>
      </c>
      <c r="BP18" s="2720">
        <f t="shared" ref="BP18:BP109" si="31">IF($D18="是",AJ18-AK18,0)</f>
        <v>0</v>
      </c>
      <c r="BQ18" s="2720">
        <f t="shared" ref="BQ18:BQ109" si="32">IF($D18="是",AL18-AM18,0)</f>
        <v>0</v>
      </c>
      <c r="BR18" s="2720">
        <f t="shared" ref="BR18:BR109" si="33">IF($D18="是",AN18-AO18,0)</f>
        <v>0</v>
      </c>
      <c r="BS18" s="2720">
        <f t="shared" ref="BS18:BS109" si="34">IF($D18="是",AP18-AQ18,0)</f>
        <v>0</v>
      </c>
      <c r="BT18" s="2772">
        <f t="shared" ref="BT18:BT109" si="35">IF($D18="是",AR18-AS18,0)</f>
        <v>0</v>
      </c>
    </row>
    <row r="19" spans="1:72">
      <c r="A19" s="2717"/>
      <c r="B19" s="2718"/>
      <c r="C19" s="2718"/>
      <c r="D19" s="2719"/>
      <c r="E19" s="2720">
        <f t="shared" si="7"/>
        <v>0</v>
      </c>
      <c r="F19" s="2721"/>
      <c r="G19" s="2722">
        <f t="shared" si="8"/>
        <v>0</v>
      </c>
      <c r="H19" s="2723">
        <f t="shared" si="9"/>
        <v>0</v>
      </c>
      <c r="I19" s="2730"/>
      <c r="J19" s="2730"/>
      <c r="K19" s="2730"/>
      <c r="L19" s="2730"/>
      <c r="M19" s="2730"/>
      <c r="N19" s="2730"/>
      <c r="O19" s="2730"/>
      <c r="P19" s="2730"/>
      <c r="Q19" s="2730"/>
      <c r="R19" s="2730"/>
      <c r="S19" s="2730"/>
      <c r="T19" s="2730"/>
      <c r="U19" s="2730"/>
      <c r="V19" s="2730"/>
      <c r="W19" s="2730"/>
      <c r="X19" s="2730"/>
      <c r="Y19" s="2730"/>
      <c r="Z19" s="2730"/>
      <c r="AA19" s="2730"/>
      <c r="AB19" s="2730"/>
      <c r="AC19" s="2720">
        <f t="shared" si="10"/>
        <v>0</v>
      </c>
      <c r="AD19" s="2740"/>
      <c r="AE19" s="2740"/>
      <c r="AF19" s="2740"/>
      <c r="AG19" s="2740"/>
      <c r="AH19" s="2740"/>
      <c r="AI19" s="2740"/>
      <c r="AJ19" s="2740"/>
      <c r="AK19" s="2740"/>
      <c r="AL19" s="2740"/>
      <c r="AM19" s="2740"/>
      <c r="AN19" s="2740"/>
      <c r="AO19" s="2740"/>
      <c r="AP19" s="2740"/>
      <c r="AQ19" s="2740"/>
      <c r="AR19" s="2740"/>
      <c r="AS19" s="2740"/>
      <c r="AT19" s="2750"/>
      <c r="AU19" s="2751"/>
      <c r="AV19" s="1092">
        <f t="shared" si="11"/>
        <v>0</v>
      </c>
      <c r="AW19" s="1092">
        <f t="shared" si="12"/>
        <v>0</v>
      </c>
      <c r="AX19" s="1092">
        <f t="shared" si="13"/>
        <v>0</v>
      </c>
      <c r="AY19" s="2765">
        <f t="shared" si="14"/>
        <v>0</v>
      </c>
      <c r="AZ19" s="2720">
        <f t="shared" si="15"/>
        <v>0</v>
      </c>
      <c r="BA19" s="2720">
        <f t="shared" si="16"/>
        <v>0</v>
      </c>
      <c r="BB19" s="2720">
        <f t="shared" si="17"/>
        <v>0</v>
      </c>
      <c r="BC19" s="2720">
        <f t="shared" si="18"/>
        <v>0</v>
      </c>
      <c r="BD19" s="2720">
        <f t="shared" si="19"/>
        <v>0</v>
      </c>
      <c r="BE19" s="2720">
        <f t="shared" si="20"/>
        <v>0</v>
      </c>
      <c r="BF19" s="2720">
        <f t="shared" si="21"/>
        <v>0</v>
      </c>
      <c r="BG19" s="2720">
        <f t="shared" si="22"/>
        <v>0</v>
      </c>
      <c r="BH19" s="2720">
        <f t="shared" si="23"/>
        <v>0</v>
      </c>
      <c r="BI19" s="2720">
        <f t="shared" si="24"/>
        <v>0</v>
      </c>
      <c r="BJ19" s="2720">
        <f t="shared" si="25"/>
        <v>0</v>
      </c>
      <c r="BK19" s="2720">
        <f t="shared" si="26"/>
        <v>0</v>
      </c>
      <c r="BL19" s="2720">
        <f t="shared" si="27"/>
        <v>0</v>
      </c>
      <c r="BM19" s="2720">
        <f t="shared" si="28"/>
        <v>0</v>
      </c>
      <c r="BN19" s="2720">
        <f t="shared" si="29"/>
        <v>0</v>
      </c>
      <c r="BO19" s="2720">
        <f t="shared" si="30"/>
        <v>0</v>
      </c>
      <c r="BP19" s="2720">
        <f t="shared" si="31"/>
        <v>0</v>
      </c>
      <c r="BQ19" s="2720">
        <f t="shared" si="32"/>
        <v>0</v>
      </c>
      <c r="BR19" s="2720">
        <f t="shared" si="33"/>
        <v>0</v>
      </c>
      <c r="BS19" s="2720">
        <f t="shared" si="34"/>
        <v>0</v>
      </c>
      <c r="BT19" s="2772">
        <f t="shared" si="35"/>
        <v>0</v>
      </c>
    </row>
    <row r="20" spans="1:72">
      <c r="A20" s="2717"/>
      <c r="B20" s="2718"/>
      <c r="C20" s="2718"/>
      <c r="D20" s="2719"/>
      <c r="E20" s="2720">
        <f t="shared" si="7"/>
        <v>0</v>
      </c>
      <c r="F20" s="2721"/>
      <c r="G20" s="2722">
        <f t="shared" si="8"/>
        <v>0</v>
      </c>
      <c r="H20" s="2723">
        <f t="shared" si="9"/>
        <v>0</v>
      </c>
      <c r="I20" s="2730"/>
      <c r="J20" s="2730"/>
      <c r="K20" s="2730"/>
      <c r="L20" s="2730"/>
      <c r="M20" s="2730"/>
      <c r="N20" s="2730"/>
      <c r="O20" s="2730"/>
      <c r="P20" s="2730"/>
      <c r="Q20" s="2730"/>
      <c r="R20" s="2730"/>
      <c r="S20" s="2730"/>
      <c r="T20" s="2730"/>
      <c r="U20" s="2730"/>
      <c r="V20" s="2730"/>
      <c r="W20" s="2730"/>
      <c r="X20" s="2730"/>
      <c r="Y20" s="2730"/>
      <c r="Z20" s="2730"/>
      <c r="AA20" s="2730"/>
      <c r="AB20" s="2730"/>
      <c r="AC20" s="2720">
        <f t="shared" si="10"/>
        <v>0</v>
      </c>
      <c r="AD20" s="2740"/>
      <c r="AE20" s="2740"/>
      <c r="AF20" s="2740"/>
      <c r="AG20" s="2740"/>
      <c r="AH20" s="2740"/>
      <c r="AI20" s="2740"/>
      <c r="AJ20" s="2740"/>
      <c r="AK20" s="2740"/>
      <c r="AL20" s="2740"/>
      <c r="AM20" s="2740"/>
      <c r="AN20" s="2740"/>
      <c r="AO20" s="2740"/>
      <c r="AP20" s="2740"/>
      <c r="AQ20" s="2740"/>
      <c r="AR20" s="2740"/>
      <c r="AS20" s="2740"/>
      <c r="AT20" s="2750"/>
      <c r="AU20" s="2751"/>
      <c r="AV20" s="1092">
        <f t="shared" si="11"/>
        <v>0</v>
      </c>
      <c r="AW20" s="1092">
        <f t="shared" si="12"/>
        <v>0</v>
      </c>
      <c r="AX20" s="1092">
        <f t="shared" si="13"/>
        <v>0</v>
      </c>
      <c r="AY20" s="2765">
        <f t="shared" si="14"/>
        <v>0</v>
      </c>
      <c r="AZ20" s="2720">
        <f t="shared" si="15"/>
        <v>0</v>
      </c>
      <c r="BA20" s="2720">
        <f t="shared" si="16"/>
        <v>0</v>
      </c>
      <c r="BB20" s="2720">
        <f t="shared" si="17"/>
        <v>0</v>
      </c>
      <c r="BC20" s="2720">
        <f t="shared" si="18"/>
        <v>0</v>
      </c>
      <c r="BD20" s="2720">
        <f t="shared" si="19"/>
        <v>0</v>
      </c>
      <c r="BE20" s="2720">
        <f t="shared" si="20"/>
        <v>0</v>
      </c>
      <c r="BF20" s="2720">
        <f t="shared" si="21"/>
        <v>0</v>
      </c>
      <c r="BG20" s="2720">
        <f t="shared" si="22"/>
        <v>0</v>
      </c>
      <c r="BH20" s="2720">
        <f t="shared" si="23"/>
        <v>0</v>
      </c>
      <c r="BI20" s="2720">
        <f t="shared" si="24"/>
        <v>0</v>
      </c>
      <c r="BJ20" s="2720">
        <f t="shared" si="25"/>
        <v>0</v>
      </c>
      <c r="BK20" s="2720">
        <f t="shared" si="26"/>
        <v>0</v>
      </c>
      <c r="BL20" s="2720">
        <f t="shared" si="27"/>
        <v>0</v>
      </c>
      <c r="BM20" s="2720">
        <f t="shared" si="28"/>
        <v>0</v>
      </c>
      <c r="BN20" s="2720">
        <f t="shared" si="29"/>
        <v>0</v>
      </c>
      <c r="BO20" s="2720">
        <f t="shared" si="30"/>
        <v>0</v>
      </c>
      <c r="BP20" s="2720">
        <f t="shared" si="31"/>
        <v>0</v>
      </c>
      <c r="BQ20" s="2720">
        <f t="shared" si="32"/>
        <v>0</v>
      </c>
      <c r="BR20" s="2720">
        <f t="shared" si="33"/>
        <v>0</v>
      </c>
      <c r="BS20" s="2720">
        <f t="shared" si="34"/>
        <v>0</v>
      </c>
      <c r="BT20" s="2772">
        <f t="shared" si="35"/>
        <v>0</v>
      </c>
    </row>
    <row r="21" spans="1:72">
      <c r="A21" s="2717"/>
      <c r="B21" s="2718"/>
      <c r="C21" s="2718"/>
      <c r="D21" s="2719"/>
      <c r="E21" s="2720">
        <f t="shared" si="7"/>
        <v>0</v>
      </c>
      <c r="F21" s="2721"/>
      <c r="G21" s="2722">
        <f t="shared" si="8"/>
        <v>0</v>
      </c>
      <c r="H21" s="2723">
        <f t="shared" si="9"/>
        <v>0</v>
      </c>
      <c r="I21" s="2730"/>
      <c r="J21" s="2730"/>
      <c r="K21" s="2730"/>
      <c r="L21" s="2730"/>
      <c r="M21" s="2730"/>
      <c r="N21" s="2730"/>
      <c r="O21" s="2730"/>
      <c r="P21" s="2730"/>
      <c r="Q21" s="2730"/>
      <c r="R21" s="2730"/>
      <c r="S21" s="2730"/>
      <c r="T21" s="2730"/>
      <c r="U21" s="2730"/>
      <c r="V21" s="2730"/>
      <c r="W21" s="2730"/>
      <c r="X21" s="2730"/>
      <c r="Y21" s="2730"/>
      <c r="Z21" s="2730"/>
      <c r="AA21" s="2730"/>
      <c r="AB21" s="2730"/>
      <c r="AC21" s="2720">
        <f t="shared" si="10"/>
        <v>0</v>
      </c>
      <c r="AD21" s="2740"/>
      <c r="AE21" s="2740"/>
      <c r="AF21" s="2740"/>
      <c r="AG21" s="2740"/>
      <c r="AH21" s="2740"/>
      <c r="AI21" s="2740"/>
      <c r="AJ21" s="2740"/>
      <c r="AK21" s="2740"/>
      <c r="AL21" s="2740"/>
      <c r="AM21" s="2740"/>
      <c r="AN21" s="2740"/>
      <c r="AO21" s="2740"/>
      <c r="AP21" s="2740"/>
      <c r="AQ21" s="2740"/>
      <c r="AR21" s="2740"/>
      <c r="AS21" s="2740"/>
      <c r="AT21" s="2750"/>
      <c r="AU21" s="2751"/>
      <c r="AV21" s="1092">
        <f t="shared" si="11"/>
        <v>0</v>
      </c>
      <c r="AW21" s="1092">
        <f t="shared" si="12"/>
        <v>0</v>
      </c>
      <c r="AX21" s="1092">
        <f t="shared" si="13"/>
        <v>0</v>
      </c>
      <c r="AY21" s="2765">
        <f t="shared" si="14"/>
        <v>0</v>
      </c>
      <c r="AZ21" s="2720">
        <f t="shared" si="15"/>
        <v>0</v>
      </c>
      <c r="BA21" s="2720">
        <f t="shared" si="16"/>
        <v>0</v>
      </c>
      <c r="BB21" s="2720">
        <f t="shared" si="17"/>
        <v>0</v>
      </c>
      <c r="BC21" s="2720">
        <f t="shared" si="18"/>
        <v>0</v>
      </c>
      <c r="BD21" s="2720">
        <f t="shared" si="19"/>
        <v>0</v>
      </c>
      <c r="BE21" s="2720">
        <f t="shared" si="20"/>
        <v>0</v>
      </c>
      <c r="BF21" s="2720">
        <f t="shared" si="21"/>
        <v>0</v>
      </c>
      <c r="BG21" s="2720">
        <f t="shared" si="22"/>
        <v>0</v>
      </c>
      <c r="BH21" s="2720">
        <f t="shared" si="23"/>
        <v>0</v>
      </c>
      <c r="BI21" s="2720">
        <f t="shared" si="24"/>
        <v>0</v>
      </c>
      <c r="BJ21" s="2720">
        <f t="shared" si="25"/>
        <v>0</v>
      </c>
      <c r="BK21" s="2720">
        <f t="shared" si="26"/>
        <v>0</v>
      </c>
      <c r="BL21" s="2720">
        <f t="shared" si="27"/>
        <v>0</v>
      </c>
      <c r="BM21" s="2720">
        <f t="shared" si="28"/>
        <v>0</v>
      </c>
      <c r="BN21" s="2720">
        <f t="shared" si="29"/>
        <v>0</v>
      </c>
      <c r="BO21" s="2720">
        <f t="shared" si="30"/>
        <v>0</v>
      </c>
      <c r="BP21" s="2720">
        <f t="shared" si="31"/>
        <v>0</v>
      </c>
      <c r="BQ21" s="2720">
        <f t="shared" si="32"/>
        <v>0</v>
      </c>
      <c r="BR21" s="2720">
        <f t="shared" si="33"/>
        <v>0</v>
      </c>
      <c r="BS21" s="2720">
        <f t="shared" si="34"/>
        <v>0</v>
      </c>
      <c r="BT21" s="2772">
        <f t="shared" si="35"/>
        <v>0</v>
      </c>
    </row>
    <row r="22" spans="1:72">
      <c r="A22" s="2717"/>
      <c r="B22" s="2718"/>
      <c r="C22" s="2718"/>
      <c r="D22" s="2719"/>
      <c r="E22" s="2720">
        <f t="shared" si="7"/>
        <v>0</v>
      </c>
      <c r="F22" s="2721"/>
      <c r="G22" s="2722">
        <f t="shared" si="8"/>
        <v>0</v>
      </c>
      <c r="H22" s="2723">
        <f t="shared" si="9"/>
        <v>0</v>
      </c>
      <c r="I22" s="2730"/>
      <c r="J22" s="2730"/>
      <c r="K22" s="2730"/>
      <c r="L22" s="2730"/>
      <c r="M22" s="2730"/>
      <c r="N22" s="2730"/>
      <c r="O22" s="2730"/>
      <c r="P22" s="2730"/>
      <c r="Q22" s="2730"/>
      <c r="R22" s="2730"/>
      <c r="S22" s="2730"/>
      <c r="T22" s="2730"/>
      <c r="U22" s="2730"/>
      <c r="V22" s="2730"/>
      <c r="W22" s="2730"/>
      <c r="X22" s="2730"/>
      <c r="Y22" s="2730"/>
      <c r="Z22" s="2730"/>
      <c r="AA22" s="2730"/>
      <c r="AB22" s="2730"/>
      <c r="AC22" s="2720">
        <f t="shared" si="10"/>
        <v>0</v>
      </c>
      <c r="AD22" s="2740"/>
      <c r="AE22" s="2740"/>
      <c r="AF22" s="2740"/>
      <c r="AG22" s="2740"/>
      <c r="AH22" s="2740"/>
      <c r="AI22" s="2740"/>
      <c r="AJ22" s="2740"/>
      <c r="AK22" s="2740"/>
      <c r="AL22" s="2740"/>
      <c r="AM22" s="2740"/>
      <c r="AN22" s="2740"/>
      <c r="AO22" s="2740"/>
      <c r="AP22" s="2740"/>
      <c r="AQ22" s="2740"/>
      <c r="AR22" s="2740"/>
      <c r="AS22" s="2740"/>
      <c r="AT22" s="2750"/>
      <c r="AU22" s="2751"/>
      <c r="AV22" s="1092">
        <f t="shared" si="11"/>
        <v>0</v>
      </c>
      <c r="AW22" s="1092">
        <f t="shared" si="12"/>
        <v>0</v>
      </c>
      <c r="AX22" s="1092">
        <f t="shared" si="13"/>
        <v>0</v>
      </c>
      <c r="AY22" s="2765">
        <f t="shared" si="14"/>
        <v>0</v>
      </c>
      <c r="AZ22" s="2720">
        <f t="shared" si="15"/>
        <v>0</v>
      </c>
      <c r="BA22" s="2720">
        <f t="shared" si="16"/>
        <v>0</v>
      </c>
      <c r="BB22" s="2720">
        <f t="shared" si="17"/>
        <v>0</v>
      </c>
      <c r="BC22" s="2720">
        <f t="shared" si="18"/>
        <v>0</v>
      </c>
      <c r="BD22" s="2720">
        <f t="shared" si="19"/>
        <v>0</v>
      </c>
      <c r="BE22" s="2720">
        <f t="shared" si="20"/>
        <v>0</v>
      </c>
      <c r="BF22" s="2720">
        <f t="shared" si="21"/>
        <v>0</v>
      </c>
      <c r="BG22" s="2720">
        <f t="shared" si="22"/>
        <v>0</v>
      </c>
      <c r="BH22" s="2720">
        <f t="shared" si="23"/>
        <v>0</v>
      </c>
      <c r="BI22" s="2720">
        <f t="shared" si="24"/>
        <v>0</v>
      </c>
      <c r="BJ22" s="2720">
        <f t="shared" si="25"/>
        <v>0</v>
      </c>
      <c r="BK22" s="2720">
        <f t="shared" si="26"/>
        <v>0</v>
      </c>
      <c r="BL22" s="2720">
        <f t="shared" si="27"/>
        <v>0</v>
      </c>
      <c r="BM22" s="2720">
        <f t="shared" si="28"/>
        <v>0</v>
      </c>
      <c r="BN22" s="2720">
        <f t="shared" si="29"/>
        <v>0</v>
      </c>
      <c r="BO22" s="2720">
        <f t="shared" si="30"/>
        <v>0</v>
      </c>
      <c r="BP22" s="2720">
        <f t="shared" si="31"/>
        <v>0</v>
      </c>
      <c r="BQ22" s="2720">
        <f t="shared" si="32"/>
        <v>0</v>
      </c>
      <c r="BR22" s="2720">
        <f t="shared" si="33"/>
        <v>0</v>
      </c>
      <c r="BS22" s="2720">
        <f t="shared" si="34"/>
        <v>0</v>
      </c>
      <c r="BT22" s="2772">
        <f t="shared" si="35"/>
        <v>0</v>
      </c>
    </row>
    <row r="23" spans="1:72">
      <c r="A23" s="2717"/>
      <c r="B23" s="2718"/>
      <c r="C23" s="2718"/>
      <c r="D23" s="2719"/>
      <c r="E23" s="2720">
        <f t="shared" si="7"/>
        <v>0</v>
      </c>
      <c r="F23" s="2721"/>
      <c r="G23" s="2722">
        <f t="shared" si="8"/>
        <v>0</v>
      </c>
      <c r="H23" s="2723">
        <f t="shared" si="9"/>
        <v>0</v>
      </c>
      <c r="I23" s="2730"/>
      <c r="J23" s="2730"/>
      <c r="K23" s="2730"/>
      <c r="L23" s="2730"/>
      <c r="M23" s="2730"/>
      <c r="N23" s="2730"/>
      <c r="O23" s="2730"/>
      <c r="P23" s="2730"/>
      <c r="Q23" s="2730"/>
      <c r="R23" s="2730"/>
      <c r="S23" s="2730"/>
      <c r="T23" s="2730"/>
      <c r="U23" s="2730"/>
      <c r="V23" s="2730"/>
      <c r="W23" s="2730"/>
      <c r="X23" s="2730"/>
      <c r="Y23" s="2730"/>
      <c r="Z23" s="2730"/>
      <c r="AA23" s="2730"/>
      <c r="AB23" s="2730"/>
      <c r="AC23" s="2720">
        <f t="shared" si="10"/>
        <v>0</v>
      </c>
      <c r="AD23" s="2740"/>
      <c r="AE23" s="2740"/>
      <c r="AF23" s="2740"/>
      <c r="AG23" s="2740"/>
      <c r="AH23" s="2740"/>
      <c r="AI23" s="2740"/>
      <c r="AJ23" s="2740"/>
      <c r="AK23" s="2740"/>
      <c r="AL23" s="2740"/>
      <c r="AM23" s="2740"/>
      <c r="AN23" s="2740"/>
      <c r="AO23" s="2740"/>
      <c r="AP23" s="2740"/>
      <c r="AQ23" s="2740"/>
      <c r="AR23" s="2740"/>
      <c r="AS23" s="2740"/>
      <c r="AT23" s="2750"/>
      <c r="AU23" s="2751"/>
      <c r="AV23" s="1092">
        <f t="shared" si="11"/>
        <v>0</v>
      </c>
      <c r="AW23" s="1092">
        <f t="shared" si="12"/>
        <v>0</v>
      </c>
      <c r="AX23" s="1092">
        <f t="shared" si="13"/>
        <v>0</v>
      </c>
      <c r="AY23" s="2765">
        <f t="shared" si="14"/>
        <v>0</v>
      </c>
      <c r="AZ23" s="2720">
        <f t="shared" si="15"/>
        <v>0</v>
      </c>
      <c r="BA23" s="2720">
        <f t="shared" si="16"/>
        <v>0</v>
      </c>
      <c r="BB23" s="2720">
        <f t="shared" si="17"/>
        <v>0</v>
      </c>
      <c r="BC23" s="2720">
        <f t="shared" si="18"/>
        <v>0</v>
      </c>
      <c r="BD23" s="2720">
        <f t="shared" si="19"/>
        <v>0</v>
      </c>
      <c r="BE23" s="2720">
        <f t="shared" si="20"/>
        <v>0</v>
      </c>
      <c r="BF23" s="2720">
        <f t="shared" si="21"/>
        <v>0</v>
      </c>
      <c r="BG23" s="2720">
        <f t="shared" si="22"/>
        <v>0</v>
      </c>
      <c r="BH23" s="2720">
        <f t="shared" si="23"/>
        <v>0</v>
      </c>
      <c r="BI23" s="2720">
        <f t="shared" si="24"/>
        <v>0</v>
      </c>
      <c r="BJ23" s="2720">
        <f t="shared" si="25"/>
        <v>0</v>
      </c>
      <c r="BK23" s="2720">
        <f t="shared" si="26"/>
        <v>0</v>
      </c>
      <c r="BL23" s="2720">
        <f t="shared" si="27"/>
        <v>0</v>
      </c>
      <c r="BM23" s="2720">
        <f t="shared" si="28"/>
        <v>0</v>
      </c>
      <c r="BN23" s="2720">
        <f t="shared" si="29"/>
        <v>0</v>
      </c>
      <c r="BO23" s="2720">
        <f t="shared" si="30"/>
        <v>0</v>
      </c>
      <c r="BP23" s="2720">
        <f t="shared" si="31"/>
        <v>0</v>
      </c>
      <c r="BQ23" s="2720">
        <f t="shared" si="32"/>
        <v>0</v>
      </c>
      <c r="BR23" s="2720">
        <f t="shared" si="33"/>
        <v>0</v>
      </c>
      <c r="BS23" s="2720">
        <f t="shared" si="34"/>
        <v>0</v>
      </c>
      <c r="BT23" s="2772">
        <f t="shared" si="35"/>
        <v>0</v>
      </c>
    </row>
    <row r="24" spans="1:72">
      <c r="A24" s="2717"/>
      <c r="B24" s="2718"/>
      <c r="C24" s="2718"/>
      <c r="D24" s="2719"/>
      <c r="E24" s="2720">
        <f t="shared" si="7"/>
        <v>0</v>
      </c>
      <c r="F24" s="2721"/>
      <c r="G24" s="2722">
        <f t="shared" si="8"/>
        <v>0</v>
      </c>
      <c r="H24" s="2723">
        <f t="shared" si="9"/>
        <v>0</v>
      </c>
      <c r="I24" s="2730"/>
      <c r="J24" s="2730"/>
      <c r="K24" s="2730"/>
      <c r="L24" s="2730"/>
      <c r="M24" s="2730"/>
      <c r="N24" s="2730"/>
      <c r="O24" s="2730"/>
      <c r="P24" s="2730"/>
      <c r="Q24" s="2730"/>
      <c r="R24" s="2730"/>
      <c r="S24" s="2730"/>
      <c r="T24" s="2730"/>
      <c r="U24" s="2730"/>
      <c r="V24" s="2730"/>
      <c r="W24" s="2730"/>
      <c r="X24" s="2730"/>
      <c r="Y24" s="2730"/>
      <c r="Z24" s="2730"/>
      <c r="AA24" s="2730"/>
      <c r="AB24" s="2730"/>
      <c r="AC24" s="2720">
        <f t="shared" si="10"/>
        <v>0</v>
      </c>
      <c r="AD24" s="2740"/>
      <c r="AE24" s="2740"/>
      <c r="AF24" s="2740"/>
      <c r="AG24" s="2740"/>
      <c r="AH24" s="2740"/>
      <c r="AI24" s="2740"/>
      <c r="AJ24" s="2740"/>
      <c r="AK24" s="2740"/>
      <c r="AL24" s="2740"/>
      <c r="AM24" s="2740"/>
      <c r="AN24" s="2740"/>
      <c r="AO24" s="2740"/>
      <c r="AP24" s="2740"/>
      <c r="AQ24" s="2740"/>
      <c r="AR24" s="2740"/>
      <c r="AS24" s="2740"/>
      <c r="AT24" s="2750"/>
      <c r="AU24" s="2751"/>
      <c r="AV24" s="1092">
        <f t="shared" si="11"/>
        <v>0</v>
      </c>
      <c r="AW24" s="1092">
        <f t="shared" si="12"/>
        <v>0</v>
      </c>
      <c r="AX24" s="1092">
        <f t="shared" si="13"/>
        <v>0</v>
      </c>
      <c r="AY24" s="2765">
        <f t="shared" si="14"/>
        <v>0</v>
      </c>
      <c r="AZ24" s="2720">
        <f t="shared" si="15"/>
        <v>0</v>
      </c>
      <c r="BA24" s="2720">
        <f t="shared" si="16"/>
        <v>0</v>
      </c>
      <c r="BB24" s="2720">
        <f t="shared" si="17"/>
        <v>0</v>
      </c>
      <c r="BC24" s="2720">
        <f t="shared" si="18"/>
        <v>0</v>
      </c>
      <c r="BD24" s="2720">
        <f t="shared" si="19"/>
        <v>0</v>
      </c>
      <c r="BE24" s="2720">
        <f t="shared" si="20"/>
        <v>0</v>
      </c>
      <c r="BF24" s="2720">
        <f t="shared" si="21"/>
        <v>0</v>
      </c>
      <c r="BG24" s="2720">
        <f t="shared" si="22"/>
        <v>0</v>
      </c>
      <c r="BH24" s="2720">
        <f t="shared" si="23"/>
        <v>0</v>
      </c>
      <c r="BI24" s="2720">
        <f t="shared" si="24"/>
        <v>0</v>
      </c>
      <c r="BJ24" s="2720">
        <f t="shared" si="25"/>
        <v>0</v>
      </c>
      <c r="BK24" s="2720">
        <f t="shared" si="26"/>
        <v>0</v>
      </c>
      <c r="BL24" s="2720">
        <f t="shared" si="27"/>
        <v>0</v>
      </c>
      <c r="BM24" s="2720">
        <f t="shared" si="28"/>
        <v>0</v>
      </c>
      <c r="BN24" s="2720">
        <f t="shared" si="29"/>
        <v>0</v>
      </c>
      <c r="BO24" s="2720">
        <f t="shared" si="30"/>
        <v>0</v>
      </c>
      <c r="BP24" s="2720">
        <f t="shared" si="31"/>
        <v>0</v>
      </c>
      <c r="BQ24" s="2720">
        <f t="shared" si="32"/>
        <v>0</v>
      </c>
      <c r="BR24" s="2720">
        <f t="shared" si="33"/>
        <v>0</v>
      </c>
      <c r="BS24" s="2720">
        <f t="shared" si="34"/>
        <v>0</v>
      </c>
      <c r="BT24" s="2772">
        <f t="shared" si="35"/>
        <v>0</v>
      </c>
    </row>
    <row r="25" spans="1:72">
      <c r="A25" s="2717"/>
      <c r="B25" s="2718"/>
      <c r="C25" s="2718"/>
      <c r="D25" s="2719"/>
      <c r="E25" s="2720">
        <f t="shared" si="7"/>
        <v>0</v>
      </c>
      <c r="F25" s="2721"/>
      <c r="G25" s="2722">
        <f t="shared" si="8"/>
        <v>0</v>
      </c>
      <c r="H25" s="2723">
        <f t="shared" si="9"/>
        <v>0</v>
      </c>
      <c r="I25" s="2730"/>
      <c r="J25" s="2730"/>
      <c r="K25" s="2730"/>
      <c r="L25" s="2730"/>
      <c r="M25" s="2730"/>
      <c r="N25" s="2730"/>
      <c r="O25" s="2730"/>
      <c r="P25" s="2730"/>
      <c r="Q25" s="2730"/>
      <c r="R25" s="2730"/>
      <c r="S25" s="2730"/>
      <c r="T25" s="2730"/>
      <c r="U25" s="2730"/>
      <c r="V25" s="2730"/>
      <c r="W25" s="2730"/>
      <c r="X25" s="2730"/>
      <c r="Y25" s="2730"/>
      <c r="Z25" s="2730"/>
      <c r="AA25" s="2730"/>
      <c r="AB25" s="2730"/>
      <c r="AC25" s="2720">
        <f t="shared" si="10"/>
        <v>0</v>
      </c>
      <c r="AD25" s="2740"/>
      <c r="AE25" s="2740"/>
      <c r="AF25" s="2740"/>
      <c r="AG25" s="2740"/>
      <c r="AH25" s="2740"/>
      <c r="AI25" s="2740"/>
      <c r="AJ25" s="2740"/>
      <c r="AK25" s="2740"/>
      <c r="AL25" s="2740"/>
      <c r="AM25" s="2740"/>
      <c r="AN25" s="2740"/>
      <c r="AO25" s="2740"/>
      <c r="AP25" s="2740"/>
      <c r="AQ25" s="2740"/>
      <c r="AR25" s="2740"/>
      <c r="AS25" s="2740"/>
      <c r="AT25" s="2750"/>
      <c r="AU25" s="2751"/>
      <c r="AV25" s="1092">
        <f t="shared" si="11"/>
        <v>0</v>
      </c>
      <c r="AW25" s="1092">
        <f t="shared" si="12"/>
        <v>0</v>
      </c>
      <c r="AX25" s="1092">
        <f t="shared" si="13"/>
        <v>0</v>
      </c>
      <c r="AY25" s="2765">
        <f t="shared" si="14"/>
        <v>0</v>
      </c>
      <c r="AZ25" s="2720">
        <f t="shared" si="15"/>
        <v>0</v>
      </c>
      <c r="BA25" s="2720">
        <f t="shared" si="16"/>
        <v>0</v>
      </c>
      <c r="BB25" s="2720">
        <f t="shared" si="17"/>
        <v>0</v>
      </c>
      <c r="BC25" s="2720">
        <f t="shared" si="18"/>
        <v>0</v>
      </c>
      <c r="BD25" s="2720">
        <f t="shared" si="19"/>
        <v>0</v>
      </c>
      <c r="BE25" s="2720">
        <f t="shared" si="20"/>
        <v>0</v>
      </c>
      <c r="BF25" s="2720">
        <f t="shared" si="21"/>
        <v>0</v>
      </c>
      <c r="BG25" s="2720">
        <f t="shared" si="22"/>
        <v>0</v>
      </c>
      <c r="BH25" s="2720">
        <f t="shared" si="23"/>
        <v>0</v>
      </c>
      <c r="BI25" s="2720">
        <f t="shared" si="24"/>
        <v>0</v>
      </c>
      <c r="BJ25" s="2720">
        <f t="shared" si="25"/>
        <v>0</v>
      </c>
      <c r="BK25" s="2720">
        <f t="shared" si="26"/>
        <v>0</v>
      </c>
      <c r="BL25" s="2720">
        <f t="shared" si="27"/>
        <v>0</v>
      </c>
      <c r="BM25" s="2720">
        <f t="shared" si="28"/>
        <v>0</v>
      </c>
      <c r="BN25" s="2720">
        <f t="shared" si="29"/>
        <v>0</v>
      </c>
      <c r="BO25" s="2720">
        <f t="shared" si="30"/>
        <v>0</v>
      </c>
      <c r="BP25" s="2720">
        <f t="shared" si="31"/>
        <v>0</v>
      </c>
      <c r="BQ25" s="2720">
        <f t="shared" si="32"/>
        <v>0</v>
      </c>
      <c r="BR25" s="2720">
        <f t="shared" si="33"/>
        <v>0</v>
      </c>
      <c r="BS25" s="2720">
        <f t="shared" si="34"/>
        <v>0</v>
      </c>
      <c r="BT25" s="2772">
        <f t="shared" si="35"/>
        <v>0</v>
      </c>
    </row>
    <row r="26" spans="1:72">
      <c r="A26" s="2717"/>
      <c r="B26" s="2718"/>
      <c r="C26" s="2718"/>
      <c r="D26" s="2719"/>
      <c r="E26" s="2720">
        <f t="shared" si="7"/>
        <v>0</v>
      </c>
      <c r="F26" s="2721"/>
      <c r="G26" s="2722">
        <f t="shared" si="8"/>
        <v>0</v>
      </c>
      <c r="H26" s="2723">
        <f t="shared" si="9"/>
        <v>0</v>
      </c>
      <c r="I26" s="2730"/>
      <c r="J26" s="2730"/>
      <c r="K26" s="2730"/>
      <c r="L26" s="2730"/>
      <c r="M26" s="2730"/>
      <c r="N26" s="2730"/>
      <c r="O26" s="2730"/>
      <c r="P26" s="2730"/>
      <c r="Q26" s="2730"/>
      <c r="R26" s="2730"/>
      <c r="S26" s="2730"/>
      <c r="T26" s="2730"/>
      <c r="U26" s="2730"/>
      <c r="V26" s="2730"/>
      <c r="W26" s="2730"/>
      <c r="X26" s="2730"/>
      <c r="Y26" s="2730"/>
      <c r="Z26" s="2730"/>
      <c r="AA26" s="2730"/>
      <c r="AB26" s="2730"/>
      <c r="AC26" s="2720">
        <f t="shared" si="10"/>
        <v>0</v>
      </c>
      <c r="AD26" s="2740"/>
      <c r="AE26" s="2740"/>
      <c r="AF26" s="2740"/>
      <c r="AG26" s="2740"/>
      <c r="AH26" s="2740"/>
      <c r="AI26" s="2740"/>
      <c r="AJ26" s="2740"/>
      <c r="AK26" s="2740"/>
      <c r="AL26" s="2740"/>
      <c r="AM26" s="2740"/>
      <c r="AN26" s="2740"/>
      <c r="AO26" s="2740"/>
      <c r="AP26" s="2740"/>
      <c r="AQ26" s="2740"/>
      <c r="AR26" s="2740"/>
      <c r="AS26" s="2740"/>
      <c r="AT26" s="2750"/>
      <c r="AU26" s="2751"/>
      <c r="AV26" s="1092">
        <f t="shared" si="11"/>
        <v>0</v>
      </c>
      <c r="AW26" s="1092">
        <f t="shared" si="12"/>
        <v>0</v>
      </c>
      <c r="AX26" s="1092">
        <f t="shared" si="13"/>
        <v>0</v>
      </c>
      <c r="AY26" s="2765">
        <f t="shared" si="14"/>
        <v>0</v>
      </c>
      <c r="AZ26" s="2720">
        <f t="shared" si="15"/>
        <v>0</v>
      </c>
      <c r="BA26" s="2720">
        <f t="shared" si="16"/>
        <v>0</v>
      </c>
      <c r="BB26" s="2720">
        <f t="shared" si="17"/>
        <v>0</v>
      </c>
      <c r="BC26" s="2720">
        <f t="shared" si="18"/>
        <v>0</v>
      </c>
      <c r="BD26" s="2720">
        <f t="shared" si="19"/>
        <v>0</v>
      </c>
      <c r="BE26" s="2720">
        <f t="shared" si="20"/>
        <v>0</v>
      </c>
      <c r="BF26" s="2720">
        <f t="shared" si="21"/>
        <v>0</v>
      </c>
      <c r="BG26" s="2720">
        <f t="shared" si="22"/>
        <v>0</v>
      </c>
      <c r="BH26" s="2720">
        <f t="shared" si="23"/>
        <v>0</v>
      </c>
      <c r="BI26" s="2720">
        <f t="shared" si="24"/>
        <v>0</v>
      </c>
      <c r="BJ26" s="2720">
        <f t="shared" si="25"/>
        <v>0</v>
      </c>
      <c r="BK26" s="2720">
        <f t="shared" si="26"/>
        <v>0</v>
      </c>
      <c r="BL26" s="2720">
        <f t="shared" si="27"/>
        <v>0</v>
      </c>
      <c r="BM26" s="2720">
        <f t="shared" si="28"/>
        <v>0</v>
      </c>
      <c r="BN26" s="2720">
        <f t="shared" si="29"/>
        <v>0</v>
      </c>
      <c r="BO26" s="2720">
        <f t="shared" si="30"/>
        <v>0</v>
      </c>
      <c r="BP26" s="2720">
        <f t="shared" si="31"/>
        <v>0</v>
      </c>
      <c r="BQ26" s="2720">
        <f t="shared" si="32"/>
        <v>0</v>
      </c>
      <c r="BR26" s="2720">
        <f t="shared" si="33"/>
        <v>0</v>
      </c>
      <c r="BS26" s="2720">
        <f t="shared" si="34"/>
        <v>0</v>
      </c>
      <c r="BT26" s="2772">
        <f t="shared" si="35"/>
        <v>0</v>
      </c>
    </row>
    <row r="27" spans="1:72">
      <c r="A27" s="2717"/>
      <c r="B27" s="2718"/>
      <c r="C27" s="2718"/>
      <c r="D27" s="2719"/>
      <c r="E27" s="2720">
        <f t="shared" si="7"/>
        <v>0</v>
      </c>
      <c r="F27" s="2721"/>
      <c r="G27" s="2722">
        <f t="shared" si="8"/>
        <v>0</v>
      </c>
      <c r="H27" s="2723">
        <f t="shared" si="9"/>
        <v>0</v>
      </c>
      <c r="I27" s="2730"/>
      <c r="J27" s="2730"/>
      <c r="K27" s="2730"/>
      <c r="L27" s="2730"/>
      <c r="M27" s="2730"/>
      <c r="N27" s="2730"/>
      <c r="O27" s="2730"/>
      <c r="P27" s="2730"/>
      <c r="Q27" s="2730"/>
      <c r="R27" s="2730"/>
      <c r="S27" s="2730"/>
      <c r="T27" s="2730"/>
      <c r="U27" s="2730"/>
      <c r="V27" s="2730"/>
      <c r="W27" s="2730"/>
      <c r="X27" s="2730"/>
      <c r="Y27" s="2730"/>
      <c r="Z27" s="2730"/>
      <c r="AA27" s="2730"/>
      <c r="AB27" s="2730"/>
      <c r="AC27" s="2720">
        <f t="shared" si="10"/>
        <v>0</v>
      </c>
      <c r="AD27" s="2740"/>
      <c r="AE27" s="2740"/>
      <c r="AF27" s="2740"/>
      <c r="AG27" s="2740"/>
      <c r="AH27" s="2740"/>
      <c r="AI27" s="2740"/>
      <c r="AJ27" s="2740"/>
      <c r="AK27" s="2740"/>
      <c r="AL27" s="2740"/>
      <c r="AM27" s="2740"/>
      <c r="AN27" s="2740"/>
      <c r="AO27" s="2740"/>
      <c r="AP27" s="2740"/>
      <c r="AQ27" s="2740"/>
      <c r="AR27" s="2740"/>
      <c r="AS27" s="2740"/>
      <c r="AT27" s="2750"/>
      <c r="AU27" s="2751"/>
      <c r="AV27" s="1092">
        <f t="shared" si="11"/>
        <v>0</v>
      </c>
      <c r="AW27" s="1092">
        <f t="shared" si="12"/>
        <v>0</v>
      </c>
      <c r="AX27" s="1092">
        <f t="shared" si="13"/>
        <v>0</v>
      </c>
      <c r="AY27" s="2765">
        <f t="shared" si="14"/>
        <v>0</v>
      </c>
      <c r="AZ27" s="2720">
        <f t="shared" si="15"/>
        <v>0</v>
      </c>
      <c r="BA27" s="2720">
        <f t="shared" si="16"/>
        <v>0</v>
      </c>
      <c r="BB27" s="2720">
        <f t="shared" si="17"/>
        <v>0</v>
      </c>
      <c r="BC27" s="2720">
        <f t="shared" si="18"/>
        <v>0</v>
      </c>
      <c r="BD27" s="2720">
        <f t="shared" si="19"/>
        <v>0</v>
      </c>
      <c r="BE27" s="2720">
        <f t="shared" si="20"/>
        <v>0</v>
      </c>
      <c r="BF27" s="2720">
        <f t="shared" si="21"/>
        <v>0</v>
      </c>
      <c r="BG27" s="2720">
        <f t="shared" si="22"/>
        <v>0</v>
      </c>
      <c r="BH27" s="2720">
        <f t="shared" si="23"/>
        <v>0</v>
      </c>
      <c r="BI27" s="2720">
        <f t="shared" si="24"/>
        <v>0</v>
      </c>
      <c r="BJ27" s="2720">
        <f t="shared" si="25"/>
        <v>0</v>
      </c>
      <c r="BK27" s="2720">
        <f t="shared" si="26"/>
        <v>0</v>
      </c>
      <c r="BL27" s="2720">
        <f t="shared" si="27"/>
        <v>0</v>
      </c>
      <c r="BM27" s="2720">
        <f t="shared" si="28"/>
        <v>0</v>
      </c>
      <c r="BN27" s="2720">
        <f t="shared" si="29"/>
        <v>0</v>
      </c>
      <c r="BO27" s="2720">
        <f t="shared" si="30"/>
        <v>0</v>
      </c>
      <c r="BP27" s="2720">
        <f t="shared" si="31"/>
        <v>0</v>
      </c>
      <c r="BQ27" s="2720">
        <f t="shared" si="32"/>
        <v>0</v>
      </c>
      <c r="BR27" s="2720">
        <f t="shared" si="33"/>
        <v>0</v>
      </c>
      <c r="BS27" s="2720">
        <f t="shared" si="34"/>
        <v>0</v>
      </c>
      <c r="BT27" s="2772">
        <f t="shared" si="35"/>
        <v>0</v>
      </c>
    </row>
    <row r="28" spans="1:72">
      <c r="A28" s="2717"/>
      <c r="B28" s="2718"/>
      <c r="C28" s="2718"/>
      <c r="D28" s="2719"/>
      <c r="E28" s="2720">
        <f t="shared" si="7"/>
        <v>0</v>
      </c>
      <c r="F28" s="2721"/>
      <c r="G28" s="2722">
        <f t="shared" si="8"/>
        <v>0</v>
      </c>
      <c r="H28" s="2723">
        <f t="shared" si="9"/>
        <v>0</v>
      </c>
      <c r="I28" s="2730"/>
      <c r="J28" s="2730"/>
      <c r="K28" s="2730"/>
      <c r="L28" s="2730"/>
      <c r="M28" s="2730"/>
      <c r="N28" s="2730"/>
      <c r="O28" s="2730"/>
      <c r="P28" s="2730"/>
      <c r="Q28" s="2730"/>
      <c r="R28" s="2730"/>
      <c r="S28" s="2730"/>
      <c r="T28" s="2730"/>
      <c r="U28" s="2730"/>
      <c r="V28" s="2730"/>
      <c r="W28" s="2730"/>
      <c r="X28" s="2730"/>
      <c r="Y28" s="2730"/>
      <c r="Z28" s="2730"/>
      <c r="AA28" s="2730"/>
      <c r="AB28" s="2730"/>
      <c r="AC28" s="2720">
        <f t="shared" si="10"/>
        <v>0</v>
      </c>
      <c r="AD28" s="2740"/>
      <c r="AE28" s="2740"/>
      <c r="AF28" s="2740"/>
      <c r="AG28" s="2740"/>
      <c r="AH28" s="2740"/>
      <c r="AI28" s="2740"/>
      <c r="AJ28" s="2740"/>
      <c r="AK28" s="2740"/>
      <c r="AL28" s="2740"/>
      <c r="AM28" s="2740"/>
      <c r="AN28" s="2740"/>
      <c r="AO28" s="2740"/>
      <c r="AP28" s="2740"/>
      <c r="AQ28" s="2740"/>
      <c r="AR28" s="2740"/>
      <c r="AS28" s="2740"/>
      <c r="AT28" s="2750"/>
      <c r="AU28" s="2751"/>
      <c r="AV28" s="1092">
        <f t="shared" si="11"/>
        <v>0</v>
      </c>
      <c r="AW28" s="1092">
        <f t="shared" si="12"/>
        <v>0</v>
      </c>
      <c r="AX28" s="1092">
        <f t="shared" si="13"/>
        <v>0</v>
      </c>
      <c r="AY28" s="2765">
        <f t="shared" si="14"/>
        <v>0</v>
      </c>
      <c r="AZ28" s="2720">
        <f t="shared" si="15"/>
        <v>0</v>
      </c>
      <c r="BA28" s="2720">
        <f t="shared" si="16"/>
        <v>0</v>
      </c>
      <c r="BB28" s="2720">
        <f t="shared" si="17"/>
        <v>0</v>
      </c>
      <c r="BC28" s="2720">
        <f t="shared" si="18"/>
        <v>0</v>
      </c>
      <c r="BD28" s="2720">
        <f t="shared" si="19"/>
        <v>0</v>
      </c>
      <c r="BE28" s="2720">
        <f t="shared" si="20"/>
        <v>0</v>
      </c>
      <c r="BF28" s="2720">
        <f t="shared" si="21"/>
        <v>0</v>
      </c>
      <c r="BG28" s="2720">
        <f t="shared" si="22"/>
        <v>0</v>
      </c>
      <c r="BH28" s="2720">
        <f t="shared" si="23"/>
        <v>0</v>
      </c>
      <c r="BI28" s="2720">
        <f t="shared" si="24"/>
        <v>0</v>
      </c>
      <c r="BJ28" s="2720">
        <f t="shared" si="25"/>
        <v>0</v>
      </c>
      <c r="BK28" s="2720">
        <f t="shared" si="26"/>
        <v>0</v>
      </c>
      <c r="BL28" s="2720">
        <f t="shared" si="27"/>
        <v>0</v>
      </c>
      <c r="BM28" s="2720">
        <f t="shared" si="28"/>
        <v>0</v>
      </c>
      <c r="BN28" s="2720">
        <f t="shared" si="29"/>
        <v>0</v>
      </c>
      <c r="BO28" s="2720">
        <f t="shared" si="30"/>
        <v>0</v>
      </c>
      <c r="BP28" s="2720">
        <f t="shared" si="31"/>
        <v>0</v>
      </c>
      <c r="BQ28" s="2720">
        <f t="shared" si="32"/>
        <v>0</v>
      </c>
      <c r="BR28" s="2720">
        <f t="shared" si="33"/>
        <v>0</v>
      </c>
      <c r="BS28" s="2720">
        <f t="shared" si="34"/>
        <v>0</v>
      </c>
      <c r="BT28" s="2772">
        <f t="shared" si="35"/>
        <v>0</v>
      </c>
    </row>
    <row r="29" spans="1:72">
      <c r="A29" s="2717"/>
      <c r="B29" s="2718"/>
      <c r="C29" s="2718"/>
      <c r="D29" s="2719"/>
      <c r="E29" s="2720">
        <f t="shared" si="7"/>
        <v>0</v>
      </c>
      <c r="F29" s="2721"/>
      <c r="G29" s="2722">
        <f t="shared" si="8"/>
        <v>0</v>
      </c>
      <c r="H29" s="2723">
        <f t="shared" si="9"/>
        <v>0</v>
      </c>
      <c r="I29" s="2730"/>
      <c r="J29" s="2730"/>
      <c r="K29" s="2730"/>
      <c r="L29" s="2730"/>
      <c r="M29" s="2730"/>
      <c r="N29" s="2730"/>
      <c r="O29" s="2730"/>
      <c r="P29" s="2730"/>
      <c r="Q29" s="2730"/>
      <c r="R29" s="2730"/>
      <c r="S29" s="2730"/>
      <c r="T29" s="2730"/>
      <c r="U29" s="2730"/>
      <c r="V29" s="2730"/>
      <c r="W29" s="2730"/>
      <c r="X29" s="2730"/>
      <c r="Y29" s="2730"/>
      <c r="Z29" s="2730"/>
      <c r="AA29" s="2730"/>
      <c r="AB29" s="2730"/>
      <c r="AC29" s="2720">
        <f t="shared" si="10"/>
        <v>0</v>
      </c>
      <c r="AD29" s="2740"/>
      <c r="AE29" s="2740"/>
      <c r="AF29" s="2740"/>
      <c r="AG29" s="2740"/>
      <c r="AH29" s="2740"/>
      <c r="AI29" s="2740"/>
      <c r="AJ29" s="2740"/>
      <c r="AK29" s="2740"/>
      <c r="AL29" s="2740"/>
      <c r="AM29" s="2740"/>
      <c r="AN29" s="2740"/>
      <c r="AO29" s="2740"/>
      <c r="AP29" s="2740"/>
      <c r="AQ29" s="2740"/>
      <c r="AR29" s="2740"/>
      <c r="AS29" s="2740"/>
      <c r="AT29" s="2750"/>
      <c r="AU29" s="2751"/>
      <c r="AV29" s="1092">
        <f t="shared" si="11"/>
        <v>0</v>
      </c>
      <c r="AW29" s="1092">
        <f t="shared" si="12"/>
        <v>0</v>
      </c>
      <c r="AX29" s="1092">
        <f t="shared" si="13"/>
        <v>0</v>
      </c>
      <c r="AY29" s="2765">
        <f t="shared" si="14"/>
        <v>0</v>
      </c>
      <c r="AZ29" s="2720">
        <f t="shared" si="15"/>
        <v>0</v>
      </c>
      <c r="BA29" s="2720">
        <f t="shared" si="16"/>
        <v>0</v>
      </c>
      <c r="BB29" s="2720">
        <f t="shared" si="17"/>
        <v>0</v>
      </c>
      <c r="BC29" s="2720">
        <f t="shared" si="18"/>
        <v>0</v>
      </c>
      <c r="BD29" s="2720">
        <f t="shared" si="19"/>
        <v>0</v>
      </c>
      <c r="BE29" s="2720">
        <f t="shared" si="20"/>
        <v>0</v>
      </c>
      <c r="BF29" s="2720">
        <f t="shared" si="21"/>
        <v>0</v>
      </c>
      <c r="BG29" s="2720">
        <f t="shared" si="22"/>
        <v>0</v>
      </c>
      <c r="BH29" s="2720">
        <f t="shared" si="23"/>
        <v>0</v>
      </c>
      <c r="BI29" s="2720">
        <f t="shared" si="24"/>
        <v>0</v>
      </c>
      <c r="BJ29" s="2720">
        <f t="shared" si="25"/>
        <v>0</v>
      </c>
      <c r="BK29" s="2720">
        <f t="shared" si="26"/>
        <v>0</v>
      </c>
      <c r="BL29" s="2720">
        <f t="shared" si="27"/>
        <v>0</v>
      </c>
      <c r="BM29" s="2720">
        <f t="shared" si="28"/>
        <v>0</v>
      </c>
      <c r="BN29" s="2720">
        <f t="shared" si="29"/>
        <v>0</v>
      </c>
      <c r="BO29" s="2720">
        <f t="shared" si="30"/>
        <v>0</v>
      </c>
      <c r="BP29" s="2720">
        <f t="shared" si="31"/>
        <v>0</v>
      </c>
      <c r="BQ29" s="2720">
        <f t="shared" si="32"/>
        <v>0</v>
      </c>
      <c r="BR29" s="2720">
        <f t="shared" si="33"/>
        <v>0</v>
      </c>
      <c r="BS29" s="2720">
        <f t="shared" si="34"/>
        <v>0</v>
      </c>
      <c r="BT29" s="2772">
        <f t="shared" si="35"/>
        <v>0</v>
      </c>
    </row>
    <row r="30" spans="1:72">
      <c r="A30" s="2717"/>
      <c r="B30" s="2718"/>
      <c r="C30" s="2718"/>
      <c r="D30" s="2719"/>
      <c r="E30" s="2720">
        <f t="shared" si="7"/>
        <v>0</v>
      </c>
      <c r="F30" s="2721"/>
      <c r="G30" s="2722">
        <f t="shared" si="8"/>
        <v>0</v>
      </c>
      <c r="H30" s="2723">
        <f t="shared" si="9"/>
        <v>0</v>
      </c>
      <c r="I30" s="2730"/>
      <c r="J30" s="2730"/>
      <c r="K30" s="2730"/>
      <c r="L30" s="2730"/>
      <c r="M30" s="2730"/>
      <c r="N30" s="2730"/>
      <c r="O30" s="2730"/>
      <c r="P30" s="2730"/>
      <c r="Q30" s="2730"/>
      <c r="R30" s="2730"/>
      <c r="S30" s="2730"/>
      <c r="T30" s="2730"/>
      <c r="U30" s="2730"/>
      <c r="V30" s="2730"/>
      <c r="W30" s="2730"/>
      <c r="X30" s="2730"/>
      <c r="Y30" s="2730"/>
      <c r="Z30" s="2730"/>
      <c r="AA30" s="2730"/>
      <c r="AB30" s="2730"/>
      <c r="AC30" s="2720">
        <f t="shared" si="10"/>
        <v>0</v>
      </c>
      <c r="AD30" s="2740"/>
      <c r="AE30" s="2740"/>
      <c r="AF30" s="2740"/>
      <c r="AG30" s="2740"/>
      <c r="AH30" s="2740"/>
      <c r="AI30" s="2740"/>
      <c r="AJ30" s="2740"/>
      <c r="AK30" s="2740"/>
      <c r="AL30" s="2740"/>
      <c r="AM30" s="2740"/>
      <c r="AN30" s="2740"/>
      <c r="AO30" s="2740"/>
      <c r="AP30" s="2740"/>
      <c r="AQ30" s="2740"/>
      <c r="AR30" s="2740"/>
      <c r="AS30" s="2740"/>
      <c r="AT30" s="2750"/>
      <c r="AU30" s="2751"/>
      <c r="AV30" s="1092">
        <f t="shared" si="11"/>
        <v>0</v>
      </c>
      <c r="AW30" s="1092">
        <f t="shared" si="12"/>
        <v>0</v>
      </c>
      <c r="AX30" s="1092">
        <f t="shared" si="13"/>
        <v>0</v>
      </c>
      <c r="AY30" s="2765">
        <f t="shared" si="14"/>
        <v>0</v>
      </c>
      <c r="AZ30" s="2720">
        <f t="shared" si="15"/>
        <v>0</v>
      </c>
      <c r="BA30" s="2720">
        <f t="shared" si="16"/>
        <v>0</v>
      </c>
      <c r="BB30" s="2720">
        <f t="shared" si="17"/>
        <v>0</v>
      </c>
      <c r="BC30" s="2720">
        <f t="shared" si="18"/>
        <v>0</v>
      </c>
      <c r="BD30" s="2720">
        <f t="shared" si="19"/>
        <v>0</v>
      </c>
      <c r="BE30" s="2720">
        <f t="shared" si="20"/>
        <v>0</v>
      </c>
      <c r="BF30" s="2720">
        <f t="shared" si="21"/>
        <v>0</v>
      </c>
      <c r="BG30" s="2720">
        <f t="shared" si="22"/>
        <v>0</v>
      </c>
      <c r="BH30" s="2720">
        <f t="shared" si="23"/>
        <v>0</v>
      </c>
      <c r="BI30" s="2720">
        <f t="shared" si="24"/>
        <v>0</v>
      </c>
      <c r="BJ30" s="2720">
        <f t="shared" si="25"/>
        <v>0</v>
      </c>
      <c r="BK30" s="2720">
        <f t="shared" si="26"/>
        <v>0</v>
      </c>
      <c r="BL30" s="2720">
        <f t="shared" si="27"/>
        <v>0</v>
      </c>
      <c r="BM30" s="2720">
        <f t="shared" si="28"/>
        <v>0</v>
      </c>
      <c r="BN30" s="2720">
        <f t="shared" si="29"/>
        <v>0</v>
      </c>
      <c r="BO30" s="2720">
        <f t="shared" si="30"/>
        <v>0</v>
      </c>
      <c r="BP30" s="2720">
        <f t="shared" si="31"/>
        <v>0</v>
      </c>
      <c r="BQ30" s="2720">
        <f t="shared" si="32"/>
        <v>0</v>
      </c>
      <c r="BR30" s="2720">
        <f t="shared" si="33"/>
        <v>0</v>
      </c>
      <c r="BS30" s="2720">
        <f t="shared" si="34"/>
        <v>0</v>
      </c>
      <c r="BT30" s="2772">
        <f t="shared" si="35"/>
        <v>0</v>
      </c>
    </row>
    <row r="31" spans="1:72">
      <c r="A31" s="2717"/>
      <c r="B31" s="2718"/>
      <c r="C31" s="2718"/>
      <c r="D31" s="2719"/>
      <c r="E31" s="2720">
        <f t="shared" si="7"/>
        <v>0</v>
      </c>
      <c r="F31" s="2721"/>
      <c r="G31" s="2722">
        <f t="shared" si="8"/>
        <v>0</v>
      </c>
      <c r="H31" s="2723">
        <f t="shared" si="9"/>
        <v>0</v>
      </c>
      <c r="I31" s="2730"/>
      <c r="J31" s="2730"/>
      <c r="K31" s="2730"/>
      <c r="L31" s="2730"/>
      <c r="M31" s="2730"/>
      <c r="N31" s="2730"/>
      <c r="O31" s="2730"/>
      <c r="P31" s="2730"/>
      <c r="Q31" s="2730"/>
      <c r="R31" s="2730"/>
      <c r="S31" s="2730"/>
      <c r="T31" s="2730"/>
      <c r="U31" s="2730"/>
      <c r="V31" s="2730"/>
      <c r="W31" s="2730"/>
      <c r="X31" s="2730"/>
      <c r="Y31" s="2730"/>
      <c r="Z31" s="2730"/>
      <c r="AA31" s="2730"/>
      <c r="AB31" s="2730"/>
      <c r="AC31" s="2720">
        <f t="shared" si="10"/>
        <v>0</v>
      </c>
      <c r="AD31" s="2740"/>
      <c r="AE31" s="2740"/>
      <c r="AF31" s="2740"/>
      <c r="AG31" s="2740"/>
      <c r="AH31" s="2740"/>
      <c r="AI31" s="2740"/>
      <c r="AJ31" s="2740"/>
      <c r="AK31" s="2740"/>
      <c r="AL31" s="2740"/>
      <c r="AM31" s="2740"/>
      <c r="AN31" s="2740"/>
      <c r="AO31" s="2740"/>
      <c r="AP31" s="2740"/>
      <c r="AQ31" s="2740"/>
      <c r="AR31" s="2740"/>
      <c r="AS31" s="2740"/>
      <c r="AT31" s="2750"/>
      <c r="AU31" s="2751"/>
      <c r="AV31" s="1092">
        <f t="shared" si="11"/>
        <v>0</v>
      </c>
      <c r="AW31" s="1092">
        <f t="shared" si="12"/>
        <v>0</v>
      </c>
      <c r="AX31" s="1092">
        <f t="shared" si="13"/>
        <v>0</v>
      </c>
      <c r="AY31" s="2765">
        <f t="shared" si="14"/>
        <v>0</v>
      </c>
      <c r="AZ31" s="2720">
        <f t="shared" si="15"/>
        <v>0</v>
      </c>
      <c r="BA31" s="2720">
        <f t="shared" si="16"/>
        <v>0</v>
      </c>
      <c r="BB31" s="2720">
        <f t="shared" si="17"/>
        <v>0</v>
      </c>
      <c r="BC31" s="2720">
        <f t="shared" si="18"/>
        <v>0</v>
      </c>
      <c r="BD31" s="2720">
        <f t="shared" si="19"/>
        <v>0</v>
      </c>
      <c r="BE31" s="2720">
        <f t="shared" si="20"/>
        <v>0</v>
      </c>
      <c r="BF31" s="2720">
        <f t="shared" si="21"/>
        <v>0</v>
      </c>
      <c r="BG31" s="2720">
        <f t="shared" si="22"/>
        <v>0</v>
      </c>
      <c r="BH31" s="2720">
        <f t="shared" si="23"/>
        <v>0</v>
      </c>
      <c r="BI31" s="2720">
        <f t="shared" si="24"/>
        <v>0</v>
      </c>
      <c r="BJ31" s="2720">
        <f t="shared" si="25"/>
        <v>0</v>
      </c>
      <c r="BK31" s="2720">
        <f t="shared" si="26"/>
        <v>0</v>
      </c>
      <c r="BL31" s="2720">
        <f t="shared" si="27"/>
        <v>0</v>
      </c>
      <c r="BM31" s="2720">
        <f t="shared" si="28"/>
        <v>0</v>
      </c>
      <c r="BN31" s="2720">
        <f t="shared" si="29"/>
        <v>0</v>
      </c>
      <c r="BO31" s="2720">
        <f t="shared" si="30"/>
        <v>0</v>
      </c>
      <c r="BP31" s="2720">
        <f t="shared" si="31"/>
        <v>0</v>
      </c>
      <c r="BQ31" s="2720">
        <f t="shared" si="32"/>
        <v>0</v>
      </c>
      <c r="BR31" s="2720">
        <f t="shared" si="33"/>
        <v>0</v>
      </c>
      <c r="BS31" s="2720">
        <f t="shared" si="34"/>
        <v>0</v>
      </c>
      <c r="BT31" s="2772">
        <f t="shared" si="35"/>
        <v>0</v>
      </c>
    </row>
    <row r="32" spans="1:72">
      <c r="A32" s="2717"/>
      <c r="B32" s="2718"/>
      <c r="C32" s="2718"/>
      <c r="D32" s="2719"/>
      <c r="E32" s="2720">
        <f t="shared" si="7"/>
        <v>0</v>
      </c>
      <c r="F32" s="2721"/>
      <c r="G32" s="2722">
        <f t="shared" si="8"/>
        <v>0</v>
      </c>
      <c r="H32" s="2723">
        <f t="shared" si="9"/>
        <v>0</v>
      </c>
      <c r="I32" s="2730"/>
      <c r="J32" s="2730"/>
      <c r="K32" s="2730"/>
      <c r="L32" s="2730"/>
      <c r="M32" s="2730"/>
      <c r="N32" s="2730"/>
      <c r="O32" s="2730"/>
      <c r="P32" s="2730"/>
      <c r="Q32" s="2730"/>
      <c r="R32" s="2730"/>
      <c r="S32" s="2730"/>
      <c r="T32" s="2730"/>
      <c r="U32" s="2730"/>
      <c r="V32" s="2730"/>
      <c r="W32" s="2730"/>
      <c r="X32" s="2730"/>
      <c r="Y32" s="2730"/>
      <c r="Z32" s="2730"/>
      <c r="AA32" s="2730"/>
      <c r="AB32" s="2730"/>
      <c r="AC32" s="2720">
        <f t="shared" si="10"/>
        <v>0</v>
      </c>
      <c r="AD32" s="2740"/>
      <c r="AE32" s="2740"/>
      <c r="AF32" s="2740"/>
      <c r="AG32" s="2740"/>
      <c r="AH32" s="2740"/>
      <c r="AI32" s="2740"/>
      <c r="AJ32" s="2740"/>
      <c r="AK32" s="2740"/>
      <c r="AL32" s="2740"/>
      <c r="AM32" s="2740"/>
      <c r="AN32" s="2740"/>
      <c r="AO32" s="2740"/>
      <c r="AP32" s="2740"/>
      <c r="AQ32" s="2740"/>
      <c r="AR32" s="2740"/>
      <c r="AS32" s="2740"/>
      <c r="AT32" s="2750"/>
      <c r="AU32" s="2751"/>
      <c r="AV32" s="1092">
        <f t="shared" si="11"/>
        <v>0</v>
      </c>
      <c r="AW32" s="1092">
        <f t="shared" si="12"/>
        <v>0</v>
      </c>
      <c r="AX32" s="1092">
        <f t="shared" si="13"/>
        <v>0</v>
      </c>
      <c r="AY32" s="2765">
        <f t="shared" si="14"/>
        <v>0</v>
      </c>
      <c r="AZ32" s="2720">
        <f t="shared" si="15"/>
        <v>0</v>
      </c>
      <c r="BA32" s="2720">
        <f t="shared" si="16"/>
        <v>0</v>
      </c>
      <c r="BB32" s="2720">
        <f t="shared" si="17"/>
        <v>0</v>
      </c>
      <c r="BC32" s="2720">
        <f t="shared" si="18"/>
        <v>0</v>
      </c>
      <c r="BD32" s="2720">
        <f t="shared" si="19"/>
        <v>0</v>
      </c>
      <c r="BE32" s="2720">
        <f t="shared" si="20"/>
        <v>0</v>
      </c>
      <c r="BF32" s="2720">
        <f t="shared" si="21"/>
        <v>0</v>
      </c>
      <c r="BG32" s="2720">
        <f t="shared" si="22"/>
        <v>0</v>
      </c>
      <c r="BH32" s="2720">
        <f t="shared" si="23"/>
        <v>0</v>
      </c>
      <c r="BI32" s="2720">
        <f t="shared" si="24"/>
        <v>0</v>
      </c>
      <c r="BJ32" s="2720">
        <f t="shared" si="25"/>
        <v>0</v>
      </c>
      <c r="BK32" s="2720">
        <f t="shared" si="26"/>
        <v>0</v>
      </c>
      <c r="BL32" s="2720">
        <f t="shared" si="27"/>
        <v>0</v>
      </c>
      <c r="BM32" s="2720">
        <f t="shared" si="28"/>
        <v>0</v>
      </c>
      <c r="BN32" s="2720">
        <f t="shared" si="29"/>
        <v>0</v>
      </c>
      <c r="BO32" s="2720">
        <f t="shared" si="30"/>
        <v>0</v>
      </c>
      <c r="BP32" s="2720">
        <f t="shared" si="31"/>
        <v>0</v>
      </c>
      <c r="BQ32" s="2720">
        <f t="shared" si="32"/>
        <v>0</v>
      </c>
      <c r="BR32" s="2720">
        <f t="shared" si="33"/>
        <v>0</v>
      </c>
      <c r="BS32" s="2720">
        <f t="shared" si="34"/>
        <v>0</v>
      </c>
      <c r="BT32" s="2772">
        <f t="shared" si="35"/>
        <v>0</v>
      </c>
    </row>
    <row r="33" spans="1:72">
      <c r="A33" s="2717"/>
      <c r="B33" s="2718"/>
      <c r="C33" s="2718"/>
      <c r="D33" s="2719"/>
      <c r="E33" s="2720">
        <f t="shared" si="7"/>
        <v>0</v>
      </c>
      <c r="F33" s="2721"/>
      <c r="G33" s="2722">
        <f t="shared" si="8"/>
        <v>0</v>
      </c>
      <c r="H33" s="2723">
        <f t="shared" si="9"/>
        <v>0</v>
      </c>
      <c r="I33" s="2730"/>
      <c r="J33" s="2730"/>
      <c r="K33" s="2730"/>
      <c r="L33" s="2730"/>
      <c r="M33" s="2730"/>
      <c r="N33" s="2730"/>
      <c r="O33" s="2730"/>
      <c r="P33" s="2730"/>
      <c r="Q33" s="2730"/>
      <c r="R33" s="2730"/>
      <c r="S33" s="2730"/>
      <c r="T33" s="2730"/>
      <c r="U33" s="2730"/>
      <c r="V33" s="2730"/>
      <c r="W33" s="2730"/>
      <c r="X33" s="2730"/>
      <c r="Y33" s="2730"/>
      <c r="Z33" s="2730"/>
      <c r="AA33" s="2730"/>
      <c r="AB33" s="2730"/>
      <c r="AC33" s="2720">
        <f t="shared" si="10"/>
        <v>0</v>
      </c>
      <c r="AD33" s="2740"/>
      <c r="AE33" s="2740"/>
      <c r="AF33" s="2740"/>
      <c r="AG33" s="2740"/>
      <c r="AH33" s="2740"/>
      <c r="AI33" s="2740"/>
      <c r="AJ33" s="2740"/>
      <c r="AK33" s="2740"/>
      <c r="AL33" s="2740"/>
      <c r="AM33" s="2740"/>
      <c r="AN33" s="2740"/>
      <c r="AO33" s="2740"/>
      <c r="AP33" s="2740"/>
      <c r="AQ33" s="2740"/>
      <c r="AR33" s="2740"/>
      <c r="AS33" s="2740"/>
      <c r="AT33" s="2750"/>
      <c r="AU33" s="2751"/>
      <c r="AV33" s="1092">
        <f t="shared" si="11"/>
        <v>0</v>
      </c>
      <c r="AW33" s="1092">
        <f t="shared" si="12"/>
        <v>0</v>
      </c>
      <c r="AX33" s="1092">
        <f t="shared" si="13"/>
        <v>0</v>
      </c>
      <c r="AY33" s="2765">
        <f t="shared" si="14"/>
        <v>0</v>
      </c>
      <c r="AZ33" s="2720">
        <f t="shared" si="15"/>
        <v>0</v>
      </c>
      <c r="BA33" s="2720">
        <f t="shared" si="16"/>
        <v>0</v>
      </c>
      <c r="BB33" s="2720">
        <f t="shared" si="17"/>
        <v>0</v>
      </c>
      <c r="BC33" s="2720">
        <f t="shared" si="18"/>
        <v>0</v>
      </c>
      <c r="BD33" s="2720">
        <f t="shared" si="19"/>
        <v>0</v>
      </c>
      <c r="BE33" s="2720">
        <f t="shared" si="20"/>
        <v>0</v>
      </c>
      <c r="BF33" s="2720">
        <f t="shared" si="21"/>
        <v>0</v>
      </c>
      <c r="BG33" s="2720">
        <f t="shared" si="22"/>
        <v>0</v>
      </c>
      <c r="BH33" s="2720">
        <f t="shared" si="23"/>
        <v>0</v>
      </c>
      <c r="BI33" s="2720">
        <f t="shared" si="24"/>
        <v>0</v>
      </c>
      <c r="BJ33" s="2720">
        <f t="shared" si="25"/>
        <v>0</v>
      </c>
      <c r="BK33" s="2720">
        <f t="shared" si="26"/>
        <v>0</v>
      </c>
      <c r="BL33" s="2720">
        <f t="shared" si="27"/>
        <v>0</v>
      </c>
      <c r="BM33" s="2720">
        <f t="shared" si="28"/>
        <v>0</v>
      </c>
      <c r="BN33" s="2720">
        <f t="shared" si="29"/>
        <v>0</v>
      </c>
      <c r="BO33" s="2720">
        <f t="shared" si="30"/>
        <v>0</v>
      </c>
      <c r="BP33" s="2720">
        <f t="shared" si="31"/>
        <v>0</v>
      </c>
      <c r="BQ33" s="2720">
        <f t="shared" si="32"/>
        <v>0</v>
      </c>
      <c r="BR33" s="2720">
        <f t="shared" si="33"/>
        <v>0</v>
      </c>
      <c r="BS33" s="2720">
        <f t="shared" si="34"/>
        <v>0</v>
      </c>
      <c r="BT33" s="2772">
        <f t="shared" si="35"/>
        <v>0</v>
      </c>
    </row>
    <row r="34" spans="1:72">
      <c r="A34" s="2717"/>
      <c r="B34" s="2718"/>
      <c r="C34" s="2718"/>
      <c r="D34" s="2719"/>
      <c r="E34" s="2720">
        <f t="shared" si="7"/>
        <v>0</v>
      </c>
      <c r="F34" s="2721"/>
      <c r="G34" s="2722">
        <f t="shared" si="8"/>
        <v>0</v>
      </c>
      <c r="H34" s="2723">
        <f t="shared" si="9"/>
        <v>0</v>
      </c>
      <c r="I34" s="2730"/>
      <c r="J34" s="2730"/>
      <c r="K34" s="2730"/>
      <c r="L34" s="2730"/>
      <c r="M34" s="2730"/>
      <c r="N34" s="2730"/>
      <c r="O34" s="2730"/>
      <c r="P34" s="2730"/>
      <c r="Q34" s="2730"/>
      <c r="R34" s="2730"/>
      <c r="S34" s="2730"/>
      <c r="T34" s="2730"/>
      <c r="U34" s="2730"/>
      <c r="V34" s="2730"/>
      <c r="W34" s="2730"/>
      <c r="X34" s="2730"/>
      <c r="Y34" s="2730"/>
      <c r="Z34" s="2730"/>
      <c r="AA34" s="2730"/>
      <c r="AB34" s="2730"/>
      <c r="AC34" s="2720">
        <f t="shared" si="10"/>
        <v>0</v>
      </c>
      <c r="AD34" s="2740"/>
      <c r="AE34" s="2740"/>
      <c r="AF34" s="2740"/>
      <c r="AG34" s="2740"/>
      <c r="AH34" s="2740"/>
      <c r="AI34" s="2740"/>
      <c r="AJ34" s="2740"/>
      <c r="AK34" s="2740"/>
      <c r="AL34" s="2740"/>
      <c r="AM34" s="2740"/>
      <c r="AN34" s="2740"/>
      <c r="AO34" s="2740"/>
      <c r="AP34" s="2740"/>
      <c r="AQ34" s="2740"/>
      <c r="AR34" s="2740"/>
      <c r="AS34" s="2740"/>
      <c r="AT34" s="2750"/>
      <c r="AU34" s="2751"/>
      <c r="AV34" s="1092">
        <f t="shared" si="11"/>
        <v>0</v>
      </c>
      <c r="AW34" s="1092">
        <f t="shared" si="12"/>
        <v>0</v>
      </c>
      <c r="AX34" s="1092">
        <f t="shared" si="13"/>
        <v>0</v>
      </c>
      <c r="AY34" s="2765">
        <f t="shared" si="14"/>
        <v>0</v>
      </c>
      <c r="AZ34" s="2720">
        <f t="shared" si="15"/>
        <v>0</v>
      </c>
      <c r="BA34" s="2720">
        <f t="shared" si="16"/>
        <v>0</v>
      </c>
      <c r="BB34" s="2720">
        <f t="shared" si="17"/>
        <v>0</v>
      </c>
      <c r="BC34" s="2720">
        <f t="shared" si="18"/>
        <v>0</v>
      </c>
      <c r="BD34" s="2720">
        <f t="shared" si="19"/>
        <v>0</v>
      </c>
      <c r="BE34" s="2720">
        <f t="shared" si="20"/>
        <v>0</v>
      </c>
      <c r="BF34" s="2720">
        <f t="shared" si="21"/>
        <v>0</v>
      </c>
      <c r="BG34" s="2720">
        <f t="shared" si="22"/>
        <v>0</v>
      </c>
      <c r="BH34" s="2720">
        <f t="shared" si="23"/>
        <v>0</v>
      </c>
      <c r="BI34" s="2720">
        <f t="shared" si="24"/>
        <v>0</v>
      </c>
      <c r="BJ34" s="2720">
        <f t="shared" si="25"/>
        <v>0</v>
      </c>
      <c r="BK34" s="2720">
        <f t="shared" si="26"/>
        <v>0</v>
      </c>
      <c r="BL34" s="2720">
        <f t="shared" si="27"/>
        <v>0</v>
      </c>
      <c r="BM34" s="2720">
        <f t="shared" si="28"/>
        <v>0</v>
      </c>
      <c r="BN34" s="2720">
        <f t="shared" si="29"/>
        <v>0</v>
      </c>
      <c r="BO34" s="2720">
        <f t="shared" si="30"/>
        <v>0</v>
      </c>
      <c r="BP34" s="2720">
        <f t="shared" si="31"/>
        <v>0</v>
      </c>
      <c r="BQ34" s="2720">
        <f t="shared" si="32"/>
        <v>0</v>
      </c>
      <c r="BR34" s="2720">
        <f t="shared" si="33"/>
        <v>0</v>
      </c>
      <c r="BS34" s="2720">
        <f t="shared" si="34"/>
        <v>0</v>
      </c>
      <c r="BT34" s="2772">
        <f t="shared" si="35"/>
        <v>0</v>
      </c>
    </row>
    <row r="35" spans="1:72">
      <c r="A35" s="2717"/>
      <c r="B35" s="2718"/>
      <c r="C35" s="2718"/>
      <c r="D35" s="2719"/>
      <c r="E35" s="2720">
        <f t="shared" si="7"/>
        <v>0</v>
      </c>
      <c r="F35" s="2721"/>
      <c r="G35" s="2722">
        <f t="shared" si="8"/>
        <v>0</v>
      </c>
      <c r="H35" s="2723">
        <f t="shared" si="9"/>
        <v>0</v>
      </c>
      <c r="I35" s="2730"/>
      <c r="J35" s="2730"/>
      <c r="K35" s="2730"/>
      <c r="L35" s="2730"/>
      <c r="M35" s="2730"/>
      <c r="N35" s="2730"/>
      <c r="O35" s="2730"/>
      <c r="P35" s="2730"/>
      <c r="Q35" s="2730"/>
      <c r="R35" s="2730"/>
      <c r="S35" s="2730"/>
      <c r="T35" s="2730"/>
      <c r="U35" s="2730"/>
      <c r="V35" s="2730"/>
      <c r="W35" s="2730"/>
      <c r="X35" s="2730"/>
      <c r="Y35" s="2730"/>
      <c r="Z35" s="2730"/>
      <c r="AA35" s="2730"/>
      <c r="AB35" s="2730"/>
      <c r="AC35" s="2720">
        <f t="shared" si="10"/>
        <v>0</v>
      </c>
      <c r="AD35" s="2740"/>
      <c r="AE35" s="2740"/>
      <c r="AF35" s="2740"/>
      <c r="AG35" s="2740"/>
      <c r="AH35" s="2740"/>
      <c r="AI35" s="2740"/>
      <c r="AJ35" s="2740"/>
      <c r="AK35" s="2740"/>
      <c r="AL35" s="2740"/>
      <c r="AM35" s="2740"/>
      <c r="AN35" s="2740"/>
      <c r="AO35" s="2740"/>
      <c r="AP35" s="2740"/>
      <c r="AQ35" s="2740"/>
      <c r="AR35" s="2740"/>
      <c r="AS35" s="2740"/>
      <c r="AT35" s="2750"/>
      <c r="AU35" s="2751"/>
      <c r="AV35" s="1092">
        <f t="shared" si="11"/>
        <v>0</v>
      </c>
      <c r="AW35" s="1092">
        <f t="shared" si="12"/>
        <v>0</v>
      </c>
      <c r="AX35" s="1092">
        <f t="shared" si="13"/>
        <v>0</v>
      </c>
      <c r="AY35" s="2765">
        <f t="shared" si="14"/>
        <v>0</v>
      </c>
      <c r="AZ35" s="2720">
        <f t="shared" si="15"/>
        <v>0</v>
      </c>
      <c r="BA35" s="2720">
        <f t="shared" si="16"/>
        <v>0</v>
      </c>
      <c r="BB35" s="2720">
        <f t="shared" si="17"/>
        <v>0</v>
      </c>
      <c r="BC35" s="2720">
        <f t="shared" si="18"/>
        <v>0</v>
      </c>
      <c r="BD35" s="2720">
        <f t="shared" si="19"/>
        <v>0</v>
      </c>
      <c r="BE35" s="2720">
        <f t="shared" si="20"/>
        <v>0</v>
      </c>
      <c r="BF35" s="2720">
        <f t="shared" si="21"/>
        <v>0</v>
      </c>
      <c r="BG35" s="2720">
        <f t="shared" si="22"/>
        <v>0</v>
      </c>
      <c r="BH35" s="2720">
        <f t="shared" si="23"/>
        <v>0</v>
      </c>
      <c r="BI35" s="2720">
        <f t="shared" si="24"/>
        <v>0</v>
      </c>
      <c r="BJ35" s="2720">
        <f t="shared" si="25"/>
        <v>0</v>
      </c>
      <c r="BK35" s="2720">
        <f t="shared" si="26"/>
        <v>0</v>
      </c>
      <c r="BL35" s="2720">
        <f t="shared" si="27"/>
        <v>0</v>
      </c>
      <c r="BM35" s="2720">
        <f t="shared" si="28"/>
        <v>0</v>
      </c>
      <c r="BN35" s="2720">
        <f t="shared" si="29"/>
        <v>0</v>
      </c>
      <c r="BO35" s="2720">
        <f t="shared" si="30"/>
        <v>0</v>
      </c>
      <c r="BP35" s="2720">
        <f t="shared" si="31"/>
        <v>0</v>
      </c>
      <c r="BQ35" s="2720">
        <f t="shared" si="32"/>
        <v>0</v>
      </c>
      <c r="BR35" s="2720">
        <f t="shared" si="33"/>
        <v>0</v>
      </c>
      <c r="BS35" s="2720">
        <f t="shared" si="34"/>
        <v>0</v>
      </c>
      <c r="BT35" s="2772">
        <f t="shared" si="35"/>
        <v>0</v>
      </c>
    </row>
    <row r="36" spans="1:72">
      <c r="A36" s="2717"/>
      <c r="B36" s="2718"/>
      <c r="C36" s="2718"/>
      <c r="D36" s="2719"/>
      <c r="E36" s="2720">
        <f t="shared" si="7"/>
        <v>0</v>
      </c>
      <c r="F36" s="2721"/>
      <c r="G36" s="2722">
        <f t="shared" si="8"/>
        <v>0</v>
      </c>
      <c r="H36" s="2723">
        <f t="shared" si="9"/>
        <v>0</v>
      </c>
      <c r="I36" s="2730"/>
      <c r="J36" s="2730"/>
      <c r="K36" s="2730"/>
      <c r="L36" s="2730"/>
      <c r="M36" s="2730"/>
      <c r="N36" s="2730"/>
      <c r="O36" s="2730"/>
      <c r="P36" s="2730"/>
      <c r="Q36" s="2730"/>
      <c r="R36" s="2730"/>
      <c r="S36" s="2730"/>
      <c r="T36" s="2730"/>
      <c r="U36" s="2730"/>
      <c r="V36" s="2730"/>
      <c r="W36" s="2730"/>
      <c r="X36" s="2730"/>
      <c r="Y36" s="2730"/>
      <c r="Z36" s="2730"/>
      <c r="AA36" s="2730"/>
      <c r="AB36" s="2730"/>
      <c r="AC36" s="2720">
        <f t="shared" si="10"/>
        <v>0</v>
      </c>
      <c r="AD36" s="2740"/>
      <c r="AE36" s="2740"/>
      <c r="AF36" s="2740"/>
      <c r="AG36" s="2740"/>
      <c r="AH36" s="2740"/>
      <c r="AI36" s="2740"/>
      <c r="AJ36" s="2740"/>
      <c r="AK36" s="2740"/>
      <c r="AL36" s="2740"/>
      <c r="AM36" s="2740"/>
      <c r="AN36" s="2740"/>
      <c r="AO36" s="2740"/>
      <c r="AP36" s="2740"/>
      <c r="AQ36" s="2740"/>
      <c r="AR36" s="2740"/>
      <c r="AS36" s="2740"/>
      <c r="AT36" s="2750"/>
      <c r="AU36" s="2751"/>
      <c r="AV36" s="1092">
        <f t="shared" si="11"/>
        <v>0</v>
      </c>
      <c r="AW36" s="1092">
        <f t="shared" si="12"/>
        <v>0</v>
      </c>
      <c r="AX36" s="1092">
        <f t="shared" si="13"/>
        <v>0</v>
      </c>
      <c r="AY36" s="2765">
        <f t="shared" si="14"/>
        <v>0</v>
      </c>
      <c r="AZ36" s="2720">
        <f t="shared" si="15"/>
        <v>0</v>
      </c>
      <c r="BA36" s="2720">
        <f t="shared" si="16"/>
        <v>0</v>
      </c>
      <c r="BB36" s="2720">
        <f t="shared" si="17"/>
        <v>0</v>
      </c>
      <c r="BC36" s="2720">
        <f t="shared" si="18"/>
        <v>0</v>
      </c>
      <c r="BD36" s="2720">
        <f t="shared" si="19"/>
        <v>0</v>
      </c>
      <c r="BE36" s="2720">
        <f t="shared" si="20"/>
        <v>0</v>
      </c>
      <c r="BF36" s="2720">
        <f t="shared" si="21"/>
        <v>0</v>
      </c>
      <c r="BG36" s="2720">
        <f t="shared" si="22"/>
        <v>0</v>
      </c>
      <c r="BH36" s="2720">
        <f t="shared" si="23"/>
        <v>0</v>
      </c>
      <c r="BI36" s="2720">
        <f t="shared" si="24"/>
        <v>0</v>
      </c>
      <c r="BJ36" s="2720">
        <f t="shared" si="25"/>
        <v>0</v>
      </c>
      <c r="BK36" s="2720">
        <f t="shared" si="26"/>
        <v>0</v>
      </c>
      <c r="BL36" s="2720">
        <f t="shared" si="27"/>
        <v>0</v>
      </c>
      <c r="BM36" s="2720">
        <f t="shared" si="28"/>
        <v>0</v>
      </c>
      <c r="BN36" s="2720">
        <f t="shared" si="29"/>
        <v>0</v>
      </c>
      <c r="BO36" s="2720">
        <f t="shared" si="30"/>
        <v>0</v>
      </c>
      <c r="BP36" s="2720">
        <f t="shared" si="31"/>
        <v>0</v>
      </c>
      <c r="BQ36" s="2720">
        <f t="shared" si="32"/>
        <v>0</v>
      </c>
      <c r="BR36" s="2720">
        <f t="shared" si="33"/>
        <v>0</v>
      </c>
      <c r="BS36" s="2720">
        <f t="shared" si="34"/>
        <v>0</v>
      </c>
      <c r="BT36" s="2772">
        <f t="shared" si="35"/>
        <v>0</v>
      </c>
    </row>
    <row r="37" spans="1:72">
      <c r="A37" s="2717"/>
      <c r="B37" s="2718"/>
      <c r="C37" s="2718"/>
      <c r="D37" s="2719"/>
      <c r="E37" s="2720">
        <f t="shared" si="7"/>
        <v>0</v>
      </c>
      <c r="F37" s="2721"/>
      <c r="G37" s="2722">
        <f t="shared" si="8"/>
        <v>0</v>
      </c>
      <c r="H37" s="2723">
        <f t="shared" si="9"/>
        <v>0</v>
      </c>
      <c r="I37" s="2730"/>
      <c r="J37" s="2730"/>
      <c r="K37" s="2730"/>
      <c r="L37" s="2730"/>
      <c r="M37" s="2730"/>
      <c r="N37" s="2730"/>
      <c r="O37" s="2730"/>
      <c r="P37" s="2730"/>
      <c r="Q37" s="2730"/>
      <c r="R37" s="2730"/>
      <c r="S37" s="2730"/>
      <c r="T37" s="2730"/>
      <c r="U37" s="2730"/>
      <c r="V37" s="2730"/>
      <c r="W37" s="2730"/>
      <c r="X37" s="2730"/>
      <c r="Y37" s="2730"/>
      <c r="Z37" s="2730"/>
      <c r="AA37" s="2730"/>
      <c r="AB37" s="2730"/>
      <c r="AC37" s="2720">
        <f t="shared" si="10"/>
        <v>0</v>
      </c>
      <c r="AD37" s="2740"/>
      <c r="AE37" s="2740"/>
      <c r="AF37" s="2740"/>
      <c r="AG37" s="2740"/>
      <c r="AH37" s="2740"/>
      <c r="AI37" s="2740"/>
      <c r="AJ37" s="2740"/>
      <c r="AK37" s="2740"/>
      <c r="AL37" s="2740"/>
      <c r="AM37" s="2740"/>
      <c r="AN37" s="2740"/>
      <c r="AO37" s="2740"/>
      <c r="AP37" s="2740"/>
      <c r="AQ37" s="2740"/>
      <c r="AR37" s="2740"/>
      <c r="AS37" s="2740"/>
      <c r="AT37" s="2750"/>
      <c r="AU37" s="2751"/>
      <c r="AV37" s="1092">
        <f t="shared" si="11"/>
        <v>0</v>
      </c>
      <c r="AW37" s="1092">
        <f t="shared" si="12"/>
        <v>0</v>
      </c>
      <c r="AX37" s="1092">
        <f t="shared" si="13"/>
        <v>0</v>
      </c>
      <c r="AY37" s="2765">
        <f t="shared" si="14"/>
        <v>0</v>
      </c>
      <c r="AZ37" s="2720">
        <f t="shared" si="15"/>
        <v>0</v>
      </c>
      <c r="BA37" s="2720">
        <f t="shared" si="16"/>
        <v>0</v>
      </c>
      <c r="BB37" s="2720">
        <f t="shared" si="17"/>
        <v>0</v>
      </c>
      <c r="BC37" s="2720">
        <f t="shared" si="18"/>
        <v>0</v>
      </c>
      <c r="BD37" s="2720">
        <f t="shared" si="19"/>
        <v>0</v>
      </c>
      <c r="BE37" s="2720">
        <f t="shared" si="20"/>
        <v>0</v>
      </c>
      <c r="BF37" s="2720">
        <f t="shared" si="21"/>
        <v>0</v>
      </c>
      <c r="BG37" s="2720">
        <f t="shared" si="22"/>
        <v>0</v>
      </c>
      <c r="BH37" s="2720">
        <f t="shared" si="23"/>
        <v>0</v>
      </c>
      <c r="BI37" s="2720">
        <f t="shared" si="24"/>
        <v>0</v>
      </c>
      <c r="BJ37" s="2720">
        <f t="shared" si="25"/>
        <v>0</v>
      </c>
      <c r="BK37" s="2720">
        <f t="shared" si="26"/>
        <v>0</v>
      </c>
      <c r="BL37" s="2720">
        <f t="shared" si="27"/>
        <v>0</v>
      </c>
      <c r="BM37" s="2720">
        <f t="shared" si="28"/>
        <v>0</v>
      </c>
      <c r="BN37" s="2720">
        <f t="shared" si="29"/>
        <v>0</v>
      </c>
      <c r="BO37" s="2720">
        <f t="shared" si="30"/>
        <v>0</v>
      </c>
      <c r="BP37" s="2720">
        <f t="shared" si="31"/>
        <v>0</v>
      </c>
      <c r="BQ37" s="2720">
        <f t="shared" si="32"/>
        <v>0</v>
      </c>
      <c r="BR37" s="2720">
        <f t="shared" si="33"/>
        <v>0</v>
      </c>
      <c r="BS37" s="2720">
        <f t="shared" si="34"/>
        <v>0</v>
      </c>
      <c r="BT37" s="2772">
        <f t="shared" si="35"/>
        <v>0</v>
      </c>
    </row>
    <row r="38" spans="1:72">
      <c r="A38" s="2717"/>
      <c r="B38" s="2718"/>
      <c r="C38" s="2718"/>
      <c r="D38" s="2719"/>
      <c r="E38" s="2720">
        <f t="shared" si="7"/>
        <v>0</v>
      </c>
      <c r="F38" s="2721"/>
      <c r="G38" s="2722">
        <f t="shared" si="8"/>
        <v>0</v>
      </c>
      <c r="H38" s="2723">
        <f t="shared" si="9"/>
        <v>0</v>
      </c>
      <c r="I38" s="2730"/>
      <c r="J38" s="2730"/>
      <c r="K38" s="2730"/>
      <c r="L38" s="2730"/>
      <c r="M38" s="2730"/>
      <c r="N38" s="2730"/>
      <c r="O38" s="2730"/>
      <c r="P38" s="2730"/>
      <c r="Q38" s="2730"/>
      <c r="R38" s="2730"/>
      <c r="S38" s="2730"/>
      <c r="T38" s="2730"/>
      <c r="U38" s="2730"/>
      <c r="V38" s="2730"/>
      <c r="W38" s="2730"/>
      <c r="X38" s="2730"/>
      <c r="Y38" s="2730"/>
      <c r="Z38" s="2730"/>
      <c r="AA38" s="2730"/>
      <c r="AB38" s="2730"/>
      <c r="AC38" s="2720">
        <f t="shared" si="10"/>
        <v>0</v>
      </c>
      <c r="AD38" s="2740"/>
      <c r="AE38" s="2740"/>
      <c r="AF38" s="2740"/>
      <c r="AG38" s="2740"/>
      <c r="AH38" s="2740"/>
      <c r="AI38" s="2740"/>
      <c r="AJ38" s="2740"/>
      <c r="AK38" s="2740"/>
      <c r="AL38" s="2740"/>
      <c r="AM38" s="2740"/>
      <c r="AN38" s="2740"/>
      <c r="AO38" s="2740"/>
      <c r="AP38" s="2740"/>
      <c r="AQ38" s="2740"/>
      <c r="AR38" s="2740"/>
      <c r="AS38" s="2740"/>
      <c r="AT38" s="2750"/>
      <c r="AU38" s="2751"/>
      <c r="AV38" s="1092">
        <f t="shared" si="11"/>
        <v>0</v>
      </c>
      <c r="AW38" s="1092">
        <f t="shared" si="12"/>
        <v>0</v>
      </c>
      <c r="AX38" s="1092">
        <f t="shared" si="13"/>
        <v>0</v>
      </c>
      <c r="AY38" s="2765">
        <f t="shared" si="14"/>
        <v>0</v>
      </c>
      <c r="AZ38" s="2720">
        <f t="shared" si="15"/>
        <v>0</v>
      </c>
      <c r="BA38" s="2720">
        <f t="shared" si="16"/>
        <v>0</v>
      </c>
      <c r="BB38" s="2720">
        <f t="shared" si="17"/>
        <v>0</v>
      </c>
      <c r="BC38" s="2720">
        <f t="shared" si="18"/>
        <v>0</v>
      </c>
      <c r="BD38" s="2720">
        <f t="shared" si="19"/>
        <v>0</v>
      </c>
      <c r="BE38" s="2720">
        <f t="shared" si="20"/>
        <v>0</v>
      </c>
      <c r="BF38" s="2720">
        <f t="shared" si="21"/>
        <v>0</v>
      </c>
      <c r="BG38" s="2720">
        <f t="shared" si="22"/>
        <v>0</v>
      </c>
      <c r="BH38" s="2720">
        <f t="shared" si="23"/>
        <v>0</v>
      </c>
      <c r="BI38" s="2720">
        <f t="shared" si="24"/>
        <v>0</v>
      </c>
      <c r="BJ38" s="2720">
        <f t="shared" si="25"/>
        <v>0</v>
      </c>
      <c r="BK38" s="2720">
        <f t="shared" si="26"/>
        <v>0</v>
      </c>
      <c r="BL38" s="2720">
        <f t="shared" si="27"/>
        <v>0</v>
      </c>
      <c r="BM38" s="2720">
        <f t="shared" si="28"/>
        <v>0</v>
      </c>
      <c r="BN38" s="2720">
        <f t="shared" si="29"/>
        <v>0</v>
      </c>
      <c r="BO38" s="2720">
        <f t="shared" si="30"/>
        <v>0</v>
      </c>
      <c r="BP38" s="2720">
        <f t="shared" si="31"/>
        <v>0</v>
      </c>
      <c r="BQ38" s="2720">
        <f t="shared" si="32"/>
        <v>0</v>
      </c>
      <c r="BR38" s="2720">
        <f t="shared" si="33"/>
        <v>0</v>
      </c>
      <c r="BS38" s="2720">
        <f t="shared" si="34"/>
        <v>0</v>
      </c>
      <c r="BT38" s="2772">
        <f t="shared" si="35"/>
        <v>0</v>
      </c>
    </row>
    <row r="39" spans="1:72">
      <c r="A39" s="2717"/>
      <c r="B39" s="2718"/>
      <c r="C39" s="2718"/>
      <c r="D39" s="2719"/>
      <c r="E39" s="2720">
        <f t="shared" si="7"/>
        <v>0</v>
      </c>
      <c r="F39" s="2721"/>
      <c r="G39" s="2722">
        <f t="shared" si="8"/>
        <v>0</v>
      </c>
      <c r="H39" s="2723">
        <f t="shared" si="9"/>
        <v>0</v>
      </c>
      <c r="I39" s="2730"/>
      <c r="J39" s="2730"/>
      <c r="K39" s="2730"/>
      <c r="L39" s="2730"/>
      <c r="M39" s="2730"/>
      <c r="N39" s="2730"/>
      <c r="O39" s="2730"/>
      <c r="P39" s="2730"/>
      <c r="Q39" s="2730"/>
      <c r="R39" s="2730"/>
      <c r="S39" s="2730"/>
      <c r="T39" s="2730"/>
      <c r="U39" s="2730"/>
      <c r="V39" s="2730"/>
      <c r="W39" s="2730"/>
      <c r="X39" s="2730"/>
      <c r="Y39" s="2730"/>
      <c r="Z39" s="2730"/>
      <c r="AA39" s="2730"/>
      <c r="AB39" s="2730"/>
      <c r="AC39" s="2720">
        <f t="shared" si="10"/>
        <v>0</v>
      </c>
      <c r="AD39" s="2740"/>
      <c r="AE39" s="2740"/>
      <c r="AF39" s="2740"/>
      <c r="AG39" s="2740"/>
      <c r="AH39" s="2740"/>
      <c r="AI39" s="2740"/>
      <c r="AJ39" s="2740"/>
      <c r="AK39" s="2740"/>
      <c r="AL39" s="2740"/>
      <c r="AM39" s="2740"/>
      <c r="AN39" s="2740"/>
      <c r="AO39" s="2740"/>
      <c r="AP39" s="2740"/>
      <c r="AQ39" s="2740"/>
      <c r="AR39" s="2740"/>
      <c r="AS39" s="2740"/>
      <c r="AT39" s="2750"/>
      <c r="AU39" s="2751"/>
      <c r="AV39" s="1092">
        <f t="shared" si="11"/>
        <v>0</v>
      </c>
      <c r="AW39" s="1092">
        <f t="shared" si="12"/>
        <v>0</v>
      </c>
      <c r="AX39" s="1092">
        <f t="shared" si="13"/>
        <v>0</v>
      </c>
      <c r="AY39" s="2765">
        <f t="shared" si="14"/>
        <v>0</v>
      </c>
      <c r="AZ39" s="2720">
        <f t="shared" si="15"/>
        <v>0</v>
      </c>
      <c r="BA39" s="2720">
        <f t="shared" si="16"/>
        <v>0</v>
      </c>
      <c r="BB39" s="2720">
        <f t="shared" si="17"/>
        <v>0</v>
      </c>
      <c r="BC39" s="2720">
        <f t="shared" si="18"/>
        <v>0</v>
      </c>
      <c r="BD39" s="2720">
        <f t="shared" si="19"/>
        <v>0</v>
      </c>
      <c r="BE39" s="2720">
        <f t="shared" si="20"/>
        <v>0</v>
      </c>
      <c r="BF39" s="2720">
        <f t="shared" si="21"/>
        <v>0</v>
      </c>
      <c r="BG39" s="2720">
        <f t="shared" si="22"/>
        <v>0</v>
      </c>
      <c r="BH39" s="2720">
        <f t="shared" si="23"/>
        <v>0</v>
      </c>
      <c r="BI39" s="2720">
        <f t="shared" si="24"/>
        <v>0</v>
      </c>
      <c r="BJ39" s="2720">
        <f t="shared" si="25"/>
        <v>0</v>
      </c>
      <c r="BK39" s="2720">
        <f t="shared" si="26"/>
        <v>0</v>
      </c>
      <c r="BL39" s="2720">
        <f t="shared" si="27"/>
        <v>0</v>
      </c>
      <c r="BM39" s="2720">
        <f t="shared" si="28"/>
        <v>0</v>
      </c>
      <c r="BN39" s="2720">
        <f t="shared" si="29"/>
        <v>0</v>
      </c>
      <c r="BO39" s="2720">
        <f t="shared" si="30"/>
        <v>0</v>
      </c>
      <c r="BP39" s="2720">
        <f t="shared" si="31"/>
        <v>0</v>
      </c>
      <c r="BQ39" s="2720">
        <f t="shared" si="32"/>
        <v>0</v>
      </c>
      <c r="BR39" s="2720">
        <f t="shared" si="33"/>
        <v>0</v>
      </c>
      <c r="BS39" s="2720">
        <f t="shared" si="34"/>
        <v>0</v>
      </c>
      <c r="BT39" s="2772">
        <f t="shared" si="35"/>
        <v>0</v>
      </c>
    </row>
    <row r="40" spans="1:72">
      <c r="A40" s="2717"/>
      <c r="B40" s="2718"/>
      <c r="C40" s="2718"/>
      <c r="D40" s="2719"/>
      <c r="E40" s="2720">
        <f t="shared" si="7"/>
        <v>0</v>
      </c>
      <c r="F40" s="2721"/>
      <c r="G40" s="2722">
        <f t="shared" si="8"/>
        <v>0</v>
      </c>
      <c r="H40" s="2723">
        <f t="shared" si="9"/>
        <v>0</v>
      </c>
      <c r="I40" s="2730"/>
      <c r="J40" s="2730"/>
      <c r="K40" s="2730"/>
      <c r="L40" s="2730"/>
      <c r="M40" s="2730"/>
      <c r="N40" s="2730"/>
      <c r="O40" s="2730"/>
      <c r="P40" s="2730"/>
      <c r="Q40" s="2730"/>
      <c r="R40" s="2730"/>
      <c r="S40" s="2730"/>
      <c r="T40" s="2730"/>
      <c r="U40" s="2730"/>
      <c r="V40" s="2730"/>
      <c r="W40" s="2730"/>
      <c r="X40" s="2730"/>
      <c r="Y40" s="2730"/>
      <c r="Z40" s="2730"/>
      <c r="AA40" s="2730"/>
      <c r="AB40" s="2730"/>
      <c r="AC40" s="2720">
        <f t="shared" si="10"/>
        <v>0</v>
      </c>
      <c r="AD40" s="2740"/>
      <c r="AE40" s="2740"/>
      <c r="AF40" s="2740"/>
      <c r="AG40" s="2740"/>
      <c r="AH40" s="2740"/>
      <c r="AI40" s="2740"/>
      <c r="AJ40" s="2740"/>
      <c r="AK40" s="2740"/>
      <c r="AL40" s="2740"/>
      <c r="AM40" s="2740"/>
      <c r="AN40" s="2740"/>
      <c r="AO40" s="2740"/>
      <c r="AP40" s="2740"/>
      <c r="AQ40" s="2740"/>
      <c r="AR40" s="2740"/>
      <c r="AS40" s="2740"/>
      <c r="AT40" s="2750"/>
      <c r="AU40" s="2751"/>
      <c r="AV40" s="1092">
        <f t="shared" si="11"/>
        <v>0</v>
      </c>
      <c r="AW40" s="1092">
        <f t="shared" si="12"/>
        <v>0</v>
      </c>
      <c r="AX40" s="1092">
        <f t="shared" si="13"/>
        <v>0</v>
      </c>
      <c r="AY40" s="2765">
        <f t="shared" si="14"/>
        <v>0</v>
      </c>
      <c r="AZ40" s="2720">
        <f t="shared" si="15"/>
        <v>0</v>
      </c>
      <c r="BA40" s="2720">
        <f t="shared" si="16"/>
        <v>0</v>
      </c>
      <c r="BB40" s="2720">
        <f t="shared" si="17"/>
        <v>0</v>
      </c>
      <c r="BC40" s="2720">
        <f t="shared" si="18"/>
        <v>0</v>
      </c>
      <c r="BD40" s="2720">
        <f t="shared" si="19"/>
        <v>0</v>
      </c>
      <c r="BE40" s="2720">
        <f t="shared" si="20"/>
        <v>0</v>
      </c>
      <c r="BF40" s="2720">
        <f t="shared" si="21"/>
        <v>0</v>
      </c>
      <c r="BG40" s="2720">
        <f t="shared" si="22"/>
        <v>0</v>
      </c>
      <c r="BH40" s="2720">
        <f t="shared" si="23"/>
        <v>0</v>
      </c>
      <c r="BI40" s="2720">
        <f t="shared" si="24"/>
        <v>0</v>
      </c>
      <c r="BJ40" s="2720">
        <f t="shared" si="25"/>
        <v>0</v>
      </c>
      <c r="BK40" s="2720">
        <f t="shared" si="26"/>
        <v>0</v>
      </c>
      <c r="BL40" s="2720">
        <f t="shared" si="27"/>
        <v>0</v>
      </c>
      <c r="BM40" s="2720">
        <f t="shared" si="28"/>
        <v>0</v>
      </c>
      <c r="BN40" s="2720">
        <f t="shared" si="29"/>
        <v>0</v>
      </c>
      <c r="BO40" s="2720">
        <f t="shared" si="30"/>
        <v>0</v>
      </c>
      <c r="BP40" s="2720">
        <f t="shared" si="31"/>
        <v>0</v>
      </c>
      <c r="BQ40" s="2720">
        <f t="shared" si="32"/>
        <v>0</v>
      </c>
      <c r="BR40" s="2720">
        <f t="shared" si="33"/>
        <v>0</v>
      </c>
      <c r="BS40" s="2720">
        <f t="shared" si="34"/>
        <v>0</v>
      </c>
      <c r="BT40" s="2772">
        <f t="shared" si="35"/>
        <v>0</v>
      </c>
    </row>
    <row r="41" spans="1:72">
      <c r="A41" s="2717"/>
      <c r="B41" s="2718"/>
      <c r="C41" s="2718"/>
      <c r="D41" s="2719"/>
      <c r="E41" s="2720">
        <f t="shared" si="7"/>
        <v>0</v>
      </c>
      <c r="F41" s="2721"/>
      <c r="G41" s="2722">
        <f t="shared" si="8"/>
        <v>0</v>
      </c>
      <c r="H41" s="2723">
        <f t="shared" si="9"/>
        <v>0</v>
      </c>
      <c r="I41" s="2730"/>
      <c r="J41" s="2730"/>
      <c r="K41" s="2730"/>
      <c r="L41" s="2730"/>
      <c r="M41" s="2730"/>
      <c r="N41" s="2730"/>
      <c r="O41" s="2730"/>
      <c r="P41" s="2730"/>
      <c r="Q41" s="2730"/>
      <c r="R41" s="2730"/>
      <c r="S41" s="2730"/>
      <c r="T41" s="2730"/>
      <c r="U41" s="2730"/>
      <c r="V41" s="2730"/>
      <c r="W41" s="2730"/>
      <c r="X41" s="2730"/>
      <c r="Y41" s="2730"/>
      <c r="Z41" s="2730"/>
      <c r="AA41" s="2730"/>
      <c r="AB41" s="2730"/>
      <c r="AC41" s="2720">
        <f t="shared" si="10"/>
        <v>0</v>
      </c>
      <c r="AD41" s="2740"/>
      <c r="AE41" s="2740"/>
      <c r="AF41" s="2740"/>
      <c r="AG41" s="2740"/>
      <c r="AH41" s="2740"/>
      <c r="AI41" s="2740"/>
      <c r="AJ41" s="2740"/>
      <c r="AK41" s="2740"/>
      <c r="AL41" s="2740"/>
      <c r="AM41" s="2740"/>
      <c r="AN41" s="2740"/>
      <c r="AO41" s="2740"/>
      <c r="AP41" s="2740"/>
      <c r="AQ41" s="2740"/>
      <c r="AR41" s="2740"/>
      <c r="AS41" s="2740"/>
      <c r="AT41" s="2750"/>
      <c r="AU41" s="2751"/>
      <c r="AV41" s="1092">
        <f t="shared" si="11"/>
        <v>0</v>
      </c>
      <c r="AW41" s="1092">
        <f t="shared" si="12"/>
        <v>0</v>
      </c>
      <c r="AX41" s="1092">
        <f t="shared" si="13"/>
        <v>0</v>
      </c>
      <c r="AY41" s="2765">
        <f t="shared" si="14"/>
        <v>0</v>
      </c>
      <c r="AZ41" s="2720">
        <f t="shared" si="15"/>
        <v>0</v>
      </c>
      <c r="BA41" s="2720">
        <f t="shared" si="16"/>
        <v>0</v>
      </c>
      <c r="BB41" s="2720">
        <f t="shared" si="17"/>
        <v>0</v>
      </c>
      <c r="BC41" s="2720">
        <f t="shared" si="18"/>
        <v>0</v>
      </c>
      <c r="BD41" s="2720">
        <f t="shared" si="19"/>
        <v>0</v>
      </c>
      <c r="BE41" s="2720">
        <f t="shared" si="20"/>
        <v>0</v>
      </c>
      <c r="BF41" s="2720">
        <f t="shared" si="21"/>
        <v>0</v>
      </c>
      <c r="BG41" s="2720">
        <f t="shared" si="22"/>
        <v>0</v>
      </c>
      <c r="BH41" s="2720">
        <f t="shared" si="23"/>
        <v>0</v>
      </c>
      <c r="BI41" s="2720">
        <f t="shared" si="24"/>
        <v>0</v>
      </c>
      <c r="BJ41" s="2720">
        <f t="shared" si="25"/>
        <v>0</v>
      </c>
      <c r="BK41" s="2720">
        <f t="shared" si="26"/>
        <v>0</v>
      </c>
      <c r="BL41" s="2720">
        <f t="shared" si="27"/>
        <v>0</v>
      </c>
      <c r="BM41" s="2720">
        <f t="shared" si="28"/>
        <v>0</v>
      </c>
      <c r="BN41" s="2720">
        <f t="shared" si="29"/>
        <v>0</v>
      </c>
      <c r="BO41" s="2720">
        <f t="shared" si="30"/>
        <v>0</v>
      </c>
      <c r="BP41" s="2720">
        <f t="shared" si="31"/>
        <v>0</v>
      </c>
      <c r="BQ41" s="2720">
        <f t="shared" si="32"/>
        <v>0</v>
      </c>
      <c r="BR41" s="2720">
        <f t="shared" si="33"/>
        <v>0</v>
      </c>
      <c r="BS41" s="2720">
        <f t="shared" si="34"/>
        <v>0</v>
      </c>
      <c r="BT41" s="2772">
        <f t="shared" si="35"/>
        <v>0</v>
      </c>
    </row>
    <row r="42" spans="1:72">
      <c r="A42" s="2717"/>
      <c r="B42" s="2718"/>
      <c r="C42" s="2718"/>
      <c r="D42" s="2719"/>
      <c r="E42" s="2720">
        <f t="shared" si="7"/>
        <v>0</v>
      </c>
      <c r="F42" s="2721"/>
      <c r="G42" s="2722">
        <f t="shared" si="8"/>
        <v>0</v>
      </c>
      <c r="H42" s="2723">
        <f t="shared" si="9"/>
        <v>0</v>
      </c>
      <c r="I42" s="2730"/>
      <c r="J42" s="2730"/>
      <c r="K42" s="2730"/>
      <c r="L42" s="2730"/>
      <c r="M42" s="2730"/>
      <c r="N42" s="2730"/>
      <c r="O42" s="2730"/>
      <c r="P42" s="2730"/>
      <c r="Q42" s="2730"/>
      <c r="R42" s="2730"/>
      <c r="S42" s="2730"/>
      <c r="T42" s="2730"/>
      <c r="U42" s="2730"/>
      <c r="V42" s="2730"/>
      <c r="W42" s="2730"/>
      <c r="X42" s="2730"/>
      <c r="Y42" s="2730"/>
      <c r="Z42" s="2730"/>
      <c r="AA42" s="2730"/>
      <c r="AB42" s="2730"/>
      <c r="AC42" s="2720">
        <f t="shared" si="10"/>
        <v>0</v>
      </c>
      <c r="AD42" s="2740"/>
      <c r="AE42" s="2740"/>
      <c r="AF42" s="2740"/>
      <c r="AG42" s="2740"/>
      <c r="AH42" s="2740"/>
      <c r="AI42" s="2740"/>
      <c r="AJ42" s="2740"/>
      <c r="AK42" s="2740"/>
      <c r="AL42" s="2740"/>
      <c r="AM42" s="2740"/>
      <c r="AN42" s="2740"/>
      <c r="AO42" s="2740"/>
      <c r="AP42" s="2740"/>
      <c r="AQ42" s="2740"/>
      <c r="AR42" s="2740"/>
      <c r="AS42" s="2740"/>
      <c r="AT42" s="2750"/>
      <c r="AU42" s="2751"/>
      <c r="AV42" s="1092">
        <f t="shared" si="11"/>
        <v>0</v>
      </c>
      <c r="AW42" s="1092">
        <f t="shared" si="12"/>
        <v>0</v>
      </c>
      <c r="AX42" s="1092">
        <f t="shared" si="13"/>
        <v>0</v>
      </c>
      <c r="AY42" s="2765">
        <f t="shared" si="14"/>
        <v>0</v>
      </c>
      <c r="AZ42" s="2720">
        <f t="shared" si="15"/>
        <v>0</v>
      </c>
      <c r="BA42" s="2720">
        <f t="shared" si="16"/>
        <v>0</v>
      </c>
      <c r="BB42" s="2720">
        <f t="shared" si="17"/>
        <v>0</v>
      </c>
      <c r="BC42" s="2720">
        <f t="shared" si="18"/>
        <v>0</v>
      </c>
      <c r="BD42" s="2720">
        <f t="shared" si="19"/>
        <v>0</v>
      </c>
      <c r="BE42" s="2720">
        <f t="shared" si="20"/>
        <v>0</v>
      </c>
      <c r="BF42" s="2720">
        <f t="shared" si="21"/>
        <v>0</v>
      </c>
      <c r="BG42" s="2720">
        <f t="shared" si="22"/>
        <v>0</v>
      </c>
      <c r="BH42" s="2720">
        <f t="shared" si="23"/>
        <v>0</v>
      </c>
      <c r="BI42" s="2720">
        <f t="shared" si="24"/>
        <v>0</v>
      </c>
      <c r="BJ42" s="2720">
        <f t="shared" si="25"/>
        <v>0</v>
      </c>
      <c r="BK42" s="2720">
        <f t="shared" si="26"/>
        <v>0</v>
      </c>
      <c r="BL42" s="2720">
        <f t="shared" si="27"/>
        <v>0</v>
      </c>
      <c r="BM42" s="2720">
        <f t="shared" si="28"/>
        <v>0</v>
      </c>
      <c r="BN42" s="2720">
        <f t="shared" si="29"/>
        <v>0</v>
      </c>
      <c r="BO42" s="2720">
        <f t="shared" si="30"/>
        <v>0</v>
      </c>
      <c r="BP42" s="2720">
        <f t="shared" si="31"/>
        <v>0</v>
      </c>
      <c r="BQ42" s="2720">
        <f t="shared" si="32"/>
        <v>0</v>
      </c>
      <c r="BR42" s="2720">
        <f t="shared" si="33"/>
        <v>0</v>
      </c>
      <c r="BS42" s="2720">
        <f t="shared" si="34"/>
        <v>0</v>
      </c>
      <c r="BT42" s="2772">
        <f t="shared" si="35"/>
        <v>0</v>
      </c>
    </row>
    <row r="43" spans="1:72">
      <c r="A43" s="2717"/>
      <c r="B43" s="2718"/>
      <c r="C43" s="2718"/>
      <c r="D43" s="2719"/>
      <c r="E43" s="2720">
        <f t="shared" si="7"/>
        <v>0</v>
      </c>
      <c r="F43" s="2721"/>
      <c r="G43" s="2722">
        <f t="shared" si="8"/>
        <v>0</v>
      </c>
      <c r="H43" s="2723">
        <f t="shared" si="9"/>
        <v>0</v>
      </c>
      <c r="I43" s="2730"/>
      <c r="J43" s="2730"/>
      <c r="K43" s="2730"/>
      <c r="L43" s="2730"/>
      <c r="M43" s="2730"/>
      <c r="N43" s="2730"/>
      <c r="O43" s="2730"/>
      <c r="P43" s="2730"/>
      <c r="Q43" s="2730"/>
      <c r="R43" s="2730"/>
      <c r="S43" s="2730"/>
      <c r="T43" s="2730"/>
      <c r="U43" s="2730"/>
      <c r="V43" s="2730"/>
      <c r="W43" s="2730"/>
      <c r="X43" s="2730"/>
      <c r="Y43" s="2730"/>
      <c r="Z43" s="2730"/>
      <c r="AA43" s="2730"/>
      <c r="AB43" s="2730"/>
      <c r="AC43" s="2720">
        <f t="shared" si="10"/>
        <v>0</v>
      </c>
      <c r="AD43" s="2740"/>
      <c r="AE43" s="2740"/>
      <c r="AF43" s="2740"/>
      <c r="AG43" s="2740"/>
      <c r="AH43" s="2740"/>
      <c r="AI43" s="2740"/>
      <c r="AJ43" s="2740"/>
      <c r="AK43" s="2740"/>
      <c r="AL43" s="2740"/>
      <c r="AM43" s="2740"/>
      <c r="AN43" s="2740"/>
      <c r="AO43" s="2740"/>
      <c r="AP43" s="2740"/>
      <c r="AQ43" s="2740"/>
      <c r="AR43" s="2740"/>
      <c r="AS43" s="2740"/>
      <c r="AT43" s="2750"/>
      <c r="AU43" s="2751"/>
      <c r="AV43" s="1092">
        <f t="shared" si="11"/>
        <v>0</v>
      </c>
      <c r="AW43" s="1092">
        <f t="shared" si="12"/>
        <v>0</v>
      </c>
      <c r="AX43" s="1092">
        <f t="shared" si="13"/>
        <v>0</v>
      </c>
      <c r="AY43" s="2765">
        <f t="shared" si="14"/>
        <v>0</v>
      </c>
      <c r="AZ43" s="2720">
        <f t="shared" si="15"/>
        <v>0</v>
      </c>
      <c r="BA43" s="2720">
        <f t="shared" si="16"/>
        <v>0</v>
      </c>
      <c r="BB43" s="2720">
        <f t="shared" si="17"/>
        <v>0</v>
      </c>
      <c r="BC43" s="2720">
        <f t="shared" si="18"/>
        <v>0</v>
      </c>
      <c r="BD43" s="2720">
        <f t="shared" si="19"/>
        <v>0</v>
      </c>
      <c r="BE43" s="2720">
        <f t="shared" si="20"/>
        <v>0</v>
      </c>
      <c r="BF43" s="2720">
        <f t="shared" si="21"/>
        <v>0</v>
      </c>
      <c r="BG43" s="2720">
        <f t="shared" si="22"/>
        <v>0</v>
      </c>
      <c r="BH43" s="2720">
        <f t="shared" si="23"/>
        <v>0</v>
      </c>
      <c r="BI43" s="2720">
        <f t="shared" si="24"/>
        <v>0</v>
      </c>
      <c r="BJ43" s="2720">
        <f t="shared" si="25"/>
        <v>0</v>
      </c>
      <c r="BK43" s="2720">
        <f t="shared" si="26"/>
        <v>0</v>
      </c>
      <c r="BL43" s="2720">
        <f t="shared" si="27"/>
        <v>0</v>
      </c>
      <c r="BM43" s="2720">
        <f t="shared" si="28"/>
        <v>0</v>
      </c>
      <c r="BN43" s="2720">
        <f t="shared" si="29"/>
        <v>0</v>
      </c>
      <c r="BO43" s="2720">
        <f t="shared" si="30"/>
        <v>0</v>
      </c>
      <c r="BP43" s="2720">
        <f t="shared" si="31"/>
        <v>0</v>
      </c>
      <c r="BQ43" s="2720">
        <f t="shared" si="32"/>
        <v>0</v>
      </c>
      <c r="BR43" s="2720">
        <f t="shared" si="33"/>
        <v>0</v>
      </c>
      <c r="BS43" s="2720">
        <f t="shared" si="34"/>
        <v>0</v>
      </c>
      <c r="BT43" s="2772">
        <f t="shared" si="35"/>
        <v>0</v>
      </c>
    </row>
    <row r="44" spans="1:72">
      <c r="A44" s="2717"/>
      <c r="B44" s="2718"/>
      <c r="C44" s="2718"/>
      <c r="D44" s="2719"/>
      <c r="E44" s="2720">
        <f t="shared" si="7"/>
        <v>0</v>
      </c>
      <c r="F44" s="2721"/>
      <c r="G44" s="2722">
        <f t="shared" si="8"/>
        <v>0</v>
      </c>
      <c r="H44" s="2723">
        <f t="shared" si="9"/>
        <v>0</v>
      </c>
      <c r="I44" s="2730"/>
      <c r="J44" s="2730"/>
      <c r="K44" s="2730"/>
      <c r="L44" s="2730"/>
      <c r="M44" s="2730"/>
      <c r="N44" s="2730"/>
      <c r="O44" s="2730"/>
      <c r="P44" s="2730"/>
      <c r="Q44" s="2730"/>
      <c r="R44" s="2730"/>
      <c r="S44" s="2730"/>
      <c r="T44" s="2730"/>
      <c r="U44" s="2730"/>
      <c r="V44" s="2730"/>
      <c r="W44" s="2730"/>
      <c r="X44" s="2730"/>
      <c r="Y44" s="2730"/>
      <c r="Z44" s="2730"/>
      <c r="AA44" s="2730"/>
      <c r="AB44" s="2730"/>
      <c r="AC44" s="2720">
        <f t="shared" si="10"/>
        <v>0</v>
      </c>
      <c r="AD44" s="2740"/>
      <c r="AE44" s="2740"/>
      <c r="AF44" s="2740"/>
      <c r="AG44" s="2740"/>
      <c r="AH44" s="2740"/>
      <c r="AI44" s="2740"/>
      <c r="AJ44" s="2740"/>
      <c r="AK44" s="2740"/>
      <c r="AL44" s="2740"/>
      <c r="AM44" s="2740"/>
      <c r="AN44" s="2740"/>
      <c r="AO44" s="2740"/>
      <c r="AP44" s="2740"/>
      <c r="AQ44" s="2740"/>
      <c r="AR44" s="2740"/>
      <c r="AS44" s="2740"/>
      <c r="AT44" s="2750"/>
      <c r="AU44" s="2751"/>
      <c r="AV44" s="1092">
        <f t="shared" si="11"/>
        <v>0</v>
      </c>
      <c r="AW44" s="1092">
        <f t="shared" si="12"/>
        <v>0</v>
      </c>
      <c r="AX44" s="1092">
        <f t="shared" si="13"/>
        <v>0</v>
      </c>
      <c r="AY44" s="2765">
        <f t="shared" si="14"/>
        <v>0</v>
      </c>
      <c r="AZ44" s="2720">
        <f t="shared" si="15"/>
        <v>0</v>
      </c>
      <c r="BA44" s="2720">
        <f t="shared" si="16"/>
        <v>0</v>
      </c>
      <c r="BB44" s="2720">
        <f t="shared" si="17"/>
        <v>0</v>
      </c>
      <c r="BC44" s="2720">
        <f t="shared" si="18"/>
        <v>0</v>
      </c>
      <c r="BD44" s="2720">
        <f t="shared" si="19"/>
        <v>0</v>
      </c>
      <c r="BE44" s="2720">
        <f t="shared" si="20"/>
        <v>0</v>
      </c>
      <c r="BF44" s="2720">
        <f t="shared" si="21"/>
        <v>0</v>
      </c>
      <c r="BG44" s="2720">
        <f t="shared" si="22"/>
        <v>0</v>
      </c>
      <c r="BH44" s="2720">
        <f t="shared" si="23"/>
        <v>0</v>
      </c>
      <c r="BI44" s="2720">
        <f t="shared" si="24"/>
        <v>0</v>
      </c>
      <c r="BJ44" s="2720">
        <f t="shared" si="25"/>
        <v>0</v>
      </c>
      <c r="BK44" s="2720">
        <f t="shared" si="26"/>
        <v>0</v>
      </c>
      <c r="BL44" s="2720">
        <f t="shared" si="27"/>
        <v>0</v>
      </c>
      <c r="BM44" s="2720">
        <f t="shared" si="28"/>
        <v>0</v>
      </c>
      <c r="BN44" s="2720">
        <f t="shared" si="29"/>
        <v>0</v>
      </c>
      <c r="BO44" s="2720">
        <f t="shared" si="30"/>
        <v>0</v>
      </c>
      <c r="BP44" s="2720">
        <f t="shared" si="31"/>
        <v>0</v>
      </c>
      <c r="BQ44" s="2720">
        <f t="shared" si="32"/>
        <v>0</v>
      </c>
      <c r="BR44" s="2720">
        <f t="shared" si="33"/>
        <v>0</v>
      </c>
      <c r="BS44" s="2720">
        <f t="shared" si="34"/>
        <v>0</v>
      </c>
      <c r="BT44" s="2772">
        <f t="shared" si="35"/>
        <v>0</v>
      </c>
    </row>
    <row r="45" spans="1:72">
      <c r="A45" s="2717"/>
      <c r="B45" s="2718"/>
      <c r="C45" s="2718"/>
      <c r="D45" s="2719"/>
      <c r="E45" s="2720">
        <f t="shared" si="7"/>
        <v>0</v>
      </c>
      <c r="F45" s="2721"/>
      <c r="G45" s="2722">
        <f t="shared" si="8"/>
        <v>0</v>
      </c>
      <c r="H45" s="2723">
        <f t="shared" si="9"/>
        <v>0</v>
      </c>
      <c r="I45" s="2730"/>
      <c r="J45" s="2730"/>
      <c r="K45" s="2730"/>
      <c r="L45" s="2730"/>
      <c r="M45" s="2730"/>
      <c r="N45" s="2730"/>
      <c r="O45" s="2730"/>
      <c r="P45" s="2730"/>
      <c r="Q45" s="2730"/>
      <c r="R45" s="2730"/>
      <c r="S45" s="2730"/>
      <c r="T45" s="2730"/>
      <c r="U45" s="2730"/>
      <c r="V45" s="2730"/>
      <c r="W45" s="2730"/>
      <c r="X45" s="2730"/>
      <c r="Y45" s="2730"/>
      <c r="Z45" s="2730"/>
      <c r="AA45" s="2730"/>
      <c r="AB45" s="2730"/>
      <c r="AC45" s="2720">
        <f t="shared" si="10"/>
        <v>0</v>
      </c>
      <c r="AD45" s="2740"/>
      <c r="AE45" s="2740"/>
      <c r="AF45" s="2740"/>
      <c r="AG45" s="2740"/>
      <c r="AH45" s="2740"/>
      <c r="AI45" s="2740"/>
      <c r="AJ45" s="2740"/>
      <c r="AK45" s="2740"/>
      <c r="AL45" s="2740"/>
      <c r="AM45" s="2740"/>
      <c r="AN45" s="2740"/>
      <c r="AO45" s="2740"/>
      <c r="AP45" s="2740"/>
      <c r="AQ45" s="2740"/>
      <c r="AR45" s="2740"/>
      <c r="AS45" s="2740"/>
      <c r="AT45" s="2750"/>
      <c r="AU45" s="2751"/>
      <c r="AV45" s="1092">
        <f t="shared" si="11"/>
        <v>0</v>
      </c>
      <c r="AW45" s="1092">
        <f t="shared" si="12"/>
        <v>0</v>
      </c>
      <c r="AX45" s="1092">
        <f t="shared" si="13"/>
        <v>0</v>
      </c>
      <c r="AY45" s="2765">
        <f t="shared" si="14"/>
        <v>0</v>
      </c>
      <c r="AZ45" s="2720">
        <f t="shared" si="15"/>
        <v>0</v>
      </c>
      <c r="BA45" s="2720">
        <f t="shared" si="16"/>
        <v>0</v>
      </c>
      <c r="BB45" s="2720">
        <f t="shared" si="17"/>
        <v>0</v>
      </c>
      <c r="BC45" s="2720">
        <f t="shared" si="18"/>
        <v>0</v>
      </c>
      <c r="BD45" s="2720">
        <f t="shared" si="19"/>
        <v>0</v>
      </c>
      <c r="BE45" s="2720">
        <f t="shared" si="20"/>
        <v>0</v>
      </c>
      <c r="BF45" s="2720">
        <f t="shared" si="21"/>
        <v>0</v>
      </c>
      <c r="BG45" s="2720">
        <f t="shared" si="22"/>
        <v>0</v>
      </c>
      <c r="BH45" s="2720">
        <f t="shared" si="23"/>
        <v>0</v>
      </c>
      <c r="BI45" s="2720">
        <f t="shared" si="24"/>
        <v>0</v>
      </c>
      <c r="BJ45" s="2720">
        <f t="shared" si="25"/>
        <v>0</v>
      </c>
      <c r="BK45" s="2720">
        <f t="shared" si="26"/>
        <v>0</v>
      </c>
      <c r="BL45" s="2720">
        <f t="shared" si="27"/>
        <v>0</v>
      </c>
      <c r="BM45" s="2720">
        <f t="shared" si="28"/>
        <v>0</v>
      </c>
      <c r="BN45" s="2720">
        <f t="shared" si="29"/>
        <v>0</v>
      </c>
      <c r="BO45" s="2720">
        <f t="shared" si="30"/>
        <v>0</v>
      </c>
      <c r="BP45" s="2720">
        <f t="shared" si="31"/>
        <v>0</v>
      </c>
      <c r="BQ45" s="2720">
        <f t="shared" si="32"/>
        <v>0</v>
      </c>
      <c r="BR45" s="2720">
        <f t="shared" si="33"/>
        <v>0</v>
      </c>
      <c r="BS45" s="2720">
        <f t="shared" si="34"/>
        <v>0</v>
      </c>
      <c r="BT45" s="2772">
        <f t="shared" si="35"/>
        <v>0</v>
      </c>
    </row>
    <row r="46" spans="1:72">
      <c r="A46" s="2717"/>
      <c r="B46" s="2718"/>
      <c r="C46" s="2718"/>
      <c r="D46" s="2719"/>
      <c r="E46" s="2720">
        <f t="shared" si="7"/>
        <v>0</v>
      </c>
      <c r="F46" s="2721"/>
      <c r="G46" s="2722">
        <f t="shared" si="8"/>
        <v>0</v>
      </c>
      <c r="H46" s="2723">
        <f t="shared" si="9"/>
        <v>0</v>
      </c>
      <c r="I46" s="2730"/>
      <c r="J46" s="2730"/>
      <c r="K46" s="2730"/>
      <c r="L46" s="2730"/>
      <c r="M46" s="2730"/>
      <c r="N46" s="2730"/>
      <c r="O46" s="2730"/>
      <c r="P46" s="2730"/>
      <c r="Q46" s="2730"/>
      <c r="R46" s="2730"/>
      <c r="S46" s="2730"/>
      <c r="T46" s="2730"/>
      <c r="U46" s="2730"/>
      <c r="V46" s="2730"/>
      <c r="W46" s="2730"/>
      <c r="X46" s="2730"/>
      <c r="Y46" s="2730"/>
      <c r="Z46" s="2730"/>
      <c r="AA46" s="2730"/>
      <c r="AB46" s="2730"/>
      <c r="AC46" s="2720">
        <f t="shared" si="10"/>
        <v>0</v>
      </c>
      <c r="AD46" s="2740"/>
      <c r="AE46" s="2740"/>
      <c r="AF46" s="2740"/>
      <c r="AG46" s="2740"/>
      <c r="AH46" s="2740"/>
      <c r="AI46" s="2740"/>
      <c r="AJ46" s="2740"/>
      <c r="AK46" s="2740"/>
      <c r="AL46" s="2740"/>
      <c r="AM46" s="2740"/>
      <c r="AN46" s="2740"/>
      <c r="AO46" s="2740"/>
      <c r="AP46" s="2740"/>
      <c r="AQ46" s="2740"/>
      <c r="AR46" s="2740"/>
      <c r="AS46" s="2740"/>
      <c r="AT46" s="2750"/>
      <c r="AU46" s="2751"/>
      <c r="AV46" s="1092">
        <f t="shared" si="11"/>
        <v>0</v>
      </c>
      <c r="AW46" s="1092">
        <f t="shared" si="12"/>
        <v>0</v>
      </c>
      <c r="AX46" s="1092">
        <f t="shared" si="13"/>
        <v>0</v>
      </c>
      <c r="AY46" s="2765">
        <f t="shared" si="14"/>
        <v>0</v>
      </c>
      <c r="AZ46" s="2720">
        <f t="shared" si="15"/>
        <v>0</v>
      </c>
      <c r="BA46" s="2720">
        <f t="shared" si="16"/>
        <v>0</v>
      </c>
      <c r="BB46" s="2720">
        <f t="shared" si="17"/>
        <v>0</v>
      </c>
      <c r="BC46" s="2720">
        <f t="shared" si="18"/>
        <v>0</v>
      </c>
      <c r="BD46" s="2720">
        <f t="shared" si="19"/>
        <v>0</v>
      </c>
      <c r="BE46" s="2720">
        <f t="shared" si="20"/>
        <v>0</v>
      </c>
      <c r="BF46" s="2720">
        <f t="shared" si="21"/>
        <v>0</v>
      </c>
      <c r="BG46" s="2720">
        <f t="shared" si="22"/>
        <v>0</v>
      </c>
      <c r="BH46" s="2720">
        <f t="shared" si="23"/>
        <v>0</v>
      </c>
      <c r="BI46" s="2720">
        <f t="shared" si="24"/>
        <v>0</v>
      </c>
      <c r="BJ46" s="2720">
        <f t="shared" si="25"/>
        <v>0</v>
      </c>
      <c r="BK46" s="2720">
        <f t="shared" si="26"/>
        <v>0</v>
      </c>
      <c r="BL46" s="2720">
        <f t="shared" si="27"/>
        <v>0</v>
      </c>
      <c r="BM46" s="2720">
        <f t="shared" si="28"/>
        <v>0</v>
      </c>
      <c r="BN46" s="2720">
        <f t="shared" si="29"/>
        <v>0</v>
      </c>
      <c r="BO46" s="2720">
        <f t="shared" si="30"/>
        <v>0</v>
      </c>
      <c r="BP46" s="2720">
        <f t="shared" si="31"/>
        <v>0</v>
      </c>
      <c r="BQ46" s="2720">
        <f t="shared" si="32"/>
        <v>0</v>
      </c>
      <c r="BR46" s="2720">
        <f t="shared" si="33"/>
        <v>0</v>
      </c>
      <c r="BS46" s="2720">
        <f t="shared" si="34"/>
        <v>0</v>
      </c>
      <c r="BT46" s="2772">
        <f t="shared" si="35"/>
        <v>0</v>
      </c>
    </row>
    <row r="47" spans="1:72">
      <c r="A47" s="2717"/>
      <c r="B47" s="2718"/>
      <c r="C47" s="2718"/>
      <c r="D47" s="2719"/>
      <c r="E47" s="2720">
        <f t="shared" si="7"/>
        <v>0</v>
      </c>
      <c r="F47" s="2721"/>
      <c r="G47" s="2722">
        <f t="shared" si="8"/>
        <v>0</v>
      </c>
      <c r="H47" s="2723">
        <f t="shared" si="9"/>
        <v>0</v>
      </c>
      <c r="I47" s="2730"/>
      <c r="J47" s="2730"/>
      <c r="K47" s="2730"/>
      <c r="L47" s="2730"/>
      <c r="M47" s="2730"/>
      <c r="N47" s="2730"/>
      <c r="O47" s="2730"/>
      <c r="P47" s="2730"/>
      <c r="Q47" s="2730"/>
      <c r="R47" s="2730"/>
      <c r="S47" s="2730"/>
      <c r="T47" s="2730"/>
      <c r="U47" s="2730"/>
      <c r="V47" s="2730"/>
      <c r="W47" s="2730"/>
      <c r="X47" s="2730"/>
      <c r="Y47" s="2730"/>
      <c r="Z47" s="2730"/>
      <c r="AA47" s="2730"/>
      <c r="AB47" s="2730"/>
      <c r="AC47" s="2720">
        <f t="shared" si="10"/>
        <v>0</v>
      </c>
      <c r="AD47" s="2740"/>
      <c r="AE47" s="2740"/>
      <c r="AF47" s="2740"/>
      <c r="AG47" s="2740"/>
      <c r="AH47" s="2740"/>
      <c r="AI47" s="2740"/>
      <c r="AJ47" s="2740"/>
      <c r="AK47" s="2740"/>
      <c r="AL47" s="2740"/>
      <c r="AM47" s="2740"/>
      <c r="AN47" s="2740"/>
      <c r="AO47" s="2740"/>
      <c r="AP47" s="2740"/>
      <c r="AQ47" s="2740"/>
      <c r="AR47" s="2740"/>
      <c r="AS47" s="2740"/>
      <c r="AT47" s="2750"/>
      <c r="AU47" s="2751"/>
      <c r="AV47" s="1092">
        <f t="shared" si="11"/>
        <v>0</v>
      </c>
      <c r="AW47" s="1092">
        <f t="shared" si="12"/>
        <v>0</v>
      </c>
      <c r="AX47" s="1092">
        <f t="shared" si="13"/>
        <v>0</v>
      </c>
      <c r="AY47" s="2765">
        <f t="shared" si="14"/>
        <v>0</v>
      </c>
      <c r="AZ47" s="2720">
        <f t="shared" si="15"/>
        <v>0</v>
      </c>
      <c r="BA47" s="2720">
        <f t="shared" si="16"/>
        <v>0</v>
      </c>
      <c r="BB47" s="2720">
        <f t="shared" si="17"/>
        <v>0</v>
      </c>
      <c r="BC47" s="2720">
        <f t="shared" si="18"/>
        <v>0</v>
      </c>
      <c r="BD47" s="2720">
        <f t="shared" si="19"/>
        <v>0</v>
      </c>
      <c r="BE47" s="2720">
        <f t="shared" si="20"/>
        <v>0</v>
      </c>
      <c r="BF47" s="2720">
        <f t="shared" si="21"/>
        <v>0</v>
      </c>
      <c r="BG47" s="2720">
        <f t="shared" si="22"/>
        <v>0</v>
      </c>
      <c r="BH47" s="2720">
        <f t="shared" si="23"/>
        <v>0</v>
      </c>
      <c r="BI47" s="2720">
        <f t="shared" si="24"/>
        <v>0</v>
      </c>
      <c r="BJ47" s="2720">
        <f t="shared" si="25"/>
        <v>0</v>
      </c>
      <c r="BK47" s="2720">
        <f t="shared" si="26"/>
        <v>0</v>
      </c>
      <c r="BL47" s="2720">
        <f t="shared" si="27"/>
        <v>0</v>
      </c>
      <c r="BM47" s="2720">
        <f t="shared" si="28"/>
        <v>0</v>
      </c>
      <c r="BN47" s="2720">
        <f t="shared" si="29"/>
        <v>0</v>
      </c>
      <c r="BO47" s="2720">
        <f t="shared" si="30"/>
        <v>0</v>
      </c>
      <c r="BP47" s="2720">
        <f t="shared" si="31"/>
        <v>0</v>
      </c>
      <c r="BQ47" s="2720">
        <f t="shared" si="32"/>
        <v>0</v>
      </c>
      <c r="BR47" s="2720">
        <f t="shared" si="33"/>
        <v>0</v>
      </c>
      <c r="BS47" s="2720">
        <f t="shared" si="34"/>
        <v>0</v>
      </c>
      <c r="BT47" s="2772">
        <f t="shared" si="35"/>
        <v>0</v>
      </c>
    </row>
    <row r="48" spans="1:72">
      <c r="A48" s="2717"/>
      <c r="B48" s="2718"/>
      <c r="C48" s="2718"/>
      <c r="D48" s="2719"/>
      <c r="E48" s="2720">
        <f t="shared" si="7"/>
        <v>0</v>
      </c>
      <c r="F48" s="2721"/>
      <c r="G48" s="2722">
        <f t="shared" si="8"/>
        <v>0</v>
      </c>
      <c r="H48" s="2723">
        <f t="shared" si="9"/>
        <v>0</v>
      </c>
      <c r="I48" s="2730"/>
      <c r="J48" s="2730"/>
      <c r="K48" s="2730"/>
      <c r="L48" s="2730"/>
      <c r="M48" s="2730"/>
      <c r="N48" s="2730"/>
      <c r="O48" s="2730"/>
      <c r="P48" s="2730"/>
      <c r="Q48" s="2730"/>
      <c r="R48" s="2730"/>
      <c r="S48" s="2730"/>
      <c r="T48" s="2730"/>
      <c r="U48" s="2730"/>
      <c r="V48" s="2730"/>
      <c r="W48" s="2730"/>
      <c r="X48" s="2730"/>
      <c r="Y48" s="2730"/>
      <c r="Z48" s="2730"/>
      <c r="AA48" s="2730"/>
      <c r="AB48" s="2730"/>
      <c r="AC48" s="2720">
        <f t="shared" si="10"/>
        <v>0</v>
      </c>
      <c r="AD48" s="2740"/>
      <c r="AE48" s="2740"/>
      <c r="AF48" s="2740"/>
      <c r="AG48" s="2740"/>
      <c r="AH48" s="2740"/>
      <c r="AI48" s="2740"/>
      <c r="AJ48" s="2740"/>
      <c r="AK48" s="2740"/>
      <c r="AL48" s="2740"/>
      <c r="AM48" s="2740"/>
      <c r="AN48" s="2740"/>
      <c r="AO48" s="2740"/>
      <c r="AP48" s="2740"/>
      <c r="AQ48" s="2740"/>
      <c r="AR48" s="2740"/>
      <c r="AS48" s="2740"/>
      <c r="AT48" s="2750"/>
      <c r="AU48" s="2751"/>
      <c r="AV48" s="1092">
        <f t="shared" si="11"/>
        <v>0</v>
      </c>
      <c r="AW48" s="1092">
        <f t="shared" si="12"/>
        <v>0</v>
      </c>
      <c r="AX48" s="1092">
        <f t="shared" si="13"/>
        <v>0</v>
      </c>
      <c r="AY48" s="2765">
        <f t="shared" si="14"/>
        <v>0</v>
      </c>
      <c r="AZ48" s="2720">
        <f t="shared" si="15"/>
        <v>0</v>
      </c>
      <c r="BA48" s="2720">
        <f t="shared" si="16"/>
        <v>0</v>
      </c>
      <c r="BB48" s="2720">
        <f t="shared" si="17"/>
        <v>0</v>
      </c>
      <c r="BC48" s="2720">
        <f t="shared" si="18"/>
        <v>0</v>
      </c>
      <c r="BD48" s="2720">
        <f t="shared" si="19"/>
        <v>0</v>
      </c>
      <c r="BE48" s="2720">
        <f t="shared" si="20"/>
        <v>0</v>
      </c>
      <c r="BF48" s="2720">
        <f t="shared" si="21"/>
        <v>0</v>
      </c>
      <c r="BG48" s="2720">
        <f t="shared" si="22"/>
        <v>0</v>
      </c>
      <c r="BH48" s="2720">
        <f t="shared" si="23"/>
        <v>0</v>
      </c>
      <c r="BI48" s="2720">
        <f t="shared" si="24"/>
        <v>0</v>
      </c>
      <c r="BJ48" s="2720">
        <f t="shared" si="25"/>
        <v>0</v>
      </c>
      <c r="BK48" s="2720">
        <f t="shared" si="26"/>
        <v>0</v>
      </c>
      <c r="BL48" s="2720">
        <f t="shared" si="27"/>
        <v>0</v>
      </c>
      <c r="BM48" s="2720">
        <f t="shared" si="28"/>
        <v>0</v>
      </c>
      <c r="BN48" s="2720">
        <f t="shared" si="29"/>
        <v>0</v>
      </c>
      <c r="BO48" s="2720">
        <f t="shared" si="30"/>
        <v>0</v>
      </c>
      <c r="BP48" s="2720">
        <f t="shared" si="31"/>
        <v>0</v>
      </c>
      <c r="BQ48" s="2720">
        <f t="shared" si="32"/>
        <v>0</v>
      </c>
      <c r="BR48" s="2720">
        <f t="shared" si="33"/>
        <v>0</v>
      </c>
      <c r="BS48" s="2720">
        <f t="shared" si="34"/>
        <v>0</v>
      </c>
      <c r="BT48" s="2772">
        <f t="shared" si="35"/>
        <v>0</v>
      </c>
    </row>
    <row r="49" spans="1:72">
      <c r="A49" s="2717"/>
      <c r="B49" s="2718"/>
      <c r="C49" s="2718"/>
      <c r="D49" s="2719"/>
      <c r="E49" s="2720">
        <f t="shared" si="7"/>
        <v>0</v>
      </c>
      <c r="F49" s="2721"/>
      <c r="G49" s="2722">
        <f t="shared" si="8"/>
        <v>0</v>
      </c>
      <c r="H49" s="2723">
        <f t="shared" si="9"/>
        <v>0</v>
      </c>
      <c r="I49" s="2730"/>
      <c r="J49" s="2730"/>
      <c r="K49" s="2730"/>
      <c r="L49" s="2730"/>
      <c r="M49" s="2730"/>
      <c r="N49" s="2730"/>
      <c r="O49" s="2730"/>
      <c r="P49" s="2730"/>
      <c r="Q49" s="2730"/>
      <c r="R49" s="2730"/>
      <c r="S49" s="2730"/>
      <c r="T49" s="2730"/>
      <c r="U49" s="2730"/>
      <c r="V49" s="2730"/>
      <c r="W49" s="2730"/>
      <c r="X49" s="2730"/>
      <c r="Y49" s="2730"/>
      <c r="Z49" s="2730"/>
      <c r="AA49" s="2730"/>
      <c r="AB49" s="2730"/>
      <c r="AC49" s="2720">
        <f t="shared" si="10"/>
        <v>0</v>
      </c>
      <c r="AD49" s="2740"/>
      <c r="AE49" s="2740"/>
      <c r="AF49" s="2740"/>
      <c r="AG49" s="2740"/>
      <c r="AH49" s="2740"/>
      <c r="AI49" s="2740"/>
      <c r="AJ49" s="2740"/>
      <c r="AK49" s="2740"/>
      <c r="AL49" s="2740"/>
      <c r="AM49" s="2740"/>
      <c r="AN49" s="2740"/>
      <c r="AO49" s="2740"/>
      <c r="AP49" s="2740"/>
      <c r="AQ49" s="2740"/>
      <c r="AR49" s="2740"/>
      <c r="AS49" s="2740"/>
      <c r="AT49" s="2750"/>
      <c r="AU49" s="2751"/>
      <c r="AV49" s="1092">
        <f t="shared" si="11"/>
        <v>0</v>
      </c>
      <c r="AW49" s="1092">
        <f t="shared" si="12"/>
        <v>0</v>
      </c>
      <c r="AX49" s="1092">
        <f t="shared" si="13"/>
        <v>0</v>
      </c>
      <c r="AY49" s="2765">
        <f t="shared" si="14"/>
        <v>0</v>
      </c>
      <c r="AZ49" s="2720">
        <f t="shared" si="15"/>
        <v>0</v>
      </c>
      <c r="BA49" s="2720">
        <f t="shared" si="16"/>
        <v>0</v>
      </c>
      <c r="BB49" s="2720">
        <f t="shared" si="17"/>
        <v>0</v>
      </c>
      <c r="BC49" s="2720">
        <f t="shared" si="18"/>
        <v>0</v>
      </c>
      <c r="BD49" s="2720">
        <f t="shared" si="19"/>
        <v>0</v>
      </c>
      <c r="BE49" s="2720">
        <f t="shared" si="20"/>
        <v>0</v>
      </c>
      <c r="BF49" s="2720">
        <f t="shared" si="21"/>
        <v>0</v>
      </c>
      <c r="BG49" s="2720">
        <f t="shared" si="22"/>
        <v>0</v>
      </c>
      <c r="BH49" s="2720">
        <f t="shared" si="23"/>
        <v>0</v>
      </c>
      <c r="BI49" s="2720">
        <f t="shared" si="24"/>
        <v>0</v>
      </c>
      <c r="BJ49" s="2720">
        <f t="shared" si="25"/>
        <v>0</v>
      </c>
      <c r="BK49" s="2720">
        <f t="shared" si="26"/>
        <v>0</v>
      </c>
      <c r="BL49" s="2720">
        <f t="shared" si="27"/>
        <v>0</v>
      </c>
      <c r="BM49" s="2720">
        <f t="shared" si="28"/>
        <v>0</v>
      </c>
      <c r="BN49" s="2720">
        <f t="shared" si="29"/>
        <v>0</v>
      </c>
      <c r="BO49" s="2720">
        <f t="shared" si="30"/>
        <v>0</v>
      </c>
      <c r="BP49" s="2720">
        <f t="shared" si="31"/>
        <v>0</v>
      </c>
      <c r="BQ49" s="2720">
        <f t="shared" si="32"/>
        <v>0</v>
      </c>
      <c r="BR49" s="2720">
        <f t="shared" si="33"/>
        <v>0</v>
      </c>
      <c r="BS49" s="2720">
        <f t="shared" si="34"/>
        <v>0</v>
      </c>
      <c r="BT49" s="2772">
        <f t="shared" si="35"/>
        <v>0</v>
      </c>
    </row>
    <row r="50" spans="1:72">
      <c r="A50" s="2717"/>
      <c r="B50" s="2718"/>
      <c r="C50" s="2718"/>
      <c r="D50" s="2719"/>
      <c r="E50" s="2720">
        <f t="shared" si="7"/>
        <v>0</v>
      </c>
      <c r="F50" s="2721"/>
      <c r="G50" s="2722">
        <f t="shared" si="8"/>
        <v>0</v>
      </c>
      <c r="H50" s="2723">
        <f t="shared" si="9"/>
        <v>0</v>
      </c>
      <c r="I50" s="2730"/>
      <c r="J50" s="2730"/>
      <c r="K50" s="2730"/>
      <c r="L50" s="2730"/>
      <c r="M50" s="2730"/>
      <c r="N50" s="2730"/>
      <c r="O50" s="2730"/>
      <c r="P50" s="2730"/>
      <c r="Q50" s="2730"/>
      <c r="R50" s="2730"/>
      <c r="S50" s="2730"/>
      <c r="T50" s="2730"/>
      <c r="U50" s="2730"/>
      <c r="V50" s="2730"/>
      <c r="W50" s="2730"/>
      <c r="X50" s="2730"/>
      <c r="Y50" s="2730"/>
      <c r="Z50" s="2730"/>
      <c r="AA50" s="2730"/>
      <c r="AB50" s="2730"/>
      <c r="AC50" s="2720">
        <f t="shared" si="10"/>
        <v>0</v>
      </c>
      <c r="AD50" s="2740"/>
      <c r="AE50" s="2740"/>
      <c r="AF50" s="2740"/>
      <c r="AG50" s="2740"/>
      <c r="AH50" s="2740"/>
      <c r="AI50" s="2740"/>
      <c r="AJ50" s="2740"/>
      <c r="AK50" s="2740"/>
      <c r="AL50" s="2740"/>
      <c r="AM50" s="2740"/>
      <c r="AN50" s="2740"/>
      <c r="AO50" s="2740"/>
      <c r="AP50" s="2740"/>
      <c r="AQ50" s="2740"/>
      <c r="AR50" s="2740"/>
      <c r="AS50" s="2740"/>
      <c r="AT50" s="2750"/>
      <c r="AU50" s="2751"/>
      <c r="AV50" s="1092">
        <f t="shared" si="11"/>
        <v>0</v>
      </c>
      <c r="AW50" s="1092">
        <f t="shared" si="12"/>
        <v>0</v>
      </c>
      <c r="AX50" s="1092">
        <f t="shared" si="13"/>
        <v>0</v>
      </c>
      <c r="AY50" s="2765">
        <f t="shared" si="14"/>
        <v>0</v>
      </c>
      <c r="AZ50" s="2720">
        <f t="shared" si="15"/>
        <v>0</v>
      </c>
      <c r="BA50" s="2720">
        <f t="shared" si="16"/>
        <v>0</v>
      </c>
      <c r="BB50" s="2720">
        <f t="shared" si="17"/>
        <v>0</v>
      </c>
      <c r="BC50" s="2720">
        <f t="shared" si="18"/>
        <v>0</v>
      </c>
      <c r="BD50" s="2720">
        <f t="shared" si="19"/>
        <v>0</v>
      </c>
      <c r="BE50" s="2720">
        <f t="shared" si="20"/>
        <v>0</v>
      </c>
      <c r="BF50" s="2720">
        <f t="shared" si="21"/>
        <v>0</v>
      </c>
      <c r="BG50" s="2720">
        <f t="shared" si="22"/>
        <v>0</v>
      </c>
      <c r="BH50" s="2720">
        <f t="shared" si="23"/>
        <v>0</v>
      </c>
      <c r="BI50" s="2720">
        <f t="shared" si="24"/>
        <v>0</v>
      </c>
      <c r="BJ50" s="2720">
        <f t="shared" si="25"/>
        <v>0</v>
      </c>
      <c r="BK50" s="2720">
        <f t="shared" si="26"/>
        <v>0</v>
      </c>
      <c r="BL50" s="2720">
        <f t="shared" si="27"/>
        <v>0</v>
      </c>
      <c r="BM50" s="2720">
        <f t="shared" si="28"/>
        <v>0</v>
      </c>
      <c r="BN50" s="2720">
        <f t="shared" si="29"/>
        <v>0</v>
      </c>
      <c r="BO50" s="2720">
        <f t="shared" si="30"/>
        <v>0</v>
      </c>
      <c r="BP50" s="2720">
        <f t="shared" si="31"/>
        <v>0</v>
      </c>
      <c r="BQ50" s="2720">
        <f t="shared" si="32"/>
        <v>0</v>
      </c>
      <c r="BR50" s="2720">
        <f t="shared" si="33"/>
        <v>0</v>
      </c>
      <c r="BS50" s="2720">
        <f t="shared" si="34"/>
        <v>0</v>
      </c>
      <c r="BT50" s="2772">
        <f t="shared" si="35"/>
        <v>0</v>
      </c>
    </row>
    <row r="51" spans="1:72">
      <c r="A51" s="2717"/>
      <c r="B51" s="2718"/>
      <c r="C51" s="2718"/>
      <c r="D51" s="2719"/>
      <c r="E51" s="2720">
        <f t="shared" si="7"/>
        <v>0</v>
      </c>
      <c r="F51" s="2721"/>
      <c r="G51" s="2722">
        <f t="shared" si="8"/>
        <v>0</v>
      </c>
      <c r="H51" s="2723">
        <f t="shared" si="9"/>
        <v>0</v>
      </c>
      <c r="I51" s="2730"/>
      <c r="J51" s="2730"/>
      <c r="K51" s="2730"/>
      <c r="L51" s="2730"/>
      <c r="M51" s="2730"/>
      <c r="N51" s="2730"/>
      <c r="O51" s="2730"/>
      <c r="P51" s="2730"/>
      <c r="Q51" s="2730"/>
      <c r="R51" s="2730"/>
      <c r="S51" s="2730"/>
      <c r="T51" s="2730"/>
      <c r="U51" s="2730"/>
      <c r="V51" s="2730"/>
      <c r="W51" s="2730"/>
      <c r="X51" s="2730"/>
      <c r="Y51" s="2730"/>
      <c r="Z51" s="2730"/>
      <c r="AA51" s="2730"/>
      <c r="AB51" s="2730"/>
      <c r="AC51" s="2720">
        <f t="shared" si="10"/>
        <v>0</v>
      </c>
      <c r="AD51" s="2740"/>
      <c r="AE51" s="2740"/>
      <c r="AF51" s="2740"/>
      <c r="AG51" s="2740"/>
      <c r="AH51" s="2740"/>
      <c r="AI51" s="2740"/>
      <c r="AJ51" s="2740"/>
      <c r="AK51" s="2740"/>
      <c r="AL51" s="2740"/>
      <c r="AM51" s="2740"/>
      <c r="AN51" s="2740"/>
      <c r="AO51" s="2740"/>
      <c r="AP51" s="2740"/>
      <c r="AQ51" s="2740"/>
      <c r="AR51" s="2740"/>
      <c r="AS51" s="2740"/>
      <c r="AT51" s="2750"/>
      <c r="AU51" s="2751"/>
      <c r="AV51" s="1092">
        <f t="shared" si="11"/>
        <v>0</v>
      </c>
      <c r="AW51" s="1092">
        <f t="shared" si="12"/>
        <v>0</v>
      </c>
      <c r="AX51" s="1092">
        <f t="shared" si="13"/>
        <v>0</v>
      </c>
      <c r="AY51" s="2765">
        <f t="shared" si="14"/>
        <v>0</v>
      </c>
      <c r="AZ51" s="2720">
        <f t="shared" si="15"/>
        <v>0</v>
      </c>
      <c r="BA51" s="2720">
        <f t="shared" si="16"/>
        <v>0</v>
      </c>
      <c r="BB51" s="2720">
        <f t="shared" si="17"/>
        <v>0</v>
      </c>
      <c r="BC51" s="2720">
        <f t="shared" si="18"/>
        <v>0</v>
      </c>
      <c r="BD51" s="2720">
        <f t="shared" si="19"/>
        <v>0</v>
      </c>
      <c r="BE51" s="2720">
        <f t="shared" si="20"/>
        <v>0</v>
      </c>
      <c r="BF51" s="2720">
        <f t="shared" si="21"/>
        <v>0</v>
      </c>
      <c r="BG51" s="2720">
        <f t="shared" si="22"/>
        <v>0</v>
      </c>
      <c r="BH51" s="2720">
        <f t="shared" si="23"/>
        <v>0</v>
      </c>
      <c r="BI51" s="2720">
        <f t="shared" si="24"/>
        <v>0</v>
      </c>
      <c r="BJ51" s="2720">
        <f t="shared" si="25"/>
        <v>0</v>
      </c>
      <c r="BK51" s="2720">
        <f t="shared" si="26"/>
        <v>0</v>
      </c>
      <c r="BL51" s="2720">
        <f t="shared" si="27"/>
        <v>0</v>
      </c>
      <c r="BM51" s="2720">
        <f t="shared" si="28"/>
        <v>0</v>
      </c>
      <c r="BN51" s="2720">
        <f t="shared" si="29"/>
        <v>0</v>
      </c>
      <c r="BO51" s="2720">
        <f t="shared" si="30"/>
        <v>0</v>
      </c>
      <c r="BP51" s="2720">
        <f t="shared" si="31"/>
        <v>0</v>
      </c>
      <c r="BQ51" s="2720">
        <f t="shared" si="32"/>
        <v>0</v>
      </c>
      <c r="BR51" s="2720">
        <f t="shared" si="33"/>
        <v>0</v>
      </c>
      <c r="BS51" s="2720">
        <f t="shared" si="34"/>
        <v>0</v>
      </c>
      <c r="BT51" s="2772">
        <f t="shared" si="35"/>
        <v>0</v>
      </c>
    </row>
    <row r="52" spans="1:72">
      <c r="A52" s="2717"/>
      <c r="B52" s="2718"/>
      <c r="C52" s="2718"/>
      <c r="D52" s="2719"/>
      <c r="E52" s="2720">
        <f t="shared" si="7"/>
        <v>0</v>
      </c>
      <c r="F52" s="2721"/>
      <c r="G52" s="2722">
        <f t="shared" si="8"/>
        <v>0</v>
      </c>
      <c r="H52" s="2723">
        <f t="shared" si="9"/>
        <v>0</v>
      </c>
      <c r="I52" s="2730"/>
      <c r="J52" s="2730"/>
      <c r="K52" s="2730"/>
      <c r="L52" s="2730"/>
      <c r="M52" s="2730"/>
      <c r="N52" s="2730"/>
      <c r="O52" s="2730"/>
      <c r="P52" s="2730"/>
      <c r="Q52" s="2730"/>
      <c r="R52" s="2730"/>
      <c r="S52" s="2730"/>
      <c r="T52" s="2730"/>
      <c r="U52" s="2730"/>
      <c r="V52" s="2730"/>
      <c r="W52" s="2730"/>
      <c r="X52" s="2730"/>
      <c r="Y52" s="2730"/>
      <c r="Z52" s="2730"/>
      <c r="AA52" s="2730"/>
      <c r="AB52" s="2730"/>
      <c r="AC52" s="2720">
        <f t="shared" si="10"/>
        <v>0</v>
      </c>
      <c r="AD52" s="2740"/>
      <c r="AE52" s="2740"/>
      <c r="AF52" s="2740"/>
      <c r="AG52" s="2740"/>
      <c r="AH52" s="2740"/>
      <c r="AI52" s="2740"/>
      <c r="AJ52" s="2740"/>
      <c r="AK52" s="2740"/>
      <c r="AL52" s="2740"/>
      <c r="AM52" s="2740"/>
      <c r="AN52" s="2740"/>
      <c r="AO52" s="2740"/>
      <c r="AP52" s="2740"/>
      <c r="AQ52" s="2740"/>
      <c r="AR52" s="2740"/>
      <c r="AS52" s="2740"/>
      <c r="AT52" s="2750"/>
      <c r="AU52" s="2751"/>
      <c r="AV52" s="1092">
        <f t="shared" si="11"/>
        <v>0</v>
      </c>
      <c r="AW52" s="1092">
        <f t="shared" si="12"/>
        <v>0</v>
      </c>
      <c r="AX52" s="1092">
        <f t="shared" si="13"/>
        <v>0</v>
      </c>
      <c r="AY52" s="2765">
        <f t="shared" si="14"/>
        <v>0</v>
      </c>
      <c r="AZ52" s="2720">
        <f t="shared" si="15"/>
        <v>0</v>
      </c>
      <c r="BA52" s="2720">
        <f t="shared" si="16"/>
        <v>0</v>
      </c>
      <c r="BB52" s="2720">
        <f t="shared" si="17"/>
        <v>0</v>
      </c>
      <c r="BC52" s="2720">
        <f t="shared" si="18"/>
        <v>0</v>
      </c>
      <c r="BD52" s="2720">
        <f t="shared" si="19"/>
        <v>0</v>
      </c>
      <c r="BE52" s="2720">
        <f t="shared" si="20"/>
        <v>0</v>
      </c>
      <c r="BF52" s="2720">
        <f t="shared" si="21"/>
        <v>0</v>
      </c>
      <c r="BG52" s="2720">
        <f t="shared" si="22"/>
        <v>0</v>
      </c>
      <c r="BH52" s="2720">
        <f t="shared" si="23"/>
        <v>0</v>
      </c>
      <c r="BI52" s="2720">
        <f t="shared" si="24"/>
        <v>0</v>
      </c>
      <c r="BJ52" s="2720">
        <f t="shared" si="25"/>
        <v>0</v>
      </c>
      <c r="BK52" s="2720">
        <f t="shared" si="26"/>
        <v>0</v>
      </c>
      <c r="BL52" s="2720">
        <f t="shared" si="27"/>
        <v>0</v>
      </c>
      <c r="BM52" s="2720">
        <f t="shared" si="28"/>
        <v>0</v>
      </c>
      <c r="BN52" s="2720">
        <f t="shared" si="29"/>
        <v>0</v>
      </c>
      <c r="BO52" s="2720">
        <f t="shared" si="30"/>
        <v>0</v>
      </c>
      <c r="BP52" s="2720">
        <f t="shared" si="31"/>
        <v>0</v>
      </c>
      <c r="BQ52" s="2720">
        <f t="shared" si="32"/>
        <v>0</v>
      </c>
      <c r="BR52" s="2720">
        <f t="shared" si="33"/>
        <v>0</v>
      </c>
      <c r="BS52" s="2720">
        <f t="shared" si="34"/>
        <v>0</v>
      </c>
      <c r="BT52" s="2772">
        <f t="shared" si="35"/>
        <v>0</v>
      </c>
    </row>
    <row r="53" spans="1:72">
      <c r="A53" s="2717"/>
      <c r="B53" s="2718"/>
      <c r="C53" s="2718"/>
      <c r="D53" s="2719"/>
      <c r="E53" s="2720">
        <f t="shared" si="7"/>
        <v>0</v>
      </c>
      <c r="F53" s="2721"/>
      <c r="G53" s="2722">
        <f t="shared" si="8"/>
        <v>0</v>
      </c>
      <c r="H53" s="2723">
        <f t="shared" si="9"/>
        <v>0</v>
      </c>
      <c r="I53" s="2730"/>
      <c r="J53" s="2730"/>
      <c r="K53" s="2730"/>
      <c r="L53" s="2730"/>
      <c r="M53" s="2730"/>
      <c r="N53" s="2730"/>
      <c r="O53" s="2730"/>
      <c r="P53" s="2730"/>
      <c r="Q53" s="2730"/>
      <c r="R53" s="2730"/>
      <c r="S53" s="2730"/>
      <c r="T53" s="2730"/>
      <c r="U53" s="2730"/>
      <c r="V53" s="2730"/>
      <c r="W53" s="2730"/>
      <c r="X53" s="2730"/>
      <c r="Y53" s="2730"/>
      <c r="Z53" s="2730"/>
      <c r="AA53" s="2730"/>
      <c r="AB53" s="2730"/>
      <c r="AC53" s="2720">
        <f t="shared" si="10"/>
        <v>0</v>
      </c>
      <c r="AD53" s="2740"/>
      <c r="AE53" s="2740"/>
      <c r="AF53" s="2740"/>
      <c r="AG53" s="2740"/>
      <c r="AH53" s="2740"/>
      <c r="AI53" s="2740"/>
      <c r="AJ53" s="2740"/>
      <c r="AK53" s="2740"/>
      <c r="AL53" s="2740"/>
      <c r="AM53" s="2740"/>
      <c r="AN53" s="2740"/>
      <c r="AO53" s="2740"/>
      <c r="AP53" s="2740"/>
      <c r="AQ53" s="2740"/>
      <c r="AR53" s="2740"/>
      <c r="AS53" s="2740"/>
      <c r="AT53" s="2750"/>
      <c r="AU53" s="2751"/>
      <c r="AV53" s="1092">
        <f t="shared" si="11"/>
        <v>0</v>
      </c>
      <c r="AW53" s="1092">
        <f t="shared" si="12"/>
        <v>0</v>
      </c>
      <c r="AX53" s="1092">
        <f t="shared" si="13"/>
        <v>0</v>
      </c>
      <c r="AY53" s="2765">
        <f t="shared" si="14"/>
        <v>0</v>
      </c>
      <c r="AZ53" s="2720">
        <f t="shared" si="15"/>
        <v>0</v>
      </c>
      <c r="BA53" s="2720">
        <f t="shared" si="16"/>
        <v>0</v>
      </c>
      <c r="BB53" s="2720">
        <f t="shared" si="17"/>
        <v>0</v>
      </c>
      <c r="BC53" s="2720">
        <f t="shared" si="18"/>
        <v>0</v>
      </c>
      <c r="BD53" s="2720">
        <f t="shared" si="19"/>
        <v>0</v>
      </c>
      <c r="BE53" s="2720">
        <f t="shared" si="20"/>
        <v>0</v>
      </c>
      <c r="BF53" s="2720">
        <f t="shared" si="21"/>
        <v>0</v>
      </c>
      <c r="BG53" s="2720">
        <f t="shared" si="22"/>
        <v>0</v>
      </c>
      <c r="BH53" s="2720">
        <f t="shared" si="23"/>
        <v>0</v>
      </c>
      <c r="BI53" s="2720">
        <f t="shared" si="24"/>
        <v>0</v>
      </c>
      <c r="BJ53" s="2720">
        <f t="shared" si="25"/>
        <v>0</v>
      </c>
      <c r="BK53" s="2720">
        <f t="shared" si="26"/>
        <v>0</v>
      </c>
      <c r="BL53" s="2720">
        <f t="shared" si="27"/>
        <v>0</v>
      </c>
      <c r="BM53" s="2720">
        <f t="shared" si="28"/>
        <v>0</v>
      </c>
      <c r="BN53" s="2720">
        <f t="shared" si="29"/>
        <v>0</v>
      </c>
      <c r="BO53" s="2720">
        <f t="shared" si="30"/>
        <v>0</v>
      </c>
      <c r="BP53" s="2720">
        <f t="shared" si="31"/>
        <v>0</v>
      </c>
      <c r="BQ53" s="2720">
        <f t="shared" si="32"/>
        <v>0</v>
      </c>
      <c r="BR53" s="2720">
        <f t="shared" si="33"/>
        <v>0</v>
      </c>
      <c r="BS53" s="2720">
        <f t="shared" si="34"/>
        <v>0</v>
      </c>
      <c r="BT53" s="2772">
        <f t="shared" si="35"/>
        <v>0</v>
      </c>
    </row>
    <row r="54" spans="1:72">
      <c r="A54" s="2717"/>
      <c r="B54" s="2718"/>
      <c r="C54" s="2718"/>
      <c r="D54" s="2719"/>
      <c r="E54" s="2720">
        <f t="shared" si="7"/>
        <v>0</v>
      </c>
      <c r="F54" s="2721"/>
      <c r="G54" s="2722">
        <f t="shared" si="8"/>
        <v>0</v>
      </c>
      <c r="H54" s="2723">
        <f t="shared" si="9"/>
        <v>0</v>
      </c>
      <c r="I54" s="2730"/>
      <c r="J54" s="2730"/>
      <c r="K54" s="2730"/>
      <c r="L54" s="2730"/>
      <c r="M54" s="2730"/>
      <c r="N54" s="2730"/>
      <c r="O54" s="2730"/>
      <c r="P54" s="2730"/>
      <c r="Q54" s="2730"/>
      <c r="R54" s="2730"/>
      <c r="S54" s="2730"/>
      <c r="T54" s="2730"/>
      <c r="U54" s="2730"/>
      <c r="V54" s="2730"/>
      <c r="W54" s="2730"/>
      <c r="X54" s="2730"/>
      <c r="Y54" s="2730"/>
      <c r="Z54" s="2730"/>
      <c r="AA54" s="2730"/>
      <c r="AB54" s="2730"/>
      <c r="AC54" s="2720">
        <f t="shared" si="10"/>
        <v>0</v>
      </c>
      <c r="AD54" s="2740"/>
      <c r="AE54" s="2740"/>
      <c r="AF54" s="2740"/>
      <c r="AG54" s="2740"/>
      <c r="AH54" s="2740"/>
      <c r="AI54" s="2740"/>
      <c r="AJ54" s="2740"/>
      <c r="AK54" s="2740"/>
      <c r="AL54" s="2740"/>
      <c r="AM54" s="2740"/>
      <c r="AN54" s="2740"/>
      <c r="AO54" s="2740"/>
      <c r="AP54" s="2740"/>
      <c r="AQ54" s="2740"/>
      <c r="AR54" s="2740"/>
      <c r="AS54" s="2740"/>
      <c r="AT54" s="2750"/>
      <c r="AU54" s="2751"/>
      <c r="AV54" s="1092">
        <f t="shared" si="11"/>
        <v>0</v>
      </c>
      <c r="AW54" s="1092">
        <f t="shared" si="12"/>
        <v>0</v>
      </c>
      <c r="AX54" s="1092">
        <f t="shared" si="13"/>
        <v>0</v>
      </c>
      <c r="AY54" s="2765">
        <f t="shared" si="14"/>
        <v>0</v>
      </c>
      <c r="AZ54" s="2720">
        <f t="shared" si="15"/>
        <v>0</v>
      </c>
      <c r="BA54" s="2720">
        <f t="shared" si="16"/>
        <v>0</v>
      </c>
      <c r="BB54" s="2720">
        <f t="shared" si="17"/>
        <v>0</v>
      </c>
      <c r="BC54" s="2720">
        <f t="shared" si="18"/>
        <v>0</v>
      </c>
      <c r="BD54" s="2720">
        <f t="shared" si="19"/>
        <v>0</v>
      </c>
      <c r="BE54" s="2720">
        <f t="shared" si="20"/>
        <v>0</v>
      </c>
      <c r="BF54" s="2720">
        <f t="shared" si="21"/>
        <v>0</v>
      </c>
      <c r="BG54" s="2720">
        <f t="shared" si="22"/>
        <v>0</v>
      </c>
      <c r="BH54" s="2720">
        <f t="shared" si="23"/>
        <v>0</v>
      </c>
      <c r="BI54" s="2720">
        <f t="shared" si="24"/>
        <v>0</v>
      </c>
      <c r="BJ54" s="2720">
        <f t="shared" si="25"/>
        <v>0</v>
      </c>
      <c r="BK54" s="2720">
        <f t="shared" si="26"/>
        <v>0</v>
      </c>
      <c r="BL54" s="2720">
        <f t="shared" si="27"/>
        <v>0</v>
      </c>
      <c r="BM54" s="2720">
        <f t="shared" si="28"/>
        <v>0</v>
      </c>
      <c r="BN54" s="2720">
        <f t="shared" si="29"/>
        <v>0</v>
      </c>
      <c r="BO54" s="2720">
        <f t="shared" si="30"/>
        <v>0</v>
      </c>
      <c r="BP54" s="2720">
        <f t="shared" si="31"/>
        <v>0</v>
      </c>
      <c r="BQ54" s="2720">
        <f t="shared" si="32"/>
        <v>0</v>
      </c>
      <c r="BR54" s="2720">
        <f t="shared" si="33"/>
        <v>0</v>
      </c>
      <c r="BS54" s="2720">
        <f t="shared" si="34"/>
        <v>0</v>
      </c>
      <c r="BT54" s="2772">
        <f t="shared" si="35"/>
        <v>0</v>
      </c>
    </row>
    <row r="55" spans="1:72">
      <c r="A55" s="2717"/>
      <c r="B55" s="2718"/>
      <c r="C55" s="2718"/>
      <c r="D55" s="2719"/>
      <c r="E55" s="2720">
        <f t="shared" si="7"/>
        <v>0</v>
      </c>
      <c r="F55" s="2721"/>
      <c r="G55" s="2722">
        <f t="shared" si="8"/>
        <v>0</v>
      </c>
      <c r="H55" s="2723">
        <f t="shared" si="9"/>
        <v>0</v>
      </c>
      <c r="I55" s="2730"/>
      <c r="J55" s="2730"/>
      <c r="K55" s="2730"/>
      <c r="L55" s="2730"/>
      <c r="M55" s="2730"/>
      <c r="N55" s="2730"/>
      <c r="O55" s="2730"/>
      <c r="P55" s="2730"/>
      <c r="Q55" s="2730"/>
      <c r="R55" s="2730"/>
      <c r="S55" s="2730"/>
      <c r="T55" s="2730"/>
      <c r="U55" s="2730"/>
      <c r="V55" s="2730"/>
      <c r="W55" s="2730"/>
      <c r="X55" s="2730"/>
      <c r="Y55" s="2730"/>
      <c r="Z55" s="2730"/>
      <c r="AA55" s="2730"/>
      <c r="AB55" s="2730"/>
      <c r="AC55" s="2720">
        <f t="shared" si="10"/>
        <v>0</v>
      </c>
      <c r="AD55" s="2740"/>
      <c r="AE55" s="2740"/>
      <c r="AF55" s="2740"/>
      <c r="AG55" s="2740"/>
      <c r="AH55" s="2740"/>
      <c r="AI55" s="2740"/>
      <c r="AJ55" s="2740"/>
      <c r="AK55" s="2740"/>
      <c r="AL55" s="2740"/>
      <c r="AM55" s="2740"/>
      <c r="AN55" s="2740"/>
      <c r="AO55" s="2740"/>
      <c r="AP55" s="2740"/>
      <c r="AQ55" s="2740"/>
      <c r="AR55" s="2740"/>
      <c r="AS55" s="2740"/>
      <c r="AT55" s="2750"/>
      <c r="AU55" s="2751"/>
      <c r="AV55" s="1092">
        <f t="shared" si="11"/>
        <v>0</v>
      </c>
      <c r="AW55" s="1092">
        <f t="shared" si="12"/>
        <v>0</v>
      </c>
      <c r="AX55" s="1092">
        <f t="shared" si="13"/>
        <v>0</v>
      </c>
      <c r="AY55" s="2765">
        <f t="shared" si="14"/>
        <v>0</v>
      </c>
      <c r="AZ55" s="2720">
        <f t="shared" si="15"/>
        <v>0</v>
      </c>
      <c r="BA55" s="2720">
        <f t="shared" si="16"/>
        <v>0</v>
      </c>
      <c r="BB55" s="2720">
        <f t="shared" si="17"/>
        <v>0</v>
      </c>
      <c r="BC55" s="2720">
        <f t="shared" si="18"/>
        <v>0</v>
      </c>
      <c r="BD55" s="2720">
        <f t="shared" si="19"/>
        <v>0</v>
      </c>
      <c r="BE55" s="2720">
        <f t="shared" si="20"/>
        <v>0</v>
      </c>
      <c r="BF55" s="2720">
        <f t="shared" si="21"/>
        <v>0</v>
      </c>
      <c r="BG55" s="2720">
        <f t="shared" si="22"/>
        <v>0</v>
      </c>
      <c r="BH55" s="2720">
        <f t="shared" si="23"/>
        <v>0</v>
      </c>
      <c r="BI55" s="2720">
        <f t="shared" si="24"/>
        <v>0</v>
      </c>
      <c r="BJ55" s="2720">
        <f t="shared" si="25"/>
        <v>0</v>
      </c>
      <c r="BK55" s="2720">
        <f t="shared" si="26"/>
        <v>0</v>
      </c>
      <c r="BL55" s="2720">
        <f t="shared" si="27"/>
        <v>0</v>
      </c>
      <c r="BM55" s="2720">
        <f t="shared" si="28"/>
        <v>0</v>
      </c>
      <c r="BN55" s="2720">
        <f t="shared" si="29"/>
        <v>0</v>
      </c>
      <c r="BO55" s="2720">
        <f t="shared" si="30"/>
        <v>0</v>
      </c>
      <c r="BP55" s="2720">
        <f t="shared" si="31"/>
        <v>0</v>
      </c>
      <c r="BQ55" s="2720">
        <f t="shared" si="32"/>
        <v>0</v>
      </c>
      <c r="BR55" s="2720">
        <f t="shared" si="33"/>
        <v>0</v>
      </c>
      <c r="BS55" s="2720">
        <f t="shared" si="34"/>
        <v>0</v>
      </c>
      <c r="BT55" s="2772">
        <f t="shared" si="35"/>
        <v>0</v>
      </c>
    </row>
    <row r="56" spans="1:72">
      <c r="A56" s="2717"/>
      <c r="B56" s="2718"/>
      <c r="C56" s="2718"/>
      <c r="D56" s="2719"/>
      <c r="E56" s="2720">
        <f t="shared" si="7"/>
        <v>0</v>
      </c>
      <c r="F56" s="2721"/>
      <c r="G56" s="2722">
        <f t="shared" si="8"/>
        <v>0</v>
      </c>
      <c r="H56" s="2723">
        <f t="shared" si="9"/>
        <v>0</v>
      </c>
      <c r="I56" s="2730"/>
      <c r="J56" s="2730"/>
      <c r="K56" s="2730"/>
      <c r="L56" s="2730"/>
      <c r="M56" s="2730"/>
      <c r="N56" s="2730"/>
      <c r="O56" s="2730"/>
      <c r="P56" s="2730"/>
      <c r="Q56" s="2730"/>
      <c r="R56" s="2730"/>
      <c r="S56" s="2730"/>
      <c r="T56" s="2730"/>
      <c r="U56" s="2730"/>
      <c r="V56" s="2730"/>
      <c r="W56" s="2730"/>
      <c r="X56" s="2730"/>
      <c r="Y56" s="2730"/>
      <c r="Z56" s="2730"/>
      <c r="AA56" s="2730"/>
      <c r="AB56" s="2730"/>
      <c r="AC56" s="2720">
        <f t="shared" si="10"/>
        <v>0</v>
      </c>
      <c r="AD56" s="2740"/>
      <c r="AE56" s="2740"/>
      <c r="AF56" s="2740"/>
      <c r="AG56" s="2740"/>
      <c r="AH56" s="2740"/>
      <c r="AI56" s="2740"/>
      <c r="AJ56" s="2740"/>
      <c r="AK56" s="2740"/>
      <c r="AL56" s="2740"/>
      <c r="AM56" s="2740"/>
      <c r="AN56" s="2740"/>
      <c r="AO56" s="2740"/>
      <c r="AP56" s="2740"/>
      <c r="AQ56" s="2740"/>
      <c r="AR56" s="2740"/>
      <c r="AS56" s="2740"/>
      <c r="AT56" s="2750"/>
      <c r="AU56" s="2751"/>
      <c r="AV56" s="1092">
        <f t="shared" si="11"/>
        <v>0</v>
      </c>
      <c r="AW56" s="1092">
        <f t="shared" si="12"/>
        <v>0</v>
      </c>
      <c r="AX56" s="1092">
        <f t="shared" si="13"/>
        <v>0</v>
      </c>
      <c r="AY56" s="2765">
        <f t="shared" si="14"/>
        <v>0</v>
      </c>
      <c r="AZ56" s="2720">
        <f t="shared" si="15"/>
        <v>0</v>
      </c>
      <c r="BA56" s="2720">
        <f t="shared" si="16"/>
        <v>0</v>
      </c>
      <c r="BB56" s="2720">
        <f t="shared" si="17"/>
        <v>0</v>
      </c>
      <c r="BC56" s="2720">
        <f t="shared" si="18"/>
        <v>0</v>
      </c>
      <c r="BD56" s="2720">
        <f t="shared" si="19"/>
        <v>0</v>
      </c>
      <c r="BE56" s="2720">
        <f t="shared" si="20"/>
        <v>0</v>
      </c>
      <c r="BF56" s="2720">
        <f t="shared" si="21"/>
        <v>0</v>
      </c>
      <c r="BG56" s="2720">
        <f t="shared" si="22"/>
        <v>0</v>
      </c>
      <c r="BH56" s="2720">
        <f t="shared" si="23"/>
        <v>0</v>
      </c>
      <c r="BI56" s="2720">
        <f t="shared" si="24"/>
        <v>0</v>
      </c>
      <c r="BJ56" s="2720">
        <f t="shared" si="25"/>
        <v>0</v>
      </c>
      <c r="BK56" s="2720">
        <f t="shared" si="26"/>
        <v>0</v>
      </c>
      <c r="BL56" s="2720">
        <f t="shared" si="27"/>
        <v>0</v>
      </c>
      <c r="BM56" s="2720">
        <f t="shared" si="28"/>
        <v>0</v>
      </c>
      <c r="BN56" s="2720">
        <f t="shared" si="29"/>
        <v>0</v>
      </c>
      <c r="BO56" s="2720">
        <f t="shared" si="30"/>
        <v>0</v>
      </c>
      <c r="BP56" s="2720">
        <f t="shared" si="31"/>
        <v>0</v>
      </c>
      <c r="BQ56" s="2720">
        <f t="shared" si="32"/>
        <v>0</v>
      </c>
      <c r="BR56" s="2720">
        <f t="shared" si="33"/>
        <v>0</v>
      </c>
      <c r="BS56" s="2720">
        <f t="shared" si="34"/>
        <v>0</v>
      </c>
      <c r="BT56" s="2772">
        <f t="shared" si="35"/>
        <v>0</v>
      </c>
    </row>
    <row r="57" spans="1:72">
      <c r="A57" s="2717"/>
      <c r="B57" s="2718"/>
      <c r="C57" s="2718"/>
      <c r="D57" s="2719"/>
      <c r="E57" s="2720">
        <f t="shared" si="7"/>
        <v>0</v>
      </c>
      <c r="F57" s="2721"/>
      <c r="G57" s="2722">
        <f t="shared" si="8"/>
        <v>0</v>
      </c>
      <c r="H57" s="2723">
        <f t="shared" si="9"/>
        <v>0</v>
      </c>
      <c r="I57" s="2730"/>
      <c r="J57" s="2730"/>
      <c r="K57" s="2730"/>
      <c r="L57" s="2730"/>
      <c r="M57" s="2730"/>
      <c r="N57" s="2730"/>
      <c r="O57" s="2730"/>
      <c r="P57" s="2730"/>
      <c r="Q57" s="2730"/>
      <c r="R57" s="2730"/>
      <c r="S57" s="2730"/>
      <c r="T57" s="2730"/>
      <c r="U57" s="2730"/>
      <c r="V57" s="2730"/>
      <c r="W57" s="2730"/>
      <c r="X57" s="2730"/>
      <c r="Y57" s="2730"/>
      <c r="Z57" s="2730"/>
      <c r="AA57" s="2730"/>
      <c r="AB57" s="2730"/>
      <c r="AC57" s="2720">
        <f t="shared" si="10"/>
        <v>0</v>
      </c>
      <c r="AD57" s="2740"/>
      <c r="AE57" s="2740"/>
      <c r="AF57" s="2740"/>
      <c r="AG57" s="2740"/>
      <c r="AH57" s="2740"/>
      <c r="AI57" s="2740"/>
      <c r="AJ57" s="2740"/>
      <c r="AK57" s="2740"/>
      <c r="AL57" s="2740"/>
      <c r="AM57" s="2740"/>
      <c r="AN57" s="2740"/>
      <c r="AO57" s="2740"/>
      <c r="AP57" s="2740"/>
      <c r="AQ57" s="2740"/>
      <c r="AR57" s="2740"/>
      <c r="AS57" s="2740"/>
      <c r="AT57" s="2750"/>
      <c r="AU57" s="2751"/>
      <c r="AV57" s="1092">
        <f t="shared" si="11"/>
        <v>0</v>
      </c>
      <c r="AW57" s="1092">
        <f t="shared" si="12"/>
        <v>0</v>
      </c>
      <c r="AX57" s="1092">
        <f t="shared" si="13"/>
        <v>0</v>
      </c>
      <c r="AY57" s="2765">
        <f t="shared" si="14"/>
        <v>0</v>
      </c>
      <c r="AZ57" s="2720">
        <f t="shared" si="15"/>
        <v>0</v>
      </c>
      <c r="BA57" s="2720">
        <f t="shared" si="16"/>
        <v>0</v>
      </c>
      <c r="BB57" s="2720">
        <f t="shared" si="17"/>
        <v>0</v>
      </c>
      <c r="BC57" s="2720">
        <f t="shared" si="18"/>
        <v>0</v>
      </c>
      <c r="BD57" s="2720">
        <f t="shared" si="19"/>
        <v>0</v>
      </c>
      <c r="BE57" s="2720">
        <f t="shared" si="20"/>
        <v>0</v>
      </c>
      <c r="BF57" s="2720">
        <f t="shared" si="21"/>
        <v>0</v>
      </c>
      <c r="BG57" s="2720">
        <f t="shared" si="22"/>
        <v>0</v>
      </c>
      <c r="BH57" s="2720">
        <f t="shared" si="23"/>
        <v>0</v>
      </c>
      <c r="BI57" s="2720">
        <f t="shared" si="24"/>
        <v>0</v>
      </c>
      <c r="BJ57" s="2720">
        <f t="shared" si="25"/>
        <v>0</v>
      </c>
      <c r="BK57" s="2720">
        <f t="shared" si="26"/>
        <v>0</v>
      </c>
      <c r="BL57" s="2720">
        <f t="shared" si="27"/>
        <v>0</v>
      </c>
      <c r="BM57" s="2720">
        <f t="shared" si="28"/>
        <v>0</v>
      </c>
      <c r="BN57" s="2720">
        <f t="shared" si="29"/>
        <v>0</v>
      </c>
      <c r="BO57" s="2720">
        <f t="shared" si="30"/>
        <v>0</v>
      </c>
      <c r="BP57" s="2720">
        <f t="shared" si="31"/>
        <v>0</v>
      </c>
      <c r="BQ57" s="2720">
        <f t="shared" si="32"/>
        <v>0</v>
      </c>
      <c r="BR57" s="2720">
        <f t="shared" si="33"/>
        <v>0</v>
      </c>
      <c r="BS57" s="2720">
        <f t="shared" si="34"/>
        <v>0</v>
      </c>
      <c r="BT57" s="2772">
        <f t="shared" si="35"/>
        <v>0</v>
      </c>
    </row>
    <row r="58" spans="1:72">
      <c r="A58" s="2717"/>
      <c r="B58" s="2718"/>
      <c r="C58" s="2718"/>
      <c r="D58" s="2719"/>
      <c r="E58" s="2720">
        <f t="shared" si="7"/>
        <v>0</v>
      </c>
      <c r="F58" s="2721"/>
      <c r="G58" s="2722">
        <f t="shared" si="8"/>
        <v>0</v>
      </c>
      <c r="H58" s="2723">
        <f t="shared" si="9"/>
        <v>0</v>
      </c>
      <c r="I58" s="2730"/>
      <c r="J58" s="2730"/>
      <c r="K58" s="2730"/>
      <c r="L58" s="2730"/>
      <c r="M58" s="2730"/>
      <c r="N58" s="2730"/>
      <c r="O58" s="2730"/>
      <c r="P58" s="2730"/>
      <c r="Q58" s="2730"/>
      <c r="R58" s="2730"/>
      <c r="S58" s="2730"/>
      <c r="T58" s="2730"/>
      <c r="U58" s="2730"/>
      <c r="V58" s="2730"/>
      <c r="W58" s="2730"/>
      <c r="X58" s="2730"/>
      <c r="Y58" s="2730"/>
      <c r="Z58" s="2730"/>
      <c r="AA58" s="2730"/>
      <c r="AB58" s="2730"/>
      <c r="AC58" s="2720">
        <f t="shared" si="10"/>
        <v>0</v>
      </c>
      <c r="AD58" s="2740"/>
      <c r="AE58" s="2740"/>
      <c r="AF58" s="2740"/>
      <c r="AG58" s="2740"/>
      <c r="AH58" s="2740"/>
      <c r="AI58" s="2740"/>
      <c r="AJ58" s="2740"/>
      <c r="AK58" s="2740"/>
      <c r="AL58" s="2740"/>
      <c r="AM58" s="2740"/>
      <c r="AN58" s="2740"/>
      <c r="AO58" s="2740"/>
      <c r="AP58" s="2740"/>
      <c r="AQ58" s="2740"/>
      <c r="AR58" s="2740"/>
      <c r="AS58" s="2740"/>
      <c r="AT58" s="2750"/>
      <c r="AU58" s="2751"/>
      <c r="AV58" s="1092">
        <f t="shared" si="11"/>
        <v>0</v>
      </c>
      <c r="AW58" s="1092">
        <f t="shared" si="12"/>
        <v>0</v>
      </c>
      <c r="AX58" s="1092">
        <f t="shared" si="13"/>
        <v>0</v>
      </c>
      <c r="AY58" s="2765">
        <f t="shared" si="14"/>
        <v>0</v>
      </c>
      <c r="AZ58" s="2720">
        <f t="shared" si="15"/>
        <v>0</v>
      </c>
      <c r="BA58" s="2720">
        <f t="shared" si="16"/>
        <v>0</v>
      </c>
      <c r="BB58" s="2720">
        <f t="shared" si="17"/>
        <v>0</v>
      </c>
      <c r="BC58" s="2720">
        <f t="shared" si="18"/>
        <v>0</v>
      </c>
      <c r="BD58" s="2720">
        <f t="shared" si="19"/>
        <v>0</v>
      </c>
      <c r="BE58" s="2720">
        <f t="shared" si="20"/>
        <v>0</v>
      </c>
      <c r="BF58" s="2720">
        <f t="shared" si="21"/>
        <v>0</v>
      </c>
      <c r="BG58" s="2720">
        <f t="shared" si="22"/>
        <v>0</v>
      </c>
      <c r="BH58" s="2720">
        <f t="shared" si="23"/>
        <v>0</v>
      </c>
      <c r="BI58" s="2720">
        <f t="shared" si="24"/>
        <v>0</v>
      </c>
      <c r="BJ58" s="2720">
        <f t="shared" si="25"/>
        <v>0</v>
      </c>
      <c r="BK58" s="2720">
        <f t="shared" si="26"/>
        <v>0</v>
      </c>
      <c r="BL58" s="2720">
        <f t="shared" si="27"/>
        <v>0</v>
      </c>
      <c r="BM58" s="2720">
        <f t="shared" si="28"/>
        <v>0</v>
      </c>
      <c r="BN58" s="2720">
        <f t="shared" si="29"/>
        <v>0</v>
      </c>
      <c r="BO58" s="2720">
        <f t="shared" si="30"/>
        <v>0</v>
      </c>
      <c r="BP58" s="2720">
        <f t="shared" si="31"/>
        <v>0</v>
      </c>
      <c r="BQ58" s="2720">
        <f t="shared" si="32"/>
        <v>0</v>
      </c>
      <c r="BR58" s="2720">
        <f t="shared" si="33"/>
        <v>0</v>
      </c>
      <c r="BS58" s="2720">
        <f t="shared" si="34"/>
        <v>0</v>
      </c>
      <c r="BT58" s="2772">
        <f t="shared" si="35"/>
        <v>0</v>
      </c>
    </row>
    <row r="59" spans="1:72">
      <c r="A59" s="2717"/>
      <c r="B59" s="2718"/>
      <c r="C59" s="2718"/>
      <c r="D59" s="2719"/>
      <c r="E59" s="2720">
        <f t="shared" si="7"/>
        <v>0</v>
      </c>
      <c r="F59" s="2721"/>
      <c r="G59" s="2722">
        <f t="shared" si="8"/>
        <v>0</v>
      </c>
      <c r="H59" s="2723">
        <f t="shared" si="9"/>
        <v>0</v>
      </c>
      <c r="I59" s="2730"/>
      <c r="J59" s="2730"/>
      <c r="K59" s="2730"/>
      <c r="L59" s="2730"/>
      <c r="M59" s="2730"/>
      <c r="N59" s="2730"/>
      <c r="O59" s="2730"/>
      <c r="P59" s="2730"/>
      <c r="Q59" s="2730"/>
      <c r="R59" s="2730"/>
      <c r="S59" s="2730"/>
      <c r="T59" s="2730"/>
      <c r="U59" s="2730"/>
      <c r="V59" s="2730"/>
      <c r="W59" s="2730"/>
      <c r="X59" s="2730"/>
      <c r="Y59" s="2730"/>
      <c r="Z59" s="2730"/>
      <c r="AA59" s="2730"/>
      <c r="AB59" s="2730"/>
      <c r="AC59" s="2720">
        <f t="shared" si="10"/>
        <v>0</v>
      </c>
      <c r="AD59" s="2740"/>
      <c r="AE59" s="2740"/>
      <c r="AF59" s="2740"/>
      <c r="AG59" s="2740"/>
      <c r="AH59" s="2740"/>
      <c r="AI59" s="2740"/>
      <c r="AJ59" s="2740"/>
      <c r="AK59" s="2740"/>
      <c r="AL59" s="2740"/>
      <c r="AM59" s="2740"/>
      <c r="AN59" s="2740"/>
      <c r="AO59" s="2740"/>
      <c r="AP59" s="2740"/>
      <c r="AQ59" s="2740"/>
      <c r="AR59" s="2740"/>
      <c r="AS59" s="2740"/>
      <c r="AT59" s="2750"/>
      <c r="AU59" s="2751"/>
      <c r="AV59" s="1092">
        <f t="shared" si="11"/>
        <v>0</v>
      </c>
      <c r="AW59" s="1092">
        <f t="shared" si="12"/>
        <v>0</v>
      </c>
      <c r="AX59" s="1092">
        <f t="shared" si="13"/>
        <v>0</v>
      </c>
      <c r="AY59" s="2765">
        <f t="shared" si="14"/>
        <v>0</v>
      </c>
      <c r="AZ59" s="2720">
        <f t="shared" si="15"/>
        <v>0</v>
      </c>
      <c r="BA59" s="2720">
        <f t="shared" si="16"/>
        <v>0</v>
      </c>
      <c r="BB59" s="2720">
        <f t="shared" si="17"/>
        <v>0</v>
      </c>
      <c r="BC59" s="2720">
        <f t="shared" si="18"/>
        <v>0</v>
      </c>
      <c r="BD59" s="2720">
        <f t="shared" si="19"/>
        <v>0</v>
      </c>
      <c r="BE59" s="2720">
        <f t="shared" si="20"/>
        <v>0</v>
      </c>
      <c r="BF59" s="2720">
        <f t="shared" si="21"/>
        <v>0</v>
      </c>
      <c r="BG59" s="2720">
        <f t="shared" si="22"/>
        <v>0</v>
      </c>
      <c r="BH59" s="2720">
        <f t="shared" si="23"/>
        <v>0</v>
      </c>
      <c r="BI59" s="2720">
        <f t="shared" si="24"/>
        <v>0</v>
      </c>
      <c r="BJ59" s="2720">
        <f t="shared" si="25"/>
        <v>0</v>
      </c>
      <c r="BK59" s="2720">
        <f t="shared" si="26"/>
        <v>0</v>
      </c>
      <c r="BL59" s="2720">
        <f t="shared" si="27"/>
        <v>0</v>
      </c>
      <c r="BM59" s="2720">
        <f t="shared" si="28"/>
        <v>0</v>
      </c>
      <c r="BN59" s="2720">
        <f t="shared" si="29"/>
        <v>0</v>
      </c>
      <c r="BO59" s="2720">
        <f t="shared" si="30"/>
        <v>0</v>
      </c>
      <c r="BP59" s="2720">
        <f t="shared" si="31"/>
        <v>0</v>
      </c>
      <c r="BQ59" s="2720">
        <f t="shared" si="32"/>
        <v>0</v>
      </c>
      <c r="BR59" s="2720">
        <f t="shared" si="33"/>
        <v>0</v>
      </c>
      <c r="BS59" s="2720">
        <f t="shared" si="34"/>
        <v>0</v>
      </c>
      <c r="BT59" s="2772">
        <f t="shared" si="35"/>
        <v>0</v>
      </c>
    </row>
    <row r="60" spans="1:72">
      <c r="A60" s="2717"/>
      <c r="B60" s="2718"/>
      <c r="C60" s="2718"/>
      <c r="D60" s="2719"/>
      <c r="E60" s="2720">
        <f t="shared" si="7"/>
        <v>0</v>
      </c>
      <c r="F60" s="2721"/>
      <c r="G60" s="2722">
        <f t="shared" si="8"/>
        <v>0</v>
      </c>
      <c r="H60" s="2723">
        <f t="shared" si="9"/>
        <v>0</v>
      </c>
      <c r="I60" s="2730"/>
      <c r="J60" s="2730"/>
      <c r="K60" s="2730"/>
      <c r="L60" s="2730"/>
      <c r="M60" s="2730"/>
      <c r="N60" s="2730"/>
      <c r="O60" s="2730"/>
      <c r="P60" s="2730"/>
      <c r="Q60" s="2730"/>
      <c r="R60" s="2730"/>
      <c r="S60" s="2730"/>
      <c r="T60" s="2730"/>
      <c r="U60" s="2730"/>
      <c r="V60" s="2730"/>
      <c r="W60" s="2730"/>
      <c r="X60" s="2730"/>
      <c r="Y60" s="2730"/>
      <c r="Z60" s="2730"/>
      <c r="AA60" s="2730"/>
      <c r="AB60" s="2730"/>
      <c r="AC60" s="2720">
        <f t="shared" si="10"/>
        <v>0</v>
      </c>
      <c r="AD60" s="2740"/>
      <c r="AE60" s="2740"/>
      <c r="AF60" s="2740"/>
      <c r="AG60" s="2740"/>
      <c r="AH60" s="2740"/>
      <c r="AI60" s="2740"/>
      <c r="AJ60" s="2740"/>
      <c r="AK60" s="2740"/>
      <c r="AL60" s="2740"/>
      <c r="AM60" s="2740"/>
      <c r="AN60" s="2740"/>
      <c r="AO60" s="2740"/>
      <c r="AP60" s="2740"/>
      <c r="AQ60" s="2740"/>
      <c r="AR60" s="2740"/>
      <c r="AS60" s="2740"/>
      <c r="AT60" s="2750"/>
      <c r="AU60" s="2751"/>
      <c r="AV60" s="1092">
        <f t="shared" si="11"/>
        <v>0</v>
      </c>
      <c r="AW60" s="1092">
        <f t="shared" si="12"/>
        <v>0</v>
      </c>
      <c r="AX60" s="1092">
        <f t="shared" si="13"/>
        <v>0</v>
      </c>
      <c r="AY60" s="2765">
        <f t="shared" si="14"/>
        <v>0</v>
      </c>
      <c r="AZ60" s="2720">
        <f t="shared" si="15"/>
        <v>0</v>
      </c>
      <c r="BA60" s="2720">
        <f t="shared" si="16"/>
        <v>0</v>
      </c>
      <c r="BB60" s="2720">
        <f t="shared" si="17"/>
        <v>0</v>
      </c>
      <c r="BC60" s="2720">
        <f t="shared" si="18"/>
        <v>0</v>
      </c>
      <c r="BD60" s="2720">
        <f t="shared" si="19"/>
        <v>0</v>
      </c>
      <c r="BE60" s="2720">
        <f t="shared" si="20"/>
        <v>0</v>
      </c>
      <c r="BF60" s="2720">
        <f t="shared" si="21"/>
        <v>0</v>
      </c>
      <c r="BG60" s="2720">
        <f t="shared" si="22"/>
        <v>0</v>
      </c>
      <c r="BH60" s="2720">
        <f t="shared" si="23"/>
        <v>0</v>
      </c>
      <c r="BI60" s="2720">
        <f t="shared" si="24"/>
        <v>0</v>
      </c>
      <c r="BJ60" s="2720">
        <f t="shared" si="25"/>
        <v>0</v>
      </c>
      <c r="BK60" s="2720">
        <f t="shared" si="26"/>
        <v>0</v>
      </c>
      <c r="BL60" s="2720">
        <f t="shared" si="27"/>
        <v>0</v>
      </c>
      <c r="BM60" s="2720">
        <f t="shared" si="28"/>
        <v>0</v>
      </c>
      <c r="BN60" s="2720">
        <f t="shared" si="29"/>
        <v>0</v>
      </c>
      <c r="BO60" s="2720">
        <f t="shared" si="30"/>
        <v>0</v>
      </c>
      <c r="BP60" s="2720">
        <f t="shared" si="31"/>
        <v>0</v>
      </c>
      <c r="BQ60" s="2720">
        <f t="shared" si="32"/>
        <v>0</v>
      </c>
      <c r="BR60" s="2720">
        <f t="shared" si="33"/>
        <v>0</v>
      </c>
      <c r="BS60" s="2720">
        <f t="shared" si="34"/>
        <v>0</v>
      </c>
      <c r="BT60" s="2772">
        <f t="shared" si="35"/>
        <v>0</v>
      </c>
    </row>
    <row r="61" spans="1:72">
      <c r="A61" s="2717"/>
      <c r="B61" s="2718"/>
      <c r="C61" s="2718"/>
      <c r="D61" s="2719"/>
      <c r="E61" s="2720">
        <f t="shared" si="7"/>
        <v>0</v>
      </c>
      <c r="F61" s="2721"/>
      <c r="G61" s="2722">
        <f t="shared" si="8"/>
        <v>0</v>
      </c>
      <c r="H61" s="2723">
        <f t="shared" si="9"/>
        <v>0</v>
      </c>
      <c r="I61" s="2730"/>
      <c r="J61" s="2730"/>
      <c r="K61" s="2730"/>
      <c r="L61" s="2730"/>
      <c r="M61" s="2730"/>
      <c r="N61" s="2730"/>
      <c r="O61" s="2730"/>
      <c r="P61" s="2730"/>
      <c r="Q61" s="2730"/>
      <c r="R61" s="2730"/>
      <c r="S61" s="2730"/>
      <c r="T61" s="2730"/>
      <c r="U61" s="2730"/>
      <c r="V61" s="2730"/>
      <c r="W61" s="2730"/>
      <c r="X61" s="2730"/>
      <c r="Y61" s="2730"/>
      <c r="Z61" s="2730"/>
      <c r="AA61" s="2730"/>
      <c r="AB61" s="2730"/>
      <c r="AC61" s="2720">
        <f t="shared" si="10"/>
        <v>0</v>
      </c>
      <c r="AD61" s="2740"/>
      <c r="AE61" s="2740"/>
      <c r="AF61" s="2740"/>
      <c r="AG61" s="2740"/>
      <c r="AH61" s="2740"/>
      <c r="AI61" s="2740"/>
      <c r="AJ61" s="2740"/>
      <c r="AK61" s="2740"/>
      <c r="AL61" s="2740"/>
      <c r="AM61" s="2740"/>
      <c r="AN61" s="2740"/>
      <c r="AO61" s="2740"/>
      <c r="AP61" s="2740"/>
      <c r="AQ61" s="2740"/>
      <c r="AR61" s="2740"/>
      <c r="AS61" s="2740"/>
      <c r="AT61" s="2750"/>
      <c r="AU61" s="2751"/>
      <c r="AV61" s="1092">
        <f t="shared" si="11"/>
        <v>0</v>
      </c>
      <c r="AW61" s="1092">
        <f t="shared" si="12"/>
        <v>0</v>
      </c>
      <c r="AX61" s="1092">
        <f t="shared" si="13"/>
        <v>0</v>
      </c>
      <c r="AY61" s="2765">
        <f t="shared" si="14"/>
        <v>0</v>
      </c>
      <c r="AZ61" s="2720">
        <f t="shared" si="15"/>
        <v>0</v>
      </c>
      <c r="BA61" s="2720">
        <f t="shared" si="16"/>
        <v>0</v>
      </c>
      <c r="BB61" s="2720">
        <f t="shared" si="17"/>
        <v>0</v>
      </c>
      <c r="BC61" s="2720">
        <f t="shared" si="18"/>
        <v>0</v>
      </c>
      <c r="BD61" s="2720">
        <f t="shared" si="19"/>
        <v>0</v>
      </c>
      <c r="BE61" s="2720">
        <f t="shared" si="20"/>
        <v>0</v>
      </c>
      <c r="BF61" s="2720">
        <f t="shared" si="21"/>
        <v>0</v>
      </c>
      <c r="BG61" s="2720">
        <f t="shared" si="22"/>
        <v>0</v>
      </c>
      <c r="BH61" s="2720">
        <f t="shared" si="23"/>
        <v>0</v>
      </c>
      <c r="BI61" s="2720">
        <f t="shared" si="24"/>
        <v>0</v>
      </c>
      <c r="BJ61" s="2720">
        <f t="shared" si="25"/>
        <v>0</v>
      </c>
      <c r="BK61" s="2720">
        <f t="shared" si="26"/>
        <v>0</v>
      </c>
      <c r="BL61" s="2720">
        <f t="shared" si="27"/>
        <v>0</v>
      </c>
      <c r="BM61" s="2720">
        <f t="shared" si="28"/>
        <v>0</v>
      </c>
      <c r="BN61" s="2720">
        <f t="shared" si="29"/>
        <v>0</v>
      </c>
      <c r="BO61" s="2720">
        <f t="shared" si="30"/>
        <v>0</v>
      </c>
      <c r="BP61" s="2720">
        <f t="shared" si="31"/>
        <v>0</v>
      </c>
      <c r="BQ61" s="2720">
        <f t="shared" si="32"/>
        <v>0</v>
      </c>
      <c r="BR61" s="2720">
        <f t="shared" si="33"/>
        <v>0</v>
      </c>
      <c r="BS61" s="2720">
        <f t="shared" si="34"/>
        <v>0</v>
      </c>
      <c r="BT61" s="2772">
        <f t="shared" si="35"/>
        <v>0</v>
      </c>
    </row>
    <row r="62" spans="1:72">
      <c r="A62" s="2717"/>
      <c r="B62" s="2718"/>
      <c r="C62" s="2718"/>
      <c r="D62" s="2719"/>
      <c r="E62" s="2720">
        <f t="shared" si="7"/>
        <v>0</v>
      </c>
      <c r="F62" s="2721"/>
      <c r="G62" s="2722">
        <f t="shared" si="8"/>
        <v>0</v>
      </c>
      <c r="H62" s="2723">
        <f t="shared" si="9"/>
        <v>0</v>
      </c>
      <c r="I62" s="2730"/>
      <c r="J62" s="2730"/>
      <c r="K62" s="2730"/>
      <c r="L62" s="2730"/>
      <c r="M62" s="2730"/>
      <c r="N62" s="2730"/>
      <c r="O62" s="2730"/>
      <c r="P62" s="2730"/>
      <c r="Q62" s="2730"/>
      <c r="R62" s="2730"/>
      <c r="S62" s="2730"/>
      <c r="T62" s="2730"/>
      <c r="U62" s="2730"/>
      <c r="V62" s="2730"/>
      <c r="W62" s="2730"/>
      <c r="X62" s="2730"/>
      <c r="Y62" s="2730"/>
      <c r="Z62" s="2730"/>
      <c r="AA62" s="2730"/>
      <c r="AB62" s="2730"/>
      <c r="AC62" s="2720">
        <f t="shared" si="10"/>
        <v>0</v>
      </c>
      <c r="AD62" s="2740"/>
      <c r="AE62" s="2740"/>
      <c r="AF62" s="2740"/>
      <c r="AG62" s="2740"/>
      <c r="AH62" s="2740"/>
      <c r="AI62" s="2740"/>
      <c r="AJ62" s="2740"/>
      <c r="AK62" s="2740"/>
      <c r="AL62" s="2740"/>
      <c r="AM62" s="2740"/>
      <c r="AN62" s="2740"/>
      <c r="AO62" s="2740"/>
      <c r="AP62" s="2740"/>
      <c r="AQ62" s="2740"/>
      <c r="AR62" s="2740"/>
      <c r="AS62" s="2740"/>
      <c r="AT62" s="2750"/>
      <c r="AU62" s="2751"/>
      <c r="AV62" s="1092">
        <f t="shared" si="11"/>
        <v>0</v>
      </c>
      <c r="AW62" s="1092">
        <f t="shared" si="12"/>
        <v>0</v>
      </c>
      <c r="AX62" s="1092">
        <f t="shared" si="13"/>
        <v>0</v>
      </c>
      <c r="AY62" s="2765">
        <f t="shared" si="14"/>
        <v>0</v>
      </c>
      <c r="AZ62" s="2720">
        <f t="shared" si="15"/>
        <v>0</v>
      </c>
      <c r="BA62" s="2720">
        <f t="shared" si="16"/>
        <v>0</v>
      </c>
      <c r="BB62" s="2720">
        <f t="shared" si="17"/>
        <v>0</v>
      </c>
      <c r="BC62" s="2720">
        <f t="shared" si="18"/>
        <v>0</v>
      </c>
      <c r="BD62" s="2720">
        <f t="shared" si="19"/>
        <v>0</v>
      </c>
      <c r="BE62" s="2720">
        <f t="shared" si="20"/>
        <v>0</v>
      </c>
      <c r="BF62" s="2720">
        <f t="shared" si="21"/>
        <v>0</v>
      </c>
      <c r="BG62" s="2720">
        <f t="shared" si="22"/>
        <v>0</v>
      </c>
      <c r="BH62" s="2720">
        <f t="shared" si="23"/>
        <v>0</v>
      </c>
      <c r="BI62" s="2720">
        <f t="shared" si="24"/>
        <v>0</v>
      </c>
      <c r="BJ62" s="2720">
        <f t="shared" si="25"/>
        <v>0</v>
      </c>
      <c r="BK62" s="2720">
        <f t="shared" si="26"/>
        <v>0</v>
      </c>
      <c r="BL62" s="2720">
        <f t="shared" si="27"/>
        <v>0</v>
      </c>
      <c r="BM62" s="2720">
        <f t="shared" si="28"/>
        <v>0</v>
      </c>
      <c r="BN62" s="2720">
        <f t="shared" si="29"/>
        <v>0</v>
      </c>
      <c r="BO62" s="2720">
        <f t="shared" si="30"/>
        <v>0</v>
      </c>
      <c r="BP62" s="2720">
        <f t="shared" si="31"/>
        <v>0</v>
      </c>
      <c r="BQ62" s="2720">
        <f t="shared" si="32"/>
        <v>0</v>
      </c>
      <c r="BR62" s="2720">
        <f t="shared" si="33"/>
        <v>0</v>
      </c>
      <c r="BS62" s="2720">
        <f t="shared" si="34"/>
        <v>0</v>
      </c>
      <c r="BT62" s="2772">
        <f t="shared" si="35"/>
        <v>0</v>
      </c>
    </row>
    <row r="63" spans="1:72">
      <c r="A63" s="2717"/>
      <c r="B63" s="2718"/>
      <c r="C63" s="2718"/>
      <c r="D63" s="2719"/>
      <c r="E63" s="2720">
        <f t="shared" si="7"/>
        <v>0</v>
      </c>
      <c r="F63" s="2721"/>
      <c r="G63" s="2722">
        <f t="shared" si="8"/>
        <v>0</v>
      </c>
      <c r="H63" s="2723">
        <f t="shared" si="9"/>
        <v>0</v>
      </c>
      <c r="I63" s="2730"/>
      <c r="J63" s="2730"/>
      <c r="K63" s="2730"/>
      <c r="L63" s="2730"/>
      <c r="M63" s="2730"/>
      <c r="N63" s="2730"/>
      <c r="O63" s="2730"/>
      <c r="P63" s="2730"/>
      <c r="Q63" s="2730"/>
      <c r="R63" s="2730"/>
      <c r="S63" s="2730"/>
      <c r="T63" s="2730"/>
      <c r="U63" s="2730"/>
      <c r="V63" s="2730"/>
      <c r="W63" s="2730"/>
      <c r="X63" s="2730"/>
      <c r="Y63" s="2730"/>
      <c r="Z63" s="2730"/>
      <c r="AA63" s="2730"/>
      <c r="AB63" s="2730"/>
      <c r="AC63" s="2720">
        <f t="shared" si="10"/>
        <v>0</v>
      </c>
      <c r="AD63" s="2740"/>
      <c r="AE63" s="2740"/>
      <c r="AF63" s="2740"/>
      <c r="AG63" s="2740"/>
      <c r="AH63" s="2740"/>
      <c r="AI63" s="2740"/>
      <c r="AJ63" s="2740"/>
      <c r="AK63" s="2740"/>
      <c r="AL63" s="2740"/>
      <c r="AM63" s="2740"/>
      <c r="AN63" s="2740"/>
      <c r="AO63" s="2740"/>
      <c r="AP63" s="2740"/>
      <c r="AQ63" s="2740"/>
      <c r="AR63" s="2740"/>
      <c r="AS63" s="2740"/>
      <c r="AT63" s="2750"/>
      <c r="AU63" s="2751"/>
      <c r="AV63" s="1092">
        <f t="shared" si="11"/>
        <v>0</v>
      </c>
      <c r="AW63" s="1092">
        <f t="shared" si="12"/>
        <v>0</v>
      </c>
      <c r="AX63" s="1092">
        <f t="shared" si="13"/>
        <v>0</v>
      </c>
      <c r="AY63" s="2765">
        <f t="shared" si="14"/>
        <v>0</v>
      </c>
      <c r="AZ63" s="2720">
        <f t="shared" si="15"/>
        <v>0</v>
      </c>
      <c r="BA63" s="2720">
        <f t="shared" si="16"/>
        <v>0</v>
      </c>
      <c r="BB63" s="2720">
        <f t="shared" si="17"/>
        <v>0</v>
      </c>
      <c r="BC63" s="2720">
        <f t="shared" si="18"/>
        <v>0</v>
      </c>
      <c r="BD63" s="2720">
        <f t="shared" si="19"/>
        <v>0</v>
      </c>
      <c r="BE63" s="2720">
        <f t="shared" si="20"/>
        <v>0</v>
      </c>
      <c r="BF63" s="2720">
        <f t="shared" si="21"/>
        <v>0</v>
      </c>
      <c r="BG63" s="2720">
        <f t="shared" si="22"/>
        <v>0</v>
      </c>
      <c r="BH63" s="2720">
        <f t="shared" si="23"/>
        <v>0</v>
      </c>
      <c r="BI63" s="2720">
        <f t="shared" si="24"/>
        <v>0</v>
      </c>
      <c r="BJ63" s="2720">
        <f t="shared" si="25"/>
        <v>0</v>
      </c>
      <c r="BK63" s="2720">
        <f t="shared" si="26"/>
        <v>0</v>
      </c>
      <c r="BL63" s="2720">
        <f t="shared" si="27"/>
        <v>0</v>
      </c>
      <c r="BM63" s="2720">
        <f t="shared" si="28"/>
        <v>0</v>
      </c>
      <c r="BN63" s="2720">
        <f t="shared" si="29"/>
        <v>0</v>
      </c>
      <c r="BO63" s="2720">
        <f t="shared" si="30"/>
        <v>0</v>
      </c>
      <c r="BP63" s="2720">
        <f t="shared" si="31"/>
        <v>0</v>
      </c>
      <c r="BQ63" s="2720">
        <f t="shared" si="32"/>
        <v>0</v>
      </c>
      <c r="BR63" s="2720">
        <f t="shared" si="33"/>
        <v>0</v>
      </c>
      <c r="BS63" s="2720">
        <f t="shared" si="34"/>
        <v>0</v>
      </c>
      <c r="BT63" s="2772">
        <f t="shared" si="35"/>
        <v>0</v>
      </c>
    </row>
    <row r="64" spans="1:72">
      <c r="A64" s="2717"/>
      <c r="B64" s="2718"/>
      <c r="C64" s="2718"/>
      <c r="D64" s="2719"/>
      <c r="E64" s="2720">
        <f t="shared" si="7"/>
        <v>0</v>
      </c>
      <c r="F64" s="2721"/>
      <c r="G64" s="2722">
        <f t="shared" si="8"/>
        <v>0</v>
      </c>
      <c r="H64" s="2723">
        <f t="shared" si="9"/>
        <v>0</v>
      </c>
      <c r="I64" s="2730"/>
      <c r="J64" s="2730"/>
      <c r="K64" s="2730"/>
      <c r="L64" s="2730"/>
      <c r="M64" s="2730"/>
      <c r="N64" s="2730"/>
      <c r="O64" s="2730"/>
      <c r="P64" s="2730"/>
      <c r="Q64" s="2730"/>
      <c r="R64" s="2730"/>
      <c r="S64" s="2730"/>
      <c r="T64" s="2730"/>
      <c r="U64" s="2730"/>
      <c r="V64" s="2730"/>
      <c r="W64" s="2730"/>
      <c r="X64" s="2730"/>
      <c r="Y64" s="2730"/>
      <c r="Z64" s="2730"/>
      <c r="AA64" s="2730"/>
      <c r="AB64" s="2730"/>
      <c r="AC64" s="2720">
        <f t="shared" si="10"/>
        <v>0</v>
      </c>
      <c r="AD64" s="2740"/>
      <c r="AE64" s="2740"/>
      <c r="AF64" s="2740"/>
      <c r="AG64" s="2740"/>
      <c r="AH64" s="2740"/>
      <c r="AI64" s="2740"/>
      <c r="AJ64" s="2740"/>
      <c r="AK64" s="2740"/>
      <c r="AL64" s="2740"/>
      <c r="AM64" s="2740"/>
      <c r="AN64" s="2740"/>
      <c r="AO64" s="2740"/>
      <c r="AP64" s="2740"/>
      <c r="AQ64" s="2740"/>
      <c r="AR64" s="2740"/>
      <c r="AS64" s="2740"/>
      <c r="AT64" s="2750"/>
      <c r="AU64" s="2751"/>
      <c r="AV64" s="1092">
        <f t="shared" si="11"/>
        <v>0</v>
      </c>
      <c r="AW64" s="1092">
        <f t="shared" si="12"/>
        <v>0</v>
      </c>
      <c r="AX64" s="1092">
        <f t="shared" si="13"/>
        <v>0</v>
      </c>
      <c r="AY64" s="2765">
        <f t="shared" si="14"/>
        <v>0</v>
      </c>
      <c r="AZ64" s="2720">
        <f t="shared" si="15"/>
        <v>0</v>
      </c>
      <c r="BA64" s="2720">
        <f t="shared" si="16"/>
        <v>0</v>
      </c>
      <c r="BB64" s="2720">
        <f t="shared" si="17"/>
        <v>0</v>
      </c>
      <c r="BC64" s="2720">
        <f t="shared" si="18"/>
        <v>0</v>
      </c>
      <c r="BD64" s="2720">
        <f t="shared" si="19"/>
        <v>0</v>
      </c>
      <c r="BE64" s="2720">
        <f t="shared" si="20"/>
        <v>0</v>
      </c>
      <c r="BF64" s="2720">
        <f t="shared" si="21"/>
        <v>0</v>
      </c>
      <c r="BG64" s="2720">
        <f t="shared" si="22"/>
        <v>0</v>
      </c>
      <c r="BH64" s="2720">
        <f t="shared" si="23"/>
        <v>0</v>
      </c>
      <c r="BI64" s="2720">
        <f t="shared" si="24"/>
        <v>0</v>
      </c>
      <c r="BJ64" s="2720">
        <f t="shared" si="25"/>
        <v>0</v>
      </c>
      <c r="BK64" s="2720">
        <f t="shared" si="26"/>
        <v>0</v>
      </c>
      <c r="BL64" s="2720">
        <f t="shared" si="27"/>
        <v>0</v>
      </c>
      <c r="BM64" s="2720">
        <f t="shared" si="28"/>
        <v>0</v>
      </c>
      <c r="BN64" s="2720">
        <f t="shared" si="29"/>
        <v>0</v>
      </c>
      <c r="BO64" s="2720">
        <f t="shared" si="30"/>
        <v>0</v>
      </c>
      <c r="BP64" s="2720">
        <f t="shared" si="31"/>
        <v>0</v>
      </c>
      <c r="BQ64" s="2720">
        <f t="shared" si="32"/>
        <v>0</v>
      </c>
      <c r="BR64" s="2720">
        <f t="shared" si="33"/>
        <v>0</v>
      </c>
      <c r="BS64" s="2720">
        <f t="shared" si="34"/>
        <v>0</v>
      </c>
      <c r="BT64" s="2772">
        <f t="shared" si="35"/>
        <v>0</v>
      </c>
    </row>
    <row r="65" spans="1:72">
      <c r="A65" s="2717"/>
      <c r="B65" s="2718"/>
      <c r="C65" s="2718"/>
      <c r="D65" s="2719"/>
      <c r="E65" s="2720">
        <f t="shared" si="7"/>
        <v>0</v>
      </c>
      <c r="F65" s="2721"/>
      <c r="G65" s="2722">
        <f t="shared" si="8"/>
        <v>0</v>
      </c>
      <c r="H65" s="2723">
        <f t="shared" si="9"/>
        <v>0</v>
      </c>
      <c r="I65" s="2730"/>
      <c r="J65" s="2730"/>
      <c r="K65" s="2730"/>
      <c r="L65" s="2730"/>
      <c r="M65" s="2730"/>
      <c r="N65" s="2730"/>
      <c r="O65" s="2730"/>
      <c r="P65" s="2730"/>
      <c r="Q65" s="2730"/>
      <c r="R65" s="2730"/>
      <c r="S65" s="2730"/>
      <c r="T65" s="2730"/>
      <c r="U65" s="2730"/>
      <c r="V65" s="2730"/>
      <c r="W65" s="2730"/>
      <c r="X65" s="2730"/>
      <c r="Y65" s="2730"/>
      <c r="Z65" s="2730"/>
      <c r="AA65" s="2730"/>
      <c r="AB65" s="2730"/>
      <c r="AC65" s="2720">
        <f t="shared" si="10"/>
        <v>0</v>
      </c>
      <c r="AD65" s="2740"/>
      <c r="AE65" s="2740"/>
      <c r="AF65" s="2740"/>
      <c r="AG65" s="2740"/>
      <c r="AH65" s="2740"/>
      <c r="AI65" s="2740"/>
      <c r="AJ65" s="2740"/>
      <c r="AK65" s="2740"/>
      <c r="AL65" s="2740"/>
      <c r="AM65" s="2740"/>
      <c r="AN65" s="2740"/>
      <c r="AO65" s="2740"/>
      <c r="AP65" s="2740"/>
      <c r="AQ65" s="2740"/>
      <c r="AR65" s="2740"/>
      <c r="AS65" s="2740"/>
      <c r="AT65" s="2750"/>
      <c r="AU65" s="2751"/>
      <c r="AV65" s="1092">
        <f t="shared" si="11"/>
        <v>0</v>
      </c>
      <c r="AW65" s="1092">
        <f t="shared" si="12"/>
        <v>0</v>
      </c>
      <c r="AX65" s="1092">
        <f t="shared" si="13"/>
        <v>0</v>
      </c>
      <c r="AY65" s="2765">
        <f t="shared" si="14"/>
        <v>0</v>
      </c>
      <c r="AZ65" s="2720">
        <f t="shared" si="15"/>
        <v>0</v>
      </c>
      <c r="BA65" s="2720">
        <f t="shared" si="16"/>
        <v>0</v>
      </c>
      <c r="BB65" s="2720">
        <f t="shared" si="17"/>
        <v>0</v>
      </c>
      <c r="BC65" s="2720">
        <f t="shared" si="18"/>
        <v>0</v>
      </c>
      <c r="BD65" s="2720">
        <f t="shared" si="19"/>
        <v>0</v>
      </c>
      <c r="BE65" s="2720">
        <f t="shared" si="20"/>
        <v>0</v>
      </c>
      <c r="BF65" s="2720">
        <f t="shared" si="21"/>
        <v>0</v>
      </c>
      <c r="BG65" s="2720">
        <f t="shared" si="22"/>
        <v>0</v>
      </c>
      <c r="BH65" s="2720">
        <f t="shared" si="23"/>
        <v>0</v>
      </c>
      <c r="BI65" s="2720">
        <f t="shared" si="24"/>
        <v>0</v>
      </c>
      <c r="BJ65" s="2720">
        <f t="shared" si="25"/>
        <v>0</v>
      </c>
      <c r="BK65" s="2720">
        <f t="shared" si="26"/>
        <v>0</v>
      </c>
      <c r="BL65" s="2720">
        <f t="shared" si="27"/>
        <v>0</v>
      </c>
      <c r="BM65" s="2720">
        <f t="shared" si="28"/>
        <v>0</v>
      </c>
      <c r="BN65" s="2720">
        <f t="shared" si="29"/>
        <v>0</v>
      </c>
      <c r="BO65" s="2720">
        <f t="shared" si="30"/>
        <v>0</v>
      </c>
      <c r="BP65" s="2720">
        <f t="shared" si="31"/>
        <v>0</v>
      </c>
      <c r="BQ65" s="2720">
        <f t="shared" si="32"/>
        <v>0</v>
      </c>
      <c r="BR65" s="2720">
        <f t="shared" si="33"/>
        <v>0</v>
      </c>
      <c r="BS65" s="2720">
        <f t="shared" si="34"/>
        <v>0</v>
      </c>
      <c r="BT65" s="2772">
        <f t="shared" si="35"/>
        <v>0</v>
      </c>
    </row>
    <row r="66" spans="1:72">
      <c r="A66" s="2717"/>
      <c r="B66" s="2718"/>
      <c r="C66" s="2718"/>
      <c r="D66" s="2719"/>
      <c r="E66" s="2720">
        <f t="shared" si="7"/>
        <v>0</v>
      </c>
      <c r="F66" s="2721"/>
      <c r="G66" s="2722">
        <f t="shared" si="8"/>
        <v>0</v>
      </c>
      <c r="H66" s="2723">
        <f t="shared" si="9"/>
        <v>0</v>
      </c>
      <c r="I66" s="2730"/>
      <c r="J66" s="2730"/>
      <c r="K66" s="2730"/>
      <c r="L66" s="2730"/>
      <c r="M66" s="2730"/>
      <c r="N66" s="2730"/>
      <c r="O66" s="2730"/>
      <c r="P66" s="2730"/>
      <c r="Q66" s="2730"/>
      <c r="R66" s="2730"/>
      <c r="S66" s="2730"/>
      <c r="T66" s="2730"/>
      <c r="U66" s="2730"/>
      <c r="V66" s="2730"/>
      <c r="W66" s="2730"/>
      <c r="X66" s="2730"/>
      <c r="Y66" s="2730"/>
      <c r="Z66" s="2730"/>
      <c r="AA66" s="2730"/>
      <c r="AB66" s="2730"/>
      <c r="AC66" s="2720">
        <f t="shared" si="10"/>
        <v>0</v>
      </c>
      <c r="AD66" s="2740"/>
      <c r="AE66" s="2740"/>
      <c r="AF66" s="2740"/>
      <c r="AG66" s="2740"/>
      <c r="AH66" s="2740"/>
      <c r="AI66" s="2740"/>
      <c r="AJ66" s="2740"/>
      <c r="AK66" s="2740"/>
      <c r="AL66" s="2740"/>
      <c r="AM66" s="2740"/>
      <c r="AN66" s="2740"/>
      <c r="AO66" s="2740"/>
      <c r="AP66" s="2740"/>
      <c r="AQ66" s="2740"/>
      <c r="AR66" s="2740"/>
      <c r="AS66" s="2740"/>
      <c r="AT66" s="2750"/>
      <c r="AU66" s="2751"/>
      <c r="AV66" s="1092">
        <f t="shared" si="11"/>
        <v>0</v>
      </c>
      <c r="AW66" s="1092">
        <f t="shared" si="12"/>
        <v>0</v>
      </c>
      <c r="AX66" s="1092">
        <f t="shared" si="13"/>
        <v>0</v>
      </c>
      <c r="AY66" s="2765">
        <f t="shared" si="14"/>
        <v>0</v>
      </c>
      <c r="AZ66" s="2720">
        <f t="shared" si="15"/>
        <v>0</v>
      </c>
      <c r="BA66" s="2720">
        <f t="shared" si="16"/>
        <v>0</v>
      </c>
      <c r="BB66" s="2720">
        <f t="shared" si="17"/>
        <v>0</v>
      </c>
      <c r="BC66" s="2720">
        <f t="shared" si="18"/>
        <v>0</v>
      </c>
      <c r="BD66" s="2720">
        <f t="shared" si="19"/>
        <v>0</v>
      </c>
      <c r="BE66" s="2720">
        <f t="shared" si="20"/>
        <v>0</v>
      </c>
      <c r="BF66" s="2720">
        <f t="shared" si="21"/>
        <v>0</v>
      </c>
      <c r="BG66" s="2720">
        <f t="shared" si="22"/>
        <v>0</v>
      </c>
      <c r="BH66" s="2720">
        <f t="shared" si="23"/>
        <v>0</v>
      </c>
      <c r="BI66" s="2720">
        <f t="shared" si="24"/>
        <v>0</v>
      </c>
      <c r="BJ66" s="2720">
        <f t="shared" si="25"/>
        <v>0</v>
      </c>
      <c r="BK66" s="2720">
        <f t="shared" si="26"/>
        <v>0</v>
      </c>
      <c r="BL66" s="2720">
        <f t="shared" si="27"/>
        <v>0</v>
      </c>
      <c r="BM66" s="2720">
        <f t="shared" si="28"/>
        <v>0</v>
      </c>
      <c r="BN66" s="2720">
        <f t="shared" si="29"/>
        <v>0</v>
      </c>
      <c r="BO66" s="2720">
        <f t="shared" si="30"/>
        <v>0</v>
      </c>
      <c r="BP66" s="2720">
        <f t="shared" si="31"/>
        <v>0</v>
      </c>
      <c r="BQ66" s="2720">
        <f t="shared" si="32"/>
        <v>0</v>
      </c>
      <c r="BR66" s="2720">
        <f t="shared" si="33"/>
        <v>0</v>
      </c>
      <c r="BS66" s="2720">
        <f t="shared" si="34"/>
        <v>0</v>
      </c>
      <c r="BT66" s="2772">
        <f t="shared" si="35"/>
        <v>0</v>
      </c>
    </row>
    <row r="67" spans="1:72">
      <c r="A67" s="2717"/>
      <c r="B67" s="2718"/>
      <c r="C67" s="2718"/>
      <c r="D67" s="2719"/>
      <c r="E67" s="2720">
        <f t="shared" si="7"/>
        <v>0</v>
      </c>
      <c r="F67" s="2721"/>
      <c r="G67" s="2722">
        <f t="shared" si="8"/>
        <v>0</v>
      </c>
      <c r="H67" s="2723">
        <f t="shared" si="9"/>
        <v>0</v>
      </c>
      <c r="I67" s="2730"/>
      <c r="J67" s="2730"/>
      <c r="K67" s="2730"/>
      <c r="L67" s="2730"/>
      <c r="M67" s="2730"/>
      <c r="N67" s="2730"/>
      <c r="O67" s="2730"/>
      <c r="P67" s="2730"/>
      <c r="Q67" s="2730"/>
      <c r="R67" s="2730"/>
      <c r="S67" s="2730"/>
      <c r="T67" s="2730"/>
      <c r="U67" s="2730"/>
      <c r="V67" s="2730"/>
      <c r="W67" s="2730"/>
      <c r="X67" s="2730"/>
      <c r="Y67" s="2730"/>
      <c r="Z67" s="2730"/>
      <c r="AA67" s="2730"/>
      <c r="AB67" s="2730"/>
      <c r="AC67" s="2720">
        <f t="shared" si="10"/>
        <v>0</v>
      </c>
      <c r="AD67" s="2740"/>
      <c r="AE67" s="2740"/>
      <c r="AF67" s="2740"/>
      <c r="AG67" s="2740"/>
      <c r="AH67" s="2740"/>
      <c r="AI67" s="2740"/>
      <c r="AJ67" s="2740"/>
      <c r="AK67" s="2740"/>
      <c r="AL67" s="2740"/>
      <c r="AM67" s="2740"/>
      <c r="AN67" s="2740"/>
      <c r="AO67" s="2740"/>
      <c r="AP67" s="2740"/>
      <c r="AQ67" s="2740"/>
      <c r="AR67" s="2740"/>
      <c r="AS67" s="2740"/>
      <c r="AT67" s="2750"/>
      <c r="AU67" s="2751"/>
      <c r="AV67" s="1092">
        <f t="shared" si="11"/>
        <v>0</v>
      </c>
      <c r="AW67" s="1092">
        <f t="shared" si="12"/>
        <v>0</v>
      </c>
      <c r="AX67" s="1092">
        <f t="shared" si="13"/>
        <v>0</v>
      </c>
      <c r="AY67" s="2765">
        <f t="shared" si="14"/>
        <v>0</v>
      </c>
      <c r="AZ67" s="2720">
        <f t="shared" si="15"/>
        <v>0</v>
      </c>
      <c r="BA67" s="2720">
        <f t="shared" si="16"/>
        <v>0</v>
      </c>
      <c r="BB67" s="2720">
        <f t="shared" si="17"/>
        <v>0</v>
      </c>
      <c r="BC67" s="2720">
        <f t="shared" si="18"/>
        <v>0</v>
      </c>
      <c r="BD67" s="2720">
        <f t="shared" si="19"/>
        <v>0</v>
      </c>
      <c r="BE67" s="2720">
        <f t="shared" si="20"/>
        <v>0</v>
      </c>
      <c r="BF67" s="2720">
        <f t="shared" si="21"/>
        <v>0</v>
      </c>
      <c r="BG67" s="2720">
        <f t="shared" si="22"/>
        <v>0</v>
      </c>
      <c r="BH67" s="2720">
        <f t="shared" si="23"/>
        <v>0</v>
      </c>
      <c r="BI67" s="2720">
        <f t="shared" si="24"/>
        <v>0</v>
      </c>
      <c r="BJ67" s="2720">
        <f t="shared" si="25"/>
        <v>0</v>
      </c>
      <c r="BK67" s="2720">
        <f t="shared" si="26"/>
        <v>0</v>
      </c>
      <c r="BL67" s="2720">
        <f t="shared" si="27"/>
        <v>0</v>
      </c>
      <c r="BM67" s="2720">
        <f t="shared" si="28"/>
        <v>0</v>
      </c>
      <c r="BN67" s="2720">
        <f t="shared" si="29"/>
        <v>0</v>
      </c>
      <c r="BO67" s="2720">
        <f t="shared" si="30"/>
        <v>0</v>
      </c>
      <c r="BP67" s="2720">
        <f t="shared" si="31"/>
        <v>0</v>
      </c>
      <c r="BQ67" s="2720">
        <f t="shared" si="32"/>
        <v>0</v>
      </c>
      <c r="BR67" s="2720">
        <f t="shared" si="33"/>
        <v>0</v>
      </c>
      <c r="BS67" s="2720">
        <f t="shared" si="34"/>
        <v>0</v>
      </c>
      <c r="BT67" s="2772">
        <f t="shared" si="35"/>
        <v>0</v>
      </c>
    </row>
    <row r="68" spans="1:72">
      <c r="A68" s="2717"/>
      <c r="B68" s="2718"/>
      <c r="C68" s="2718"/>
      <c r="D68" s="2719"/>
      <c r="E68" s="2720">
        <f t="shared" si="7"/>
        <v>0</v>
      </c>
      <c r="F68" s="2721"/>
      <c r="G68" s="2722">
        <f t="shared" si="8"/>
        <v>0</v>
      </c>
      <c r="H68" s="2723">
        <f t="shared" si="9"/>
        <v>0</v>
      </c>
      <c r="I68" s="2730"/>
      <c r="J68" s="2730"/>
      <c r="K68" s="2730"/>
      <c r="L68" s="2730"/>
      <c r="M68" s="2730"/>
      <c r="N68" s="2730"/>
      <c r="O68" s="2730"/>
      <c r="P68" s="2730"/>
      <c r="Q68" s="2730"/>
      <c r="R68" s="2730"/>
      <c r="S68" s="2730"/>
      <c r="T68" s="2730"/>
      <c r="U68" s="2730"/>
      <c r="V68" s="2730"/>
      <c r="W68" s="2730"/>
      <c r="X68" s="2730"/>
      <c r="Y68" s="2730"/>
      <c r="Z68" s="2730"/>
      <c r="AA68" s="2730"/>
      <c r="AB68" s="2730"/>
      <c r="AC68" s="2720">
        <f t="shared" si="10"/>
        <v>0</v>
      </c>
      <c r="AD68" s="2740"/>
      <c r="AE68" s="2740"/>
      <c r="AF68" s="2740"/>
      <c r="AG68" s="2740"/>
      <c r="AH68" s="2740"/>
      <c r="AI68" s="2740"/>
      <c r="AJ68" s="2740"/>
      <c r="AK68" s="2740"/>
      <c r="AL68" s="2740"/>
      <c r="AM68" s="2740"/>
      <c r="AN68" s="2740"/>
      <c r="AO68" s="2740"/>
      <c r="AP68" s="2740"/>
      <c r="AQ68" s="2740"/>
      <c r="AR68" s="2740"/>
      <c r="AS68" s="2740"/>
      <c r="AT68" s="2750"/>
      <c r="AU68" s="2751"/>
      <c r="AV68" s="1092">
        <f t="shared" si="11"/>
        <v>0</v>
      </c>
      <c r="AW68" s="1092">
        <f t="shared" si="12"/>
        <v>0</v>
      </c>
      <c r="AX68" s="1092">
        <f t="shared" si="13"/>
        <v>0</v>
      </c>
      <c r="AY68" s="2765">
        <f t="shared" si="14"/>
        <v>0</v>
      </c>
      <c r="AZ68" s="2720">
        <f t="shared" si="15"/>
        <v>0</v>
      </c>
      <c r="BA68" s="2720">
        <f t="shared" si="16"/>
        <v>0</v>
      </c>
      <c r="BB68" s="2720">
        <f t="shared" si="17"/>
        <v>0</v>
      </c>
      <c r="BC68" s="2720">
        <f t="shared" si="18"/>
        <v>0</v>
      </c>
      <c r="BD68" s="2720">
        <f t="shared" si="19"/>
        <v>0</v>
      </c>
      <c r="BE68" s="2720">
        <f t="shared" si="20"/>
        <v>0</v>
      </c>
      <c r="BF68" s="2720">
        <f t="shared" si="21"/>
        <v>0</v>
      </c>
      <c r="BG68" s="2720">
        <f t="shared" si="22"/>
        <v>0</v>
      </c>
      <c r="BH68" s="2720">
        <f t="shared" si="23"/>
        <v>0</v>
      </c>
      <c r="BI68" s="2720">
        <f t="shared" si="24"/>
        <v>0</v>
      </c>
      <c r="BJ68" s="2720">
        <f t="shared" si="25"/>
        <v>0</v>
      </c>
      <c r="BK68" s="2720">
        <f t="shared" si="26"/>
        <v>0</v>
      </c>
      <c r="BL68" s="2720">
        <f t="shared" si="27"/>
        <v>0</v>
      </c>
      <c r="BM68" s="2720">
        <f t="shared" si="28"/>
        <v>0</v>
      </c>
      <c r="BN68" s="2720">
        <f t="shared" si="29"/>
        <v>0</v>
      </c>
      <c r="BO68" s="2720">
        <f t="shared" si="30"/>
        <v>0</v>
      </c>
      <c r="BP68" s="2720">
        <f t="shared" si="31"/>
        <v>0</v>
      </c>
      <c r="BQ68" s="2720">
        <f t="shared" si="32"/>
        <v>0</v>
      </c>
      <c r="BR68" s="2720">
        <f t="shared" si="33"/>
        <v>0</v>
      </c>
      <c r="BS68" s="2720">
        <f t="shared" si="34"/>
        <v>0</v>
      </c>
      <c r="BT68" s="2772">
        <f t="shared" si="35"/>
        <v>0</v>
      </c>
    </row>
    <row r="69" spans="1:72">
      <c r="A69" s="2717"/>
      <c r="B69" s="2718"/>
      <c r="C69" s="2718"/>
      <c r="D69" s="2719"/>
      <c r="E69" s="2720">
        <f t="shared" si="7"/>
        <v>0</v>
      </c>
      <c r="F69" s="2721"/>
      <c r="G69" s="2722">
        <f t="shared" si="8"/>
        <v>0</v>
      </c>
      <c r="H69" s="2723">
        <f t="shared" si="9"/>
        <v>0</v>
      </c>
      <c r="I69" s="2730"/>
      <c r="J69" s="2730"/>
      <c r="K69" s="2730"/>
      <c r="L69" s="2730"/>
      <c r="M69" s="2730"/>
      <c r="N69" s="2730"/>
      <c r="O69" s="2730"/>
      <c r="P69" s="2730"/>
      <c r="Q69" s="2730"/>
      <c r="R69" s="2730"/>
      <c r="S69" s="2730"/>
      <c r="T69" s="2730"/>
      <c r="U69" s="2730"/>
      <c r="V69" s="2730"/>
      <c r="W69" s="2730"/>
      <c r="X69" s="2730"/>
      <c r="Y69" s="2730"/>
      <c r="Z69" s="2730"/>
      <c r="AA69" s="2730"/>
      <c r="AB69" s="2730"/>
      <c r="AC69" s="2720">
        <f t="shared" si="10"/>
        <v>0</v>
      </c>
      <c r="AD69" s="2740"/>
      <c r="AE69" s="2740"/>
      <c r="AF69" s="2740"/>
      <c r="AG69" s="2740"/>
      <c r="AH69" s="2740"/>
      <c r="AI69" s="2740"/>
      <c r="AJ69" s="2740"/>
      <c r="AK69" s="2740"/>
      <c r="AL69" s="2740"/>
      <c r="AM69" s="2740"/>
      <c r="AN69" s="2740"/>
      <c r="AO69" s="2740"/>
      <c r="AP69" s="2740"/>
      <c r="AQ69" s="2740"/>
      <c r="AR69" s="2740"/>
      <c r="AS69" s="2740"/>
      <c r="AT69" s="2750"/>
      <c r="AU69" s="2751"/>
      <c r="AV69" s="1092">
        <f t="shared" si="11"/>
        <v>0</v>
      </c>
      <c r="AW69" s="1092">
        <f t="shared" si="12"/>
        <v>0</v>
      </c>
      <c r="AX69" s="1092">
        <f t="shared" si="13"/>
        <v>0</v>
      </c>
      <c r="AY69" s="2765">
        <f t="shared" si="14"/>
        <v>0</v>
      </c>
      <c r="AZ69" s="2720">
        <f t="shared" si="15"/>
        <v>0</v>
      </c>
      <c r="BA69" s="2720">
        <f t="shared" si="16"/>
        <v>0</v>
      </c>
      <c r="BB69" s="2720">
        <f t="shared" si="17"/>
        <v>0</v>
      </c>
      <c r="BC69" s="2720">
        <f t="shared" si="18"/>
        <v>0</v>
      </c>
      <c r="BD69" s="2720">
        <f t="shared" si="19"/>
        <v>0</v>
      </c>
      <c r="BE69" s="2720">
        <f t="shared" si="20"/>
        <v>0</v>
      </c>
      <c r="BF69" s="2720">
        <f t="shared" si="21"/>
        <v>0</v>
      </c>
      <c r="BG69" s="2720">
        <f t="shared" si="22"/>
        <v>0</v>
      </c>
      <c r="BH69" s="2720">
        <f t="shared" si="23"/>
        <v>0</v>
      </c>
      <c r="BI69" s="2720">
        <f t="shared" si="24"/>
        <v>0</v>
      </c>
      <c r="BJ69" s="2720">
        <f t="shared" si="25"/>
        <v>0</v>
      </c>
      <c r="BK69" s="2720">
        <f t="shared" si="26"/>
        <v>0</v>
      </c>
      <c r="BL69" s="2720">
        <f t="shared" si="27"/>
        <v>0</v>
      </c>
      <c r="BM69" s="2720">
        <f t="shared" si="28"/>
        <v>0</v>
      </c>
      <c r="BN69" s="2720">
        <f t="shared" si="29"/>
        <v>0</v>
      </c>
      <c r="BO69" s="2720">
        <f t="shared" si="30"/>
        <v>0</v>
      </c>
      <c r="BP69" s="2720">
        <f t="shared" si="31"/>
        <v>0</v>
      </c>
      <c r="BQ69" s="2720">
        <f t="shared" si="32"/>
        <v>0</v>
      </c>
      <c r="BR69" s="2720">
        <f t="shared" si="33"/>
        <v>0</v>
      </c>
      <c r="BS69" s="2720">
        <f t="shared" si="34"/>
        <v>0</v>
      </c>
      <c r="BT69" s="2772">
        <f t="shared" si="35"/>
        <v>0</v>
      </c>
    </row>
    <row r="70" spans="1:72">
      <c r="A70" s="2717"/>
      <c r="B70" s="2718"/>
      <c r="C70" s="2718"/>
      <c r="D70" s="2719"/>
      <c r="E70" s="2720">
        <f t="shared" si="7"/>
        <v>0</v>
      </c>
      <c r="F70" s="2721"/>
      <c r="G70" s="2722">
        <f t="shared" si="8"/>
        <v>0</v>
      </c>
      <c r="H70" s="2723">
        <f t="shared" si="9"/>
        <v>0</v>
      </c>
      <c r="I70" s="2730"/>
      <c r="J70" s="2730"/>
      <c r="K70" s="2730"/>
      <c r="L70" s="2730"/>
      <c r="M70" s="2730"/>
      <c r="N70" s="2730"/>
      <c r="O70" s="2730"/>
      <c r="P70" s="2730"/>
      <c r="Q70" s="2730"/>
      <c r="R70" s="2730"/>
      <c r="S70" s="2730"/>
      <c r="T70" s="2730"/>
      <c r="U70" s="2730"/>
      <c r="V70" s="2730"/>
      <c r="W70" s="2730"/>
      <c r="X70" s="2730"/>
      <c r="Y70" s="2730"/>
      <c r="Z70" s="2730"/>
      <c r="AA70" s="2730"/>
      <c r="AB70" s="2730"/>
      <c r="AC70" s="2720">
        <f t="shared" si="10"/>
        <v>0</v>
      </c>
      <c r="AD70" s="2740"/>
      <c r="AE70" s="2740"/>
      <c r="AF70" s="2740"/>
      <c r="AG70" s="2740"/>
      <c r="AH70" s="2740"/>
      <c r="AI70" s="2740"/>
      <c r="AJ70" s="2740"/>
      <c r="AK70" s="2740"/>
      <c r="AL70" s="2740"/>
      <c r="AM70" s="2740"/>
      <c r="AN70" s="2740"/>
      <c r="AO70" s="2740"/>
      <c r="AP70" s="2740"/>
      <c r="AQ70" s="2740"/>
      <c r="AR70" s="2740"/>
      <c r="AS70" s="2740"/>
      <c r="AT70" s="2750"/>
      <c r="AU70" s="2751"/>
      <c r="AV70" s="1092">
        <f t="shared" si="11"/>
        <v>0</v>
      </c>
      <c r="AW70" s="1092">
        <f t="shared" si="12"/>
        <v>0</v>
      </c>
      <c r="AX70" s="1092">
        <f t="shared" si="13"/>
        <v>0</v>
      </c>
      <c r="AY70" s="2765">
        <f t="shared" si="14"/>
        <v>0</v>
      </c>
      <c r="AZ70" s="2720">
        <f t="shared" si="15"/>
        <v>0</v>
      </c>
      <c r="BA70" s="2720">
        <f t="shared" si="16"/>
        <v>0</v>
      </c>
      <c r="BB70" s="2720">
        <f t="shared" si="17"/>
        <v>0</v>
      </c>
      <c r="BC70" s="2720">
        <f t="shared" si="18"/>
        <v>0</v>
      </c>
      <c r="BD70" s="2720">
        <f t="shared" si="19"/>
        <v>0</v>
      </c>
      <c r="BE70" s="2720">
        <f t="shared" si="20"/>
        <v>0</v>
      </c>
      <c r="BF70" s="2720">
        <f t="shared" si="21"/>
        <v>0</v>
      </c>
      <c r="BG70" s="2720">
        <f t="shared" si="22"/>
        <v>0</v>
      </c>
      <c r="BH70" s="2720">
        <f t="shared" si="23"/>
        <v>0</v>
      </c>
      <c r="BI70" s="2720">
        <f t="shared" si="24"/>
        <v>0</v>
      </c>
      <c r="BJ70" s="2720">
        <f t="shared" si="25"/>
        <v>0</v>
      </c>
      <c r="BK70" s="2720">
        <f t="shared" si="26"/>
        <v>0</v>
      </c>
      <c r="BL70" s="2720">
        <f t="shared" si="27"/>
        <v>0</v>
      </c>
      <c r="BM70" s="2720">
        <f t="shared" si="28"/>
        <v>0</v>
      </c>
      <c r="BN70" s="2720">
        <f t="shared" si="29"/>
        <v>0</v>
      </c>
      <c r="BO70" s="2720">
        <f t="shared" si="30"/>
        <v>0</v>
      </c>
      <c r="BP70" s="2720">
        <f t="shared" si="31"/>
        <v>0</v>
      </c>
      <c r="BQ70" s="2720">
        <f t="shared" si="32"/>
        <v>0</v>
      </c>
      <c r="BR70" s="2720">
        <f t="shared" si="33"/>
        <v>0</v>
      </c>
      <c r="BS70" s="2720">
        <f t="shared" si="34"/>
        <v>0</v>
      </c>
      <c r="BT70" s="2772">
        <f t="shared" si="35"/>
        <v>0</v>
      </c>
    </row>
    <row r="71" spans="1:72">
      <c r="A71" s="2717"/>
      <c r="B71" s="2718"/>
      <c r="C71" s="2718"/>
      <c r="D71" s="2719"/>
      <c r="E71" s="2720">
        <f t="shared" si="7"/>
        <v>0</v>
      </c>
      <c r="F71" s="2721"/>
      <c r="G71" s="2722">
        <f t="shared" si="8"/>
        <v>0</v>
      </c>
      <c r="H71" s="2723">
        <f t="shared" si="9"/>
        <v>0</v>
      </c>
      <c r="I71" s="2730"/>
      <c r="J71" s="2730"/>
      <c r="K71" s="2730"/>
      <c r="L71" s="2730"/>
      <c r="M71" s="2730"/>
      <c r="N71" s="2730"/>
      <c r="O71" s="2730"/>
      <c r="P71" s="2730"/>
      <c r="Q71" s="2730"/>
      <c r="R71" s="2730"/>
      <c r="S71" s="2730"/>
      <c r="T71" s="2730"/>
      <c r="U71" s="2730"/>
      <c r="V71" s="2730"/>
      <c r="W71" s="2730"/>
      <c r="X71" s="2730"/>
      <c r="Y71" s="2730"/>
      <c r="Z71" s="2730"/>
      <c r="AA71" s="2730"/>
      <c r="AB71" s="2730"/>
      <c r="AC71" s="2720">
        <f t="shared" si="10"/>
        <v>0</v>
      </c>
      <c r="AD71" s="2740"/>
      <c r="AE71" s="2740"/>
      <c r="AF71" s="2740"/>
      <c r="AG71" s="2740"/>
      <c r="AH71" s="2740"/>
      <c r="AI71" s="2740"/>
      <c r="AJ71" s="2740"/>
      <c r="AK71" s="2740"/>
      <c r="AL71" s="2740"/>
      <c r="AM71" s="2740"/>
      <c r="AN71" s="2740"/>
      <c r="AO71" s="2740"/>
      <c r="AP71" s="2740"/>
      <c r="AQ71" s="2740"/>
      <c r="AR71" s="2740"/>
      <c r="AS71" s="2740"/>
      <c r="AT71" s="2750"/>
      <c r="AU71" s="2751"/>
      <c r="AV71" s="1092">
        <f t="shared" si="11"/>
        <v>0</v>
      </c>
      <c r="AW71" s="1092">
        <f t="shared" si="12"/>
        <v>0</v>
      </c>
      <c r="AX71" s="1092">
        <f t="shared" si="13"/>
        <v>0</v>
      </c>
      <c r="AY71" s="2765">
        <f t="shared" si="14"/>
        <v>0</v>
      </c>
      <c r="AZ71" s="2720">
        <f t="shared" si="15"/>
        <v>0</v>
      </c>
      <c r="BA71" s="2720">
        <f t="shared" si="16"/>
        <v>0</v>
      </c>
      <c r="BB71" s="2720">
        <f t="shared" si="17"/>
        <v>0</v>
      </c>
      <c r="BC71" s="2720">
        <f t="shared" si="18"/>
        <v>0</v>
      </c>
      <c r="BD71" s="2720">
        <f t="shared" si="19"/>
        <v>0</v>
      </c>
      <c r="BE71" s="2720">
        <f t="shared" si="20"/>
        <v>0</v>
      </c>
      <c r="BF71" s="2720">
        <f t="shared" si="21"/>
        <v>0</v>
      </c>
      <c r="BG71" s="2720">
        <f t="shared" si="22"/>
        <v>0</v>
      </c>
      <c r="BH71" s="2720">
        <f t="shared" si="23"/>
        <v>0</v>
      </c>
      <c r="BI71" s="2720">
        <f t="shared" si="24"/>
        <v>0</v>
      </c>
      <c r="BJ71" s="2720">
        <f t="shared" si="25"/>
        <v>0</v>
      </c>
      <c r="BK71" s="2720">
        <f t="shared" si="26"/>
        <v>0</v>
      </c>
      <c r="BL71" s="2720">
        <f t="shared" si="27"/>
        <v>0</v>
      </c>
      <c r="BM71" s="2720">
        <f t="shared" si="28"/>
        <v>0</v>
      </c>
      <c r="BN71" s="2720">
        <f t="shared" si="29"/>
        <v>0</v>
      </c>
      <c r="BO71" s="2720">
        <f t="shared" si="30"/>
        <v>0</v>
      </c>
      <c r="BP71" s="2720">
        <f t="shared" si="31"/>
        <v>0</v>
      </c>
      <c r="BQ71" s="2720">
        <f t="shared" si="32"/>
        <v>0</v>
      </c>
      <c r="BR71" s="2720">
        <f t="shared" si="33"/>
        <v>0</v>
      </c>
      <c r="BS71" s="2720">
        <f t="shared" si="34"/>
        <v>0</v>
      </c>
      <c r="BT71" s="2772">
        <f t="shared" si="35"/>
        <v>0</v>
      </c>
    </row>
    <row r="72" spans="1:72">
      <c r="A72" s="2717"/>
      <c r="B72" s="2718"/>
      <c r="C72" s="2718"/>
      <c r="D72" s="2719"/>
      <c r="E72" s="2720">
        <f t="shared" si="7"/>
        <v>0</v>
      </c>
      <c r="F72" s="2721"/>
      <c r="G72" s="2722">
        <f t="shared" si="8"/>
        <v>0</v>
      </c>
      <c r="H72" s="2723">
        <f t="shared" si="9"/>
        <v>0</v>
      </c>
      <c r="I72" s="2730"/>
      <c r="J72" s="2730"/>
      <c r="K72" s="2730"/>
      <c r="L72" s="2730"/>
      <c r="M72" s="2730"/>
      <c r="N72" s="2730"/>
      <c r="O72" s="2730"/>
      <c r="P72" s="2730"/>
      <c r="Q72" s="2730"/>
      <c r="R72" s="2730"/>
      <c r="S72" s="2730"/>
      <c r="T72" s="2730"/>
      <c r="U72" s="2730"/>
      <c r="V72" s="2730"/>
      <c r="W72" s="2730"/>
      <c r="X72" s="2730"/>
      <c r="Y72" s="2730"/>
      <c r="Z72" s="2730"/>
      <c r="AA72" s="2730"/>
      <c r="AB72" s="2730"/>
      <c r="AC72" s="2720">
        <f t="shared" si="10"/>
        <v>0</v>
      </c>
      <c r="AD72" s="2740"/>
      <c r="AE72" s="2740"/>
      <c r="AF72" s="2740"/>
      <c r="AG72" s="2740"/>
      <c r="AH72" s="2740"/>
      <c r="AI72" s="2740"/>
      <c r="AJ72" s="2740"/>
      <c r="AK72" s="2740"/>
      <c r="AL72" s="2740"/>
      <c r="AM72" s="2740"/>
      <c r="AN72" s="2740"/>
      <c r="AO72" s="2740"/>
      <c r="AP72" s="2740"/>
      <c r="AQ72" s="2740"/>
      <c r="AR72" s="2740"/>
      <c r="AS72" s="2740"/>
      <c r="AT72" s="2750"/>
      <c r="AU72" s="2751"/>
      <c r="AV72" s="1092">
        <f t="shared" si="11"/>
        <v>0</v>
      </c>
      <c r="AW72" s="1092">
        <f t="shared" si="12"/>
        <v>0</v>
      </c>
      <c r="AX72" s="1092">
        <f t="shared" si="13"/>
        <v>0</v>
      </c>
      <c r="AY72" s="2765">
        <f t="shared" si="14"/>
        <v>0</v>
      </c>
      <c r="AZ72" s="2720">
        <f t="shared" si="15"/>
        <v>0</v>
      </c>
      <c r="BA72" s="2720">
        <f t="shared" si="16"/>
        <v>0</v>
      </c>
      <c r="BB72" s="2720">
        <f t="shared" si="17"/>
        <v>0</v>
      </c>
      <c r="BC72" s="2720">
        <f t="shared" si="18"/>
        <v>0</v>
      </c>
      <c r="BD72" s="2720">
        <f t="shared" si="19"/>
        <v>0</v>
      </c>
      <c r="BE72" s="2720">
        <f t="shared" si="20"/>
        <v>0</v>
      </c>
      <c r="BF72" s="2720">
        <f t="shared" si="21"/>
        <v>0</v>
      </c>
      <c r="BG72" s="2720">
        <f t="shared" si="22"/>
        <v>0</v>
      </c>
      <c r="BH72" s="2720">
        <f t="shared" si="23"/>
        <v>0</v>
      </c>
      <c r="BI72" s="2720">
        <f t="shared" si="24"/>
        <v>0</v>
      </c>
      <c r="BJ72" s="2720">
        <f t="shared" si="25"/>
        <v>0</v>
      </c>
      <c r="BK72" s="2720">
        <f t="shared" si="26"/>
        <v>0</v>
      </c>
      <c r="BL72" s="2720">
        <f t="shared" si="27"/>
        <v>0</v>
      </c>
      <c r="BM72" s="2720">
        <f t="shared" si="28"/>
        <v>0</v>
      </c>
      <c r="BN72" s="2720">
        <f t="shared" si="29"/>
        <v>0</v>
      </c>
      <c r="BO72" s="2720">
        <f t="shared" si="30"/>
        <v>0</v>
      </c>
      <c r="BP72" s="2720">
        <f t="shared" si="31"/>
        <v>0</v>
      </c>
      <c r="BQ72" s="2720">
        <f t="shared" si="32"/>
        <v>0</v>
      </c>
      <c r="BR72" s="2720">
        <f t="shared" si="33"/>
        <v>0</v>
      </c>
      <c r="BS72" s="2720">
        <f t="shared" si="34"/>
        <v>0</v>
      </c>
      <c r="BT72" s="2772">
        <f t="shared" si="35"/>
        <v>0</v>
      </c>
    </row>
    <row r="73" spans="1:72">
      <c r="A73" s="2717"/>
      <c r="B73" s="2718"/>
      <c r="C73" s="2718"/>
      <c r="D73" s="2719"/>
      <c r="E73" s="2720">
        <f t="shared" si="7"/>
        <v>0</v>
      </c>
      <c r="F73" s="2721"/>
      <c r="G73" s="2722">
        <f t="shared" si="8"/>
        <v>0</v>
      </c>
      <c r="H73" s="2723">
        <f t="shared" si="9"/>
        <v>0</v>
      </c>
      <c r="I73" s="2730"/>
      <c r="J73" s="2730"/>
      <c r="K73" s="2730"/>
      <c r="L73" s="2730"/>
      <c r="M73" s="2730"/>
      <c r="N73" s="2730"/>
      <c r="O73" s="2730"/>
      <c r="P73" s="2730"/>
      <c r="Q73" s="2730"/>
      <c r="R73" s="2730"/>
      <c r="S73" s="2730"/>
      <c r="T73" s="2730"/>
      <c r="U73" s="2730"/>
      <c r="V73" s="2730"/>
      <c r="W73" s="2730"/>
      <c r="X73" s="2730"/>
      <c r="Y73" s="2730"/>
      <c r="Z73" s="2730"/>
      <c r="AA73" s="2730"/>
      <c r="AB73" s="2730"/>
      <c r="AC73" s="2720">
        <f t="shared" si="10"/>
        <v>0</v>
      </c>
      <c r="AD73" s="2740"/>
      <c r="AE73" s="2740"/>
      <c r="AF73" s="2740"/>
      <c r="AG73" s="2740"/>
      <c r="AH73" s="2740"/>
      <c r="AI73" s="2740"/>
      <c r="AJ73" s="2740"/>
      <c r="AK73" s="2740"/>
      <c r="AL73" s="2740"/>
      <c r="AM73" s="2740"/>
      <c r="AN73" s="2740"/>
      <c r="AO73" s="2740"/>
      <c r="AP73" s="2740"/>
      <c r="AQ73" s="2740"/>
      <c r="AR73" s="2740"/>
      <c r="AS73" s="2740"/>
      <c r="AT73" s="2750"/>
      <c r="AU73" s="2751"/>
      <c r="AV73" s="1092">
        <f t="shared" si="11"/>
        <v>0</v>
      </c>
      <c r="AW73" s="1092">
        <f t="shared" si="12"/>
        <v>0</v>
      </c>
      <c r="AX73" s="1092">
        <f t="shared" si="13"/>
        <v>0</v>
      </c>
      <c r="AY73" s="2765">
        <f t="shared" si="14"/>
        <v>0</v>
      </c>
      <c r="AZ73" s="2720">
        <f t="shared" si="15"/>
        <v>0</v>
      </c>
      <c r="BA73" s="2720">
        <f t="shared" si="16"/>
        <v>0</v>
      </c>
      <c r="BB73" s="2720">
        <f t="shared" si="17"/>
        <v>0</v>
      </c>
      <c r="BC73" s="2720">
        <f t="shared" si="18"/>
        <v>0</v>
      </c>
      <c r="BD73" s="2720">
        <f t="shared" si="19"/>
        <v>0</v>
      </c>
      <c r="BE73" s="2720">
        <f t="shared" si="20"/>
        <v>0</v>
      </c>
      <c r="BF73" s="2720">
        <f t="shared" si="21"/>
        <v>0</v>
      </c>
      <c r="BG73" s="2720">
        <f t="shared" si="22"/>
        <v>0</v>
      </c>
      <c r="BH73" s="2720">
        <f t="shared" si="23"/>
        <v>0</v>
      </c>
      <c r="BI73" s="2720">
        <f t="shared" si="24"/>
        <v>0</v>
      </c>
      <c r="BJ73" s="2720">
        <f t="shared" si="25"/>
        <v>0</v>
      </c>
      <c r="BK73" s="2720">
        <f t="shared" si="26"/>
        <v>0</v>
      </c>
      <c r="BL73" s="2720">
        <f t="shared" si="27"/>
        <v>0</v>
      </c>
      <c r="BM73" s="2720">
        <f t="shared" si="28"/>
        <v>0</v>
      </c>
      <c r="BN73" s="2720">
        <f t="shared" si="29"/>
        <v>0</v>
      </c>
      <c r="BO73" s="2720">
        <f t="shared" si="30"/>
        <v>0</v>
      </c>
      <c r="BP73" s="2720">
        <f t="shared" si="31"/>
        <v>0</v>
      </c>
      <c r="BQ73" s="2720">
        <f t="shared" si="32"/>
        <v>0</v>
      </c>
      <c r="BR73" s="2720">
        <f t="shared" si="33"/>
        <v>0</v>
      </c>
      <c r="BS73" s="2720">
        <f t="shared" si="34"/>
        <v>0</v>
      </c>
      <c r="BT73" s="2772">
        <f t="shared" si="35"/>
        <v>0</v>
      </c>
    </row>
    <row r="74" spans="1:72">
      <c r="A74" s="2717"/>
      <c r="B74" s="2718"/>
      <c r="C74" s="2718"/>
      <c r="D74" s="2719"/>
      <c r="E74" s="2720">
        <f t="shared" si="7"/>
        <v>0</v>
      </c>
      <c r="F74" s="2721"/>
      <c r="G74" s="2722">
        <f t="shared" si="8"/>
        <v>0</v>
      </c>
      <c r="H74" s="2723">
        <f t="shared" si="9"/>
        <v>0</v>
      </c>
      <c r="I74" s="2730"/>
      <c r="J74" s="2730"/>
      <c r="K74" s="2730"/>
      <c r="L74" s="2730"/>
      <c r="M74" s="2730"/>
      <c r="N74" s="2730"/>
      <c r="O74" s="2730"/>
      <c r="P74" s="2730"/>
      <c r="Q74" s="2730"/>
      <c r="R74" s="2730"/>
      <c r="S74" s="2730"/>
      <c r="T74" s="2730"/>
      <c r="U74" s="2730"/>
      <c r="V74" s="2730"/>
      <c r="W74" s="2730"/>
      <c r="X74" s="2730"/>
      <c r="Y74" s="2730"/>
      <c r="Z74" s="2730"/>
      <c r="AA74" s="2730"/>
      <c r="AB74" s="2730"/>
      <c r="AC74" s="2720">
        <f t="shared" si="10"/>
        <v>0</v>
      </c>
      <c r="AD74" s="2740"/>
      <c r="AE74" s="2740"/>
      <c r="AF74" s="2740"/>
      <c r="AG74" s="2740"/>
      <c r="AH74" s="2740"/>
      <c r="AI74" s="2740"/>
      <c r="AJ74" s="2740"/>
      <c r="AK74" s="2740"/>
      <c r="AL74" s="2740"/>
      <c r="AM74" s="2740"/>
      <c r="AN74" s="2740"/>
      <c r="AO74" s="2740"/>
      <c r="AP74" s="2740"/>
      <c r="AQ74" s="2740"/>
      <c r="AR74" s="2740"/>
      <c r="AS74" s="2740"/>
      <c r="AT74" s="2750"/>
      <c r="AU74" s="2751"/>
      <c r="AV74" s="1092">
        <f t="shared" si="11"/>
        <v>0</v>
      </c>
      <c r="AW74" s="1092">
        <f t="shared" si="12"/>
        <v>0</v>
      </c>
      <c r="AX74" s="1092">
        <f t="shared" si="13"/>
        <v>0</v>
      </c>
      <c r="AY74" s="2765">
        <f t="shared" si="14"/>
        <v>0</v>
      </c>
      <c r="AZ74" s="2720">
        <f t="shared" si="15"/>
        <v>0</v>
      </c>
      <c r="BA74" s="2720">
        <f t="shared" si="16"/>
        <v>0</v>
      </c>
      <c r="BB74" s="2720">
        <f t="shared" si="17"/>
        <v>0</v>
      </c>
      <c r="BC74" s="2720">
        <f t="shared" si="18"/>
        <v>0</v>
      </c>
      <c r="BD74" s="2720">
        <f t="shared" si="19"/>
        <v>0</v>
      </c>
      <c r="BE74" s="2720">
        <f t="shared" si="20"/>
        <v>0</v>
      </c>
      <c r="BF74" s="2720">
        <f t="shared" si="21"/>
        <v>0</v>
      </c>
      <c r="BG74" s="2720">
        <f t="shared" si="22"/>
        <v>0</v>
      </c>
      <c r="BH74" s="2720">
        <f t="shared" si="23"/>
        <v>0</v>
      </c>
      <c r="BI74" s="2720">
        <f t="shared" si="24"/>
        <v>0</v>
      </c>
      <c r="BJ74" s="2720">
        <f t="shared" si="25"/>
        <v>0</v>
      </c>
      <c r="BK74" s="2720">
        <f t="shared" si="26"/>
        <v>0</v>
      </c>
      <c r="BL74" s="2720">
        <f t="shared" si="27"/>
        <v>0</v>
      </c>
      <c r="BM74" s="2720">
        <f t="shared" si="28"/>
        <v>0</v>
      </c>
      <c r="BN74" s="2720">
        <f t="shared" si="29"/>
        <v>0</v>
      </c>
      <c r="BO74" s="2720">
        <f t="shared" si="30"/>
        <v>0</v>
      </c>
      <c r="BP74" s="2720">
        <f t="shared" si="31"/>
        <v>0</v>
      </c>
      <c r="BQ74" s="2720">
        <f t="shared" si="32"/>
        <v>0</v>
      </c>
      <c r="BR74" s="2720">
        <f t="shared" si="33"/>
        <v>0</v>
      </c>
      <c r="BS74" s="2720">
        <f t="shared" si="34"/>
        <v>0</v>
      </c>
      <c r="BT74" s="2772">
        <f t="shared" si="35"/>
        <v>0</v>
      </c>
    </row>
    <row r="75" spans="1:72">
      <c r="A75" s="2717"/>
      <c r="B75" s="2718"/>
      <c r="C75" s="2718"/>
      <c r="D75" s="2719"/>
      <c r="E75" s="2720">
        <f t="shared" si="7"/>
        <v>0</v>
      </c>
      <c r="F75" s="2721"/>
      <c r="G75" s="2722">
        <f t="shared" si="8"/>
        <v>0</v>
      </c>
      <c r="H75" s="2723">
        <f t="shared" si="9"/>
        <v>0</v>
      </c>
      <c r="I75" s="2730"/>
      <c r="J75" s="2730"/>
      <c r="K75" s="2730"/>
      <c r="L75" s="2730"/>
      <c r="M75" s="2730"/>
      <c r="N75" s="2730"/>
      <c r="O75" s="2730"/>
      <c r="P75" s="2730"/>
      <c r="Q75" s="2730"/>
      <c r="R75" s="2730"/>
      <c r="S75" s="2730"/>
      <c r="T75" s="2730"/>
      <c r="U75" s="2730"/>
      <c r="V75" s="2730"/>
      <c r="W75" s="2730"/>
      <c r="X75" s="2730"/>
      <c r="Y75" s="2730"/>
      <c r="Z75" s="2730"/>
      <c r="AA75" s="2730"/>
      <c r="AB75" s="2730"/>
      <c r="AC75" s="2720">
        <f t="shared" si="10"/>
        <v>0</v>
      </c>
      <c r="AD75" s="2740"/>
      <c r="AE75" s="2740"/>
      <c r="AF75" s="2740"/>
      <c r="AG75" s="2740"/>
      <c r="AH75" s="2740"/>
      <c r="AI75" s="2740"/>
      <c r="AJ75" s="2740"/>
      <c r="AK75" s="2740"/>
      <c r="AL75" s="2740"/>
      <c r="AM75" s="2740"/>
      <c r="AN75" s="2740"/>
      <c r="AO75" s="2740"/>
      <c r="AP75" s="2740"/>
      <c r="AQ75" s="2740"/>
      <c r="AR75" s="2740"/>
      <c r="AS75" s="2740"/>
      <c r="AT75" s="2750"/>
      <c r="AU75" s="2751"/>
      <c r="AV75" s="1092">
        <f t="shared" si="11"/>
        <v>0</v>
      </c>
      <c r="AW75" s="1092">
        <f t="shared" si="12"/>
        <v>0</v>
      </c>
      <c r="AX75" s="1092">
        <f t="shared" si="13"/>
        <v>0</v>
      </c>
      <c r="AY75" s="2765">
        <f t="shared" si="14"/>
        <v>0</v>
      </c>
      <c r="AZ75" s="2720">
        <f t="shared" si="15"/>
        <v>0</v>
      </c>
      <c r="BA75" s="2720">
        <f t="shared" si="16"/>
        <v>0</v>
      </c>
      <c r="BB75" s="2720">
        <f t="shared" si="17"/>
        <v>0</v>
      </c>
      <c r="BC75" s="2720">
        <f t="shared" si="18"/>
        <v>0</v>
      </c>
      <c r="BD75" s="2720">
        <f t="shared" si="19"/>
        <v>0</v>
      </c>
      <c r="BE75" s="2720">
        <f t="shared" si="20"/>
        <v>0</v>
      </c>
      <c r="BF75" s="2720">
        <f t="shared" si="21"/>
        <v>0</v>
      </c>
      <c r="BG75" s="2720">
        <f t="shared" si="22"/>
        <v>0</v>
      </c>
      <c r="BH75" s="2720">
        <f t="shared" si="23"/>
        <v>0</v>
      </c>
      <c r="BI75" s="2720">
        <f t="shared" si="24"/>
        <v>0</v>
      </c>
      <c r="BJ75" s="2720">
        <f t="shared" si="25"/>
        <v>0</v>
      </c>
      <c r="BK75" s="2720">
        <f t="shared" si="26"/>
        <v>0</v>
      </c>
      <c r="BL75" s="2720">
        <f t="shared" si="27"/>
        <v>0</v>
      </c>
      <c r="BM75" s="2720">
        <f t="shared" si="28"/>
        <v>0</v>
      </c>
      <c r="BN75" s="2720">
        <f t="shared" si="29"/>
        <v>0</v>
      </c>
      <c r="BO75" s="2720">
        <f t="shared" si="30"/>
        <v>0</v>
      </c>
      <c r="BP75" s="2720">
        <f t="shared" si="31"/>
        <v>0</v>
      </c>
      <c r="BQ75" s="2720">
        <f t="shared" si="32"/>
        <v>0</v>
      </c>
      <c r="BR75" s="2720">
        <f t="shared" si="33"/>
        <v>0</v>
      </c>
      <c r="BS75" s="2720">
        <f t="shared" si="34"/>
        <v>0</v>
      </c>
      <c r="BT75" s="2772">
        <f t="shared" si="35"/>
        <v>0</v>
      </c>
    </row>
    <row r="76" spans="1:72">
      <c r="A76" s="2717"/>
      <c r="B76" s="2718"/>
      <c r="C76" s="2718"/>
      <c r="D76" s="2719"/>
      <c r="E76" s="2720">
        <f t="shared" si="7"/>
        <v>0</v>
      </c>
      <c r="F76" s="2721"/>
      <c r="G76" s="2722">
        <f t="shared" si="8"/>
        <v>0</v>
      </c>
      <c r="H76" s="2723">
        <f t="shared" si="9"/>
        <v>0</v>
      </c>
      <c r="I76" s="2730"/>
      <c r="J76" s="2730"/>
      <c r="K76" s="2730"/>
      <c r="L76" s="2730"/>
      <c r="M76" s="2730"/>
      <c r="N76" s="2730"/>
      <c r="O76" s="2730"/>
      <c r="P76" s="2730"/>
      <c r="Q76" s="2730"/>
      <c r="R76" s="2730"/>
      <c r="S76" s="2730"/>
      <c r="T76" s="2730"/>
      <c r="U76" s="2730"/>
      <c r="V76" s="2730"/>
      <c r="W76" s="2730"/>
      <c r="X76" s="2730"/>
      <c r="Y76" s="2730"/>
      <c r="Z76" s="2730"/>
      <c r="AA76" s="2730"/>
      <c r="AB76" s="2730"/>
      <c r="AC76" s="2720">
        <f t="shared" si="10"/>
        <v>0</v>
      </c>
      <c r="AD76" s="2740"/>
      <c r="AE76" s="2740"/>
      <c r="AF76" s="2740"/>
      <c r="AG76" s="2740"/>
      <c r="AH76" s="2740"/>
      <c r="AI76" s="2740"/>
      <c r="AJ76" s="2740"/>
      <c r="AK76" s="2740"/>
      <c r="AL76" s="2740"/>
      <c r="AM76" s="2740"/>
      <c r="AN76" s="2740"/>
      <c r="AO76" s="2740"/>
      <c r="AP76" s="2740"/>
      <c r="AQ76" s="2740"/>
      <c r="AR76" s="2740"/>
      <c r="AS76" s="2740"/>
      <c r="AT76" s="2750"/>
      <c r="AU76" s="2751"/>
      <c r="AV76" s="1092">
        <f t="shared" si="11"/>
        <v>0</v>
      </c>
      <c r="AW76" s="1092">
        <f t="shared" si="12"/>
        <v>0</v>
      </c>
      <c r="AX76" s="1092">
        <f t="shared" si="13"/>
        <v>0</v>
      </c>
      <c r="AY76" s="2765">
        <f t="shared" si="14"/>
        <v>0</v>
      </c>
      <c r="AZ76" s="2720">
        <f t="shared" si="15"/>
        <v>0</v>
      </c>
      <c r="BA76" s="2720">
        <f t="shared" si="16"/>
        <v>0</v>
      </c>
      <c r="BB76" s="2720">
        <f t="shared" si="17"/>
        <v>0</v>
      </c>
      <c r="BC76" s="2720">
        <f t="shared" si="18"/>
        <v>0</v>
      </c>
      <c r="BD76" s="2720">
        <f t="shared" si="19"/>
        <v>0</v>
      </c>
      <c r="BE76" s="2720">
        <f t="shared" si="20"/>
        <v>0</v>
      </c>
      <c r="BF76" s="2720">
        <f t="shared" si="21"/>
        <v>0</v>
      </c>
      <c r="BG76" s="2720">
        <f t="shared" si="22"/>
        <v>0</v>
      </c>
      <c r="BH76" s="2720">
        <f t="shared" si="23"/>
        <v>0</v>
      </c>
      <c r="BI76" s="2720">
        <f t="shared" si="24"/>
        <v>0</v>
      </c>
      <c r="BJ76" s="2720">
        <f t="shared" si="25"/>
        <v>0</v>
      </c>
      <c r="BK76" s="2720">
        <f t="shared" si="26"/>
        <v>0</v>
      </c>
      <c r="BL76" s="2720">
        <f t="shared" si="27"/>
        <v>0</v>
      </c>
      <c r="BM76" s="2720">
        <f t="shared" si="28"/>
        <v>0</v>
      </c>
      <c r="BN76" s="2720">
        <f t="shared" si="29"/>
        <v>0</v>
      </c>
      <c r="BO76" s="2720">
        <f t="shared" si="30"/>
        <v>0</v>
      </c>
      <c r="BP76" s="2720">
        <f t="shared" si="31"/>
        <v>0</v>
      </c>
      <c r="BQ76" s="2720">
        <f t="shared" si="32"/>
        <v>0</v>
      </c>
      <c r="BR76" s="2720">
        <f t="shared" si="33"/>
        <v>0</v>
      </c>
      <c r="BS76" s="2720">
        <f t="shared" si="34"/>
        <v>0</v>
      </c>
      <c r="BT76" s="2772">
        <f t="shared" si="35"/>
        <v>0</v>
      </c>
    </row>
    <row r="77" spans="1:72">
      <c r="A77" s="2717"/>
      <c r="B77" s="2718"/>
      <c r="C77" s="2718"/>
      <c r="D77" s="2719"/>
      <c r="E77" s="2720">
        <f t="shared" si="7"/>
        <v>0</v>
      </c>
      <c r="F77" s="2721"/>
      <c r="G77" s="2722">
        <f t="shared" si="8"/>
        <v>0</v>
      </c>
      <c r="H77" s="2723">
        <f t="shared" si="9"/>
        <v>0</v>
      </c>
      <c r="I77" s="2730"/>
      <c r="J77" s="2730"/>
      <c r="K77" s="2730"/>
      <c r="L77" s="2730"/>
      <c r="M77" s="2730"/>
      <c r="N77" s="2730"/>
      <c r="O77" s="2730"/>
      <c r="P77" s="2730"/>
      <c r="Q77" s="2730"/>
      <c r="R77" s="2730"/>
      <c r="S77" s="2730"/>
      <c r="T77" s="2730"/>
      <c r="U77" s="2730"/>
      <c r="V77" s="2730"/>
      <c r="W77" s="2730"/>
      <c r="X77" s="2730"/>
      <c r="Y77" s="2730"/>
      <c r="Z77" s="2730"/>
      <c r="AA77" s="2730"/>
      <c r="AB77" s="2730"/>
      <c r="AC77" s="2720">
        <f t="shared" si="10"/>
        <v>0</v>
      </c>
      <c r="AD77" s="2740"/>
      <c r="AE77" s="2740"/>
      <c r="AF77" s="2740"/>
      <c r="AG77" s="2740"/>
      <c r="AH77" s="2740"/>
      <c r="AI77" s="2740"/>
      <c r="AJ77" s="2740"/>
      <c r="AK77" s="2740"/>
      <c r="AL77" s="2740"/>
      <c r="AM77" s="2740"/>
      <c r="AN77" s="2740"/>
      <c r="AO77" s="2740"/>
      <c r="AP77" s="2740"/>
      <c r="AQ77" s="2740"/>
      <c r="AR77" s="2740"/>
      <c r="AS77" s="2740"/>
      <c r="AT77" s="2750"/>
      <c r="AU77" s="2751"/>
      <c r="AV77" s="1092">
        <f t="shared" si="11"/>
        <v>0</v>
      </c>
      <c r="AW77" s="1092">
        <f t="shared" si="12"/>
        <v>0</v>
      </c>
      <c r="AX77" s="1092">
        <f t="shared" si="13"/>
        <v>0</v>
      </c>
      <c r="AY77" s="2765">
        <f t="shared" si="14"/>
        <v>0</v>
      </c>
      <c r="AZ77" s="2720">
        <f t="shared" si="15"/>
        <v>0</v>
      </c>
      <c r="BA77" s="2720">
        <f t="shared" si="16"/>
        <v>0</v>
      </c>
      <c r="BB77" s="2720">
        <f t="shared" si="17"/>
        <v>0</v>
      </c>
      <c r="BC77" s="2720">
        <f t="shared" si="18"/>
        <v>0</v>
      </c>
      <c r="BD77" s="2720">
        <f t="shared" si="19"/>
        <v>0</v>
      </c>
      <c r="BE77" s="2720">
        <f t="shared" si="20"/>
        <v>0</v>
      </c>
      <c r="BF77" s="2720">
        <f t="shared" si="21"/>
        <v>0</v>
      </c>
      <c r="BG77" s="2720">
        <f t="shared" si="22"/>
        <v>0</v>
      </c>
      <c r="BH77" s="2720">
        <f t="shared" si="23"/>
        <v>0</v>
      </c>
      <c r="BI77" s="2720">
        <f t="shared" si="24"/>
        <v>0</v>
      </c>
      <c r="BJ77" s="2720">
        <f t="shared" si="25"/>
        <v>0</v>
      </c>
      <c r="BK77" s="2720">
        <f t="shared" si="26"/>
        <v>0</v>
      </c>
      <c r="BL77" s="2720">
        <f t="shared" si="27"/>
        <v>0</v>
      </c>
      <c r="BM77" s="2720">
        <f t="shared" si="28"/>
        <v>0</v>
      </c>
      <c r="BN77" s="2720">
        <f t="shared" si="29"/>
        <v>0</v>
      </c>
      <c r="BO77" s="2720">
        <f t="shared" si="30"/>
        <v>0</v>
      </c>
      <c r="BP77" s="2720">
        <f t="shared" si="31"/>
        <v>0</v>
      </c>
      <c r="BQ77" s="2720">
        <f t="shared" si="32"/>
        <v>0</v>
      </c>
      <c r="BR77" s="2720">
        <f t="shared" si="33"/>
        <v>0</v>
      </c>
      <c r="BS77" s="2720">
        <f t="shared" si="34"/>
        <v>0</v>
      </c>
      <c r="BT77" s="2772">
        <f t="shared" si="35"/>
        <v>0</v>
      </c>
    </row>
    <row r="78" spans="1:72">
      <c r="A78" s="2717"/>
      <c r="B78" s="2718"/>
      <c r="C78" s="2718"/>
      <c r="D78" s="2719"/>
      <c r="E78" s="2720">
        <f t="shared" si="7"/>
        <v>0</v>
      </c>
      <c r="F78" s="2721"/>
      <c r="G78" s="2722">
        <f t="shared" si="8"/>
        <v>0</v>
      </c>
      <c r="H78" s="2723">
        <f t="shared" si="9"/>
        <v>0</v>
      </c>
      <c r="I78" s="2730"/>
      <c r="J78" s="2730"/>
      <c r="K78" s="2730"/>
      <c r="L78" s="2730"/>
      <c r="M78" s="2730"/>
      <c r="N78" s="2730"/>
      <c r="O78" s="2730"/>
      <c r="P78" s="2730"/>
      <c r="Q78" s="2730"/>
      <c r="R78" s="2730"/>
      <c r="S78" s="2730"/>
      <c r="T78" s="2730"/>
      <c r="U78" s="2730"/>
      <c r="V78" s="2730"/>
      <c r="W78" s="2730"/>
      <c r="X78" s="2730"/>
      <c r="Y78" s="2730"/>
      <c r="Z78" s="2730"/>
      <c r="AA78" s="2730"/>
      <c r="AB78" s="2730"/>
      <c r="AC78" s="2720">
        <f t="shared" si="10"/>
        <v>0</v>
      </c>
      <c r="AD78" s="2740"/>
      <c r="AE78" s="2740"/>
      <c r="AF78" s="2740"/>
      <c r="AG78" s="2740"/>
      <c r="AH78" s="2740"/>
      <c r="AI78" s="2740"/>
      <c r="AJ78" s="2740"/>
      <c r="AK78" s="2740"/>
      <c r="AL78" s="2740"/>
      <c r="AM78" s="2740"/>
      <c r="AN78" s="2740"/>
      <c r="AO78" s="2740"/>
      <c r="AP78" s="2740"/>
      <c r="AQ78" s="2740"/>
      <c r="AR78" s="2740"/>
      <c r="AS78" s="2740"/>
      <c r="AT78" s="2750"/>
      <c r="AU78" s="2751"/>
      <c r="AV78" s="1092">
        <f t="shared" si="11"/>
        <v>0</v>
      </c>
      <c r="AW78" s="1092">
        <f t="shared" si="12"/>
        <v>0</v>
      </c>
      <c r="AX78" s="1092">
        <f t="shared" si="13"/>
        <v>0</v>
      </c>
      <c r="AY78" s="2765">
        <f t="shared" si="14"/>
        <v>0</v>
      </c>
      <c r="AZ78" s="2720">
        <f t="shared" si="15"/>
        <v>0</v>
      </c>
      <c r="BA78" s="2720">
        <f t="shared" si="16"/>
        <v>0</v>
      </c>
      <c r="BB78" s="2720">
        <f t="shared" si="17"/>
        <v>0</v>
      </c>
      <c r="BC78" s="2720">
        <f t="shared" si="18"/>
        <v>0</v>
      </c>
      <c r="BD78" s="2720">
        <f t="shared" si="19"/>
        <v>0</v>
      </c>
      <c r="BE78" s="2720">
        <f t="shared" si="20"/>
        <v>0</v>
      </c>
      <c r="BF78" s="2720">
        <f t="shared" si="21"/>
        <v>0</v>
      </c>
      <c r="BG78" s="2720">
        <f t="shared" si="22"/>
        <v>0</v>
      </c>
      <c r="BH78" s="2720">
        <f t="shared" si="23"/>
        <v>0</v>
      </c>
      <c r="BI78" s="2720">
        <f t="shared" si="24"/>
        <v>0</v>
      </c>
      <c r="BJ78" s="2720">
        <f t="shared" si="25"/>
        <v>0</v>
      </c>
      <c r="BK78" s="2720">
        <f t="shared" si="26"/>
        <v>0</v>
      </c>
      <c r="BL78" s="2720">
        <f t="shared" si="27"/>
        <v>0</v>
      </c>
      <c r="BM78" s="2720">
        <f t="shared" si="28"/>
        <v>0</v>
      </c>
      <c r="BN78" s="2720">
        <f t="shared" si="29"/>
        <v>0</v>
      </c>
      <c r="BO78" s="2720">
        <f t="shared" si="30"/>
        <v>0</v>
      </c>
      <c r="BP78" s="2720">
        <f t="shared" si="31"/>
        <v>0</v>
      </c>
      <c r="BQ78" s="2720">
        <f t="shared" si="32"/>
        <v>0</v>
      </c>
      <c r="BR78" s="2720">
        <f t="shared" si="33"/>
        <v>0</v>
      </c>
      <c r="BS78" s="2720">
        <f t="shared" si="34"/>
        <v>0</v>
      </c>
      <c r="BT78" s="2772">
        <f t="shared" si="35"/>
        <v>0</v>
      </c>
    </row>
    <row r="79" spans="1:72">
      <c r="A79" s="2717"/>
      <c r="B79" s="2718"/>
      <c r="C79" s="2718"/>
      <c r="D79" s="2719"/>
      <c r="E79" s="2720">
        <f t="shared" si="7"/>
        <v>0</v>
      </c>
      <c r="F79" s="2721"/>
      <c r="G79" s="2722">
        <f t="shared" si="8"/>
        <v>0</v>
      </c>
      <c r="H79" s="2723">
        <f t="shared" si="9"/>
        <v>0</v>
      </c>
      <c r="I79" s="2730"/>
      <c r="J79" s="2730"/>
      <c r="K79" s="2730"/>
      <c r="L79" s="2730"/>
      <c r="M79" s="2730"/>
      <c r="N79" s="2730"/>
      <c r="O79" s="2730"/>
      <c r="P79" s="2730"/>
      <c r="Q79" s="2730"/>
      <c r="R79" s="2730"/>
      <c r="S79" s="2730"/>
      <c r="T79" s="2730"/>
      <c r="U79" s="2730"/>
      <c r="V79" s="2730"/>
      <c r="W79" s="2730"/>
      <c r="X79" s="2730"/>
      <c r="Y79" s="2730"/>
      <c r="Z79" s="2730"/>
      <c r="AA79" s="2730"/>
      <c r="AB79" s="2730"/>
      <c r="AC79" s="2720">
        <f t="shared" si="10"/>
        <v>0</v>
      </c>
      <c r="AD79" s="2740"/>
      <c r="AE79" s="2740"/>
      <c r="AF79" s="2740"/>
      <c r="AG79" s="2740"/>
      <c r="AH79" s="2740"/>
      <c r="AI79" s="2740"/>
      <c r="AJ79" s="2740"/>
      <c r="AK79" s="2740"/>
      <c r="AL79" s="2740"/>
      <c r="AM79" s="2740"/>
      <c r="AN79" s="2740"/>
      <c r="AO79" s="2740"/>
      <c r="AP79" s="2740"/>
      <c r="AQ79" s="2740"/>
      <c r="AR79" s="2740"/>
      <c r="AS79" s="2740"/>
      <c r="AT79" s="2750"/>
      <c r="AU79" s="2751"/>
      <c r="AV79" s="1092">
        <f t="shared" si="11"/>
        <v>0</v>
      </c>
      <c r="AW79" s="1092">
        <f t="shared" si="12"/>
        <v>0</v>
      </c>
      <c r="AX79" s="1092">
        <f t="shared" si="13"/>
        <v>0</v>
      </c>
      <c r="AY79" s="2765">
        <f t="shared" si="14"/>
        <v>0</v>
      </c>
      <c r="AZ79" s="2720">
        <f t="shared" si="15"/>
        <v>0</v>
      </c>
      <c r="BA79" s="2720">
        <f t="shared" si="16"/>
        <v>0</v>
      </c>
      <c r="BB79" s="2720">
        <f t="shared" si="17"/>
        <v>0</v>
      </c>
      <c r="BC79" s="2720">
        <f t="shared" si="18"/>
        <v>0</v>
      </c>
      <c r="BD79" s="2720">
        <f t="shared" si="19"/>
        <v>0</v>
      </c>
      <c r="BE79" s="2720">
        <f t="shared" si="20"/>
        <v>0</v>
      </c>
      <c r="BF79" s="2720">
        <f t="shared" si="21"/>
        <v>0</v>
      </c>
      <c r="BG79" s="2720">
        <f t="shared" si="22"/>
        <v>0</v>
      </c>
      <c r="BH79" s="2720">
        <f t="shared" si="23"/>
        <v>0</v>
      </c>
      <c r="BI79" s="2720">
        <f t="shared" si="24"/>
        <v>0</v>
      </c>
      <c r="BJ79" s="2720">
        <f t="shared" si="25"/>
        <v>0</v>
      </c>
      <c r="BK79" s="2720">
        <f t="shared" si="26"/>
        <v>0</v>
      </c>
      <c r="BL79" s="2720">
        <f t="shared" si="27"/>
        <v>0</v>
      </c>
      <c r="BM79" s="2720">
        <f t="shared" si="28"/>
        <v>0</v>
      </c>
      <c r="BN79" s="2720">
        <f t="shared" si="29"/>
        <v>0</v>
      </c>
      <c r="BO79" s="2720">
        <f t="shared" si="30"/>
        <v>0</v>
      </c>
      <c r="BP79" s="2720">
        <f t="shared" si="31"/>
        <v>0</v>
      </c>
      <c r="BQ79" s="2720">
        <f t="shared" si="32"/>
        <v>0</v>
      </c>
      <c r="BR79" s="2720">
        <f t="shared" si="33"/>
        <v>0</v>
      </c>
      <c r="BS79" s="2720">
        <f t="shared" si="34"/>
        <v>0</v>
      </c>
      <c r="BT79" s="2772">
        <f t="shared" si="35"/>
        <v>0</v>
      </c>
    </row>
    <row r="80" spans="1:72">
      <c r="A80" s="2717"/>
      <c r="B80" s="2718"/>
      <c r="C80" s="2718"/>
      <c r="D80" s="2719"/>
      <c r="E80" s="2720">
        <f t="shared" si="7"/>
        <v>0</v>
      </c>
      <c r="F80" s="2721"/>
      <c r="G80" s="2722">
        <f t="shared" si="8"/>
        <v>0</v>
      </c>
      <c r="H80" s="2723">
        <f t="shared" si="9"/>
        <v>0</v>
      </c>
      <c r="I80" s="2730"/>
      <c r="J80" s="2730"/>
      <c r="K80" s="2730"/>
      <c r="L80" s="2730"/>
      <c r="M80" s="2730"/>
      <c r="N80" s="2730"/>
      <c r="O80" s="2730"/>
      <c r="P80" s="2730"/>
      <c r="Q80" s="2730"/>
      <c r="R80" s="2730"/>
      <c r="S80" s="2730"/>
      <c r="T80" s="2730"/>
      <c r="U80" s="2730"/>
      <c r="V80" s="2730"/>
      <c r="W80" s="2730"/>
      <c r="X80" s="2730"/>
      <c r="Y80" s="2730"/>
      <c r="Z80" s="2730"/>
      <c r="AA80" s="2730"/>
      <c r="AB80" s="2730"/>
      <c r="AC80" s="2720">
        <f t="shared" si="10"/>
        <v>0</v>
      </c>
      <c r="AD80" s="2740"/>
      <c r="AE80" s="2740"/>
      <c r="AF80" s="2740"/>
      <c r="AG80" s="2740"/>
      <c r="AH80" s="2740"/>
      <c r="AI80" s="2740"/>
      <c r="AJ80" s="2740"/>
      <c r="AK80" s="2740"/>
      <c r="AL80" s="2740"/>
      <c r="AM80" s="2740"/>
      <c r="AN80" s="2740"/>
      <c r="AO80" s="2740"/>
      <c r="AP80" s="2740"/>
      <c r="AQ80" s="2740"/>
      <c r="AR80" s="2740"/>
      <c r="AS80" s="2740"/>
      <c r="AT80" s="2750"/>
      <c r="AU80" s="2751"/>
      <c r="AV80" s="1092">
        <f t="shared" si="11"/>
        <v>0</v>
      </c>
      <c r="AW80" s="1092">
        <f t="shared" si="12"/>
        <v>0</v>
      </c>
      <c r="AX80" s="1092">
        <f t="shared" si="13"/>
        <v>0</v>
      </c>
      <c r="AY80" s="2765">
        <f t="shared" si="14"/>
        <v>0</v>
      </c>
      <c r="AZ80" s="2720">
        <f t="shared" si="15"/>
        <v>0</v>
      </c>
      <c r="BA80" s="2720">
        <f t="shared" si="16"/>
        <v>0</v>
      </c>
      <c r="BB80" s="2720">
        <f t="shared" si="17"/>
        <v>0</v>
      </c>
      <c r="BC80" s="2720">
        <f t="shared" si="18"/>
        <v>0</v>
      </c>
      <c r="BD80" s="2720">
        <f t="shared" si="19"/>
        <v>0</v>
      </c>
      <c r="BE80" s="2720">
        <f t="shared" si="20"/>
        <v>0</v>
      </c>
      <c r="BF80" s="2720">
        <f t="shared" si="21"/>
        <v>0</v>
      </c>
      <c r="BG80" s="2720">
        <f t="shared" si="22"/>
        <v>0</v>
      </c>
      <c r="BH80" s="2720">
        <f t="shared" si="23"/>
        <v>0</v>
      </c>
      <c r="BI80" s="2720">
        <f t="shared" si="24"/>
        <v>0</v>
      </c>
      <c r="BJ80" s="2720">
        <f t="shared" si="25"/>
        <v>0</v>
      </c>
      <c r="BK80" s="2720">
        <f t="shared" si="26"/>
        <v>0</v>
      </c>
      <c r="BL80" s="2720">
        <f t="shared" si="27"/>
        <v>0</v>
      </c>
      <c r="BM80" s="2720">
        <f t="shared" si="28"/>
        <v>0</v>
      </c>
      <c r="BN80" s="2720">
        <f t="shared" si="29"/>
        <v>0</v>
      </c>
      <c r="BO80" s="2720">
        <f t="shared" si="30"/>
        <v>0</v>
      </c>
      <c r="BP80" s="2720">
        <f t="shared" si="31"/>
        <v>0</v>
      </c>
      <c r="BQ80" s="2720">
        <f t="shared" si="32"/>
        <v>0</v>
      </c>
      <c r="BR80" s="2720">
        <f t="shared" si="33"/>
        <v>0</v>
      </c>
      <c r="BS80" s="2720">
        <f t="shared" si="34"/>
        <v>0</v>
      </c>
      <c r="BT80" s="2772">
        <f t="shared" si="35"/>
        <v>0</v>
      </c>
    </row>
    <row r="81" spans="1:72">
      <c r="A81" s="2717"/>
      <c r="B81" s="2718"/>
      <c r="C81" s="2718"/>
      <c r="D81" s="2719"/>
      <c r="E81" s="2720">
        <f t="shared" si="7"/>
        <v>0</v>
      </c>
      <c r="F81" s="2721"/>
      <c r="G81" s="2722">
        <f t="shared" si="8"/>
        <v>0</v>
      </c>
      <c r="H81" s="2723">
        <f t="shared" si="9"/>
        <v>0</v>
      </c>
      <c r="I81" s="2730"/>
      <c r="J81" s="2730"/>
      <c r="K81" s="2730"/>
      <c r="L81" s="2730"/>
      <c r="M81" s="2730"/>
      <c r="N81" s="2730"/>
      <c r="O81" s="2730"/>
      <c r="P81" s="2730"/>
      <c r="Q81" s="2730"/>
      <c r="R81" s="2730"/>
      <c r="S81" s="2730"/>
      <c r="T81" s="2730"/>
      <c r="U81" s="2730"/>
      <c r="V81" s="2730"/>
      <c r="W81" s="2730"/>
      <c r="X81" s="2730"/>
      <c r="Y81" s="2730"/>
      <c r="Z81" s="2730"/>
      <c r="AA81" s="2730"/>
      <c r="AB81" s="2730"/>
      <c r="AC81" s="2720">
        <f t="shared" si="10"/>
        <v>0</v>
      </c>
      <c r="AD81" s="2740"/>
      <c r="AE81" s="2740"/>
      <c r="AF81" s="2740"/>
      <c r="AG81" s="2740"/>
      <c r="AH81" s="2740"/>
      <c r="AI81" s="2740"/>
      <c r="AJ81" s="2740"/>
      <c r="AK81" s="2740"/>
      <c r="AL81" s="2740"/>
      <c r="AM81" s="2740"/>
      <c r="AN81" s="2740"/>
      <c r="AO81" s="2740"/>
      <c r="AP81" s="2740"/>
      <c r="AQ81" s="2740"/>
      <c r="AR81" s="2740"/>
      <c r="AS81" s="2740"/>
      <c r="AT81" s="2750"/>
      <c r="AU81" s="2751"/>
      <c r="AV81" s="1092">
        <f t="shared" si="11"/>
        <v>0</v>
      </c>
      <c r="AW81" s="1092">
        <f t="shared" si="12"/>
        <v>0</v>
      </c>
      <c r="AX81" s="1092">
        <f t="shared" si="13"/>
        <v>0</v>
      </c>
      <c r="AY81" s="2765">
        <f t="shared" si="14"/>
        <v>0</v>
      </c>
      <c r="AZ81" s="2720">
        <f t="shared" si="15"/>
        <v>0</v>
      </c>
      <c r="BA81" s="2720">
        <f t="shared" si="16"/>
        <v>0</v>
      </c>
      <c r="BB81" s="2720">
        <f t="shared" si="17"/>
        <v>0</v>
      </c>
      <c r="BC81" s="2720">
        <f t="shared" si="18"/>
        <v>0</v>
      </c>
      <c r="BD81" s="2720">
        <f t="shared" si="19"/>
        <v>0</v>
      </c>
      <c r="BE81" s="2720">
        <f t="shared" si="20"/>
        <v>0</v>
      </c>
      <c r="BF81" s="2720">
        <f t="shared" si="21"/>
        <v>0</v>
      </c>
      <c r="BG81" s="2720">
        <f t="shared" si="22"/>
        <v>0</v>
      </c>
      <c r="BH81" s="2720">
        <f t="shared" si="23"/>
        <v>0</v>
      </c>
      <c r="BI81" s="2720">
        <f t="shared" si="24"/>
        <v>0</v>
      </c>
      <c r="BJ81" s="2720">
        <f t="shared" si="25"/>
        <v>0</v>
      </c>
      <c r="BK81" s="2720">
        <f t="shared" si="26"/>
        <v>0</v>
      </c>
      <c r="BL81" s="2720">
        <f t="shared" si="27"/>
        <v>0</v>
      </c>
      <c r="BM81" s="2720">
        <f t="shared" si="28"/>
        <v>0</v>
      </c>
      <c r="BN81" s="2720">
        <f t="shared" si="29"/>
        <v>0</v>
      </c>
      <c r="BO81" s="2720">
        <f t="shared" si="30"/>
        <v>0</v>
      </c>
      <c r="BP81" s="2720">
        <f t="shared" si="31"/>
        <v>0</v>
      </c>
      <c r="BQ81" s="2720">
        <f t="shared" si="32"/>
        <v>0</v>
      </c>
      <c r="BR81" s="2720">
        <f t="shared" si="33"/>
        <v>0</v>
      </c>
      <c r="BS81" s="2720">
        <f t="shared" si="34"/>
        <v>0</v>
      </c>
      <c r="BT81" s="2772">
        <f t="shared" si="35"/>
        <v>0</v>
      </c>
    </row>
    <row r="82" spans="1:72">
      <c r="A82" s="2717"/>
      <c r="B82" s="2718"/>
      <c r="C82" s="2718"/>
      <c r="D82" s="2719"/>
      <c r="E82" s="2720">
        <f t="shared" si="7"/>
        <v>0</v>
      </c>
      <c r="F82" s="2721"/>
      <c r="G82" s="2722">
        <f t="shared" si="8"/>
        <v>0</v>
      </c>
      <c r="H82" s="2723">
        <f t="shared" si="9"/>
        <v>0</v>
      </c>
      <c r="I82" s="2730"/>
      <c r="J82" s="2730"/>
      <c r="K82" s="2730"/>
      <c r="L82" s="2730"/>
      <c r="M82" s="2730"/>
      <c r="N82" s="2730"/>
      <c r="O82" s="2730"/>
      <c r="P82" s="2730"/>
      <c r="Q82" s="2730"/>
      <c r="R82" s="2730"/>
      <c r="S82" s="2730"/>
      <c r="T82" s="2730"/>
      <c r="U82" s="2730"/>
      <c r="V82" s="2730"/>
      <c r="W82" s="2730"/>
      <c r="X82" s="2730"/>
      <c r="Y82" s="2730"/>
      <c r="Z82" s="2730"/>
      <c r="AA82" s="2730"/>
      <c r="AB82" s="2730"/>
      <c r="AC82" s="2720">
        <f t="shared" si="10"/>
        <v>0</v>
      </c>
      <c r="AD82" s="2740"/>
      <c r="AE82" s="2740"/>
      <c r="AF82" s="2740"/>
      <c r="AG82" s="2740"/>
      <c r="AH82" s="2740"/>
      <c r="AI82" s="2740"/>
      <c r="AJ82" s="2740"/>
      <c r="AK82" s="2740"/>
      <c r="AL82" s="2740"/>
      <c r="AM82" s="2740"/>
      <c r="AN82" s="2740"/>
      <c r="AO82" s="2740"/>
      <c r="AP82" s="2740"/>
      <c r="AQ82" s="2740"/>
      <c r="AR82" s="2740"/>
      <c r="AS82" s="2740"/>
      <c r="AT82" s="2750"/>
      <c r="AU82" s="2751"/>
      <c r="AV82" s="1092">
        <f t="shared" si="11"/>
        <v>0</v>
      </c>
      <c r="AW82" s="1092">
        <f t="shared" si="12"/>
        <v>0</v>
      </c>
      <c r="AX82" s="1092">
        <f t="shared" si="13"/>
        <v>0</v>
      </c>
      <c r="AY82" s="2765">
        <f t="shared" si="14"/>
        <v>0</v>
      </c>
      <c r="AZ82" s="2720">
        <f t="shared" si="15"/>
        <v>0</v>
      </c>
      <c r="BA82" s="2720">
        <f t="shared" si="16"/>
        <v>0</v>
      </c>
      <c r="BB82" s="2720">
        <f t="shared" si="17"/>
        <v>0</v>
      </c>
      <c r="BC82" s="2720">
        <f t="shared" si="18"/>
        <v>0</v>
      </c>
      <c r="BD82" s="2720">
        <f t="shared" si="19"/>
        <v>0</v>
      </c>
      <c r="BE82" s="2720">
        <f t="shared" si="20"/>
        <v>0</v>
      </c>
      <c r="BF82" s="2720">
        <f t="shared" si="21"/>
        <v>0</v>
      </c>
      <c r="BG82" s="2720">
        <f t="shared" si="22"/>
        <v>0</v>
      </c>
      <c r="BH82" s="2720">
        <f t="shared" si="23"/>
        <v>0</v>
      </c>
      <c r="BI82" s="2720">
        <f t="shared" si="24"/>
        <v>0</v>
      </c>
      <c r="BJ82" s="2720">
        <f t="shared" si="25"/>
        <v>0</v>
      </c>
      <c r="BK82" s="2720">
        <f t="shared" si="26"/>
        <v>0</v>
      </c>
      <c r="BL82" s="2720">
        <f t="shared" si="27"/>
        <v>0</v>
      </c>
      <c r="BM82" s="2720">
        <f t="shared" si="28"/>
        <v>0</v>
      </c>
      <c r="BN82" s="2720">
        <f t="shared" si="29"/>
        <v>0</v>
      </c>
      <c r="BO82" s="2720">
        <f t="shared" si="30"/>
        <v>0</v>
      </c>
      <c r="BP82" s="2720">
        <f t="shared" si="31"/>
        <v>0</v>
      </c>
      <c r="BQ82" s="2720">
        <f t="shared" si="32"/>
        <v>0</v>
      </c>
      <c r="BR82" s="2720">
        <f t="shared" si="33"/>
        <v>0</v>
      </c>
      <c r="BS82" s="2720">
        <f t="shared" si="34"/>
        <v>0</v>
      </c>
      <c r="BT82" s="2772">
        <f t="shared" si="35"/>
        <v>0</v>
      </c>
    </row>
    <row r="83" spans="1:72">
      <c r="A83" s="2717"/>
      <c r="B83" s="2718"/>
      <c r="C83" s="2718"/>
      <c r="D83" s="2719"/>
      <c r="E83" s="2720">
        <f t="shared" si="7"/>
        <v>0</v>
      </c>
      <c r="F83" s="2721"/>
      <c r="G83" s="2722">
        <f t="shared" si="8"/>
        <v>0</v>
      </c>
      <c r="H83" s="2723">
        <f t="shared" si="9"/>
        <v>0</v>
      </c>
      <c r="I83" s="2730"/>
      <c r="J83" s="2730"/>
      <c r="K83" s="2730"/>
      <c r="L83" s="2730"/>
      <c r="M83" s="2730"/>
      <c r="N83" s="2730"/>
      <c r="O83" s="2730"/>
      <c r="P83" s="2730"/>
      <c r="Q83" s="2730"/>
      <c r="R83" s="2730"/>
      <c r="S83" s="2730"/>
      <c r="T83" s="2730"/>
      <c r="U83" s="2730"/>
      <c r="V83" s="2730"/>
      <c r="W83" s="2730"/>
      <c r="X83" s="2730"/>
      <c r="Y83" s="2730"/>
      <c r="Z83" s="2730"/>
      <c r="AA83" s="2730"/>
      <c r="AB83" s="2730"/>
      <c r="AC83" s="2720">
        <f t="shared" si="10"/>
        <v>0</v>
      </c>
      <c r="AD83" s="2740"/>
      <c r="AE83" s="2740"/>
      <c r="AF83" s="2740"/>
      <c r="AG83" s="2740"/>
      <c r="AH83" s="2740"/>
      <c r="AI83" s="2740"/>
      <c r="AJ83" s="2740"/>
      <c r="AK83" s="2740"/>
      <c r="AL83" s="2740"/>
      <c r="AM83" s="2740"/>
      <c r="AN83" s="2740"/>
      <c r="AO83" s="2740"/>
      <c r="AP83" s="2740"/>
      <c r="AQ83" s="2740"/>
      <c r="AR83" s="2740"/>
      <c r="AS83" s="2740"/>
      <c r="AT83" s="2750"/>
      <c r="AU83" s="2751"/>
      <c r="AV83" s="1092">
        <f t="shared" si="11"/>
        <v>0</v>
      </c>
      <c r="AW83" s="1092">
        <f t="shared" si="12"/>
        <v>0</v>
      </c>
      <c r="AX83" s="1092">
        <f t="shared" si="13"/>
        <v>0</v>
      </c>
      <c r="AY83" s="2765">
        <f t="shared" si="14"/>
        <v>0</v>
      </c>
      <c r="AZ83" s="2720">
        <f t="shared" si="15"/>
        <v>0</v>
      </c>
      <c r="BA83" s="2720">
        <f t="shared" si="16"/>
        <v>0</v>
      </c>
      <c r="BB83" s="2720">
        <f t="shared" si="17"/>
        <v>0</v>
      </c>
      <c r="BC83" s="2720">
        <f t="shared" si="18"/>
        <v>0</v>
      </c>
      <c r="BD83" s="2720">
        <f t="shared" si="19"/>
        <v>0</v>
      </c>
      <c r="BE83" s="2720">
        <f t="shared" si="20"/>
        <v>0</v>
      </c>
      <c r="BF83" s="2720">
        <f t="shared" si="21"/>
        <v>0</v>
      </c>
      <c r="BG83" s="2720">
        <f t="shared" si="22"/>
        <v>0</v>
      </c>
      <c r="BH83" s="2720">
        <f t="shared" si="23"/>
        <v>0</v>
      </c>
      <c r="BI83" s="2720">
        <f t="shared" si="24"/>
        <v>0</v>
      </c>
      <c r="BJ83" s="2720">
        <f t="shared" si="25"/>
        <v>0</v>
      </c>
      <c r="BK83" s="2720">
        <f t="shared" si="26"/>
        <v>0</v>
      </c>
      <c r="BL83" s="2720">
        <f t="shared" si="27"/>
        <v>0</v>
      </c>
      <c r="BM83" s="2720">
        <f t="shared" si="28"/>
        <v>0</v>
      </c>
      <c r="BN83" s="2720">
        <f t="shared" si="29"/>
        <v>0</v>
      </c>
      <c r="BO83" s="2720">
        <f t="shared" si="30"/>
        <v>0</v>
      </c>
      <c r="BP83" s="2720">
        <f t="shared" si="31"/>
        <v>0</v>
      </c>
      <c r="BQ83" s="2720">
        <f t="shared" si="32"/>
        <v>0</v>
      </c>
      <c r="BR83" s="2720">
        <f t="shared" si="33"/>
        <v>0</v>
      </c>
      <c r="BS83" s="2720">
        <f t="shared" si="34"/>
        <v>0</v>
      </c>
      <c r="BT83" s="2772">
        <f t="shared" si="35"/>
        <v>0</v>
      </c>
    </row>
    <row r="84" spans="1:72">
      <c r="A84" s="2717"/>
      <c r="B84" s="2718"/>
      <c r="C84" s="2718"/>
      <c r="D84" s="2719"/>
      <c r="E84" s="2720">
        <f t="shared" si="7"/>
        <v>0</v>
      </c>
      <c r="F84" s="2721"/>
      <c r="G84" s="2722">
        <f t="shared" si="8"/>
        <v>0</v>
      </c>
      <c r="H84" s="2723">
        <f t="shared" si="9"/>
        <v>0</v>
      </c>
      <c r="I84" s="2730"/>
      <c r="J84" s="2730"/>
      <c r="K84" s="2730"/>
      <c r="L84" s="2730"/>
      <c r="M84" s="2730"/>
      <c r="N84" s="2730"/>
      <c r="O84" s="2730"/>
      <c r="P84" s="2730"/>
      <c r="Q84" s="2730"/>
      <c r="R84" s="2730"/>
      <c r="S84" s="2730"/>
      <c r="T84" s="2730"/>
      <c r="U84" s="2730"/>
      <c r="V84" s="2730"/>
      <c r="W84" s="2730"/>
      <c r="X84" s="2730"/>
      <c r="Y84" s="2730"/>
      <c r="Z84" s="2730"/>
      <c r="AA84" s="2730"/>
      <c r="AB84" s="2730"/>
      <c r="AC84" s="2720">
        <f t="shared" si="10"/>
        <v>0</v>
      </c>
      <c r="AD84" s="2740"/>
      <c r="AE84" s="2740"/>
      <c r="AF84" s="2740"/>
      <c r="AG84" s="2740"/>
      <c r="AH84" s="2740"/>
      <c r="AI84" s="2740"/>
      <c r="AJ84" s="2740"/>
      <c r="AK84" s="2740"/>
      <c r="AL84" s="2740"/>
      <c r="AM84" s="2740"/>
      <c r="AN84" s="2740"/>
      <c r="AO84" s="2740"/>
      <c r="AP84" s="2740"/>
      <c r="AQ84" s="2740"/>
      <c r="AR84" s="2740"/>
      <c r="AS84" s="2740"/>
      <c r="AT84" s="2750"/>
      <c r="AU84" s="2751"/>
      <c r="AV84" s="1092">
        <f t="shared" si="11"/>
        <v>0</v>
      </c>
      <c r="AW84" s="1092">
        <f t="shared" si="12"/>
        <v>0</v>
      </c>
      <c r="AX84" s="1092">
        <f t="shared" si="13"/>
        <v>0</v>
      </c>
      <c r="AY84" s="2765">
        <f t="shared" si="14"/>
        <v>0</v>
      </c>
      <c r="AZ84" s="2720">
        <f t="shared" si="15"/>
        <v>0</v>
      </c>
      <c r="BA84" s="2720">
        <f t="shared" si="16"/>
        <v>0</v>
      </c>
      <c r="BB84" s="2720">
        <f t="shared" si="17"/>
        <v>0</v>
      </c>
      <c r="BC84" s="2720">
        <f t="shared" si="18"/>
        <v>0</v>
      </c>
      <c r="BD84" s="2720">
        <f t="shared" si="19"/>
        <v>0</v>
      </c>
      <c r="BE84" s="2720">
        <f t="shared" si="20"/>
        <v>0</v>
      </c>
      <c r="BF84" s="2720">
        <f t="shared" si="21"/>
        <v>0</v>
      </c>
      <c r="BG84" s="2720">
        <f t="shared" si="22"/>
        <v>0</v>
      </c>
      <c r="BH84" s="2720">
        <f t="shared" si="23"/>
        <v>0</v>
      </c>
      <c r="BI84" s="2720">
        <f t="shared" si="24"/>
        <v>0</v>
      </c>
      <c r="BJ84" s="2720">
        <f t="shared" si="25"/>
        <v>0</v>
      </c>
      <c r="BK84" s="2720">
        <f t="shared" si="26"/>
        <v>0</v>
      </c>
      <c r="BL84" s="2720">
        <f t="shared" si="27"/>
        <v>0</v>
      </c>
      <c r="BM84" s="2720">
        <f t="shared" si="28"/>
        <v>0</v>
      </c>
      <c r="BN84" s="2720">
        <f t="shared" si="29"/>
        <v>0</v>
      </c>
      <c r="BO84" s="2720">
        <f t="shared" si="30"/>
        <v>0</v>
      </c>
      <c r="BP84" s="2720">
        <f t="shared" si="31"/>
        <v>0</v>
      </c>
      <c r="BQ84" s="2720">
        <f t="shared" si="32"/>
        <v>0</v>
      </c>
      <c r="BR84" s="2720">
        <f t="shared" si="33"/>
        <v>0</v>
      </c>
      <c r="BS84" s="2720">
        <f t="shared" si="34"/>
        <v>0</v>
      </c>
      <c r="BT84" s="2772">
        <f t="shared" si="35"/>
        <v>0</v>
      </c>
    </row>
    <row r="85" spans="1:72">
      <c r="A85" s="2717"/>
      <c r="B85" s="2718"/>
      <c r="C85" s="2718"/>
      <c r="D85" s="2719"/>
      <c r="E85" s="2720">
        <f t="shared" si="7"/>
        <v>0</v>
      </c>
      <c r="F85" s="2721"/>
      <c r="G85" s="2722">
        <f t="shared" si="8"/>
        <v>0</v>
      </c>
      <c r="H85" s="2723">
        <f t="shared" si="9"/>
        <v>0</v>
      </c>
      <c r="I85" s="2730"/>
      <c r="J85" s="2730"/>
      <c r="K85" s="2730"/>
      <c r="L85" s="2730"/>
      <c r="M85" s="2730"/>
      <c r="N85" s="2730"/>
      <c r="O85" s="2730"/>
      <c r="P85" s="2730"/>
      <c r="Q85" s="2730"/>
      <c r="R85" s="2730"/>
      <c r="S85" s="2730"/>
      <c r="T85" s="2730"/>
      <c r="U85" s="2730"/>
      <c r="V85" s="2730"/>
      <c r="W85" s="2730"/>
      <c r="X85" s="2730"/>
      <c r="Y85" s="2730"/>
      <c r="Z85" s="2730"/>
      <c r="AA85" s="2730"/>
      <c r="AB85" s="2730"/>
      <c r="AC85" s="2720">
        <f t="shared" si="10"/>
        <v>0</v>
      </c>
      <c r="AD85" s="2740"/>
      <c r="AE85" s="2740"/>
      <c r="AF85" s="2740"/>
      <c r="AG85" s="2740"/>
      <c r="AH85" s="2740"/>
      <c r="AI85" s="2740"/>
      <c r="AJ85" s="2740"/>
      <c r="AK85" s="2740"/>
      <c r="AL85" s="2740"/>
      <c r="AM85" s="2740"/>
      <c r="AN85" s="2740"/>
      <c r="AO85" s="2740"/>
      <c r="AP85" s="2740"/>
      <c r="AQ85" s="2740"/>
      <c r="AR85" s="2740"/>
      <c r="AS85" s="2740"/>
      <c r="AT85" s="2750"/>
      <c r="AU85" s="2751"/>
      <c r="AV85" s="1092">
        <f t="shared" si="11"/>
        <v>0</v>
      </c>
      <c r="AW85" s="1092">
        <f t="shared" si="12"/>
        <v>0</v>
      </c>
      <c r="AX85" s="1092">
        <f t="shared" si="13"/>
        <v>0</v>
      </c>
      <c r="AY85" s="2765">
        <f t="shared" si="14"/>
        <v>0</v>
      </c>
      <c r="AZ85" s="2720">
        <f t="shared" si="15"/>
        <v>0</v>
      </c>
      <c r="BA85" s="2720">
        <f t="shared" si="16"/>
        <v>0</v>
      </c>
      <c r="BB85" s="2720">
        <f t="shared" si="17"/>
        <v>0</v>
      </c>
      <c r="BC85" s="2720">
        <f t="shared" si="18"/>
        <v>0</v>
      </c>
      <c r="BD85" s="2720">
        <f t="shared" si="19"/>
        <v>0</v>
      </c>
      <c r="BE85" s="2720">
        <f t="shared" si="20"/>
        <v>0</v>
      </c>
      <c r="BF85" s="2720">
        <f t="shared" si="21"/>
        <v>0</v>
      </c>
      <c r="BG85" s="2720">
        <f t="shared" si="22"/>
        <v>0</v>
      </c>
      <c r="BH85" s="2720">
        <f t="shared" si="23"/>
        <v>0</v>
      </c>
      <c r="BI85" s="2720">
        <f t="shared" si="24"/>
        <v>0</v>
      </c>
      <c r="BJ85" s="2720">
        <f t="shared" si="25"/>
        <v>0</v>
      </c>
      <c r="BK85" s="2720">
        <f t="shared" si="26"/>
        <v>0</v>
      </c>
      <c r="BL85" s="2720">
        <f t="shared" si="27"/>
        <v>0</v>
      </c>
      <c r="BM85" s="2720">
        <f t="shared" si="28"/>
        <v>0</v>
      </c>
      <c r="BN85" s="2720">
        <f t="shared" si="29"/>
        <v>0</v>
      </c>
      <c r="BO85" s="2720">
        <f t="shared" si="30"/>
        <v>0</v>
      </c>
      <c r="BP85" s="2720">
        <f t="shared" si="31"/>
        <v>0</v>
      </c>
      <c r="BQ85" s="2720">
        <f t="shared" si="32"/>
        <v>0</v>
      </c>
      <c r="BR85" s="2720">
        <f t="shared" si="33"/>
        <v>0</v>
      </c>
      <c r="BS85" s="2720">
        <f t="shared" si="34"/>
        <v>0</v>
      </c>
      <c r="BT85" s="2772">
        <f t="shared" si="35"/>
        <v>0</v>
      </c>
    </row>
    <row r="86" spans="1:72">
      <c r="A86" s="2717"/>
      <c r="B86" s="2718"/>
      <c r="C86" s="2718"/>
      <c r="D86" s="2719"/>
      <c r="E86" s="2720">
        <f t="shared" si="7"/>
        <v>0</v>
      </c>
      <c r="F86" s="2721"/>
      <c r="G86" s="2722">
        <f t="shared" si="8"/>
        <v>0</v>
      </c>
      <c r="H86" s="2723">
        <f t="shared" si="9"/>
        <v>0</v>
      </c>
      <c r="I86" s="2730"/>
      <c r="J86" s="2730"/>
      <c r="K86" s="2730"/>
      <c r="L86" s="2730"/>
      <c r="M86" s="2730"/>
      <c r="N86" s="2730"/>
      <c r="O86" s="2730"/>
      <c r="P86" s="2730"/>
      <c r="Q86" s="2730"/>
      <c r="R86" s="2730"/>
      <c r="S86" s="2730"/>
      <c r="T86" s="2730"/>
      <c r="U86" s="2730"/>
      <c r="V86" s="2730"/>
      <c r="W86" s="2730"/>
      <c r="X86" s="2730"/>
      <c r="Y86" s="2730"/>
      <c r="Z86" s="2730"/>
      <c r="AA86" s="2730"/>
      <c r="AB86" s="2730"/>
      <c r="AC86" s="2720">
        <f t="shared" si="10"/>
        <v>0</v>
      </c>
      <c r="AD86" s="2740"/>
      <c r="AE86" s="2740"/>
      <c r="AF86" s="2740"/>
      <c r="AG86" s="2740"/>
      <c r="AH86" s="2740"/>
      <c r="AI86" s="2740"/>
      <c r="AJ86" s="2740"/>
      <c r="AK86" s="2740"/>
      <c r="AL86" s="2740"/>
      <c r="AM86" s="2740"/>
      <c r="AN86" s="2740"/>
      <c r="AO86" s="2740"/>
      <c r="AP86" s="2740"/>
      <c r="AQ86" s="2740"/>
      <c r="AR86" s="2740"/>
      <c r="AS86" s="2740"/>
      <c r="AT86" s="2750"/>
      <c r="AU86" s="2751"/>
      <c r="AV86" s="1092">
        <f t="shared" si="11"/>
        <v>0</v>
      </c>
      <c r="AW86" s="1092">
        <f t="shared" si="12"/>
        <v>0</v>
      </c>
      <c r="AX86" s="1092">
        <f t="shared" si="13"/>
        <v>0</v>
      </c>
      <c r="AY86" s="2765">
        <f t="shared" si="14"/>
        <v>0</v>
      </c>
      <c r="AZ86" s="2720">
        <f t="shared" si="15"/>
        <v>0</v>
      </c>
      <c r="BA86" s="2720">
        <f t="shared" si="16"/>
        <v>0</v>
      </c>
      <c r="BB86" s="2720">
        <f t="shared" si="17"/>
        <v>0</v>
      </c>
      <c r="BC86" s="2720">
        <f t="shared" si="18"/>
        <v>0</v>
      </c>
      <c r="BD86" s="2720">
        <f t="shared" si="19"/>
        <v>0</v>
      </c>
      <c r="BE86" s="2720">
        <f t="shared" si="20"/>
        <v>0</v>
      </c>
      <c r="BF86" s="2720">
        <f t="shared" si="21"/>
        <v>0</v>
      </c>
      <c r="BG86" s="2720">
        <f t="shared" si="22"/>
        <v>0</v>
      </c>
      <c r="BH86" s="2720">
        <f t="shared" si="23"/>
        <v>0</v>
      </c>
      <c r="BI86" s="2720">
        <f t="shared" si="24"/>
        <v>0</v>
      </c>
      <c r="BJ86" s="2720">
        <f t="shared" si="25"/>
        <v>0</v>
      </c>
      <c r="BK86" s="2720">
        <f t="shared" si="26"/>
        <v>0</v>
      </c>
      <c r="BL86" s="2720">
        <f t="shared" si="27"/>
        <v>0</v>
      </c>
      <c r="BM86" s="2720">
        <f t="shared" si="28"/>
        <v>0</v>
      </c>
      <c r="BN86" s="2720">
        <f t="shared" si="29"/>
        <v>0</v>
      </c>
      <c r="BO86" s="2720">
        <f t="shared" si="30"/>
        <v>0</v>
      </c>
      <c r="BP86" s="2720">
        <f t="shared" si="31"/>
        <v>0</v>
      </c>
      <c r="BQ86" s="2720">
        <f t="shared" si="32"/>
        <v>0</v>
      </c>
      <c r="BR86" s="2720">
        <f t="shared" si="33"/>
        <v>0</v>
      </c>
      <c r="BS86" s="2720">
        <f t="shared" si="34"/>
        <v>0</v>
      </c>
      <c r="BT86" s="2772">
        <f t="shared" si="35"/>
        <v>0</v>
      </c>
    </row>
    <row r="87" spans="1:72">
      <c r="A87" s="2717"/>
      <c r="B87" s="2718"/>
      <c r="C87" s="2718"/>
      <c r="D87" s="2719"/>
      <c r="E87" s="2720">
        <f t="shared" si="7"/>
        <v>0</v>
      </c>
      <c r="F87" s="2721"/>
      <c r="G87" s="2722">
        <f t="shared" si="8"/>
        <v>0</v>
      </c>
      <c r="H87" s="2723">
        <f t="shared" si="9"/>
        <v>0</v>
      </c>
      <c r="I87" s="2730"/>
      <c r="J87" s="2730"/>
      <c r="K87" s="2730"/>
      <c r="L87" s="2730"/>
      <c r="M87" s="2730"/>
      <c r="N87" s="2730"/>
      <c r="O87" s="2730"/>
      <c r="P87" s="2730"/>
      <c r="Q87" s="2730"/>
      <c r="R87" s="2730"/>
      <c r="S87" s="2730"/>
      <c r="T87" s="2730"/>
      <c r="U87" s="2730"/>
      <c r="V87" s="2730"/>
      <c r="W87" s="2730"/>
      <c r="X87" s="2730"/>
      <c r="Y87" s="2730"/>
      <c r="Z87" s="2730"/>
      <c r="AA87" s="2730"/>
      <c r="AB87" s="2730"/>
      <c r="AC87" s="2720">
        <f t="shared" si="10"/>
        <v>0</v>
      </c>
      <c r="AD87" s="2740"/>
      <c r="AE87" s="2740"/>
      <c r="AF87" s="2740"/>
      <c r="AG87" s="2740"/>
      <c r="AH87" s="2740"/>
      <c r="AI87" s="2740"/>
      <c r="AJ87" s="2740"/>
      <c r="AK87" s="2740"/>
      <c r="AL87" s="2740"/>
      <c r="AM87" s="2740"/>
      <c r="AN87" s="2740"/>
      <c r="AO87" s="2740"/>
      <c r="AP87" s="2740"/>
      <c r="AQ87" s="2740"/>
      <c r="AR87" s="2740"/>
      <c r="AS87" s="2740"/>
      <c r="AT87" s="2750"/>
      <c r="AU87" s="2751"/>
      <c r="AV87" s="1092">
        <f t="shared" si="11"/>
        <v>0</v>
      </c>
      <c r="AW87" s="1092">
        <f t="shared" si="12"/>
        <v>0</v>
      </c>
      <c r="AX87" s="1092">
        <f t="shared" si="13"/>
        <v>0</v>
      </c>
      <c r="AY87" s="2765">
        <f t="shared" si="14"/>
        <v>0</v>
      </c>
      <c r="AZ87" s="2720">
        <f t="shared" si="15"/>
        <v>0</v>
      </c>
      <c r="BA87" s="2720">
        <f t="shared" si="16"/>
        <v>0</v>
      </c>
      <c r="BB87" s="2720">
        <f t="shared" si="17"/>
        <v>0</v>
      </c>
      <c r="BC87" s="2720">
        <f t="shared" si="18"/>
        <v>0</v>
      </c>
      <c r="BD87" s="2720">
        <f t="shared" si="19"/>
        <v>0</v>
      </c>
      <c r="BE87" s="2720">
        <f t="shared" si="20"/>
        <v>0</v>
      </c>
      <c r="BF87" s="2720">
        <f t="shared" si="21"/>
        <v>0</v>
      </c>
      <c r="BG87" s="2720">
        <f t="shared" si="22"/>
        <v>0</v>
      </c>
      <c r="BH87" s="2720">
        <f t="shared" si="23"/>
        <v>0</v>
      </c>
      <c r="BI87" s="2720">
        <f t="shared" si="24"/>
        <v>0</v>
      </c>
      <c r="BJ87" s="2720">
        <f t="shared" si="25"/>
        <v>0</v>
      </c>
      <c r="BK87" s="2720">
        <f t="shared" si="26"/>
        <v>0</v>
      </c>
      <c r="BL87" s="2720">
        <f t="shared" si="27"/>
        <v>0</v>
      </c>
      <c r="BM87" s="2720">
        <f t="shared" si="28"/>
        <v>0</v>
      </c>
      <c r="BN87" s="2720">
        <f t="shared" si="29"/>
        <v>0</v>
      </c>
      <c r="BO87" s="2720">
        <f t="shared" si="30"/>
        <v>0</v>
      </c>
      <c r="BP87" s="2720">
        <f t="shared" si="31"/>
        <v>0</v>
      </c>
      <c r="BQ87" s="2720">
        <f t="shared" si="32"/>
        <v>0</v>
      </c>
      <c r="BR87" s="2720">
        <f t="shared" si="33"/>
        <v>0</v>
      </c>
      <c r="BS87" s="2720">
        <f t="shared" si="34"/>
        <v>0</v>
      </c>
      <c r="BT87" s="2772">
        <f t="shared" si="35"/>
        <v>0</v>
      </c>
    </row>
    <row r="88" spans="1:72">
      <c r="A88" s="2717"/>
      <c r="B88" s="2718"/>
      <c r="C88" s="2718"/>
      <c r="D88" s="2719"/>
      <c r="E88" s="2720">
        <f t="shared" si="7"/>
        <v>0</v>
      </c>
      <c r="F88" s="2721"/>
      <c r="G88" s="2722">
        <f t="shared" si="8"/>
        <v>0</v>
      </c>
      <c r="H88" s="2723">
        <f t="shared" si="9"/>
        <v>0</v>
      </c>
      <c r="I88" s="2730"/>
      <c r="J88" s="2730"/>
      <c r="K88" s="2730"/>
      <c r="L88" s="2730"/>
      <c r="M88" s="2730"/>
      <c r="N88" s="2730"/>
      <c r="O88" s="2730"/>
      <c r="P88" s="2730"/>
      <c r="Q88" s="2730"/>
      <c r="R88" s="2730"/>
      <c r="S88" s="2730"/>
      <c r="T88" s="2730"/>
      <c r="U88" s="2730"/>
      <c r="V88" s="2730"/>
      <c r="W88" s="2730"/>
      <c r="X88" s="2730"/>
      <c r="Y88" s="2730"/>
      <c r="Z88" s="2730"/>
      <c r="AA88" s="2730"/>
      <c r="AB88" s="2730"/>
      <c r="AC88" s="2720">
        <f t="shared" si="10"/>
        <v>0</v>
      </c>
      <c r="AD88" s="2740"/>
      <c r="AE88" s="2740"/>
      <c r="AF88" s="2740"/>
      <c r="AG88" s="2740"/>
      <c r="AH88" s="2740"/>
      <c r="AI88" s="2740"/>
      <c r="AJ88" s="2740"/>
      <c r="AK88" s="2740"/>
      <c r="AL88" s="2740"/>
      <c r="AM88" s="2740"/>
      <c r="AN88" s="2740"/>
      <c r="AO88" s="2740"/>
      <c r="AP88" s="2740"/>
      <c r="AQ88" s="2740"/>
      <c r="AR88" s="2740"/>
      <c r="AS88" s="2740"/>
      <c r="AT88" s="2750"/>
      <c r="AU88" s="2751"/>
      <c r="AV88" s="1092">
        <f t="shared" si="11"/>
        <v>0</v>
      </c>
      <c r="AW88" s="1092">
        <f t="shared" si="12"/>
        <v>0</v>
      </c>
      <c r="AX88" s="1092">
        <f t="shared" si="13"/>
        <v>0</v>
      </c>
      <c r="AY88" s="2765">
        <f t="shared" si="14"/>
        <v>0</v>
      </c>
      <c r="AZ88" s="2720">
        <f t="shared" si="15"/>
        <v>0</v>
      </c>
      <c r="BA88" s="2720">
        <f t="shared" si="16"/>
        <v>0</v>
      </c>
      <c r="BB88" s="2720">
        <f t="shared" si="17"/>
        <v>0</v>
      </c>
      <c r="BC88" s="2720">
        <f t="shared" si="18"/>
        <v>0</v>
      </c>
      <c r="BD88" s="2720">
        <f t="shared" si="19"/>
        <v>0</v>
      </c>
      <c r="BE88" s="2720">
        <f t="shared" si="20"/>
        <v>0</v>
      </c>
      <c r="BF88" s="2720">
        <f t="shared" si="21"/>
        <v>0</v>
      </c>
      <c r="BG88" s="2720">
        <f t="shared" si="22"/>
        <v>0</v>
      </c>
      <c r="BH88" s="2720">
        <f t="shared" si="23"/>
        <v>0</v>
      </c>
      <c r="BI88" s="2720">
        <f t="shared" si="24"/>
        <v>0</v>
      </c>
      <c r="BJ88" s="2720">
        <f t="shared" si="25"/>
        <v>0</v>
      </c>
      <c r="BK88" s="2720">
        <f t="shared" si="26"/>
        <v>0</v>
      </c>
      <c r="BL88" s="2720">
        <f t="shared" si="27"/>
        <v>0</v>
      </c>
      <c r="BM88" s="2720">
        <f t="shared" si="28"/>
        <v>0</v>
      </c>
      <c r="BN88" s="2720">
        <f t="shared" si="29"/>
        <v>0</v>
      </c>
      <c r="BO88" s="2720">
        <f t="shared" si="30"/>
        <v>0</v>
      </c>
      <c r="BP88" s="2720">
        <f t="shared" si="31"/>
        <v>0</v>
      </c>
      <c r="BQ88" s="2720">
        <f t="shared" si="32"/>
        <v>0</v>
      </c>
      <c r="BR88" s="2720">
        <f t="shared" si="33"/>
        <v>0</v>
      </c>
      <c r="BS88" s="2720">
        <f t="shared" si="34"/>
        <v>0</v>
      </c>
      <c r="BT88" s="2772">
        <f t="shared" si="35"/>
        <v>0</v>
      </c>
    </row>
    <row r="89" spans="1:72">
      <c r="A89" s="2717"/>
      <c r="B89" s="2718"/>
      <c r="C89" s="2718"/>
      <c r="D89" s="2719"/>
      <c r="E89" s="2720">
        <f t="shared" si="7"/>
        <v>0</v>
      </c>
      <c r="F89" s="2721"/>
      <c r="G89" s="2722">
        <f t="shared" si="8"/>
        <v>0</v>
      </c>
      <c r="H89" s="2723">
        <f t="shared" si="9"/>
        <v>0</v>
      </c>
      <c r="I89" s="2730"/>
      <c r="J89" s="2730"/>
      <c r="K89" s="2730"/>
      <c r="L89" s="2730"/>
      <c r="M89" s="2730"/>
      <c r="N89" s="2730"/>
      <c r="O89" s="2730"/>
      <c r="P89" s="2730"/>
      <c r="Q89" s="2730"/>
      <c r="R89" s="2730"/>
      <c r="S89" s="2730"/>
      <c r="T89" s="2730"/>
      <c r="U89" s="2730"/>
      <c r="V89" s="2730"/>
      <c r="W89" s="2730"/>
      <c r="X89" s="2730"/>
      <c r="Y89" s="2730"/>
      <c r="Z89" s="2730"/>
      <c r="AA89" s="2730"/>
      <c r="AB89" s="2730"/>
      <c r="AC89" s="2720">
        <f t="shared" si="10"/>
        <v>0</v>
      </c>
      <c r="AD89" s="2740"/>
      <c r="AE89" s="2740"/>
      <c r="AF89" s="2740"/>
      <c r="AG89" s="2740"/>
      <c r="AH89" s="2740"/>
      <c r="AI89" s="2740"/>
      <c r="AJ89" s="2740"/>
      <c r="AK89" s="2740"/>
      <c r="AL89" s="2740"/>
      <c r="AM89" s="2740"/>
      <c r="AN89" s="2740"/>
      <c r="AO89" s="2740"/>
      <c r="AP89" s="2740"/>
      <c r="AQ89" s="2740"/>
      <c r="AR89" s="2740"/>
      <c r="AS89" s="2740"/>
      <c r="AT89" s="2750"/>
      <c r="AU89" s="2751"/>
      <c r="AV89" s="1092">
        <f t="shared" si="11"/>
        <v>0</v>
      </c>
      <c r="AW89" s="1092">
        <f t="shared" si="12"/>
        <v>0</v>
      </c>
      <c r="AX89" s="1092">
        <f t="shared" si="13"/>
        <v>0</v>
      </c>
      <c r="AY89" s="2765">
        <f t="shared" si="14"/>
        <v>0</v>
      </c>
      <c r="AZ89" s="2720">
        <f t="shared" si="15"/>
        <v>0</v>
      </c>
      <c r="BA89" s="2720">
        <f t="shared" si="16"/>
        <v>0</v>
      </c>
      <c r="BB89" s="2720">
        <f t="shared" si="17"/>
        <v>0</v>
      </c>
      <c r="BC89" s="2720">
        <f t="shared" si="18"/>
        <v>0</v>
      </c>
      <c r="BD89" s="2720">
        <f t="shared" si="19"/>
        <v>0</v>
      </c>
      <c r="BE89" s="2720">
        <f t="shared" si="20"/>
        <v>0</v>
      </c>
      <c r="BF89" s="2720">
        <f t="shared" si="21"/>
        <v>0</v>
      </c>
      <c r="BG89" s="2720">
        <f t="shared" si="22"/>
        <v>0</v>
      </c>
      <c r="BH89" s="2720">
        <f t="shared" si="23"/>
        <v>0</v>
      </c>
      <c r="BI89" s="2720">
        <f t="shared" si="24"/>
        <v>0</v>
      </c>
      <c r="BJ89" s="2720">
        <f t="shared" si="25"/>
        <v>0</v>
      </c>
      <c r="BK89" s="2720">
        <f t="shared" si="26"/>
        <v>0</v>
      </c>
      <c r="BL89" s="2720">
        <f t="shared" si="27"/>
        <v>0</v>
      </c>
      <c r="BM89" s="2720">
        <f t="shared" si="28"/>
        <v>0</v>
      </c>
      <c r="BN89" s="2720">
        <f t="shared" si="29"/>
        <v>0</v>
      </c>
      <c r="BO89" s="2720">
        <f t="shared" si="30"/>
        <v>0</v>
      </c>
      <c r="BP89" s="2720">
        <f t="shared" si="31"/>
        <v>0</v>
      </c>
      <c r="BQ89" s="2720">
        <f t="shared" si="32"/>
        <v>0</v>
      </c>
      <c r="BR89" s="2720">
        <f t="shared" si="33"/>
        <v>0</v>
      </c>
      <c r="BS89" s="2720">
        <f t="shared" si="34"/>
        <v>0</v>
      </c>
      <c r="BT89" s="2772">
        <f t="shared" si="35"/>
        <v>0</v>
      </c>
    </row>
    <row r="90" spans="1:72">
      <c r="A90" s="2717"/>
      <c r="B90" s="2718"/>
      <c r="C90" s="2718"/>
      <c r="D90" s="2719"/>
      <c r="E90" s="2720">
        <f t="shared" si="7"/>
        <v>0</v>
      </c>
      <c r="F90" s="2721"/>
      <c r="G90" s="2722">
        <f t="shared" si="8"/>
        <v>0</v>
      </c>
      <c r="H90" s="2723">
        <f t="shared" si="9"/>
        <v>0</v>
      </c>
      <c r="I90" s="2730"/>
      <c r="J90" s="2730"/>
      <c r="K90" s="2730"/>
      <c r="L90" s="2730"/>
      <c r="M90" s="2730"/>
      <c r="N90" s="2730"/>
      <c r="O90" s="2730"/>
      <c r="P90" s="2730"/>
      <c r="Q90" s="2730"/>
      <c r="R90" s="2730"/>
      <c r="S90" s="2730"/>
      <c r="T90" s="2730"/>
      <c r="U90" s="2730"/>
      <c r="V90" s="2730"/>
      <c r="W90" s="2730"/>
      <c r="X90" s="2730"/>
      <c r="Y90" s="2730"/>
      <c r="Z90" s="2730"/>
      <c r="AA90" s="2730"/>
      <c r="AB90" s="2730"/>
      <c r="AC90" s="2720">
        <f t="shared" si="10"/>
        <v>0</v>
      </c>
      <c r="AD90" s="2740"/>
      <c r="AE90" s="2740"/>
      <c r="AF90" s="2740"/>
      <c r="AG90" s="2740"/>
      <c r="AH90" s="2740"/>
      <c r="AI90" s="2740"/>
      <c r="AJ90" s="2740"/>
      <c r="AK90" s="2740"/>
      <c r="AL90" s="2740"/>
      <c r="AM90" s="2740"/>
      <c r="AN90" s="2740"/>
      <c r="AO90" s="2740"/>
      <c r="AP90" s="2740"/>
      <c r="AQ90" s="2740"/>
      <c r="AR90" s="2740"/>
      <c r="AS90" s="2740"/>
      <c r="AT90" s="2750"/>
      <c r="AU90" s="2751"/>
      <c r="AV90" s="1092">
        <f t="shared" si="11"/>
        <v>0</v>
      </c>
      <c r="AW90" s="1092">
        <f t="shared" si="12"/>
        <v>0</v>
      </c>
      <c r="AX90" s="1092">
        <f t="shared" si="13"/>
        <v>0</v>
      </c>
      <c r="AY90" s="2765">
        <f t="shared" si="14"/>
        <v>0</v>
      </c>
      <c r="AZ90" s="2720">
        <f t="shared" si="15"/>
        <v>0</v>
      </c>
      <c r="BA90" s="2720">
        <f t="shared" si="16"/>
        <v>0</v>
      </c>
      <c r="BB90" s="2720">
        <f t="shared" si="17"/>
        <v>0</v>
      </c>
      <c r="BC90" s="2720">
        <f t="shared" si="18"/>
        <v>0</v>
      </c>
      <c r="BD90" s="2720">
        <f t="shared" si="19"/>
        <v>0</v>
      </c>
      <c r="BE90" s="2720">
        <f t="shared" si="20"/>
        <v>0</v>
      </c>
      <c r="BF90" s="2720">
        <f t="shared" si="21"/>
        <v>0</v>
      </c>
      <c r="BG90" s="2720">
        <f t="shared" si="22"/>
        <v>0</v>
      </c>
      <c r="BH90" s="2720">
        <f t="shared" si="23"/>
        <v>0</v>
      </c>
      <c r="BI90" s="2720">
        <f t="shared" si="24"/>
        <v>0</v>
      </c>
      <c r="BJ90" s="2720">
        <f t="shared" si="25"/>
        <v>0</v>
      </c>
      <c r="BK90" s="2720">
        <f t="shared" si="26"/>
        <v>0</v>
      </c>
      <c r="BL90" s="2720">
        <f t="shared" si="27"/>
        <v>0</v>
      </c>
      <c r="BM90" s="2720">
        <f t="shared" si="28"/>
        <v>0</v>
      </c>
      <c r="BN90" s="2720">
        <f t="shared" si="29"/>
        <v>0</v>
      </c>
      <c r="BO90" s="2720">
        <f t="shared" si="30"/>
        <v>0</v>
      </c>
      <c r="BP90" s="2720">
        <f t="shared" si="31"/>
        <v>0</v>
      </c>
      <c r="BQ90" s="2720">
        <f t="shared" si="32"/>
        <v>0</v>
      </c>
      <c r="BR90" s="2720">
        <f t="shared" si="33"/>
        <v>0</v>
      </c>
      <c r="BS90" s="2720">
        <f t="shared" si="34"/>
        <v>0</v>
      </c>
      <c r="BT90" s="2772">
        <f t="shared" si="35"/>
        <v>0</v>
      </c>
    </row>
    <row r="91" spans="1:72">
      <c r="A91" s="2717"/>
      <c r="B91" s="2718"/>
      <c r="C91" s="2718"/>
      <c r="D91" s="2719"/>
      <c r="E91" s="2720">
        <f t="shared" si="7"/>
        <v>0</v>
      </c>
      <c r="F91" s="2721"/>
      <c r="G91" s="2722">
        <f t="shared" si="8"/>
        <v>0</v>
      </c>
      <c r="H91" s="2723">
        <f t="shared" si="9"/>
        <v>0</v>
      </c>
      <c r="I91" s="2730"/>
      <c r="J91" s="2730"/>
      <c r="K91" s="2730"/>
      <c r="L91" s="2730"/>
      <c r="M91" s="2730"/>
      <c r="N91" s="2730"/>
      <c r="O91" s="2730"/>
      <c r="P91" s="2730"/>
      <c r="Q91" s="2730"/>
      <c r="R91" s="2730"/>
      <c r="S91" s="2730"/>
      <c r="T91" s="2730"/>
      <c r="U91" s="2730"/>
      <c r="V91" s="2730"/>
      <c r="W91" s="2730"/>
      <c r="X91" s="2730"/>
      <c r="Y91" s="2730"/>
      <c r="Z91" s="2730"/>
      <c r="AA91" s="2730"/>
      <c r="AB91" s="2730"/>
      <c r="AC91" s="2720">
        <f t="shared" si="10"/>
        <v>0</v>
      </c>
      <c r="AD91" s="2740"/>
      <c r="AE91" s="2740"/>
      <c r="AF91" s="2740"/>
      <c r="AG91" s="2740"/>
      <c r="AH91" s="2740"/>
      <c r="AI91" s="2740"/>
      <c r="AJ91" s="2740"/>
      <c r="AK91" s="2740"/>
      <c r="AL91" s="2740"/>
      <c r="AM91" s="2740"/>
      <c r="AN91" s="2740"/>
      <c r="AO91" s="2740"/>
      <c r="AP91" s="2740"/>
      <c r="AQ91" s="2740"/>
      <c r="AR91" s="2740"/>
      <c r="AS91" s="2740"/>
      <c r="AT91" s="2750"/>
      <c r="AU91" s="2751"/>
      <c r="AV91" s="1092">
        <f t="shared" si="11"/>
        <v>0</v>
      </c>
      <c r="AW91" s="1092">
        <f t="shared" si="12"/>
        <v>0</v>
      </c>
      <c r="AX91" s="1092">
        <f t="shared" si="13"/>
        <v>0</v>
      </c>
      <c r="AY91" s="2765">
        <f t="shared" si="14"/>
        <v>0</v>
      </c>
      <c r="AZ91" s="2720">
        <f t="shared" si="15"/>
        <v>0</v>
      </c>
      <c r="BA91" s="2720">
        <f t="shared" si="16"/>
        <v>0</v>
      </c>
      <c r="BB91" s="2720">
        <f t="shared" si="17"/>
        <v>0</v>
      </c>
      <c r="BC91" s="2720">
        <f t="shared" si="18"/>
        <v>0</v>
      </c>
      <c r="BD91" s="2720">
        <f t="shared" si="19"/>
        <v>0</v>
      </c>
      <c r="BE91" s="2720">
        <f t="shared" si="20"/>
        <v>0</v>
      </c>
      <c r="BF91" s="2720">
        <f t="shared" si="21"/>
        <v>0</v>
      </c>
      <c r="BG91" s="2720">
        <f t="shared" si="22"/>
        <v>0</v>
      </c>
      <c r="BH91" s="2720">
        <f t="shared" si="23"/>
        <v>0</v>
      </c>
      <c r="BI91" s="2720">
        <f t="shared" si="24"/>
        <v>0</v>
      </c>
      <c r="BJ91" s="2720">
        <f t="shared" si="25"/>
        <v>0</v>
      </c>
      <c r="BK91" s="2720">
        <f t="shared" si="26"/>
        <v>0</v>
      </c>
      <c r="BL91" s="2720">
        <f t="shared" si="27"/>
        <v>0</v>
      </c>
      <c r="BM91" s="2720">
        <f t="shared" si="28"/>
        <v>0</v>
      </c>
      <c r="BN91" s="2720">
        <f t="shared" si="29"/>
        <v>0</v>
      </c>
      <c r="BO91" s="2720">
        <f t="shared" si="30"/>
        <v>0</v>
      </c>
      <c r="BP91" s="2720">
        <f t="shared" si="31"/>
        <v>0</v>
      </c>
      <c r="BQ91" s="2720">
        <f t="shared" si="32"/>
        <v>0</v>
      </c>
      <c r="BR91" s="2720">
        <f t="shared" si="33"/>
        <v>0</v>
      </c>
      <c r="BS91" s="2720">
        <f t="shared" si="34"/>
        <v>0</v>
      </c>
      <c r="BT91" s="2772">
        <f t="shared" si="35"/>
        <v>0</v>
      </c>
    </row>
    <row r="92" spans="1:72">
      <c r="A92" s="2717"/>
      <c r="B92" s="2718"/>
      <c r="C92" s="2718"/>
      <c r="D92" s="2719"/>
      <c r="E92" s="2720">
        <f t="shared" si="7"/>
        <v>0</v>
      </c>
      <c r="F92" s="2721"/>
      <c r="G92" s="2722">
        <f t="shared" si="8"/>
        <v>0</v>
      </c>
      <c r="H92" s="2723">
        <f t="shared" si="9"/>
        <v>0</v>
      </c>
      <c r="I92" s="2730"/>
      <c r="J92" s="2730"/>
      <c r="K92" s="2730"/>
      <c r="L92" s="2730"/>
      <c r="M92" s="2730"/>
      <c r="N92" s="2730"/>
      <c r="O92" s="2730"/>
      <c r="P92" s="2730"/>
      <c r="Q92" s="2730"/>
      <c r="R92" s="2730"/>
      <c r="S92" s="2730"/>
      <c r="T92" s="2730"/>
      <c r="U92" s="2730"/>
      <c r="V92" s="2730"/>
      <c r="W92" s="2730"/>
      <c r="X92" s="2730"/>
      <c r="Y92" s="2730"/>
      <c r="Z92" s="2730"/>
      <c r="AA92" s="2730"/>
      <c r="AB92" s="2730"/>
      <c r="AC92" s="2720">
        <f t="shared" si="10"/>
        <v>0</v>
      </c>
      <c r="AD92" s="2740"/>
      <c r="AE92" s="2740"/>
      <c r="AF92" s="2740"/>
      <c r="AG92" s="2740"/>
      <c r="AH92" s="2740"/>
      <c r="AI92" s="2740"/>
      <c r="AJ92" s="2740"/>
      <c r="AK92" s="2740"/>
      <c r="AL92" s="2740"/>
      <c r="AM92" s="2740"/>
      <c r="AN92" s="2740"/>
      <c r="AO92" s="2740"/>
      <c r="AP92" s="2740"/>
      <c r="AQ92" s="2740"/>
      <c r="AR92" s="2740"/>
      <c r="AS92" s="2740"/>
      <c r="AT92" s="2750"/>
      <c r="AU92" s="2751"/>
      <c r="AV92" s="1092">
        <f t="shared" si="11"/>
        <v>0</v>
      </c>
      <c r="AW92" s="1092">
        <f t="shared" si="12"/>
        <v>0</v>
      </c>
      <c r="AX92" s="1092">
        <f t="shared" si="13"/>
        <v>0</v>
      </c>
      <c r="AY92" s="2765">
        <f t="shared" si="14"/>
        <v>0</v>
      </c>
      <c r="AZ92" s="2720">
        <f t="shared" si="15"/>
        <v>0</v>
      </c>
      <c r="BA92" s="2720">
        <f t="shared" si="16"/>
        <v>0</v>
      </c>
      <c r="BB92" s="2720">
        <f t="shared" si="17"/>
        <v>0</v>
      </c>
      <c r="BC92" s="2720">
        <f t="shared" si="18"/>
        <v>0</v>
      </c>
      <c r="BD92" s="2720">
        <f t="shared" si="19"/>
        <v>0</v>
      </c>
      <c r="BE92" s="2720">
        <f t="shared" si="20"/>
        <v>0</v>
      </c>
      <c r="BF92" s="2720">
        <f t="shared" si="21"/>
        <v>0</v>
      </c>
      <c r="BG92" s="2720">
        <f t="shared" si="22"/>
        <v>0</v>
      </c>
      <c r="BH92" s="2720">
        <f t="shared" si="23"/>
        <v>0</v>
      </c>
      <c r="BI92" s="2720">
        <f t="shared" si="24"/>
        <v>0</v>
      </c>
      <c r="BJ92" s="2720">
        <f t="shared" si="25"/>
        <v>0</v>
      </c>
      <c r="BK92" s="2720">
        <f t="shared" si="26"/>
        <v>0</v>
      </c>
      <c r="BL92" s="2720">
        <f t="shared" si="27"/>
        <v>0</v>
      </c>
      <c r="BM92" s="2720">
        <f t="shared" si="28"/>
        <v>0</v>
      </c>
      <c r="BN92" s="2720">
        <f t="shared" si="29"/>
        <v>0</v>
      </c>
      <c r="BO92" s="2720">
        <f t="shared" si="30"/>
        <v>0</v>
      </c>
      <c r="BP92" s="2720">
        <f t="shared" si="31"/>
        <v>0</v>
      </c>
      <c r="BQ92" s="2720">
        <f t="shared" si="32"/>
        <v>0</v>
      </c>
      <c r="BR92" s="2720">
        <f t="shared" si="33"/>
        <v>0</v>
      </c>
      <c r="BS92" s="2720">
        <f t="shared" si="34"/>
        <v>0</v>
      </c>
      <c r="BT92" s="2772">
        <f t="shared" si="35"/>
        <v>0</v>
      </c>
    </row>
    <row r="93" spans="1:72">
      <c r="A93" s="2717"/>
      <c r="B93" s="2718"/>
      <c r="C93" s="2718"/>
      <c r="D93" s="2719"/>
      <c r="E93" s="2720">
        <f t="shared" si="7"/>
        <v>0</v>
      </c>
      <c r="F93" s="2721"/>
      <c r="G93" s="2722">
        <f t="shared" si="8"/>
        <v>0</v>
      </c>
      <c r="H93" s="2723">
        <f t="shared" si="9"/>
        <v>0</v>
      </c>
      <c r="I93" s="2730"/>
      <c r="J93" s="2730"/>
      <c r="K93" s="2730"/>
      <c r="L93" s="2730"/>
      <c r="M93" s="2730"/>
      <c r="N93" s="2730"/>
      <c r="O93" s="2730"/>
      <c r="P93" s="2730"/>
      <c r="Q93" s="2730"/>
      <c r="R93" s="2730"/>
      <c r="S93" s="2730"/>
      <c r="T93" s="2730"/>
      <c r="U93" s="2730"/>
      <c r="V93" s="2730"/>
      <c r="W93" s="2730"/>
      <c r="X93" s="2730"/>
      <c r="Y93" s="2730"/>
      <c r="Z93" s="2730"/>
      <c r="AA93" s="2730"/>
      <c r="AB93" s="2730"/>
      <c r="AC93" s="2720">
        <f t="shared" si="10"/>
        <v>0</v>
      </c>
      <c r="AD93" s="2740"/>
      <c r="AE93" s="2740"/>
      <c r="AF93" s="2740"/>
      <c r="AG93" s="2740"/>
      <c r="AH93" s="2740"/>
      <c r="AI93" s="2740"/>
      <c r="AJ93" s="2740"/>
      <c r="AK93" s="2740"/>
      <c r="AL93" s="2740"/>
      <c r="AM93" s="2740"/>
      <c r="AN93" s="2740"/>
      <c r="AO93" s="2740"/>
      <c r="AP93" s="2740"/>
      <c r="AQ93" s="2740"/>
      <c r="AR93" s="2740"/>
      <c r="AS93" s="2740"/>
      <c r="AT93" s="2750"/>
      <c r="AU93" s="2751"/>
      <c r="AV93" s="1092">
        <f t="shared" si="11"/>
        <v>0</v>
      </c>
      <c r="AW93" s="1092">
        <f t="shared" si="12"/>
        <v>0</v>
      </c>
      <c r="AX93" s="1092">
        <f t="shared" si="13"/>
        <v>0</v>
      </c>
      <c r="AY93" s="2765">
        <f t="shared" si="14"/>
        <v>0</v>
      </c>
      <c r="AZ93" s="2720">
        <f t="shared" si="15"/>
        <v>0</v>
      </c>
      <c r="BA93" s="2720">
        <f t="shared" si="16"/>
        <v>0</v>
      </c>
      <c r="BB93" s="2720">
        <f t="shared" si="17"/>
        <v>0</v>
      </c>
      <c r="BC93" s="2720">
        <f t="shared" si="18"/>
        <v>0</v>
      </c>
      <c r="BD93" s="2720">
        <f t="shared" si="19"/>
        <v>0</v>
      </c>
      <c r="BE93" s="2720">
        <f t="shared" si="20"/>
        <v>0</v>
      </c>
      <c r="BF93" s="2720">
        <f t="shared" si="21"/>
        <v>0</v>
      </c>
      <c r="BG93" s="2720">
        <f t="shared" si="22"/>
        <v>0</v>
      </c>
      <c r="BH93" s="2720">
        <f t="shared" si="23"/>
        <v>0</v>
      </c>
      <c r="BI93" s="2720">
        <f t="shared" si="24"/>
        <v>0</v>
      </c>
      <c r="BJ93" s="2720">
        <f t="shared" si="25"/>
        <v>0</v>
      </c>
      <c r="BK93" s="2720">
        <f t="shared" si="26"/>
        <v>0</v>
      </c>
      <c r="BL93" s="2720">
        <f t="shared" si="27"/>
        <v>0</v>
      </c>
      <c r="BM93" s="2720">
        <f t="shared" si="28"/>
        <v>0</v>
      </c>
      <c r="BN93" s="2720">
        <f t="shared" si="29"/>
        <v>0</v>
      </c>
      <c r="BO93" s="2720">
        <f t="shared" si="30"/>
        <v>0</v>
      </c>
      <c r="BP93" s="2720">
        <f t="shared" si="31"/>
        <v>0</v>
      </c>
      <c r="BQ93" s="2720">
        <f t="shared" si="32"/>
        <v>0</v>
      </c>
      <c r="BR93" s="2720">
        <f t="shared" si="33"/>
        <v>0</v>
      </c>
      <c r="BS93" s="2720">
        <f t="shared" si="34"/>
        <v>0</v>
      </c>
      <c r="BT93" s="2772">
        <f t="shared" si="35"/>
        <v>0</v>
      </c>
    </row>
    <row r="94" spans="1:72">
      <c r="A94" s="2717"/>
      <c r="B94" s="2718"/>
      <c r="C94" s="2718"/>
      <c r="D94" s="2719"/>
      <c r="E94" s="2720">
        <f t="shared" si="7"/>
        <v>0</v>
      </c>
      <c r="F94" s="2721"/>
      <c r="G94" s="2722">
        <f t="shared" si="8"/>
        <v>0</v>
      </c>
      <c r="H94" s="2723">
        <f t="shared" si="9"/>
        <v>0</v>
      </c>
      <c r="I94" s="2730"/>
      <c r="J94" s="2730"/>
      <c r="K94" s="2730"/>
      <c r="L94" s="2730"/>
      <c r="M94" s="2730"/>
      <c r="N94" s="2730"/>
      <c r="O94" s="2730"/>
      <c r="P94" s="2730"/>
      <c r="Q94" s="2730"/>
      <c r="R94" s="2730"/>
      <c r="S94" s="2730"/>
      <c r="T94" s="2730"/>
      <c r="U94" s="2730"/>
      <c r="V94" s="2730"/>
      <c r="W94" s="2730"/>
      <c r="X94" s="2730"/>
      <c r="Y94" s="2730"/>
      <c r="Z94" s="2730"/>
      <c r="AA94" s="2730"/>
      <c r="AB94" s="2730"/>
      <c r="AC94" s="2720">
        <f t="shared" si="10"/>
        <v>0</v>
      </c>
      <c r="AD94" s="2740"/>
      <c r="AE94" s="2740"/>
      <c r="AF94" s="2740"/>
      <c r="AG94" s="2740"/>
      <c r="AH94" s="2740"/>
      <c r="AI94" s="2740"/>
      <c r="AJ94" s="2740"/>
      <c r="AK94" s="2740"/>
      <c r="AL94" s="2740"/>
      <c r="AM94" s="2740"/>
      <c r="AN94" s="2740"/>
      <c r="AO94" s="2740"/>
      <c r="AP94" s="2740"/>
      <c r="AQ94" s="2740"/>
      <c r="AR94" s="2740"/>
      <c r="AS94" s="2740"/>
      <c r="AT94" s="2750"/>
      <c r="AU94" s="2751"/>
      <c r="AV94" s="1092">
        <f t="shared" si="11"/>
        <v>0</v>
      </c>
      <c r="AW94" s="1092">
        <f t="shared" si="12"/>
        <v>0</v>
      </c>
      <c r="AX94" s="1092">
        <f t="shared" si="13"/>
        <v>0</v>
      </c>
      <c r="AY94" s="2765">
        <f t="shared" si="14"/>
        <v>0</v>
      </c>
      <c r="AZ94" s="2720">
        <f t="shared" si="15"/>
        <v>0</v>
      </c>
      <c r="BA94" s="2720">
        <f t="shared" si="16"/>
        <v>0</v>
      </c>
      <c r="BB94" s="2720">
        <f t="shared" si="17"/>
        <v>0</v>
      </c>
      <c r="BC94" s="2720">
        <f t="shared" si="18"/>
        <v>0</v>
      </c>
      <c r="BD94" s="2720">
        <f t="shared" si="19"/>
        <v>0</v>
      </c>
      <c r="BE94" s="2720">
        <f t="shared" si="20"/>
        <v>0</v>
      </c>
      <c r="BF94" s="2720">
        <f t="shared" si="21"/>
        <v>0</v>
      </c>
      <c r="BG94" s="2720">
        <f t="shared" si="22"/>
        <v>0</v>
      </c>
      <c r="BH94" s="2720">
        <f t="shared" si="23"/>
        <v>0</v>
      </c>
      <c r="BI94" s="2720">
        <f t="shared" si="24"/>
        <v>0</v>
      </c>
      <c r="BJ94" s="2720">
        <f t="shared" si="25"/>
        <v>0</v>
      </c>
      <c r="BK94" s="2720">
        <f t="shared" si="26"/>
        <v>0</v>
      </c>
      <c r="BL94" s="2720">
        <f t="shared" si="27"/>
        <v>0</v>
      </c>
      <c r="BM94" s="2720">
        <f t="shared" si="28"/>
        <v>0</v>
      </c>
      <c r="BN94" s="2720">
        <f t="shared" si="29"/>
        <v>0</v>
      </c>
      <c r="BO94" s="2720">
        <f t="shared" si="30"/>
        <v>0</v>
      </c>
      <c r="BP94" s="2720">
        <f t="shared" si="31"/>
        <v>0</v>
      </c>
      <c r="BQ94" s="2720">
        <f t="shared" si="32"/>
        <v>0</v>
      </c>
      <c r="BR94" s="2720">
        <f t="shared" si="33"/>
        <v>0</v>
      </c>
      <c r="BS94" s="2720">
        <f t="shared" si="34"/>
        <v>0</v>
      </c>
      <c r="BT94" s="2772">
        <f t="shared" si="35"/>
        <v>0</v>
      </c>
    </row>
    <row r="95" spans="1:72">
      <c r="A95" s="2717"/>
      <c r="B95" s="2718"/>
      <c r="C95" s="2718"/>
      <c r="D95" s="2719"/>
      <c r="E95" s="2720">
        <f t="shared" si="7"/>
        <v>0</v>
      </c>
      <c r="F95" s="2721"/>
      <c r="G95" s="2722">
        <f t="shared" si="8"/>
        <v>0</v>
      </c>
      <c r="H95" s="2723">
        <f t="shared" si="9"/>
        <v>0</v>
      </c>
      <c r="I95" s="2730"/>
      <c r="J95" s="2730"/>
      <c r="K95" s="2730"/>
      <c r="L95" s="2730"/>
      <c r="M95" s="2730"/>
      <c r="N95" s="2730"/>
      <c r="O95" s="2730"/>
      <c r="P95" s="2730"/>
      <c r="Q95" s="2730"/>
      <c r="R95" s="2730"/>
      <c r="S95" s="2730"/>
      <c r="T95" s="2730"/>
      <c r="U95" s="2730"/>
      <c r="V95" s="2730"/>
      <c r="W95" s="2730"/>
      <c r="X95" s="2730"/>
      <c r="Y95" s="2730"/>
      <c r="Z95" s="2730"/>
      <c r="AA95" s="2730"/>
      <c r="AB95" s="2730"/>
      <c r="AC95" s="2720">
        <f t="shared" si="10"/>
        <v>0</v>
      </c>
      <c r="AD95" s="2740"/>
      <c r="AE95" s="2740"/>
      <c r="AF95" s="2740"/>
      <c r="AG95" s="2740"/>
      <c r="AH95" s="2740"/>
      <c r="AI95" s="2740"/>
      <c r="AJ95" s="2740"/>
      <c r="AK95" s="2740"/>
      <c r="AL95" s="2740"/>
      <c r="AM95" s="2740"/>
      <c r="AN95" s="2740"/>
      <c r="AO95" s="2740"/>
      <c r="AP95" s="2740"/>
      <c r="AQ95" s="2740"/>
      <c r="AR95" s="2740"/>
      <c r="AS95" s="2740"/>
      <c r="AT95" s="2750"/>
      <c r="AU95" s="2751"/>
      <c r="AV95" s="1092">
        <f t="shared" si="11"/>
        <v>0</v>
      </c>
      <c r="AW95" s="1092">
        <f t="shared" si="12"/>
        <v>0</v>
      </c>
      <c r="AX95" s="1092">
        <f t="shared" si="13"/>
        <v>0</v>
      </c>
      <c r="AY95" s="2765">
        <f t="shared" si="14"/>
        <v>0</v>
      </c>
      <c r="AZ95" s="2720">
        <f t="shared" si="15"/>
        <v>0</v>
      </c>
      <c r="BA95" s="2720">
        <f t="shared" si="16"/>
        <v>0</v>
      </c>
      <c r="BB95" s="2720">
        <f t="shared" si="17"/>
        <v>0</v>
      </c>
      <c r="BC95" s="2720">
        <f t="shared" si="18"/>
        <v>0</v>
      </c>
      <c r="BD95" s="2720">
        <f t="shared" si="19"/>
        <v>0</v>
      </c>
      <c r="BE95" s="2720">
        <f t="shared" si="20"/>
        <v>0</v>
      </c>
      <c r="BF95" s="2720">
        <f t="shared" si="21"/>
        <v>0</v>
      </c>
      <c r="BG95" s="2720">
        <f t="shared" si="22"/>
        <v>0</v>
      </c>
      <c r="BH95" s="2720">
        <f t="shared" si="23"/>
        <v>0</v>
      </c>
      <c r="BI95" s="2720">
        <f t="shared" si="24"/>
        <v>0</v>
      </c>
      <c r="BJ95" s="2720">
        <f t="shared" si="25"/>
        <v>0</v>
      </c>
      <c r="BK95" s="2720">
        <f t="shared" si="26"/>
        <v>0</v>
      </c>
      <c r="BL95" s="2720">
        <f t="shared" si="27"/>
        <v>0</v>
      </c>
      <c r="BM95" s="2720">
        <f t="shared" si="28"/>
        <v>0</v>
      </c>
      <c r="BN95" s="2720">
        <f t="shared" si="29"/>
        <v>0</v>
      </c>
      <c r="BO95" s="2720">
        <f t="shared" si="30"/>
        <v>0</v>
      </c>
      <c r="BP95" s="2720">
        <f t="shared" si="31"/>
        <v>0</v>
      </c>
      <c r="BQ95" s="2720">
        <f t="shared" si="32"/>
        <v>0</v>
      </c>
      <c r="BR95" s="2720">
        <f t="shared" si="33"/>
        <v>0</v>
      </c>
      <c r="BS95" s="2720">
        <f t="shared" si="34"/>
        <v>0</v>
      </c>
      <c r="BT95" s="2772">
        <f t="shared" si="35"/>
        <v>0</v>
      </c>
    </row>
    <row r="96" spans="1:72">
      <c r="A96" s="2717"/>
      <c r="B96" s="2718"/>
      <c r="C96" s="2718"/>
      <c r="D96" s="2719"/>
      <c r="E96" s="2720">
        <f t="shared" si="7"/>
        <v>0</v>
      </c>
      <c r="F96" s="2721"/>
      <c r="G96" s="2722">
        <f t="shared" si="8"/>
        <v>0</v>
      </c>
      <c r="H96" s="2723">
        <f t="shared" si="9"/>
        <v>0</v>
      </c>
      <c r="I96" s="2730"/>
      <c r="J96" s="2730"/>
      <c r="K96" s="2730"/>
      <c r="L96" s="2730"/>
      <c r="M96" s="2730"/>
      <c r="N96" s="2730"/>
      <c r="O96" s="2730"/>
      <c r="P96" s="2730"/>
      <c r="Q96" s="2730"/>
      <c r="R96" s="2730"/>
      <c r="S96" s="2730"/>
      <c r="T96" s="2730"/>
      <c r="U96" s="2730"/>
      <c r="V96" s="2730"/>
      <c r="W96" s="2730"/>
      <c r="X96" s="2730"/>
      <c r="Y96" s="2730"/>
      <c r="Z96" s="2730"/>
      <c r="AA96" s="2730"/>
      <c r="AB96" s="2730"/>
      <c r="AC96" s="2720">
        <f t="shared" si="10"/>
        <v>0</v>
      </c>
      <c r="AD96" s="2740"/>
      <c r="AE96" s="2740"/>
      <c r="AF96" s="2740"/>
      <c r="AG96" s="2740"/>
      <c r="AH96" s="2740"/>
      <c r="AI96" s="2740"/>
      <c r="AJ96" s="2740"/>
      <c r="AK96" s="2740"/>
      <c r="AL96" s="2740"/>
      <c r="AM96" s="2740"/>
      <c r="AN96" s="2740"/>
      <c r="AO96" s="2740"/>
      <c r="AP96" s="2740"/>
      <c r="AQ96" s="2740"/>
      <c r="AR96" s="2740"/>
      <c r="AS96" s="2740"/>
      <c r="AT96" s="2750"/>
      <c r="AU96" s="2751"/>
      <c r="AV96" s="1092">
        <f t="shared" si="11"/>
        <v>0</v>
      </c>
      <c r="AW96" s="1092">
        <f t="shared" si="12"/>
        <v>0</v>
      </c>
      <c r="AX96" s="1092">
        <f t="shared" si="13"/>
        <v>0</v>
      </c>
      <c r="AY96" s="2765">
        <f t="shared" si="14"/>
        <v>0</v>
      </c>
      <c r="AZ96" s="2720">
        <f t="shared" si="15"/>
        <v>0</v>
      </c>
      <c r="BA96" s="2720">
        <f t="shared" si="16"/>
        <v>0</v>
      </c>
      <c r="BB96" s="2720">
        <f t="shared" si="17"/>
        <v>0</v>
      </c>
      <c r="BC96" s="2720">
        <f t="shared" si="18"/>
        <v>0</v>
      </c>
      <c r="BD96" s="2720">
        <f t="shared" si="19"/>
        <v>0</v>
      </c>
      <c r="BE96" s="2720">
        <f t="shared" si="20"/>
        <v>0</v>
      </c>
      <c r="BF96" s="2720">
        <f t="shared" si="21"/>
        <v>0</v>
      </c>
      <c r="BG96" s="2720">
        <f t="shared" si="22"/>
        <v>0</v>
      </c>
      <c r="BH96" s="2720">
        <f t="shared" si="23"/>
        <v>0</v>
      </c>
      <c r="BI96" s="2720">
        <f t="shared" si="24"/>
        <v>0</v>
      </c>
      <c r="BJ96" s="2720">
        <f t="shared" si="25"/>
        <v>0</v>
      </c>
      <c r="BK96" s="2720">
        <f t="shared" si="26"/>
        <v>0</v>
      </c>
      <c r="BL96" s="2720">
        <f t="shared" si="27"/>
        <v>0</v>
      </c>
      <c r="BM96" s="2720">
        <f t="shared" si="28"/>
        <v>0</v>
      </c>
      <c r="BN96" s="2720">
        <f t="shared" si="29"/>
        <v>0</v>
      </c>
      <c r="BO96" s="2720">
        <f t="shared" si="30"/>
        <v>0</v>
      </c>
      <c r="BP96" s="2720">
        <f t="shared" si="31"/>
        <v>0</v>
      </c>
      <c r="BQ96" s="2720">
        <f t="shared" si="32"/>
        <v>0</v>
      </c>
      <c r="BR96" s="2720">
        <f t="shared" si="33"/>
        <v>0</v>
      </c>
      <c r="BS96" s="2720">
        <f t="shared" si="34"/>
        <v>0</v>
      </c>
      <c r="BT96" s="2772">
        <f t="shared" si="35"/>
        <v>0</v>
      </c>
    </row>
    <row r="97" spans="1:72">
      <c r="A97" s="2717"/>
      <c r="B97" s="2718"/>
      <c r="C97" s="2718"/>
      <c r="D97" s="2719"/>
      <c r="E97" s="2720">
        <f t="shared" si="7"/>
        <v>0</v>
      </c>
      <c r="F97" s="2721"/>
      <c r="G97" s="2722">
        <f t="shared" si="8"/>
        <v>0</v>
      </c>
      <c r="H97" s="2723">
        <f t="shared" si="9"/>
        <v>0</v>
      </c>
      <c r="I97" s="2730"/>
      <c r="J97" s="2730"/>
      <c r="K97" s="2730"/>
      <c r="L97" s="2730"/>
      <c r="M97" s="2730"/>
      <c r="N97" s="2730"/>
      <c r="O97" s="2730"/>
      <c r="P97" s="2730"/>
      <c r="Q97" s="2730"/>
      <c r="R97" s="2730"/>
      <c r="S97" s="2730"/>
      <c r="T97" s="2730"/>
      <c r="U97" s="2730"/>
      <c r="V97" s="2730"/>
      <c r="W97" s="2730"/>
      <c r="X97" s="2730"/>
      <c r="Y97" s="2730"/>
      <c r="Z97" s="2730"/>
      <c r="AA97" s="2730"/>
      <c r="AB97" s="2730"/>
      <c r="AC97" s="2720">
        <f t="shared" si="10"/>
        <v>0</v>
      </c>
      <c r="AD97" s="2740"/>
      <c r="AE97" s="2740"/>
      <c r="AF97" s="2740"/>
      <c r="AG97" s="2740"/>
      <c r="AH97" s="2740"/>
      <c r="AI97" s="2740"/>
      <c r="AJ97" s="2740"/>
      <c r="AK97" s="2740"/>
      <c r="AL97" s="2740"/>
      <c r="AM97" s="2740"/>
      <c r="AN97" s="2740"/>
      <c r="AO97" s="2740"/>
      <c r="AP97" s="2740"/>
      <c r="AQ97" s="2740"/>
      <c r="AR97" s="2740"/>
      <c r="AS97" s="2740"/>
      <c r="AT97" s="2750"/>
      <c r="AU97" s="2751"/>
      <c r="AV97" s="1092">
        <f t="shared" si="11"/>
        <v>0</v>
      </c>
      <c r="AW97" s="1092">
        <f t="shared" si="12"/>
        <v>0</v>
      </c>
      <c r="AX97" s="1092">
        <f t="shared" si="13"/>
        <v>0</v>
      </c>
      <c r="AY97" s="2765">
        <f t="shared" si="14"/>
        <v>0</v>
      </c>
      <c r="AZ97" s="2720">
        <f t="shared" si="15"/>
        <v>0</v>
      </c>
      <c r="BA97" s="2720">
        <f t="shared" si="16"/>
        <v>0</v>
      </c>
      <c r="BB97" s="2720">
        <f t="shared" si="17"/>
        <v>0</v>
      </c>
      <c r="BC97" s="2720">
        <f t="shared" si="18"/>
        <v>0</v>
      </c>
      <c r="BD97" s="2720">
        <f t="shared" si="19"/>
        <v>0</v>
      </c>
      <c r="BE97" s="2720">
        <f t="shared" si="20"/>
        <v>0</v>
      </c>
      <c r="BF97" s="2720">
        <f t="shared" si="21"/>
        <v>0</v>
      </c>
      <c r="BG97" s="2720">
        <f t="shared" si="22"/>
        <v>0</v>
      </c>
      <c r="BH97" s="2720">
        <f t="shared" si="23"/>
        <v>0</v>
      </c>
      <c r="BI97" s="2720">
        <f t="shared" si="24"/>
        <v>0</v>
      </c>
      <c r="BJ97" s="2720">
        <f t="shared" si="25"/>
        <v>0</v>
      </c>
      <c r="BK97" s="2720">
        <f t="shared" si="26"/>
        <v>0</v>
      </c>
      <c r="BL97" s="2720">
        <f t="shared" si="27"/>
        <v>0</v>
      </c>
      <c r="BM97" s="2720">
        <f t="shared" si="28"/>
        <v>0</v>
      </c>
      <c r="BN97" s="2720">
        <f t="shared" si="29"/>
        <v>0</v>
      </c>
      <c r="BO97" s="2720">
        <f t="shared" si="30"/>
        <v>0</v>
      </c>
      <c r="BP97" s="2720">
        <f t="shared" si="31"/>
        <v>0</v>
      </c>
      <c r="BQ97" s="2720">
        <f t="shared" si="32"/>
        <v>0</v>
      </c>
      <c r="BR97" s="2720">
        <f t="shared" si="33"/>
        <v>0</v>
      </c>
      <c r="BS97" s="2720">
        <f t="shared" si="34"/>
        <v>0</v>
      </c>
      <c r="BT97" s="2772">
        <f t="shared" si="35"/>
        <v>0</v>
      </c>
    </row>
    <row r="98" spans="1:72">
      <c r="A98" s="2717"/>
      <c r="B98" s="2718"/>
      <c r="C98" s="2718"/>
      <c r="D98" s="2719"/>
      <c r="E98" s="2720">
        <f t="shared" si="7"/>
        <v>0</v>
      </c>
      <c r="F98" s="2721"/>
      <c r="G98" s="2722">
        <f t="shared" si="8"/>
        <v>0</v>
      </c>
      <c r="H98" s="2723">
        <f t="shared" si="9"/>
        <v>0</v>
      </c>
      <c r="I98" s="2730"/>
      <c r="J98" s="2730"/>
      <c r="K98" s="2730"/>
      <c r="L98" s="2730"/>
      <c r="M98" s="2730"/>
      <c r="N98" s="2730"/>
      <c r="O98" s="2730"/>
      <c r="P98" s="2730"/>
      <c r="Q98" s="2730"/>
      <c r="R98" s="2730"/>
      <c r="S98" s="2730"/>
      <c r="T98" s="2730"/>
      <c r="U98" s="2730"/>
      <c r="V98" s="2730"/>
      <c r="W98" s="2730"/>
      <c r="X98" s="2730"/>
      <c r="Y98" s="2730"/>
      <c r="Z98" s="2730"/>
      <c r="AA98" s="2730"/>
      <c r="AB98" s="2730"/>
      <c r="AC98" s="2720">
        <f t="shared" si="10"/>
        <v>0</v>
      </c>
      <c r="AD98" s="2740"/>
      <c r="AE98" s="2740"/>
      <c r="AF98" s="2740"/>
      <c r="AG98" s="2740"/>
      <c r="AH98" s="2740"/>
      <c r="AI98" s="2740"/>
      <c r="AJ98" s="2740"/>
      <c r="AK98" s="2740"/>
      <c r="AL98" s="2740"/>
      <c r="AM98" s="2740"/>
      <c r="AN98" s="2740"/>
      <c r="AO98" s="2740"/>
      <c r="AP98" s="2740"/>
      <c r="AQ98" s="2740"/>
      <c r="AR98" s="2740"/>
      <c r="AS98" s="2740"/>
      <c r="AT98" s="2750"/>
      <c r="AU98" s="2751"/>
      <c r="AV98" s="1092">
        <f t="shared" si="11"/>
        <v>0</v>
      </c>
      <c r="AW98" s="1092">
        <f t="shared" si="12"/>
        <v>0</v>
      </c>
      <c r="AX98" s="1092">
        <f t="shared" si="13"/>
        <v>0</v>
      </c>
      <c r="AY98" s="2765">
        <f t="shared" si="14"/>
        <v>0</v>
      </c>
      <c r="AZ98" s="2720">
        <f t="shared" si="15"/>
        <v>0</v>
      </c>
      <c r="BA98" s="2720">
        <f t="shared" si="16"/>
        <v>0</v>
      </c>
      <c r="BB98" s="2720">
        <f t="shared" si="17"/>
        <v>0</v>
      </c>
      <c r="BC98" s="2720">
        <f t="shared" si="18"/>
        <v>0</v>
      </c>
      <c r="BD98" s="2720">
        <f t="shared" si="19"/>
        <v>0</v>
      </c>
      <c r="BE98" s="2720">
        <f t="shared" si="20"/>
        <v>0</v>
      </c>
      <c r="BF98" s="2720">
        <f t="shared" si="21"/>
        <v>0</v>
      </c>
      <c r="BG98" s="2720">
        <f t="shared" si="22"/>
        <v>0</v>
      </c>
      <c r="BH98" s="2720">
        <f t="shared" si="23"/>
        <v>0</v>
      </c>
      <c r="BI98" s="2720">
        <f t="shared" si="24"/>
        <v>0</v>
      </c>
      <c r="BJ98" s="2720">
        <f t="shared" si="25"/>
        <v>0</v>
      </c>
      <c r="BK98" s="2720">
        <f t="shared" si="26"/>
        <v>0</v>
      </c>
      <c r="BL98" s="2720">
        <f t="shared" si="27"/>
        <v>0</v>
      </c>
      <c r="BM98" s="2720">
        <f t="shared" si="28"/>
        <v>0</v>
      </c>
      <c r="BN98" s="2720">
        <f t="shared" si="29"/>
        <v>0</v>
      </c>
      <c r="BO98" s="2720">
        <f t="shared" si="30"/>
        <v>0</v>
      </c>
      <c r="BP98" s="2720">
        <f t="shared" si="31"/>
        <v>0</v>
      </c>
      <c r="BQ98" s="2720">
        <f t="shared" si="32"/>
        <v>0</v>
      </c>
      <c r="BR98" s="2720">
        <f t="shared" si="33"/>
        <v>0</v>
      </c>
      <c r="BS98" s="2720">
        <f t="shared" si="34"/>
        <v>0</v>
      </c>
      <c r="BT98" s="2772">
        <f t="shared" si="35"/>
        <v>0</v>
      </c>
    </row>
    <row r="99" spans="1:72">
      <c r="A99" s="2717"/>
      <c r="B99" s="2718"/>
      <c r="C99" s="2718"/>
      <c r="D99" s="2719"/>
      <c r="E99" s="2720">
        <f t="shared" si="7"/>
        <v>0</v>
      </c>
      <c r="F99" s="2721"/>
      <c r="G99" s="2722">
        <f t="shared" si="8"/>
        <v>0</v>
      </c>
      <c r="H99" s="2723">
        <f t="shared" si="9"/>
        <v>0</v>
      </c>
      <c r="I99" s="2730"/>
      <c r="J99" s="2730"/>
      <c r="K99" s="2730"/>
      <c r="L99" s="2730"/>
      <c r="M99" s="2730"/>
      <c r="N99" s="2730"/>
      <c r="O99" s="2730"/>
      <c r="P99" s="2730"/>
      <c r="Q99" s="2730"/>
      <c r="R99" s="2730"/>
      <c r="S99" s="2730"/>
      <c r="T99" s="2730"/>
      <c r="U99" s="2730"/>
      <c r="V99" s="2730"/>
      <c r="W99" s="2730"/>
      <c r="X99" s="2730"/>
      <c r="Y99" s="2730"/>
      <c r="Z99" s="2730"/>
      <c r="AA99" s="2730"/>
      <c r="AB99" s="2730"/>
      <c r="AC99" s="2720">
        <f t="shared" si="10"/>
        <v>0</v>
      </c>
      <c r="AD99" s="2740"/>
      <c r="AE99" s="2740"/>
      <c r="AF99" s="2740"/>
      <c r="AG99" s="2740"/>
      <c r="AH99" s="2740"/>
      <c r="AI99" s="2740"/>
      <c r="AJ99" s="2740"/>
      <c r="AK99" s="2740"/>
      <c r="AL99" s="2740"/>
      <c r="AM99" s="2740"/>
      <c r="AN99" s="2740"/>
      <c r="AO99" s="2740"/>
      <c r="AP99" s="2740"/>
      <c r="AQ99" s="2740"/>
      <c r="AR99" s="2740"/>
      <c r="AS99" s="2740"/>
      <c r="AT99" s="2750"/>
      <c r="AU99" s="2751"/>
      <c r="AV99" s="1092">
        <f t="shared" si="11"/>
        <v>0</v>
      </c>
      <c r="AW99" s="1092">
        <f t="shared" si="12"/>
        <v>0</v>
      </c>
      <c r="AX99" s="1092">
        <f t="shared" si="13"/>
        <v>0</v>
      </c>
      <c r="AY99" s="2765">
        <f t="shared" si="14"/>
        <v>0</v>
      </c>
      <c r="AZ99" s="2720">
        <f t="shared" si="15"/>
        <v>0</v>
      </c>
      <c r="BA99" s="2720">
        <f t="shared" si="16"/>
        <v>0</v>
      </c>
      <c r="BB99" s="2720">
        <f t="shared" si="17"/>
        <v>0</v>
      </c>
      <c r="BC99" s="2720">
        <f t="shared" si="18"/>
        <v>0</v>
      </c>
      <c r="BD99" s="2720">
        <f t="shared" si="19"/>
        <v>0</v>
      </c>
      <c r="BE99" s="2720">
        <f t="shared" si="20"/>
        <v>0</v>
      </c>
      <c r="BF99" s="2720">
        <f t="shared" si="21"/>
        <v>0</v>
      </c>
      <c r="BG99" s="2720">
        <f t="shared" si="22"/>
        <v>0</v>
      </c>
      <c r="BH99" s="2720">
        <f t="shared" si="23"/>
        <v>0</v>
      </c>
      <c r="BI99" s="2720">
        <f t="shared" si="24"/>
        <v>0</v>
      </c>
      <c r="BJ99" s="2720">
        <f t="shared" si="25"/>
        <v>0</v>
      </c>
      <c r="BK99" s="2720">
        <f t="shared" si="26"/>
        <v>0</v>
      </c>
      <c r="BL99" s="2720">
        <f t="shared" si="27"/>
        <v>0</v>
      </c>
      <c r="BM99" s="2720">
        <f t="shared" si="28"/>
        <v>0</v>
      </c>
      <c r="BN99" s="2720">
        <f t="shared" si="29"/>
        <v>0</v>
      </c>
      <c r="BO99" s="2720">
        <f t="shared" si="30"/>
        <v>0</v>
      </c>
      <c r="BP99" s="2720">
        <f t="shared" si="31"/>
        <v>0</v>
      </c>
      <c r="BQ99" s="2720">
        <f t="shared" si="32"/>
        <v>0</v>
      </c>
      <c r="BR99" s="2720">
        <f t="shared" si="33"/>
        <v>0</v>
      </c>
      <c r="BS99" s="2720">
        <f t="shared" si="34"/>
        <v>0</v>
      </c>
      <c r="BT99" s="2772">
        <f t="shared" si="35"/>
        <v>0</v>
      </c>
    </row>
    <row r="100" spans="1:72">
      <c r="A100" s="2717"/>
      <c r="B100" s="2718"/>
      <c r="C100" s="2718"/>
      <c r="D100" s="2719"/>
      <c r="E100" s="2720">
        <f t="shared" si="7"/>
        <v>0</v>
      </c>
      <c r="F100" s="2721"/>
      <c r="G100" s="2722">
        <f t="shared" si="8"/>
        <v>0</v>
      </c>
      <c r="H100" s="2723">
        <f t="shared" si="9"/>
        <v>0</v>
      </c>
      <c r="I100" s="2730"/>
      <c r="J100" s="2730"/>
      <c r="K100" s="2730"/>
      <c r="L100" s="2730"/>
      <c r="M100" s="2730"/>
      <c r="N100" s="2730"/>
      <c r="O100" s="2730"/>
      <c r="P100" s="2730"/>
      <c r="Q100" s="2730"/>
      <c r="R100" s="2730"/>
      <c r="S100" s="2730"/>
      <c r="T100" s="2730"/>
      <c r="U100" s="2730"/>
      <c r="V100" s="2730"/>
      <c r="W100" s="2730"/>
      <c r="X100" s="2730"/>
      <c r="Y100" s="2730"/>
      <c r="Z100" s="2730"/>
      <c r="AA100" s="2730"/>
      <c r="AB100" s="2730"/>
      <c r="AC100" s="2720">
        <f t="shared" si="10"/>
        <v>0</v>
      </c>
      <c r="AD100" s="2740"/>
      <c r="AE100" s="2740"/>
      <c r="AF100" s="2740"/>
      <c r="AG100" s="2740"/>
      <c r="AH100" s="2740"/>
      <c r="AI100" s="2740"/>
      <c r="AJ100" s="2740"/>
      <c r="AK100" s="2740"/>
      <c r="AL100" s="2740"/>
      <c r="AM100" s="2740"/>
      <c r="AN100" s="2740"/>
      <c r="AO100" s="2740"/>
      <c r="AP100" s="2740"/>
      <c r="AQ100" s="2740"/>
      <c r="AR100" s="2740"/>
      <c r="AS100" s="2740"/>
      <c r="AT100" s="2750"/>
      <c r="AU100" s="2751"/>
      <c r="AV100" s="1092">
        <f t="shared" si="11"/>
        <v>0</v>
      </c>
      <c r="AW100" s="1092">
        <f t="shared" si="12"/>
        <v>0</v>
      </c>
      <c r="AX100" s="1092">
        <f t="shared" si="13"/>
        <v>0</v>
      </c>
      <c r="AY100" s="2765">
        <f t="shared" si="14"/>
        <v>0</v>
      </c>
      <c r="AZ100" s="2720">
        <f t="shared" si="15"/>
        <v>0</v>
      </c>
      <c r="BA100" s="2720">
        <f t="shared" si="16"/>
        <v>0</v>
      </c>
      <c r="BB100" s="2720">
        <f t="shared" si="17"/>
        <v>0</v>
      </c>
      <c r="BC100" s="2720">
        <f t="shared" si="18"/>
        <v>0</v>
      </c>
      <c r="BD100" s="2720">
        <f t="shared" si="19"/>
        <v>0</v>
      </c>
      <c r="BE100" s="2720">
        <f t="shared" si="20"/>
        <v>0</v>
      </c>
      <c r="BF100" s="2720">
        <f t="shared" si="21"/>
        <v>0</v>
      </c>
      <c r="BG100" s="2720">
        <f t="shared" si="22"/>
        <v>0</v>
      </c>
      <c r="BH100" s="2720">
        <f t="shared" si="23"/>
        <v>0</v>
      </c>
      <c r="BI100" s="2720">
        <f t="shared" si="24"/>
        <v>0</v>
      </c>
      <c r="BJ100" s="2720">
        <f t="shared" si="25"/>
        <v>0</v>
      </c>
      <c r="BK100" s="2720">
        <f t="shared" si="26"/>
        <v>0</v>
      </c>
      <c r="BL100" s="2720">
        <f t="shared" si="27"/>
        <v>0</v>
      </c>
      <c r="BM100" s="2720">
        <f t="shared" si="28"/>
        <v>0</v>
      </c>
      <c r="BN100" s="2720">
        <f t="shared" si="29"/>
        <v>0</v>
      </c>
      <c r="BO100" s="2720">
        <f t="shared" si="30"/>
        <v>0</v>
      </c>
      <c r="BP100" s="2720">
        <f t="shared" si="31"/>
        <v>0</v>
      </c>
      <c r="BQ100" s="2720">
        <f t="shared" si="32"/>
        <v>0</v>
      </c>
      <c r="BR100" s="2720">
        <f t="shared" si="33"/>
        <v>0</v>
      </c>
      <c r="BS100" s="2720">
        <f t="shared" si="34"/>
        <v>0</v>
      </c>
      <c r="BT100" s="2772">
        <f t="shared" si="35"/>
        <v>0</v>
      </c>
    </row>
    <row r="101" spans="1:72">
      <c r="A101" s="2717"/>
      <c r="B101" s="2718"/>
      <c r="C101" s="2718"/>
      <c r="D101" s="2719"/>
      <c r="E101" s="2720">
        <f t="shared" si="7"/>
        <v>0</v>
      </c>
      <c r="F101" s="2721"/>
      <c r="G101" s="2722">
        <f t="shared" si="8"/>
        <v>0</v>
      </c>
      <c r="H101" s="2723">
        <f t="shared" si="9"/>
        <v>0</v>
      </c>
      <c r="I101" s="2730"/>
      <c r="J101" s="2730"/>
      <c r="K101" s="2730"/>
      <c r="L101" s="2730"/>
      <c r="M101" s="2730"/>
      <c r="N101" s="2730"/>
      <c r="O101" s="2730"/>
      <c r="P101" s="2730"/>
      <c r="Q101" s="2730"/>
      <c r="R101" s="2730"/>
      <c r="S101" s="2730"/>
      <c r="T101" s="2730"/>
      <c r="U101" s="2730"/>
      <c r="V101" s="2730"/>
      <c r="W101" s="2730"/>
      <c r="X101" s="2730"/>
      <c r="Y101" s="2730"/>
      <c r="Z101" s="2730"/>
      <c r="AA101" s="2730"/>
      <c r="AB101" s="2730"/>
      <c r="AC101" s="2720">
        <f t="shared" si="10"/>
        <v>0</v>
      </c>
      <c r="AD101" s="2740"/>
      <c r="AE101" s="2740"/>
      <c r="AF101" s="2740"/>
      <c r="AG101" s="2740"/>
      <c r="AH101" s="2740"/>
      <c r="AI101" s="2740"/>
      <c r="AJ101" s="2740"/>
      <c r="AK101" s="2740"/>
      <c r="AL101" s="2740"/>
      <c r="AM101" s="2740"/>
      <c r="AN101" s="2740"/>
      <c r="AO101" s="2740"/>
      <c r="AP101" s="2740"/>
      <c r="AQ101" s="2740"/>
      <c r="AR101" s="2740"/>
      <c r="AS101" s="2740"/>
      <c r="AT101" s="2750"/>
      <c r="AU101" s="2751"/>
      <c r="AV101" s="1092">
        <f t="shared" si="11"/>
        <v>0</v>
      </c>
      <c r="AW101" s="1092">
        <f t="shared" si="12"/>
        <v>0</v>
      </c>
      <c r="AX101" s="1092">
        <f t="shared" si="13"/>
        <v>0</v>
      </c>
      <c r="AY101" s="2765">
        <f t="shared" si="14"/>
        <v>0</v>
      </c>
      <c r="AZ101" s="2720">
        <f t="shared" si="15"/>
        <v>0</v>
      </c>
      <c r="BA101" s="2720">
        <f t="shared" si="16"/>
        <v>0</v>
      </c>
      <c r="BB101" s="2720">
        <f t="shared" si="17"/>
        <v>0</v>
      </c>
      <c r="BC101" s="2720">
        <f t="shared" si="18"/>
        <v>0</v>
      </c>
      <c r="BD101" s="2720">
        <f t="shared" si="19"/>
        <v>0</v>
      </c>
      <c r="BE101" s="2720">
        <f t="shared" si="20"/>
        <v>0</v>
      </c>
      <c r="BF101" s="2720">
        <f t="shared" si="21"/>
        <v>0</v>
      </c>
      <c r="BG101" s="2720">
        <f t="shared" si="22"/>
        <v>0</v>
      </c>
      <c r="BH101" s="2720">
        <f t="shared" si="23"/>
        <v>0</v>
      </c>
      <c r="BI101" s="2720">
        <f t="shared" si="24"/>
        <v>0</v>
      </c>
      <c r="BJ101" s="2720">
        <f t="shared" si="25"/>
        <v>0</v>
      </c>
      <c r="BK101" s="2720">
        <f t="shared" si="26"/>
        <v>0</v>
      </c>
      <c r="BL101" s="2720">
        <f t="shared" si="27"/>
        <v>0</v>
      </c>
      <c r="BM101" s="2720">
        <f t="shared" si="28"/>
        <v>0</v>
      </c>
      <c r="BN101" s="2720">
        <f t="shared" si="29"/>
        <v>0</v>
      </c>
      <c r="BO101" s="2720">
        <f t="shared" si="30"/>
        <v>0</v>
      </c>
      <c r="BP101" s="2720">
        <f t="shared" si="31"/>
        <v>0</v>
      </c>
      <c r="BQ101" s="2720">
        <f t="shared" si="32"/>
        <v>0</v>
      </c>
      <c r="BR101" s="2720">
        <f t="shared" si="33"/>
        <v>0</v>
      </c>
      <c r="BS101" s="2720">
        <f t="shared" si="34"/>
        <v>0</v>
      </c>
      <c r="BT101" s="2772">
        <f t="shared" si="35"/>
        <v>0</v>
      </c>
    </row>
    <row r="102" spans="1:72">
      <c r="A102" s="2717"/>
      <c r="B102" s="2718"/>
      <c r="C102" s="2718"/>
      <c r="D102" s="2719"/>
      <c r="E102" s="2720">
        <f t="shared" si="7"/>
        <v>0</v>
      </c>
      <c r="F102" s="2721"/>
      <c r="G102" s="2722">
        <f t="shared" si="8"/>
        <v>0</v>
      </c>
      <c r="H102" s="2723">
        <f t="shared" si="9"/>
        <v>0</v>
      </c>
      <c r="I102" s="2730"/>
      <c r="J102" s="2730"/>
      <c r="K102" s="2730"/>
      <c r="L102" s="2730"/>
      <c r="M102" s="2730"/>
      <c r="N102" s="2730"/>
      <c r="O102" s="2730"/>
      <c r="P102" s="2730"/>
      <c r="Q102" s="2730"/>
      <c r="R102" s="2730"/>
      <c r="S102" s="2730"/>
      <c r="T102" s="2730"/>
      <c r="U102" s="2730"/>
      <c r="V102" s="2730"/>
      <c r="W102" s="2730"/>
      <c r="X102" s="2730"/>
      <c r="Y102" s="2730"/>
      <c r="Z102" s="2730"/>
      <c r="AA102" s="2730"/>
      <c r="AB102" s="2730"/>
      <c r="AC102" s="2720">
        <f t="shared" si="10"/>
        <v>0</v>
      </c>
      <c r="AD102" s="2740"/>
      <c r="AE102" s="2740"/>
      <c r="AF102" s="2740"/>
      <c r="AG102" s="2740"/>
      <c r="AH102" s="2740"/>
      <c r="AI102" s="2740"/>
      <c r="AJ102" s="2740"/>
      <c r="AK102" s="2740"/>
      <c r="AL102" s="2740"/>
      <c r="AM102" s="2740"/>
      <c r="AN102" s="2740"/>
      <c r="AO102" s="2740"/>
      <c r="AP102" s="2740"/>
      <c r="AQ102" s="2740"/>
      <c r="AR102" s="2740"/>
      <c r="AS102" s="2740"/>
      <c r="AT102" s="2750"/>
      <c r="AU102" s="2751"/>
      <c r="AV102" s="1092">
        <f t="shared" si="11"/>
        <v>0</v>
      </c>
      <c r="AW102" s="1092">
        <f t="shared" si="12"/>
        <v>0</v>
      </c>
      <c r="AX102" s="1092">
        <f t="shared" si="13"/>
        <v>0</v>
      </c>
      <c r="AY102" s="2765">
        <f t="shared" si="14"/>
        <v>0</v>
      </c>
      <c r="AZ102" s="2720">
        <f t="shared" si="15"/>
        <v>0</v>
      </c>
      <c r="BA102" s="2720">
        <f t="shared" si="16"/>
        <v>0</v>
      </c>
      <c r="BB102" s="2720">
        <f t="shared" si="17"/>
        <v>0</v>
      </c>
      <c r="BC102" s="2720">
        <f t="shared" si="18"/>
        <v>0</v>
      </c>
      <c r="BD102" s="2720">
        <f t="shared" si="19"/>
        <v>0</v>
      </c>
      <c r="BE102" s="2720">
        <f t="shared" si="20"/>
        <v>0</v>
      </c>
      <c r="BF102" s="2720">
        <f t="shared" si="21"/>
        <v>0</v>
      </c>
      <c r="BG102" s="2720">
        <f t="shared" si="22"/>
        <v>0</v>
      </c>
      <c r="BH102" s="2720">
        <f t="shared" si="23"/>
        <v>0</v>
      </c>
      <c r="BI102" s="2720">
        <f t="shared" si="24"/>
        <v>0</v>
      </c>
      <c r="BJ102" s="2720">
        <f t="shared" si="25"/>
        <v>0</v>
      </c>
      <c r="BK102" s="2720">
        <f t="shared" si="26"/>
        <v>0</v>
      </c>
      <c r="BL102" s="2720">
        <f t="shared" si="27"/>
        <v>0</v>
      </c>
      <c r="BM102" s="2720">
        <f t="shared" si="28"/>
        <v>0</v>
      </c>
      <c r="BN102" s="2720">
        <f t="shared" si="29"/>
        <v>0</v>
      </c>
      <c r="BO102" s="2720">
        <f t="shared" si="30"/>
        <v>0</v>
      </c>
      <c r="BP102" s="2720">
        <f t="shared" si="31"/>
        <v>0</v>
      </c>
      <c r="BQ102" s="2720">
        <f t="shared" si="32"/>
        <v>0</v>
      </c>
      <c r="BR102" s="2720">
        <f t="shared" si="33"/>
        <v>0</v>
      </c>
      <c r="BS102" s="2720">
        <f t="shared" si="34"/>
        <v>0</v>
      </c>
      <c r="BT102" s="2772">
        <f t="shared" si="35"/>
        <v>0</v>
      </c>
    </row>
    <row r="103" spans="1:72">
      <c r="A103" s="2717"/>
      <c r="B103" s="2718"/>
      <c r="C103" s="2718"/>
      <c r="D103" s="2719"/>
      <c r="E103" s="2720">
        <f t="shared" si="7"/>
        <v>0</v>
      </c>
      <c r="F103" s="2721"/>
      <c r="G103" s="2722">
        <f t="shared" si="8"/>
        <v>0</v>
      </c>
      <c r="H103" s="2723">
        <f t="shared" si="9"/>
        <v>0</v>
      </c>
      <c r="I103" s="2730"/>
      <c r="J103" s="2730"/>
      <c r="K103" s="2730"/>
      <c r="L103" s="2730"/>
      <c r="M103" s="2730"/>
      <c r="N103" s="2730"/>
      <c r="O103" s="2730"/>
      <c r="P103" s="2730"/>
      <c r="Q103" s="2730"/>
      <c r="R103" s="2730"/>
      <c r="S103" s="2730"/>
      <c r="T103" s="2730"/>
      <c r="U103" s="2730"/>
      <c r="V103" s="2730"/>
      <c r="W103" s="2730"/>
      <c r="X103" s="2730"/>
      <c r="Y103" s="2730"/>
      <c r="Z103" s="2730"/>
      <c r="AA103" s="2730"/>
      <c r="AB103" s="2730"/>
      <c r="AC103" s="2720">
        <f t="shared" si="10"/>
        <v>0</v>
      </c>
      <c r="AD103" s="2740"/>
      <c r="AE103" s="2740"/>
      <c r="AF103" s="2740"/>
      <c r="AG103" s="2740"/>
      <c r="AH103" s="2740"/>
      <c r="AI103" s="2740"/>
      <c r="AJ103" s="2740"/>
      <c r="AK103" s="2740"/>
      <c r="AL103" s="2740"/>
      <c r="AM103" s="2740"/>
      <c r="AN103" s="2740"/>
      <c r="AO103" s="2740"/>
      <c r="AP103" s="2740"/>
      <c r="AQ103" s="2740"/>
      <c r="AR103" s="2740"/>
      <c r="AS103" s="2740"/>
      <c r="AT103" s="2750"/>
      <c r="AU103" s="2751"/>
      <c r="AV103" s="1092">
        <f t="shared" si="11"/>
        <v>0</v>
      </c>
      <c r="AW103" s="1092">
        <f t="shared" si="12"/>
        <v>0</v>
      </c>
      <c r="AX103" s="1092">
        <f t="shared" si="13"/>
        <v>0</v>
      </c>
      <c r="AY103" s="2765">
        <f t="shared" si="14"/>
        <v>0</v>
      </c>
      <c r="AZ103" s="2720">
        <f t="shared" si="15"/>
        <v>0</v>
      </c>
      <c r="BA103" s="2720">
        <f t="shared" si="16"/>
        <v>0</v>
      </c>
      <c r="BB103" s="2720">
        <f t="shared" si="17"/>
        <v>0</v>
      </c>
      <c r="BC103" s="2720">
        <f t="shared" si="18"/>
        <v>0</v>
      </c>
      <c r="BD103" s="2720">
        <f t="shared" si="19"/>
        <v>0</v>
      </c>
      <c r="BE103" s="2720">
        <f t="shared" si="20"/>
        <v>0</v>
      </c>
      <c r="BF103" s="2720">
        <f t="shared" si="21"/>
        <v>0</v>
      </c>
      <c r="BG103" s="2720">
        <f t="shared" si="22"/>
        <v>0</v>
      </c>
      <c r="BH103" s="2720">
        <f t="shared" si="23"/>
        <v>0</v>
      </c>
      <c r="BI103" s="2720">
        <f t="shared" si="24"/>
        <v>0</v>
      </c>
      <c r="BJ103" s="2720">
        <f t="shared" si="25"/>
        <v>0</v>
      </c>
      <c r="BK103" s="2720">
        <f t="shared" si="26"/>
        <v>0</v>
      </c>
      <c r="BL103" s="2720">
        <f t="shared" si="27"/>
        <v>0</v>
      </c>
      <c r="BM103" s="2720">
        <f t="shared" si="28"/>
        <v>0</v>
      </c>
      <c r="BN103" s="2720">
        <f t="shared" si="29"/>
        <v>0</v>
      </c>
      <c r="BO103" s="2720">
        <f t="shared" si="30"/>
        <v>0</v>
      </c>
      <c r="BP103" s="2720">
        <f t="shared" si="31"/>
        <v>0</v>
      </c>
      <c r="BQ103" s="2720">
        <f t="shared" si="32"/>
        <v>0</v>
      </c>
      <c r="BR103" s="2720">
        <f t="shared" si="33"/>
        <v>0</v>
      </c>
      <c r="BS103" s="2720">
        <f t="shared" si="34"/>
        <v>0</v>
      </c>
      <c r="BT103" s="2772">
        <f t="shared" si="35"/>
        <v>0</v>
      </c>
    </row>
    <row r="104" spans="1:72">
      <c r="A104" s="2717"/>
      <c r="B104" s="2718"/>
      <c r="C104" s="2718"/>
      <c r="D104" s="2719"/>
      <c r="E104" s="2720">
        <f t="shared" si="7"/>
        <v>0</v>
      </c>
      <c r="F104" s="2721"/>
      <c r="G104" s="2722">
        <f t="shared" si="8"/>
        <v>0</v>
      </c>
      <c r="H104" s="2723">
        <f t="shared" si="9"/>
        <v>0</v>
      </c>
      <c r="I104" s="2730"/>
      <c r="J104" s="2730"/>
      <c r="K104" s="2730"/>
      <c r="L104" s="2730"/>
      <c r="M104" s="2730"/>
      <c r="N104" s="2730"/>
      <c r="O104" s="2730"/>
      <c r="P104" s="2730"/>
      <c r="Q104" s="2730"/>
      <c r="R104" s="2730"/>
      <c r="S104" s="2730"/>
      <c r="T104" s="2730"/>
      <c r="U104" s="2730"/>
      <c r="V104" s="2730"/>
      <c r="W104" s="2730"/>
      <c r="X104" s="2730"/>
      <c r="Y104" s="2730"/>
      <c r="Z104" s="2730"/>
      <c r="AA104" s="2730"/>
      <c r="AB104" s="2730"/>
      <c r="AC104" s="2720">
        <f t="shared" si="10"/>
        <v>0</v>
      </c>
      <c r="AD104" s="2740"/>
      <c r="AE104" s="2740"/>
      <c r="AF104" s="2740"/>
      <c r="AG104" s="2740"/>
      <c r="AH104" s="2740"/>
      <c r="AI104" s="2740"/>
      <c r="AJ104" s="2740"/>
      <c r="AK104" s="2740"/>
      <c r="AL104" s="2740"/>
      <c r="AM104" s="2740"/>
      <c r="AN104" s="2740"/>
      <c r="AO104" s="2740"/>
      <c r="AP104" s="2740"/>
      <c r="AQ104" s="2740"/>
      <c r="AR104" s="2740"/>
      <c r="AS104" s="2740"/>
      <c r="AT104" s="2750"/>
      <c r="AU104" s="2751"/>
      <c r="AV104" s="1092">
        <f t="shared" si="11"/>
        <v>0</v>
      </c>
      <c r="AW104" s="1092">
        <f t="shared" si="12"/>
        <v>0</v>
      </c>
      <c r="AX104" s="1092">
        <f t="shared" si="13"/>
        <v>0</v>
      </c>
      <c r="AY104" s="2765">
        <f t="shared" si="14"/>
        <v>0</v>
      </c>
      <c r="AZ104" s="2720">
        <f t="shared" si="15"/>
        <v>0</v>
      </c>
      <c r="BA104" s="2720">
        <f t="shared" si="16"/>
        <v>0</v>
      </c>
      <c r="BB104" s="2720">
        <f t="shared" si="17"/>
        <v>0</v>
      </c>
      <c r="BC104" s="2720">
        <f t="shared" si="18"/>
        <v>0</v>
      </c>
      <c r="BD104" s="2720">
        <f t="shared" si="19"/>
        <v>0</v>
      </c>
      <c r="BE104" s="2720">
        <f t="shared" si="20"/>
        <v>0</v>
      </c>
      <c r="BF104" s="2720">
        <f t="shared" si="21"/>
        <v>0</v>
      </c>
      <c r="BG104" s="2720">
        <f t="shared" si="22"/>
        <v>0</v>
      </c>
      <c r="BH104" s="2720">
        <f t="shared" si="23"/>
        <v>0</v>
      </c>
      <c r="BI104" s="2720">
        <f t="shared" si="24"/>
        <v>0</v>
      </c>
      <c r="BJ104" s="2720">
        <f t="shared" si="25"/>
        <v>0</v>
      </c>
      <c r="BK104" s="2720">
        <f t="shared" si="26"/>
        <v>0</v>
      </c>
      <c r="BL104" s="2720">
        <f t="shared" si="27"/>
        <v>0</v>
      </c>
      <c r="BM104" s="2720">
        <f t="shared" si="28"/>
        <v>0</v>
      </c>
      <c r="BN104" s="2720">
        <f t="shared" si="29"/>
        <v>0</v>
      </c>
      <c r="BO104" s="2720">
        <f t="shared" si="30"/>
        <v>0</v>
      </c>
      <c r="BP104" s="2720">
        <f t="shared" si="31"/>
        <v>0</v>
      </c>
      <c r="BQ104" s="2720">
        <f t="shared" si="32"/>
        <v>0</v>
      </c>
      <c r="BR104" s="2720">
        <f t="shared" si="33"/>
        <v>0</v>
      </c>
      <c r="BS104" s="2720">
        <f t="shared" si="34"/>
        <v>0</v>
      </c>
      <c r="BT104" s="2772">
        <f t="shared" si="35"/>
        <v>0</v>
      </c>
    </row>
    <row r="105" spans="1:72">
      <c r="A105" s="2717"/>
      <c r="B105" s="2718"/>
      <c r="C105" s="2718"/>
      <c r="D105" s="2719"/>
      <c r="E105" s="2720">
        <f t="shared" si="7"/>
        <v>0</v>
      </c>
      <c r="F105" s="2721"/>
      <c r="G105" s="2722">
        <f t="shared" si="8"/>
        <v>0</v>
      </c>
      <c r="H105" s="2723">
        <f t="shared" si="9"/>
        <v>0</v>
      </c>
      <c r="I105" s="2730"/>
      <c r="J105" s="2730"/>
      <c r="K105" s="2730"/>
      <c r="L105" s="2730"/>
      <c r="M105" s="2730"/>
      <c r="N105" s="2730"/>
      <c r="O105" s="2730"/>
      <c r="P105" s="2730"/>
      <c r="Q105" s="2730"/>
      <c r="R105" s="2730"/>
      <c r="S105" s="2730"/>
      <c r="T105" s="2730"/>
      <c r="U105" s="2730"/>
      <c r="V105" s="2730"/>
      <c r="W105" s="2730"/>
      <c r="X105" s="2730"/>
      <c r="Y105" s="2730"/>
      <c r="Z105" s="2730"/>
      <c r="AA105" s="2730"/>
      <c r="AB105" s="2730"/>
      <c r="AC105" s="2720">
        <f t="shared" si="10"/>
        <v>0</v>
      </c>
      <c r="AD105" s="2740"/>
      <c r="AE105" s="2740"/>
      <c r="AF105" s="2740"/>
      <c r="AG105" s="2740"/>
      <c r="AH105" s="2740"/>
      <c r="AI105" s="2740"/>
      <c r="AJ105" s="2740"/>
      <c r="AK105" s="2740"/>
      <c r="AL105" s="2740"/>
      <c r="AM105" s="2740"/>
      <c r="AN105" s="2740"/>
      <c r="AO105" s="2740"/>
      <c r="AP105" s="2740"/>
      <c r="AQ105" s="2740"/>
      <c r="AR105" s="2740"/>
      <c r="AS105" s="2740"/>
      <c r="AT105" s="2750"/>
      <c r="AU105" s="2751"/>
      <c r="AV105" s="1092">
        <f t="shared" si="11"/>
        <v>0</v>
      </c>
      <c r="AW105" s="1092">
        <f t="shared" si="12"/>
        <v>0</v>
      </c>
      <c r="AX105" s="1092">
        <f t="shared" si="13"/>
        <v>0</v>
      </c>
      <c r="AY105" s="2765">
        <f t="shared" si="14"/>
        <v>0</v>
      </c>
      <c r="AZ105" s="2720">
        <f t="shared" si="15"/>
        <v>0</v>
      </c>
      <c r="BA105" s="2720">
        <f t="shared" si="16"/>
        <v>0</v>
      </c>
      <c r="BB105" s="2720">
        <f t="shared" si="17"/>
        <v>0</v>
      </c>
      <c r="BC105" s="2720">
        <f t="shared" si="18"/>
        <v>0</v>
      </c>
      <c r="BD105" s="2720">
        <f t="shared" si="19"/>
        <v>0</v>
      </c>
      <c r="BE105" s="2720">
        <f t="shared" si="20"/>
        <v>0</v>
      </c>
      <c r="BF105" s="2720">
        <f t="shared" si="21"/>
        <v>0</v>
      </c>
      <c r="BG105" s="2720">
        <f t="shared" si="22"/>
        <v>0</v>
      </c>
      <c r="BH105" s="2720">
        <f t="shared" si="23"/>
        <v>0</v>
      </c>
      <c r="BI105" s="2720">
        <f t="shared" si="24"/>
        <v>0</v>
      </c>
      <c r="BJ105" s="2720">
        <f t="shared" si="25"/>
        <v>0</v>
      </c>
      <c r="BK105" s="2720">
        <f t="shared" si="26"/>
        <v>0</v>
      </c>
      <c r="BL105" s="2720">
        <f t="shared" si="27"/>
        <v>0</v>
      </c>
      <c r="BM105" s="2720">
        <f t="shared" si="28"/>
        <v>0</v>
      </c>
      <c r="BN105" s="2720">
        <f t="shared" si="29"/>
        <v>0</v>
      </c>
      <c r="BO105" s="2720">
        <f t="shared" si="30"/>
        <v>0</v>
      </c>
      <c r="BP105" s="2720">
        <f t="shared" si="31"/>
        <v>0</v>
      </c>
      <c r="BQ105" s="2720">
        <f t="shared" si="32"/>
        <v>0</v>
      </c>
      <c r="BR105" s="2720">
        <f t="shared" si="33"/>
        <v>0</v>
      </c>
      <c r="BS105" s="2720">
        <f t="shared" si="34"/>
        <v>0</v>
      </c>
      <c r="BT105" s="2772">
        <f t="shared" si="35"/>
        <v>0</v>
      </c>
    </row>
    <row r="106" spans="1:72">
      <c r="A106" s="2717"/>
      <c r="B106" s="2718"/>
      <c r="C106" s="2718"/>
      <c r="D106" s="2719"/>
      <c r="E106" s="2720">
        <f t="shared" si="7"/>
        <v>0</v>
      </c>
      <c r="F106" s="2721"/>
      <c r="G106" s="2722">
        <f t="shared" si="8"/>
        <v>0</v>
      </c>
      <c r="H106" s="2723">
        <f t="shared" si="9"/>
        <v>0</v>
      </c>
      <c r="I106" s="2730"/>
      <c r="J106" s="2730"/>
      <c r="K106" s="2730"/>
      <c r="L106" s="2730"/>
      <c r="M106" s="2730"/>
      <c r="N106" s="2730"/>
      <c r="O106" s="2730"/>
      <c r="P106" s="2730"/>
      <c r="Q106" s="2730"/>
      <c r="R106" s="2730"/>
      <c r="S106" s="2730"/>
      <c r="T106" s="2730"/>
      <c r="U106" s="2730"/>
      <c r="V106" s="2730"/>
      <c r="W106" s="2730"/>
      <c r="X106" s="2730"/>
      <c r="Y106" s="2730"/>
      <c r="Z106" s="2730"/>
      <c r="AA106" s="2730"/>
      <c r="AB106" s="2730"/>
      <c r="AC106" s="2720">
        <f t="shared" si="10"/>
        <v>0</v>
      </c>
      <c r="AD106" s="2740"/>
      <c r="AE106" s="2740"/>
      <c r="AF106" s="2740"/>
      <c r="AG106" s="2740"/>
      <c r="AH106" s="2740"/>
      <c r="AI106" s="2740"/>
      <c r="AJ106" s="2740"/>
      <c r="AK106" s="2740"/>
      <c r="AL106" s="2740"/>
      <c r="AM106" s="2740"/>
      <c r="AN106" s="2740"/>
      <c r="AO106" s="2740"/>
      <c r="AP106" s="2740"/>
      <c r="AQ106" s="2740"/>
      <c r="AR106" s="2740"/>
      <c r="AS106" s="2740"/>
      <c r="AT106" s="2750"/>
      <c r="AU106" s="2751"/>
      <c r="AV106" s="1092">
        <f t="shared" si="11"/>
        <v>0</v>
      </c>
      <c r="AW106" s="1092">
        <f t="shared" si="12"/>
        <v>0</v>
      </c>
      <c r="AX106" s="1092">
        <f t="shared" si="13"/>
        <v>0</v>
      </c>
      <c r="AY106" s="2765">
        <f t="shared" si="14"/>
        <v>0</v>
      </c>
      <c r="AZ106" s="2720">
        <f t="shared" si="15"/>
        <v>0</v>
      </c>
      <c r="BA106" s="2720">
        <f t="shared" si="16"/>
        <v>0</v>
      </c>
      <c r="BB106" s="2720">
        <f t="shared" si="17"/>
        <v>0</v>
      </c>
      <c r="BC106" s="2720">
        <f t="shared" si="18"/>
        <v>0</v>
      </c>
      <c r="BD106" s="2720">
        <f t="shared" si="19"/>
        <v>0</v>
      </c>
      <c r="BE106" s="2720">
        <f t="shared" si="20"/>
        <v>0</v>
      </c>
      <c r="BF106" s="2720">
        <f t="shared" si="21"/>
        <v>0</v>
      </c>
      <c r="BG106" s="2720">
        <f t="shared" si="22"/>
        <v>0</v>
      </c>
      <c r="BH106" s="2720">
        <f t="shared" si="23"/>
        <v>0</v>
      </c>
      <c r="BI106" s="2720">
        <f t="shared" si="24"/>
        <v>0</v>
      </c>
      <c r="BJ106" s="2720">
        <f t="shared" si="25"/>
        <v>0</v>
      </c>
      <c r="BK106" s="2720">
        <f t="shared" si="26"/>
        <v>0</v>
      </c>
      <c r="BL106" s="2720">
        <f t="shared" si="27"/>
        <v>0</v>
      </c>
      <c r="BM106" s="2720">
        <f t="shared" si="28"/>
        <v>0</v>
      </c>
      <c r="BN106" s="2720">
        <f t="shared" si="29"/>
        <v>0</v>
      </c>
      <c r="BO106" s="2720">
        <f t="shared" si="30"/>
        <v>0</v>
      </c>
      <c r="BP106" s="2720">
        <f t="shared" si="31"/>
        <v>0</v>
      </c>
      <c r="BQ106" s="2720">
        <f t="shared" si="32"/>
        <v>0</v>
      </c>
      <c r="BR106" s="2720">
        <f t="shared" si="33"/>
        <v>0</v>
      </c>
      <c r="BS106" s="2720">
        <f t="shared" si="34"/>
        <v>0</v>
      </c>
      <c r="BT106" s="2772">
        <f t="shared" si="35"/>
        <v>0</v>
      </c>
    </row>
    <row r="107" spans="1:72">
      <c r="A107" s="2717"/>
      <c r="B107" s="2718"/>
      <c r="C107" s="2718"/>
      <c r="D107" s="2719"/>
      <c r="E107" s="2720">
        <f t="shared" si="7"/>
        <v>0</v>
      </c>
      <c r="F107" s="2721"/>
      <c r="G107" s="2722">
        <f t="shared" si="8"/>
        <v>0</v>
      </c>
      <c r="H107" s="2723">
        <f t="shared" si="9"/>
        <v>0</v>
      </c>
      <c r="I107" s="2730"/>
      <c r="J107" s="2730"/>
      <c r="K107" s="2730"/>
      <c r="L107" s="2730"/>
      <c r="M107" s="2730"/>
      <c r="N107" s="2730"/>
      <c r="O107" s="2730"/>
      <c r="P107" s="2730"/>
      <c r="Q107" s="2730"/>
      <c r="R107" s="2730"/>
      <c r="S107" s="2730"/>
      <c r="T107" s="2730"/>
      <c r="U107" s="2730"/>
      <c r="V107" s="2730"/>
      <c r="W107" s="2730"/>
      <c r="X107" s="2730"/>
      <c r="Y107" s="2730"/>
      <c r="Z107" s="2730"/>
      <c r="AA107" s="2730"/>
      <c r="AB107" s="2730"/>
      <c r="AC107" s="2720">
        <f t="shared" si="10"/>
        <v>0</v>
      </c>
      <c r="AD107" s="2740"/>
      <c r="AE107" s="2740"/>
      <c r="AF107" s="2740"/>
      <c r="AG107" s="2740"/>
      <c r="AH107" s="2740"/>
      <c r="AI107" s="2740"/>
      <c r="AJ107" s="2740"/>
      <c r="AK107" s="2740"/>
      <c r="AL107" s="2740"/>
      <c r="AM107" s="2740"/>
      <c r="AN107" s="2740"/>
      <c r="AO107" s="2740"/>
      <c r="AP107" s="2740"/>
      <c r="AQ107" s="2740"/>
      <c r="AR107" s="2740"/>
      <c r="AS107" s="2740"/>
      <c r="AT107" s="2750"/>
      <c r="AU107" s="2751"/>
      <c r="AV107" s="1092">
        <f t="shared" si="11"/>
        <v>0</v>
      </c>
      <c r="AW107" s="1092">
        <f t="shared" si="12"/>
        <v>0</v>
      </c>
      <c r="AX107" s="1092">
        <f t="shared" si="13"/>
        <v>0</v>
      </c>
      <c r="AY107" s="2765">
        <f t="shared" si="14"/>
        <v>0</v>
      </c>
      <c r="AZ107" s="2720">
        <f t="shared" si="15"/>
        <v>0</v>
      </c>
      <c r="BA107" s="2720">
        <f t="shared" si="16"/>
        <v>0</v>
      </c>
      <c r="BB107" s="2720">
        <f t="shared" si="17"/>
        <v>0</v>
      </c>
      <c r="BC107" s="2720">
        <f t="shared" si="18"/>
        <v>0</v>
      </c>
      <c r="BD107" s="2720">
        <f t="shared" si="19"/>
        <v>0</v>
      </c>
      <c r="BE107" s="2720">
        <f t="shared" si="20"/>
        <v>0</v>
      </c>
      <c r="BF107" s="2720">
        <f t="shared" si="21"/>
        <v>0</v>
      </c>
      <c r="BG107" s="2720">
        <f t="shared" si="22"/>
        <v>0</v>
      </c>
      <c r="BH107" s="2720">
        <f t="shared" si="23"/>
        <v>0</v>
      </c>
      <c r="BI107" s="2720">
        <f t="shared" si="24"/>
        <v>0</v>
      </c>
      <c r="BJ107" s="2720">
        <f t="shared" si="25"/>
        <v>0</v>
      </c>
      <c r="BK107" s="2720">
        <f t="shared" si="26"/>
        <v>0</v>
      </c>
      <c r="BL107" s="2720">
        <f t="shared" si="27"/>
        <v>0</v>
      </c>
      <c r="BM107" s="2720">
        <f t="shared" si="28"/>
        <v>0</v>
      </c>
      <c r="BN107" s="2720">
        <f t="shared" si="29"/>
        <v>0</v>
      </c>
      <c r="BO107" s="2720">
        <f t="shared" si="30"/>
        <v>0</v>
      </c>
      <c r="BP107" s="2720">
        <f t="shared" si="31"/>
        <v>0</v>
      </c>
      <c r="BQ107" s="2720">
        <f t="shared" si="32"/>
        <v>0</v>
      </c>
      <c r="BR107" s="2720">
        <f t="shared" si="33"/>
        <v>0</v>
      </c>
      <c r="BS107" s="2720">
        <f t="shared" si="34"/>
        <v>0</v>
      </c>
      <c r="BT107" s="2772">
        <f t="shared" si="35"/>
        <v>0</v>
      </c>
    </row>
    <row r="108" spans="1:72">
      <c r="A108" s="2717"/>
      <c r="B108" s="2718"/>
      <c r="C108" s="2718"/>
      <c r="D108" s="2719"/>
      <c r="E108" s="2720">
        <f t="shared" si="7"/>
        <v>0</v>
      </c>
      <c r="F108" s="2721"/>
      <c r="G108" s="2722">
        <f t="shared" si="8"/>
        <v>0</v>
      </c>
      <c r="H108" s="2723">
        <f t="shared" si="9"/>
        <v>0</v>
      </c>
      <c r="I108" s="2730"/>
      <c r="J108" s="2730"/>
      <c r="K108" s="2730"/>
      <c r="L108" s="2730"/>
      <c r="M108" s="2730"/>
      <c r="N108" s="2730"/>
      <c r="O108" s="2730"/>
      <c r="P108" s="2730"/>
      <c r="Q108" s="2730"/>
      <c r="R108" s="2730"/>
      <c r="S108" s="2730"/>
      <c r="T108" s="2730"/>
      <c r="U108" s="2730"/>
      <c r="V108" s="2730"/>
      <c r="W108" s="2730"/>
      <c r="X108" s="2730"/>
      <c r="Y108" s="2730"/>
      <c r="Z108" s="2730"/>
      <c r="AA108" s="2730"/>
      <c r="AB108" s="2730"/>
      <c r="AC108" s="2720">
        <f t="shared" si="10"/>
        <v>0</v>
      </c>
      <c r="AD108" s="2740"/>
      <c r="AE108" s="2740"/>
      <c r="AF108" s="2740"/>
      <c r="AG108" s="2740"/>
      <c r="AH108" s="2740"/>
      <c r="AI108" s="2740"/>
      <c r="AJ108" s="2740"/>
      <c r="AK108" s="2740"/>
      <c r="AL108" s="2740"/>
      <c r="AM108" s="2740"/>
      <c r="AN108" s="2740"/>
      <c r="AO108" s="2740"/>
      <c r="AP108" s="2740"/>
      <c r="AQ108" s="2740"/>
      <c r="AR108" s="2740"/>
      <c r="AS108" s="2740"/>
      <c r="AT108" s="2750"/>
      <c r="AU108" s="2751"/>
      <c r="AV108" s="1092">
        <f t="shared" si="11"/>
        <v>0</v>
      </c>
      <c r="AW108" s="1092">
        <f t="shared" si="12"/>
        <v>0</v>
      </c>
      <c r="AX108" s="1092">
        <f t="shared" si="13"/>
        <v>0</v>
      </c>
      <c r="AY108" s="2765">
        <f t="shared" si="14"/>
        <v>0</v>
      </c>
      <c r="AZ108" s="2720">
        <f t="shared" si="15"/>
        <v>0</v>
      </c>
      <c r="BA108" s="2720">
        <f t="shared" si="16"/>
        <v>0</v>
      </c>
      <c r="BB108" s="2720">
        <f t="shared" si="17"/>
        <v>0</v>
      </c>
      <c r="BC108" s="2720">
        <f t="shared" si="18"/>
        <v>0</v>
      </c>
      <c r="BD108" s="2720">
        <f t="shared" si="19"/>
        <v>0</v>
      </c>
      <c r="BE108" s="2720">
        <f t="shared" si="20"/>
        <v>0</v>
      </c>
      <c r="BF108" s="2720">
        <f t="shared" si="21"/>
        <v>0</v>
      </c>
      <c r="BG108" s="2720">
        <f t="shared" si="22"/>
        <v>0</v>
      </c>
      <c r="BH108" s="2720">
        <f t="shared" si="23"/>
        <v>0</v>
      </c>
      <c r="BI108" s="2720">
        <f t="shared" si="24"/>
        <v>0</v>
      </c>
      <c r="BJ108" s="2720">
        <f t="shared" si="25"/>
        <v>0</v>
      </c>
      <c r="BK108" s="2720">
        <f t="shared" si="26"/>
        <v>0</v>
      </c>
      <c r="BL108" s="2720">
        <f t="shared" si="27"/>
        <v>0</v>
      </c>
      <c r="BM108" s="2720">
        <f t="shared" si="28"/>
        <v>0</v>
      </c>
      <c r="BN108" s="2720">
        <f t="shared" si="29"/>
        <v>0</v>
      </c>
      <c r="BO108" s="2720">
        <f t="shared" si="30"/>
        <v>0</v>
      </c>
      <c r="BP108" s="2720">
        <f t="shared" si="31"/>
        <v>0</v>
      </c>
      <c r="BQ108" s="2720">
        <f t="shared" si="32"/>
        <v>0</v>
      </c>
      <c r="BR108" s="2720">
        <f t="shared" si="33"/>
        <v>0</v>
      </c>
      <c r="BS108" s="2720">
        <f t="shared" si="34"/>
        <v>0</v>
      </c>
      <c r="BT108" s="2772">
        <f t="shared" si="35"/>
        <v>0</v>
      </c>
    </row>
    <row r="109" spans="1:72">
      <c r="A109" s="2717"/>
      <c r="B109" s="2718"/>
      <c r="C109" s="2718"/>
      <c r="D109" s="2719"/>
      <c r="E109" s="2720">
        <f t="shared" si="7"/>
        <v>0</v>
      </c>
      <c r="F109" s="2721"/>
      <c r="G109" s="2722">
        <f t="shared" si="8"/>
        <v>0</v>
      </c>
      <c r="H109" s="2723">
        <f t="shared" si="9"/>
        <v>0</v>
      </c>
      <c r="I109" s="2730"/>
      <c r="J109" s="2730"/>
      <c r="K109" s="2730"/>
      <c r="L109" s="2730"/>
      <c r="M109" s="2730"/>
      <c r="N109" s="2730"/>
      <c r="O109" s="2730"/>
      <c r="P109" s="2730"/>
      <c r="Q109" s="2730"/>
      <c r="R109" s="2730"/>
      <c r="S109" s="2730"/>
      <c r="T109" s="2730"/>
      <c r="U109" s="2730"/>
      <c r="V109" s="2730"/>
      <c r="W109" s="2730"/>
      <c r="X109" s="2730"/>
      <c r="Y109" s="2730"/>
      <c r="Z109" s="2730"/>
      <c r="AA109" s="2730"/>
      <c r="AB109" s="2730"/>
      <c r="AC109" s="2720">
        <f t="shared" si="10"/>
        <v>0</v>
      </c>
      <c r="AD109" s="2740"/>
      <c r="AE109" s="2740"/>
      <c r="AF109" s="2740"/>
      <c r="AG109" s="2740"/>
      <c r="AH109" s="2740"/>
      <c r="AI109" s="2740"/>
      <c r="AJ109" s="2740"/>
      <c r="AK109" s="2740"/>
      <c r="AL109" s="2740"/>
      <c r="AM109" s="2740"/>
      <c r="AN109" s="2740"/>
      <c r="AO109" s="2740"/>
      <c r="AP109" s="2740"/>
      <c r="AQ109" s="2740"/>
      <c r="AR109" s="2740"/>
      <c r="AS109" s="2740"/>
      <c r="AT109" s="2750"/>
      <c r="AU109" s="2751"/>
      <c r="AV109" s="1092">
        <f t="shared" si="11"/>
        <v>0</v>
      </c>
      <c r="AW109" s="1092">
        <f t="shared" si="12"/>
        <v>0</v>
      </c>
      <c r="AX109" s="1092">
        <f t="shared" si="13"/>
        <v>0</v>
      </c>
      <c r="AY109" s="2765">
        <f t="shared" si="14"/>
        <v>0</v>
      </c>
      <c r="AZ109" s="2720">
        <f t="shared" si="15"/>
        <v>0</v>
      </c>
      <c r="BA109" s="2720">
        <f t="shared" si="16"/>
        <v>0</v>
      </c>
      <c r="BB109" s="2720">
        <f t="shared" si="17"/>
        <v>0</v>
      </c>
      <c r="BC109" s="2720">
        <f t="shared" si="18"/>
        <v>0</v>
      </c>
      <c r="BD109" s="2720">
        <f t="shared" si="19"/>
        <v>0</v>
      </c>
      <c r="BE109" s="2720">
        <f t="shared" si="20"/>
        <v>0</v>
      </c>
      <c r="BF109" s="2720">
        <f t="shared" si="21"/>
        <v>0</v>
      </c>
      <c r="BG109" s="2720">
        <f t="shared" si="22"/>
        <v>0</v>
      </c>
      <c r="BH109" s="2720">
        <f t="shared" si="23"/>
        <v>0</v>
      </c>
      <c r="BI109" s="2720">
        <f t="shared" si="24"/>
        <v>0</v>
      </c>
      <c r="BJ109" s="2720">
        <f t="shared" si="25"/>
        <v>0</v>
      </c>
      <c r="BK109" s="2720">
        <f t="shared" si="26"/>
        <v>0</v>
      </c>
      <c r="BL109" s="2720">
        <f t="shared" si="27"/>
        <v>0</v>
      </c>
      <c r="BM109" s="2720">
        <f t="shared" si="28"/>
        <v>0</v>
      </c>
      <c r="BN109" s="2720">
        <f t="shared" si="29"/>
        <v>0</v>
      </c>
      <c r="BO109" s="2720">
        <f t="shared" si="30"/>
        <v>0</v>
      </c>
      <c r="BP109" s="2720">
        <f t="shared" si="31"/>
        <v>0</v>
      </c>
      <c r="BQ109" s="2720">
        <f t="shared" si="32"/>
        <v>0</v>
      </c>
      <c r="BR109" s="2720">
        <f t="shared" si="33"/>
        <v>0</v>
      </c>
      <c r="BS109" s="2720">
        <f t="shared" si="34"/>
        <v>0</v>
      </c>
      <c r="BT109" s="2772">
        <f t="shared" si="35"/>
        <v>0</v>
      </c>
    </row>
    <row r="110" spans="1:72">
      <c r="A110" s="2717"/>
      <c r="B110" s="2717"/>
      <c r="C110" s="2717"/>
      <c r="D110" s="2719"/>
      <c r="E110" s="2720">
        <f t="shared" si="7"/>
        <v>0</v>
      </c>
      <c r="F110" s="2773"/>
      <c r="G110" s="2722">
        <f t="shared" ref="G110:G141" si="36">H110+AC110+AT110</f>
        <v>0</v>
      </c>
      <c r="H110" s="2723">
        <f t="shared" ref="H110:H141" si="37">SUMIF(I$12:AB$12,"总值",I110:AB110)</f>
        <v>0</v>
      </c>
      <c r="I110" s="2774"/>
      <c r="J110" s="2774"/>
      <c r="K110" s="2730"/>
      <c r="L110" s="2730"/>
      <c r="M110" s="2730"/>
      <c r="N110" s="2730"/>
      <c r="O110" s="2730"/>
      <c r="P110" s="2730"/>
      <c r="Q110" s="2730"/>
      <c r="R110" s="2730"/>
      <c r="S110" s="2730"/>
      <c r="T110" s="2730"/>
      <c r="U110" s="2730"/>
      <c r="V110" s="2730"/>
      <c r="W110" s="2730"/>
      <c r="X110" s="2730"/>
      <c r="Y110" s="2730"/>
      <c r="Z110" s="2730"/>
      <c r="AA110" s="2730"/>
      <c r="AB110" s="2730"/>
      <c r="AC110" s="2720">
        <f t="shared" ref="AC110:AC141" si="38">SUMIF(AD$12:AS$12,"总值",AD110:AS110)</f>
        <v>0</v>
      </c>
      <c r="AD110" s="2740"/>
      <c r="AE110" s="2740"/>
      <c r="AF110" s="2740"/>
      <c r="AG110" s="2740"/>
      <c r="AH110" s="2740"/>
      <c r="AI110" s="2740"/>
      <c r="AJ110" s="2740"/>
      <c r="AK110" s="2740"/>
      <c r="AL110" s="2740"/>
      <c r="AM110" s="2740"/>
      <c r="AN110" s="2740"/>
      <c r="AO110" s="2740"/>
      <c r="AP110" s="2740"/>
      <c r="AQ110" s="2740"/>
      <c r="AR110" s="2740"/>
      <c r="AS110" s="2740"/>
      <c r="AT110" s="2740"/>
      <c r="AU110" s="2775"/>
      <c r="AV110" s="1092">
        <f t="shared" si="11"/>
        <v>0</v>
      </c>
      <c r="AW110" s="1092">
        <f t="shared" si="12"/>
        <v>0</v>
      </c>
      <c r="AX110" s="1092">
        <f t="shared" si="13"/>
        <v>0</v>
      </c>
      <c r="AY110" s="2765">
        <f t="shared" ref="AY110:AY141" si="39">ROUND($AY$6*AZ110/$AZ$5,2)</f>
        <v>0</v>
      </c>
      <c r="AZ110" s="2720">
        <f t="shared" ref="AZ110:AZ141" si="40">BA110+BL110</f>
        <v>0</v>
      </c>
      <c r="BA110" s="2720">
        <f t="shared" ref="BA110:BA141" si="41">SUM(BB110:BK110)</f>
        <v>0</v>
      </c>
      <c r="BB110" s="2720">
        <f t="shared" ref="BB110:BB141" si="42">IF($D110="是",I110-J110,0)</f>
        <v>0</v>
      </c>
      <c r="BC110" s="2720">
        <f t="shared" ref="BC110:BC141" si="43">IF($D110="是",K110-L110,0)</f>
        <v>0</v>
      </c>
      <c r="BD110" s="2720">
        <f t="shared" ref="BD110:BD141" si="44">IF($D110="是",M110-N110,0)</f>
        <v>0</v>
      </c>
      <c r="BE110" s="2720">
        <f t="shared" ref="BE110:BE141" si="45">IF($D110="是",O110-P110,0)</f>
        <v>0</v>
      </c>
      <c r="BF110" s="2720">
        <f t="shared" ref="BF110:BF141" si="46">IF($D110="是",Q110-R110,0)</f>
        <v>0</v>
      </c>
      <c r="BG110" s="2720">
        <f t="shared" ref="BG110:BG141" si="47">IF($D110="是",S110-T110,0)</f>
        <v>0</v>
      </c>
      <c r="BH110" s="2720">
        <f t="shared" ref="BH110:BH141" si="48">IF($D110="是",U110-V110,0)</f>
        <v>0</v>
      </c>
      <c r="BI110" s="2720">
        <f t="shared" ref="BI110:BI141" si="49">IF($D110="是",W110-X110,0)</f>
        <v>0</v>
      </c>
      <c r="BJ110" s="2720">
        <f t="shared" ref="BJ110:BJ141" si="50">IF($D110="是",Y110-Z110,0)</f>
        <v>0</v>
      </c>
      <c r="BK110" s="2720">
        <f t="shared" ref="BK110:BK141" si="51">IF($D110="是",AA110-AB110,0)</f>
        <v>0</v>
      </c>
      <c r="BL110" s="2720">
        <f t="shared" ref="BL110:BL141" si="52">SUM(BM110:BT110)</f>
        <v>0</v>
      </c>
      <c r="BM110" s="2720">
        <f t="shared" ref="BM110:BM141" si="53">IF($D110="是",AD110-AE110,0)</f>
        <v>0</v>
      </c>
      <c r="BN110" s="2720">
        <f t="shared" ref="BN110:BN141" si="54">IF($D110="是",AF110-AG110,0)</f>
        <v>0</v>
      </c>
      <c r="BO110" s="2720">
        <f t="shared" ref="BO110:BO141" si="55">IF($D110="是",AH110-AI110,0)</f>
        <v>0</v>
      </c>
      <c r="BP110" s="2720">
        <f t="shared" ref="BP110:BP141" si="56">IF($D110="是",AJ110-AK110,0)</f>
        <v>0</v>
      </c>
      <c r="BQ110" s="2720">
        <f t="shared" ref="BQ110:BQ141" si="57">IF($D110="是",AL110-AM110,0)</f>
        <v>0</v>
      </c>
      <c r="BR110" s="2720">
        <f t="shared" ref="BR110:BR141" si="58">IF($D110="是",AN110-AO110,0)</f>
        <v>0</v>
      </c>
      <c r="BS110" s="2720">
        <f t="shared" ref="BS110:BS141" si="59">IF($D110="是",AP110-AQ110,0)</f>
        <v>0</v>
      </c>
      <c r="BT110" s="2772">
        <f t="shared" ref="BT110:BT141" si="60">IF($D110="是",AR110-AS110,0)</f>
        <v>0</v>
      </c>
    </row>
    <row r="111" spans="1:72">
      <c r="A111" s="2717"/>
      <c r="B111" s="2717"/>
      <c r="C111" s="2717"/>
      <c r="D111" s="2719"/>
      <c r="E111" s="2720">
        <f t="shared" si="7"/>
        <v>0</v>
      </c>
      <c r="F111" s="2773"/>
      <c r="G111" s="2722">
        <f t="shared" si="36"/>
        <v>0</v>
      </c>
      <c r="H111" s="2723">
        <f t="shared" si="37"/>
        <v>0</v>
      </c>
      <c r="I111" s="2730"/>
      <c r="J111" s="2730"/>
      <c r="K111" s="2730"/>
      <c r="L111" s="2730"/>
      <c r="M111" s="2730"/>
      <c r="N111" s="2730"/>
      <c r="O111" s="2730"/>
      <c r="P111" s="2730"/>
      <c r="Q111" s="2730"/>
      <c r="R111" s="2730"/>
      <c r="S111" s="2730"/>
      <c r="T111" s="2730"/>
      <c r="U111" s="2730"/>
      <c r="V111" s="2730"/>
      <c r="W111" s="2730"/>
      <c r="X111" s="2730"/>
      <c r="Y111" s="2730"/>
      <c r="Z111" s="2730"/>
      <c r="AA111" s="2730"/>
      <c r="AB111" s="2730"/>
      <c r="AC111" s="2720">
        <f t="shared" si="38"/>
        <v>0</v>
      </c>
      <c r="AD111" s="2740"/>
      <c r="AE111" s="2740"/>
      <c r="AF111" s="2740"/>
      <c r="AG111" s="2740"/>
      <c r="AH111" s="2740"/>
      <c r="AI111" s="2740"/>
      <c r="AJ111" s="2740"/>
      <c r="AK111" s="2740"/>
      <c r="AL111" s="2740"/>
      <c r="AM111" s="2740"/>
      <c r="AN111" s="2740"/>
      <c r="AO111" s="2740"/>
      <c r="AP111" s="2740"/>
      <c r="AQ111" s="2740"/>
      <c r="AR111" s="2740"/>
      <c r="AS111" s="2740"/>
      <c r="AT111" s="2740"/>
      <c r="AU111" s="2775"/>
      <c r="AV111" s="1092">
        <f t="shared" si="11"/>
        <v>0</v>
      </c>
      <c r="AW111" s="1092">
        <f t="shared" si="12"/>
        <v>0</v>
      </c>
      <c r="AX111" s="1092">
        <f t="shared" si="13"/>
        <v>0</v>
      </c>
      <c r="AY111" s="2765">
        <f t="shared" si="39"/>
        <v>0</v>
      </c>
      <c r="AZ111" s="2720">
        <f t="shared" si="40"/>
        <v>0</v>
      </c>
      <c r="BA111" s="2720">
        <f t="shared" si="41"/>
        <v>0</v>
      </c>
      <c r="BB111" s="2720">
        <f t="shared" si="42"/>
        <v>0</v>
      </c>
      <c r="BC111" s="2720">
        <f t="shared" si="43"/>
        <v>0</v>
      </c>
      <c r="BD111" s="2720">
        <f t="shared" si="44"/>
        <v>0</v>
      </c>
      <c r="BE111" s="2720">
        <f t="shared" si="45"/>
        <v>0</v>
      </c>
      <c r="BF111" s="2720">
        <f t="shared" si="46"/>
        <v>0</v>
      </c>
      <c r="BG111" s="2720">
        <f t="shared" si="47"/>
        <v>0</v>
      </c>
      <c r="BH111" s="2720">
        <f t="shared" si="48"/>
        <v>0</v>
      </c>
      <c r="BI111" s="2720">
        <f t="shared" si="49"/>
        <v>0</v>
      </c>
      <c r="BJ111" s="2720">
        <f t="shared" si="50"/>
        <v>0</v>
      </c>
      <c r="BK111" s="2720">
        <f t="shared" si="51"/>
        <v>0</v>
      </c>
      <c r="BL111" s="2720">
        <f t="shared" si="52"/>
        <v>0</v>
      </c>
      <c r="BM111" s="2720">
        <f t="shared" si="53"/>
        <v>0</v>
      </c>
      <c r="BN111" s="2720">
        <f t="shared" si="54"/>
        <v>0</v>
      </c>
      <c r="BO111" s="2720">
        <f t="shared" si="55"/>
        <v>0</v>
      </c>
      <c r="BP111" s="2720">
        <f t="shared" si="56"/>
        <v>0</v>
      </c>
      <c r="BQ111" s="2720">
        <f t="shared" si="57"/>
        <v>0</v>
      </c>
      <c r="BR111" s="2720">
        <f t="shared" si="58"/>
        <v>0</v>
      </c>
      <c r="BS111" s="2720">
        <f t="shared" si="59"/>
        <v>0</v>
      </c>
      <c r="BT111" s="2772">
        <f t="shared" si="60"/>
        <v>0</v>
      </c>
    </row>
    <row r="112" spans="1:72">
      <c r="A112" s="2717"/>
      <c r="B112" s="2717"/>
      <c r="C112" s="2717"/>
      <c r="D112" s="2719"/>
      <c r="E112" s="2720">
        <f t="shared" si="7"/>
        <v>0</v>
      </c>
      <c r="F112" s="2773"/>
      <c r="G112" s="2722">
        <f t="shared" si="36"/>
        <v>0</v>
      </c>
      <c r="H112" s="2723">
        <f t="shared" si="37"/>
        <v>0</v>
      </c>
      <c r="I112" s="2730"/>
      <c r="J112" s="2730"/>
      <c r="K112" s="2730"/>
      <c r="L112" s="2730"/>
      <c r="M112" s="2730"/>
      <c r="N112" s="2730"/>
      <c r="O112" s="2730"/>
      <c r="P112" s="2730"/>
      <c r="Q112" s="2730"/>
      <c r="R112" s="2730"/>
      <c r="S112" s="2730"/>
      <c r="T112" s="2730"/>
      <c r="U112" s="2730"/>
      <c r="V112" s="2730"/>
      <c r="W112" s="2730"/>
      <c r="X112" s="2730"/>
      <c r="Y112" s="2730"/>
      <c r="Z112" s="2730"/>
      <c r="AA112" s="2730"/>
      <c r="AB112" s="2730"/>
      <c r="AC112" s="2720">
        <f t="shared" si="38"/>
        <v>0</v>
      </c>
      <c r="AD112" s="2740"/>
      <c r="AE112" s="2740"/>
      <c r="AF112" s="2740"/>
      <c r="AG112" s="2740"/>
      <c r="AH112" s="2740"/>
      <c r="AI112" s="2740"/>
      <c r="AJ112" s="2740"/>
      <c r="AK112" s="2740"/>
      <c r="AL112" s="2740"/>
      <c r="AM112" s="2740"/>
      <c r="AN112" s="2740"/>
      <c r="AO112" s="2740"/>
      <c r="AP112" s="2740"/>
      <c r="AQ112" s="2740"/>
      <c r="AR112" s="2740"/>
      <c r="AS112" s="2740"/>
      <c r="AT112" s="2740"/>
      <c r="AU112" s="2775"/>
      <c r="AV112" s="1092">
        <f t="shared" si="11"/>
        <v>0</v>
      </c>
      <c r="AW112" s="1092">
        <f t="shared" si="12"/>
        <v>0</v>
      </c>
      <c r="AX112" s="1092">
        <f t="shared" si="13"/>
        <v>0</v>
      </c>
      <c r="AY112" s="2765">
        <f t="shared" si="39"/>
        <v>0</v>
      </c>
      <c r="AZ112" s="2720">
        <f t="shared" si="40"/>
        <v>0</v>
      </c>
      <c r="BA112" s="2720">
        <f t="shared" si="41"/>
        <v>0</v>
      </c>
      <c r="BB112" s="2720">
        <f t="shared" si="42"/>
        <v>0</v>
      </c>
      <c r="BC112" s="2720">
        <f t="shared" si="43"/>
        <v>0</v>
      </c>
      <c r="BD112" s="2720">
        <f t="shared" si="44"/>
        <v>0</v>
      </c>
      <c r="BE112" s="2720">
        <f t="shared" si="45"/>
        <v>0</v>
      </c>
      <c r="BF112" s="2720">
        <f t="shared" si="46"/>
        <v>0</v>
      </c>
      <c r="BG112" s="2720">
        <f t="shared" si="47"/>
        <v>0</v>
      </c>
      <c r="BH112" s="2720">
        <f t="shared" si="48"/>
        <v>0</v>
      </c>
      <c r="BI112" s="2720">
        <f t="shared" si="49"/>
        <v>0</v>
      </c>
      <c r="BJ112" s="2720">
        <f t="shared" si="50"/>
        <v>0</v>
      </c>
      <c r="BK112" s="2720">
        <f t="shared" si="51"/>
        <v>0</v>
      </c>
      <c r="BL112" s="2720">
        <f t="shared" si="52"/>
        <v>0</v>
      </c>
      <c r="BM112" s="2720">
        <f t="shared" si="53"/>
        <v>0</v>
      </c>
      <c r="BN112" s="2720">
        <f t="shared" si="54"/>
        <v>0</v>
      </c>
      <c r="BO112" s="2720">
        <f t="shared" si="55"/>
        <v>0</v>
      </c>
      <c r="BP112" s="2720">
        <f t="shared" si="56"/>
        <v>0</v>
      </c>
      <c r="BQ112" s="2720">
        <f t="shared" si="57"/>
        <v>0</v>
      </c>
      <c r="BR112" s="2720">
        <f t="shared" si="58"/>
        <v>0</v>
      </c>
      <c r="BS112" s="2720">
        <f t="shared" si="59"/>
        <v>0</v>
      </c>
      <c r="BT112" s="2772">
        <f t="shared" si="60"/>
        <v>0</v>
      </c>
    </row>
    <row r="113" spans="1:72">
      <c r="A113" s="2717"/>
      <c r="B113" s="2718"/>
      <c r="C113" s="2718"/>
      <c r="D113" s="2719"/>
      <c r="E113" s="2720">
        <f t="shared" ref="E113:E144" si="61">IF($C$3="是",ROUND($A$3*G113/$B$3,2),ROUND($A$3*(G113-AT113)/$B$3,2))</f>
        <v>0</v>
      </c>
      <c r="F113" s="2721"/>
      <c r="G113" s="2722">
        <f t="shared" si="36"/>
        <v>0</v>
      </c>
      <c r="H113" s="2723">
        <f t="shared" si="37"/>
        <v>0</v>
      </c>
      <c r="I113" s="2730"/>
      <c r="J113" s="2730"/>
      <c r="K113" s="2730"/>
      <c r="L113" s="2730"/>
      <c r="M113" s="2730"/>
      <c r="N113" s="2730"/>
      <c r="O113" s="2730"/>
      <c r="P113" s="2730"/>
      <c r="Q113" s="2730"/>
      <c r="R113" s="2730"/>
      <c r="S113" s="2730"/>
      <c r="T113" s="2730"/>
      <c r="U113" s="2730"/>
      <c r="V113" s="2730"/>
      <c r="W113" s="2730"/>
      <c r="X113" s="2730"/>
      <c r="Y113" s="2730"/>
      <c r="Z113" s="2730"/>
      <c r="AA113" s="2730"/>
      <c r="AB113" s="2730"/>
      <c r="AC113" s="2720">
        <f t="shared" si="38"/>
        <v>0</v>
      </c>
      <c r="AD113" s="2740"/>
      <c r="AE113" s="2740"/>
      <c r="AF113" s="2740"/>
      <c r="AG113" s="2740"/>
      <c r="AH113" s="2740"/>
      <c r="AI113" s="2740"/>
      <c r="AJ113" s="2740"/>
      <c r="AK113" s="2740"/>
      <c r="AL113" s="2740"/>
      <c r="AM113" s="2740"/>
      <c r="AN113" s="2740"/>
      <c r="AO113" s="2740"/>
      <c r="AP113" s="2740"/>
      <c r="AQ113" s="2740"/>
      <c r="AR113" s="2740"/>
      <c r="AS113" s="2740"/>
      <c r="AT113" s="2750"/>
      <c r="AU113" s="2751"/>
      <c r="AV113" s="1092">
        <f t="shared" ref="AV113:AV144" si="62">A113</f>
        <v>0</v>
      </c>
      <c r="AW113" s="1092">
        <f t="shared" ref="AW113:AW144" si="63">B113</f>
        <v>0</v>
      </c>
      <c r="AX113" s="1092">
        <f t="shared" ref="AX113:AX144" si="64">C113</f>
        <v>0</v>
      </c>
      <c r="AY113" s="2765">
        <f t="shared" si="39"/>
        <v>0</v>
      </c>
      <c r="AZ113" s="2720">
        <f t="shared" si="40"/>
        <v>0</v>
      </c>
      <c r="BA113" s="2720">
        <f t="shared" si="41"/>
        <v>0</v>
      </c>
      <c r="BB113" s="2720">
        <f t="shared" si="42"/>
        <v>0</v>
      </c>
      <c r="BC113" s="2720">
        <f t="shared" si="43"/>
        <v>0</v>
      </c>
      <c r="BD113" s="2720">
        <f t="shared" si="44"/>
        <v>0</v>
      </c>
      <c r="BE113" s="2720">
        <f t="shared" si="45"/>
        <v>0</v>
      </c>
      <c r="BF113" s="2720">
        <f t="shared" si="46"/>
        <v>0</v>
      </c>
      <c r="BG113" s="2720">
        <f t="shared" si="47"/>
        <v>0</v>
      </c>
      <c r="BH113" s="2720">
        <f t="shared" si="48"/>
        <v>0</v>
      </c>
      <c r="BI113" s="2720">
        <f t="shared" si="49"/>
        <v>0</v>
      </c>
      <c r="BJ113" s="2720">
        <f t="shared" si="50"/>
        <v>0</v>
      </c>
      <c r="BK113" s="2720">
        <f t="shared" si="51"/>
        <v>0</v>
      </c>
      <c r="BL113" s="2720">
        <f t="shared" si="52"/>
        <v>0</v>
      </c>
      <c r="BM113" s="2720">
        <f t="shared" si="53"/>
        <v>0</v>
      </c>
      <c r="BN113" s="2720">
        <f t="shared" si="54"/>
        <v>0</v>
      </c>
      <c r="BO113" s="2720">
        <f t="shared" si="55"/>
        <v>0</v>
      </c>
      <c r="BP113" s="2720">
        <f t="shared" si="56"/>
        <v>0</v>
      </c>
      <c r="BQ113" s="2720">
        <f t="shared" si="57"/>
        <v>0</v>
      </c>
      <c r="BR113" s="2720">
        <f t="shared" si="58"/>
        <v>0</v>
      </c>
      <c r="BS113" s="2720">
        <f t="shared" si="59"/>
        <v>0</v>
      </c>
      <c r="BT113" s="2772">
        <f t="shared" si="60"/>
        <v>0</v>
      </c>
    </row>
    <row r="114" spans="1:72">
      <c r="A114" s="2717"/>
      <c r="B114" s="2718"/>
      <c r="C114" s="2718"/>
      <c r="D114" s="2719"/>
      <c r="E114" s="2720">
        <f t="shared" si="61"/>
        <v>0</v>
      </c>
      <c r="F114" s="2721"/>
      <c r="G114" s="2722">
        <f t="shared" si="36"/>
        <v>0</v>
      </c>
      <c r="H114" s="2723">
        <f t="shared" si="37"/>
        <v>0</v>
      </c>
      <c r="I114" s="2730"/>
      <c r="J114" s="2730"/>
      <c r="K114" s="2730"/>
      <c r="L114" s="2730"/>
      <c r="M114" s="2730"/>
      <c r="N114" s="2730"/>
      <c r="O114" s="2730"/>
      <c r="P114" s="2730"/>
      <c r="Q114" s="2730"/>
      <c r="R114" s="2730"/>
      <c r="S114" s="2730"/>
      <c r="T114" s="2730"/>
      <c r="U114" s="2730"/>
      <c r="V114" s="2730"/>
      <c r="W114" s="2730"/>
      <c r="X114" s="2730"/>
      <c r="Y114" s="2730"/>
      <c r="Z114" s="2730"/>
      <c r="AA114" s="2730"/>
      <c r="AB114" s="2730"/>
      <c r="AC114" s="2720">
        <f t="shared" si="38"/>
        <v>0</v>
      </c>
      <c r="AD114" s="2740"/>
      <c r="AE114" s="2740"/>
      <c r="AF114" s="2740"/>
      <c r="AG114" s="2740"/>
      <c r="AH114" s="2740"/>
      <c r="AI114" s="2740"/>
      <c r="AJ114" s="2740"/>
      <c r="AK114" s="2740"/>
      <c r="AL114" s="2740"/>
      <c r="AM114" s="2740"/>
      <c r="AN114" s="2740"/>
      <c r="AO114" s="2740"/>
      <c r="AP114" s="2740"/>
      <c r="AQ114" s="2740"/>
      <c r="AR114" s="2740"/>
      <c r="AS114" s="2740"/>
      <c r="AT114" s="2750"/>
      <c r="AU114" s="2751"/>
      <c r="AV114" s="1092">
        <f t="shared" si="62"/>
        <v>0</v>
      </c>
      <c r="AW114" s="1092">
        <f t="shared" si="63"/>
        <v>0</v>
      </c>
      <c r="AX114" s="1092">
        <f t="shared" si="64"/>
        <v>0</v>
      </c>
      <c r="AY114" s="2765">
        <f t="shared" si="39"/>
        <v>0</v>
      </c>
      <c r="AZ114" s="2720">
        <f t="shared" si="40"/>
        <v>0</v>
      </c>
      <c r="BA114" s="2720">
        <f t="shared" si="41"/>
        <v>0</v>
      </c>
      <c r="BB114" s="2720">
        <f t="shared" si="42"/>
        <v>0</v>
      </c>
      <c r="BC114" s="2720">
        <f t="shared" si="43"/>
        <v>0</v>
      </c>
      <c r="BD114" s="2720">
        <f t="shared" si="44"/>
        <v>0</v>
      </c>
      <c r="BE114" s="2720">
        <f t="shared" si="45"/>
        <v>0</v>
      </c>
      <c r="BF114" s="2720">
        <f t="shared" si="46"/>
        <v>0</v>
      </c>
      <c r="BG114" s="2720">
        <f t="shared" si="47"/>
        <v>0</v>
      </c>
      <c r="BH114" s="2720">
        <f t="shared" si="48"/>
        <v>0</v>
      </c>
      <c r="BI114" s="2720">
        <f t="shared" si="49"/>
        <v>0</v>
      </c>
      <c r="BJ114" s="2720">
        <f t="shared" si="50"/>
        <v>0</v>
      </c>
      <c r="BK114" s="2720">
        <f t="shared" si="51"/>
        <v>0</v>
      </c>
      <c r="BL114" s="2720">
        <f t="shared" si="52"/>
        <v>0</v>
      </c>
      <c r="BM114" s="2720">
        <f t="shared" si="53"/>
        <v>0</v>
      </c>
      <c r="BN114" s="2720">
        <f t="shared" si="54"/>
        <v>0</v>
      </c>
      <c r="BO114" s="2720">
        <f t="shared" si="55"/>
        <v>0</v>
      </c>
      <c r="BP114" s="2720">
        <f t="shared" si="56"/>
        <v>0</v>
      </c>
      <c r="BQ114" s="2720">
        <f t="shared" si="57"/>
        <v>0</v>
      </c>
      <c r="BR114" s="2720">
        <f t="shared" si="58"/>
        <v>0</v>
      </c>
      <c r="BS114" s="2720">
        <f t="shared" si="59"/>
        <v>0</v>
      </c>
      <c r="BT114" s="2772">
        <f t="shared" si="60"/>
        <v>0</v>
      </c>
    </row>
    <row r="115" spans="1:72">
      <c r="A115" s="2717"/>
      <c r="B115" s="2718"/>
      <c r="C115" s="2718"/>
      <c r="D115" s="2719"/>
      <c r="E115" s="2720">
        <f t="shared" si="61"/>
        <v>0</v>
      </c>
      <c r="F115" s="2721"/>
      <c r="G115" s="2722">
        <f t="shared" si="36"/>
        <v>0</v>
      </c>
      <c r="H115" s="2723">
        <f t="shared" si="37"/>
        <v>0</v>
      </c>
      <c r="I115" s="2730"/>
      <c r="J115" s="2730"/>
      <c r="K115" s="2730"/>
      <c r="L115" s="2730"/>
      <c r="M115" s="2730"/>
      <c r="N115" s="2730"/>
      <c r="O115" s="2730"/>
      <c r="P115" s="2730"/>
      <c r="Q115" s="2730"/>
      <c r="R115" s="2730"/>
      <c r="S115" s="2730"/>
      <c r="T115" s="2730"/>
      <c r="U115" s="2730"/>
      <c r="V115" s="2730"/>
      <c r="W115" s="2730"/>
      <c r="X115" s="2730"/>
      <c r="Y115" s="2730"/>
      <c r="Z115" s="2730"/>
      <c r="AA115" s="2730"/>
      <c r="AB115" s="2730"/>
      <c r="AC115" s="2720">
        <f t="shared" si="38"/>
        <v>0</v>
      </c>
      <c r="AD115" s="2740"/>
      <c r="AE115" s="2740"/>
      <c r="AF115" s="2740"/>
      <c r="AG115" s="2740"/>
      <c r="AH115" s="2740"/>
      <c r="AI115" s="2740"/>
      <c r="AJ115" s="2740"/>
      <c r="AK115" s="2740"/>
      <c r="AL115" s="2740"/>
      <c r="AM115" s="2740"/>
      <c r="AN115" s="2740"/>
      <c r="AO115" s="2740"/>
      <c r="AP115" s="2740"/>
      <c r="AQ115" s="2740"/>
      <c r="AR115" s="2740"/>
      <c r="AS115" s="2740"/>
      <c r="AT115" s="2750"/>
      <c r="AU115" s="2751"/>
      <c r="AV115" s="1092">
        <f t="shared" si="62"/>
        <v>0</v>
      </c>
      <c r="AW115" s="1092">
        <f t="shared" si="63"/>
        <v>0</v>
      </c>
      <c r="AX115" s="1092">
        <f t="shared" si="64"/>
        <v>0</v>
      </c>
      <c r="AY115" s="2765">
        <f t="shared" si="39"/>
        <v>0</v>
      </c>
      <c r="AZ115" s="2720">
        <f t="shared" si="40"/>
        <v>0</v>
      </c>
      <c r="BA115" s="2720">
        <f t="shared" si="41"/>
        <v>0</v>
      </c>
      <c r="BB115" s="2720">
        <f t="shared" si="42"/>
        <v>0</v>
      </c>
      <c r="BC115" s="2720">
        <f t="shared" si="43"/>
        <v>0</v>
      </c>
      <c r="BD115" s="2720">
        <f t="shared" si="44"/>
        <v>0</v>
      </c>
      <c r="BE115" s="2720">
        <f t="shared" si="45"/>
        <v>0</v>
      </c>
      <c r="BF115" s="2720">
        <f t="shared" si="46"/>
        <v>0</v>
      </c>
      <c r="BG115" s="2720">
        <f t="shared" si="47"/>
        <v>0</v>
      </c>
      <c r="BH115" s="2720">
        <f t="shared" si="48"/>
        <v>0</v>
      </c>
      <c r="BI115" s="2720">
        <f t="shared" si="49"/>
        <v>0</v>
      </c>
      <c r="BJ115" s="2720">
        <f t="shared" si="50"/>
        <v>0</v>
      </c>
      <c r="BK115" s="2720">
        <f t="shared" si="51"/>
        <v>0</v>
      </c>
      <c r="BL115" s="2720">
        <f t="shared" si="52"/>
        <v>0</v>
      </c>
      <c r="BM115" s="2720">
        <f t="shared" si="53"/>
        <v>0</v>
      </c>
      <c r="BN115" s="2720">
        <f t="shared" si="54"/>
        <v>0</v>
      </c>
      <c r="BO115" s="2720">
        <f t="shared" si="55"/>
        <v>0</v>
      </c>
      <c r="BP115" s="2720">
        <f t="shared" si="56"/>
        <v>0</v>
      </c>
      <c r="BQ115" s="2720">
        <f t="shared" si="57"/>
        <v>0</v>
      </c>
      <c r="BR115" s="2720">
        <f t="shared" si="58"/>
        <v>0</v>
      </c>
      <c r="BS115" s="2720">
        <f t="shared" si="59"/>
        <v>0</v>
      </c>
      <c r="BT115" s="2772">
        <f t="shared" si="60"/>
        <v>0</v>
      </c>
    </row>
    <row r="116" spans="1:72">
      <c r="A116" s="2717"/>
      <c r="B116" s="2718"/>
      <c r="C116" s="2718"/>
      <c r="D116" s="2719"/>
      <c r="E116" s="2720">
        <f t="shared" si="61"/>
        <v>0</v>
      </c>
      <c r="F116" s="2721"/>
      <c r="G116" s="2722">
        <f t="shared" si="36"/>
        <v>0</v>
      </c>
      <c r="H116" s="2723">
        <f t="shared" si="37"/>
        <v>0</v>
      </c>
      <c r="I116" s="2730"/>
      <c r="J116" s="2730"/>
      <c r="K116" s="2730"/>
      <c r="L116" s="2730"/>
      <c r="M116" s="2730"/>
      <c r="N116" s="2730"/>
      <c r="O116" s="2730"/>
      <c r="P116" s="2730"/>
      <c r="Q116" s="2730"/>
      <c r="R116" s="2730"/>
      <c r="S116" s="2730"/>
      <c r="T116" s="2730"/>
      <c r="U116" s="2730"/>
      <c r="V116" s="2730"/>
      <c r="W116" s="2730"/>
      <c r="X116" s="2730"/>
      <c r="Y116" s="2730"/>
      <c r="Z116" s="2730"/>
      <c r="AA116" s="2730"/>
      <c r="AB116" s="2730"/>
      <c r="AC116" s="2720">
        <f t="shared" si="38"/>
        <v>0</v>
      </c>
      <c r="AD116" s="2740"/>
      <c r="AE116" s="2740"/>
      <c r="AF116" s="2740"/>
      <c r="AG116" s="2740"/>
      <c r="AH116" s="2740"/>
      <c r="AI116" s="2740"/>
      <c r="AJ116" s="2740"/>
      <c r="AK116" s="2740"/>
      <c r="AL116" s="2740"/>
      <c r="AM116" s="2740"/>
      <c r="AN116" s="2740"/>
      <c r="AO116" s="2740"/>
      <c r="AP116" s="2740"/>
      <c r="AQ116" s="2740"/>
      <c r="AR116" s="2740"/>
      <c r="AS116" s="2740"/>
      <c r="AT116" s="2750"/>
      <c r="AU116" s="2751"/>
      <c r="AV116" s="1092">
        <f t="shared" si="62"/>
        <v>0</v>
      </c>
      <c r="AW116" s="1092">
        <f t="shared" si="63"/>
        <v>0</v>
      </c>
      <c r="AX116" s="1092">
        <f t="shared" si="64"/>
        <v>0</v>
      </c>
      <c r="AY116" s="2765">
        <f t="shared" si="39"/>
        <v>0</v>
      </c>
      <c r="AZ116" s="2720">
        <f t="shared" si="40"/>
        <v>0</v>
      </c>
      <c r="BA116" s="2720">
        <f t="shared" si="41"/>
        <v>0</v>
      </c>
      <c r="BB116" s="2720">
        <f t="shared" si="42"/>
        <v>0</v>
      </c>
      <c r="BC116" s="2720">
        <f t="shared" si="43"/>
        <v>0</v>
      </c>
      <c r="BD116" s="2720">
        <f t="shared" si="44"/>
        <v>0</v>
      </c>
      <c r="BE116" s="2720">
        <f t="shared" si="45"/>
        <v>0</v>
      </c>
      <c r="BF116" s="2720">
        <f t="shared" si="46"/>
        <v>0</v>
      </c>
      <c r="BG116" s="2720">
        <f t="shared" si="47"/>
        <v>0</v>
      </c>
      <c r="BH116" s="2720">
        <f t="shared" si="48"/>
        <v>0</v>
      </c>
      <c r="BI116" s="2720">
        <f t="shared" si="49"/>
        <v>0</v>
      </c>
      <c r="BJ116" s="2720">
        <f t="shared" si="50"/>
        <v>0</v>
      </c>
      <c r="BK116" s="2720">
        <f t="shared" si="51"/>
        <v>0</v>
      </c>
      <c r="BL116" s="2720">
        <f t="shared" si="52"/>
        <v>0</v>
      </c>
      <c r="BM116" s="2720">
        <f t="shared" si="53"/>
        <v>0</v>
      </c>
      <c r="BN116" s="2720">
        <f t="shared" si="54"/>
        <v>0</v>
      </c>
      <c r="BO116" s="2720">
        <f t="shared" si="55"/>
        <v>0</v>
      </c>
      <c r="BP116" s="2720">
        <f t="shared" si="56"/>
        <v>0</v>
      </c>
      <c r="BQ116" s="2720">
        <f t="shared" si="57"/>
        <v>0</v>
      </c>
      <c r="BR116" s="2720">
        <f t="shared" si="58"/>
        <v>0</v>
      </c>
      <c r="BS116" s="2720">
        <f t="shared" si="59"/>
        <v>0</v>
      </c>
      <c r="BT116" s="2772">
        <f t="shared" si="60"/>
        <v>0</v>
      </c>
    </row>
    <row r="117" spans="1:72">
      <c r="A117" s="2717"/>
      <c r="B117" s="2718"/>
      <c r="C117" s="2718"/>
      <c r="D117" s="2719"/>
      <c r="E117" s="2720">
        <f t="shared" si="61"/>
        <v>0</v>
      </c>
      <c r="F117" s="2721"/>
      <c r="G117" s="2722">
        <f t="shared" si="36"/>
        <v>0</v>
      </c>
      <c r="H117" s="2723">
        <f t="shared" si="37"/>
        <v>0</v>
      </c>
      <c r="I117" s="2730"/>
      <c r="J117" s="2730"/>
      <c r="K117" s="2730"/>
      <c r="L117" s="2730"/>
      <c r="M117" s="2730"/>
      <c r="N117" s="2730"/>
      <c r="O117" s="2730"/>
      <c r="P117" s="2730"/>
      <c r="Q117" s="2730"/>
      <c r="R117" s="2730"/>
      <c r="S117" s="2730"/>
      <c r="T117" s="2730"/>
      <c r="U117" s="2730"/>
      <c r="V117" s="2730"/>
      <c r="W117" s="2730"/>
      <c r="X117" s="2730"/>
      <c r="Y117" s="2730"/>
      <c r="Z117" s="2730"/>
      <c r="AA117" s="2730"/>
      <c r="AB117" s="2730"/>
      <c r="AC117" s="2720">
        <f t="shared" si="38"/>
        <v>0</v>
      </c>
      <c r="AD117" s="2740"/>
      <c r="AE117" s="2740"/>
      <c r="AF117" s="2740"/>
      <c r="AG117" s="2740"/>
      <c r="AH117" s="2740"/>
      <c r="AI117" s="2740"/>
      <c r="AJ117" s="2740"/>
      <c r="AK117" s="2740"/>
      <c r="AL117" s="2740"/>
      <c r="AM117" s="2740"/>
      <c r="AN117" s="2740"/>
      <c r="AO117" s="2740"/>
      <c r="AP117" s="2740"/>
      <c r="AQ117" s="2740"/>
      <c r="AR117" s="2740"/>
      <c r="AS117" s="2740"/>
      <c r="AT117" s="2750"/>
      <c r="AU117" s="2751"/>
      <c r="AV117" s="1092">
        <f t="shared" si="62"/>
        <v>0</v>
      </c>
      <c r="AW117" s="1092">
        <f t="shared" si="63"/>
        <v>0</v>
      </c>
      <c r="AX117" s="1092">
        <f t="shared" si="64"/>
        <v>0</v>
      </c>
      <c r="AY117" s="2765">
        <f t="shared" si="39"/>
        <v>0</v>
      </c>
      <c r="AZ117" s="2720">
        <f t="shared" si="40"/>
        <v>0</v>
      </c>
      <c r="BA117" s="2720">
        <f t="shared" si="41"/>
        <v>0</v>
      </c>
      <c r="BB117" s="2720">
        <f t="shared" si="42"/>
        <v>0</v>
      </c>
      <c r="BC117" s="2720">
        <f t="shared" si="43"/>
        <v>0</v>
      </c>
      <c r="BD117" s="2720">
        <f t="shared" si="44"/>
        <v>0</v>
      </c>
      <c r="BE117" s="2720">
        <f t="shared" si="45"/>
        <v>0</v>
      </c>
      <c r="BF117" s="2720">
        <f t="shared" si="46"/>
        <v>0</v>
      </c>
      <c r="BG117" s="2720">
        <f t="shared" si="47"/>
        <v>0</v>
      </c>
      <c r="BH117" s="2720">
        <f t="shared" si="48"/>
        <v>0</v>
      </c>
      <c r="BI117" s="2720">
        <f t="shared" si="49"/>
        <v>0</v>
      </c>
      <c r="BJ117" s="2720">
        <f t="shared" si="50"/>
        <v>0</v>
      </c>
      <c r="BK117" s="2720">
        <f t="shared" si="51"/>
        <v>0</v>
      </c>
      <c r="BL117" s="2720">
        <f t="shared" si="52"/>
        <v>0</v>
      </c>
      <c r="BM117" s="2720">
        <f t="shared" si="53"/>
        <v>0</v>
      </c>
      <c r="BN117" s="2720">
        <f t="shared" si="54"/>
        <v>0</v>
      </c>
      <c r="BO117" s="2720">
        <f t="shared" si="55"/>
        <v>0</v>
      </c>
      <c r="BP117" s="2720">
        <f t="shared" si="56"/>
        <v>0</v>
      </c>
      <c r="BQ117" s="2720">
        <f t="shared" si="57"/>
        <v>0</v>
      </c>
      <c r="BR117" s="2720">
        <f t="shared" si="58"/>
        <v>0</v>
      </c>
      <c r="BS117" s="2720">
        <f t="shared" si="59"/>
        <v>0</v>
      </c>
      <c r="BT117" s="2772">
        <f t="shared" si="60"/>
        <v>0</v>
      </c>
    </row>
    <row r="118" spans="1:72">
      <c r="A118" s="2717"/>
      <c r="B118" s="2718"/>
      <c r="C118" s="2718"/>
      <c r="D118" s="2719"/>
      <c r="E118" s="2720">
        <f t="shared" si="61"/>
        <v>0</v>
      </c>
      <c r="F118" s="2721"/>
      <c r="G118" s="2722">
        <f t="shared" si="36"/>
        <v>0</v>
      </c>
      <c r="H118" s="2723">
        <f t="shared" si="37"/>
        <v>0</v>
      </c>
      <c r="I118" s="2730"/>
      <c r="J118" s="2730"/>
      <c r="K118" s="2730"/>
      <c r="L118" s="2730"/>
      <c r="M118" s="2730"/>
      <c r="N118" s="2730"/>
      <c r="O118" s="2730"/>
      <c r="P118" s="2730"/>
      <c r="Q118" s="2730"/>
      <c r="R118" s="2730"/>
      <c r="S118" s="2730"/>
      <c r="T118" s="2730"/>
      <c r="U118" s="2730"/>
      <c r="V118" s="2730"/>
      <c r="W118" s="2730"/>
      <c r="X118" s="2730"/>
      <c r="Y118" s="2730"/>
      <c r="Z118" s="2730"/>
      <c r="AA118" s="2730"/>
      <c r="AB118" s="2730"/>
      <c r="AC118" s="2720">
        <f t="shared" si="38"/>
        <v>0</v>
      </c>
      <c r="AD118" s="2740"/>
      <c r="AE118" s="2740"/>
      <c r="AF118" s="2740"/>
      <c r="AG118" s="2740"/>
      <c r="AH118" s="2740"/>
      <c r="AI118" s="2740"/>
      <c r="AJ118" s="2740"/>
      <c r="AK118" s="2740"/>
      <c r="AL118" s="2740"/>
      <c r="AM118" s="2740"/>
      <c r="AN118" s="2740"/>
      <c r="AO118" s="2740"/>
      <c r="AP118" s="2740"/>
      <c r="AQ118" s="2740"/>
      <c r="AR118" s="2740"/>
      <c r="AS118" s="2740"/>
      <c r="AT118" s="2750"/>
      <c r="AU118" s="2751"/>
      <c r="AV118" s="1092">
        <f t="shared" si="62"/>
        <v>0</v>
      </c>
      <c r="AW118" s="1092">
        <f t="shared" si="63"/>
        <v>0</v>
      </c>
      <c r="AX118" s="1092">
        <f t="shared" si="64"/>
        <v>0</v>
      </c>
      <c r="AY118" s="2765">
        <f t="shared" si="39"/>
        <v>0</v>
      </c>
      <c r="AZ118" s="2720">
        <f t="shared" si="40"/>
        <v>0</v>
      </c>
      <c r="BA118" s="2720">
        <f t="shared" si="41"/>
        <v>0</v>
      </c>
      <c r="BB118" s="2720">
        <f t="shared" si="42"/>
        <v>0</v>
      </c>
      <c r="BC118" s="2720">
        <f t="shared" si="43"/>
        <v>0</v>
      </c>
      <c r="BD118" s="2720">
        <f t="shared" si="44"/>
        <v>0</v>
      </c>
      <c r="BE118" s="2720">
        <f t="shared" si="45"/>
        <v>0</v>
      </c>
      <c r="BF118" s="2720">
        <f t="shared" si="46"/>
        <v>0</v>
      </c>
      <c r="BG118" s="2720">
        <f t="shared" si="47"/>
        <v>0</v>
      </c>
      <c r="BH118" s="2720">
        <f t="shared" si="48"/>
        <v>0</v>
      </c>
      <c r="BI118" s="2720">
        <f t="shared" si="49"/>
        <v>0</v>
      </c>
      <c r="BJ118" s="2720">
        <f t="shared" si="50"/>
        <v>0</v>
      </c>
      <c r="BK118" s="2720">
        <f t="shared" si="51"/>
        <v>0</v>
      </c>
      <c r="BL118" s="2720">
        <f t="shared" si="52"/>
        <v>0</v>
      </c>
      <c r="BM118" s="2720">
        <f t="shared" si="53"/>
        <v>0</v>
      </c>
      <c r="BN118" s="2720">
        <f t="shared" si="54"/>
        <v>0</v>
      </c>
      <c r="BO118" s="2720">
        <f t="shared" si="55"/>
        <v>0</v>
      </c>
      <c r="BP118" s="2720">
        <f t="shared" si="56"/>
        <v>0</v>
      </c>
      <c r="BQ118" s="2720">
        <f t="shared" si="57"/>
        <v>0</v>
      </c>
      <c r="BR118" s="2720">
        <f t="shared" si="58"/>
        <v>0</v>
      </c>
      <c r="BS118" s="2720">
        <f t="shared" si="59"/>
        <v>0</v>
      </c>
      <c r="BT118" s="2772">
        <f t="shared" si="60"/>
        <v>0</v>
      </c>
    </row>
    <row r="119" spans="1:72">
      <c r="A119" s="2717"/>
      <c r="B119" s="2718"/>
      <c r="C119" s="2718"/>
      <c r="D119" s="2719"/>
      <c r="E119" s="2720">
        <f t="shared" si="61"/>
        <v>0</v>
      </c>
      <c r="F119" s="2721"/>
      <c r="G119" s="2722">
        <f t="shared" si="36"/>
        <v>0</v>
      </c>
      <c r="H119" s="2723">
        <f t="shared" si="37"/>
        <v>0</v>
      </c>
      <c r="I119" s="2730"/>
      <c r="J119" s="2730"/>
      <c r="K119" s="2730"/>
      <c r="L119" s="2730"/>
      <c r="M119" s="2730"/>
      <c r="N119" s="2730"/>
      <c r="O119" s="2730"/>
      <c r="P119" s="2730"/>
      <c r="Q119" s="2730"/>
      <c r="R119" s="2730"/>
      <c r="S119" s="2730"/>
      <c r="T119" s="2730"/>
      <c r="U119" s="2730"/>
      <c r="V119" s="2730"/>
      <c r="W119" s="2730"/>
      <c r="X119" s="2730"/>
      <c r="Y119" s="2730"/>
      <c r="Z119" s="2730"/>
      <c r="AA119" s="2730"/>
      <c r="AB119" s="2730"/>
      <c r="AC119" s="2720">
        <f t="shared" si="38"/>
        <v>0</v>
      </c>
      <c r="AD119" s="2740"/>
      <c r="AE119" s="2740"/>
      <c r="AF119" s="2740"/>
      <c r="AG119" s="2740"/>
      <c r="AH119" s="2740"/>
      <c r="AI119" s="2740"/>
      <c r="AJ119" s="2740"/>
      <c r="AK119" s="2740"/>
      <c r="AL119" s="2740"/>
      <c r="AM119" s="2740"/>
      <c r="AN119" s="2740"/>
      <c r="AO119" s="2740"/>
      <c r="AP119" s="2740"/>
      <c r="AQ119" s="2740"/>
      <c r="AR119" s="2740"/>
      <c r="AS119" s="2740"/>
      <c r="AT119" s="2750"/>
      <c r="AU119" s="2751"/>
      <c r="AV119" s="1092">
        <f t="shared" si="62"/>
        <v>0</v>
      </c>
      <c r="AW119" s="1092">
        <f t="shared" si="63"/>
        <v>0</v>
      </c>
      <c r="AX119" s="1092">
        <f t="shared" si="64"/>
        <v>0</v>
      </c>
      <c r="AY119" s="2765">
        <f t="shared" si="39"/>
        <v>0</v>
      </c>
      <c r="AZ119" s="2720">
        <f t="shared" si="40"/>
        <v>0</v>
      </c>
      <c r="BA119" s="2720">
        <f t="shared" si="41"/>
        <v>0</v>
      </c>
      <c r="BB119" s="2720">
        <f t="shared" si="42"/>
        <v>0</v>
      </c>
      <c r="BC119" s="2720">
        <f t="shared" si="43"/>
        <v>0</v>
      </c>
      <c r="BD119" s="2720">
        <f t="shared" si="44"/>
        <v>0</v>
      </c>
      <c r="BE119" s="2720">
        <f t="shared" si="45"/>
        <v>0</v>
      </c>
      <c r="BF119" s="2720">
        <f t="shared" si="46"/>
        <v>0</v>
      </c>
      <c r="BG119" s="2720">
        <f t="shared" si="47"/>
        <v>0</v>
      </c>
      <c r="BH119" s="2720">
        <f t="shared" si="48"/>
        <v>0</v>
      </c>
      <c r="BI119" s="2720">
        <f t="shared" si="49"/>
        <v>0</v>
      </c>
      <c r="BJ119" s="2720">
        <f t="shared" si="50"/>
        <v>0</v>
      </c>
      <c r="BK119" s="2720">
        <f t="shared" si="51"/>
        <v>0</v>
      </c>
      <c r="BL119" s="2720">
        <f t="shared" si="52"/>
        <v>0</v>
      </c>
      <c r="BM119" s="2720">
        <f t="shared" si="53"/>
        <v>0</v>
      </c>
      <c r="BN119" s="2720">
        <f t="shared" si="54"/>
        <v>0</v>
      </c>
      <c r="BO119" s="2720">
        <f t="shared" si="55"/>
        <v>0</v>
      </c>
      <c r="BP119" s="2720">
        <f t="shared" si="56"/>
        <v>0</v>
      </c>
      <c r="BQ119" s="2720">
        <f t="shared" si="57"/>
        <v>0</v>
      </c>
      <c r="BR119" s="2720">
        <f t="shared" si="58"/>
        <v>0</v>
      </c>
      <c r="BS119" s="2720">
        <f t="shared" si="59"/>
        <v>0</v>
      </c>
      <c r="BT119" s="2772">
        <f t="shared" si="60"/>
        <v>0</v>
      </c>
    </row>
    <row r="120" spans="1:72">
      <c r="A120" s="2717"/>
      <c r="B120" s="2718"/>
      <c r="C120" s="2718"/>
      <c r="D120" s="2719"/>
      <c r="E120" s="2720">
        <f t="shared" si="61"/>
        <v>0</v>
      </c>
      <c r="F120" s="2721"/>
      <c r="G120" s="2722">
        <f t="shared" si="36"/>
        <v>0</v>
      </c>
      <c r="H120" s="2723">
        <f t="shared" si="37"/>
        <v>0</v>
      </c>
      <c r="I120" s="2730"/>
      <c r="J120" s="2730"/>
      <c r="K120" s="2730"/>
      <c r="L120" s="2730"/>
      <c r="M120" s="2730"/>
      <c r="N120" s="2730"/>
      <c r="O120" s="2730"/>
      <c r="P120" s="2730"/>
      <c r="Q120" s="2730"/>
      <c r="R120" s="2730"/>
      <c r="S120" s="2730"/>
      <c r="T120" s="2730"/>
      <c r="U120" s="2730"/>
      <c r="V120" s="2730"/>
      <c r="W120" s="2730"/>
      <c r="X120" s="2730"/>
      <c r="Y120" s="2730"/>
      <c r="Z120" s="2730"/>
      <c r="AA120" s="2730"/>
      <c r="AB120" s="2730"/>
      <c r="AC120" s="2720">
        <f t="shared" si="38"/>
        <v>0</v>
      </c>
      <c r="AD120" s="2740"/>
      <c r="AE120" s="2740"/>
      <c r="AF120" s="2740"/>
      <c r="AG120" s="2740"/>
      <c r="AH120" s="2740"/>
      <c r="AI120" s="2740"/>
      <c r="AJ120" s="2740"/>
      <c r="AK120" s="2740"/>
      <c r="AL120" s="2740"/>
      <c r="AM120" s="2740"/>
      <c r="AN120" s="2740"/>
      <c r="AO120" s="2740"/>
      <c r="AP120" s="2740"/>
      <c r="AQ120" s="2740"/>
      <c r="AR120" s="2740"/>
      <c r="AS120" s="2740"/>
      <c r="AT120" s="2750"/>
      <c r="AU120" s="2751"/>
      <c r="AV120" s="1092">
        <f t="shared" si="62"/>
        <v>0</v>
      </c>
      <c r="AW120" s="1092">
        <f t="shared" si="63"/>
        <v>0</v>
      </c>
      <c r="AX120" s="1092">
        <f t="shared" si="64"/>
        <v>0</v>
      </c>
      <c r="AY120" s="2765">
        <f t="shared" si="39"/>
        <v>0</v>
      </c>
      <c r="AZ120" s="2720">
        <f t="shared" si="40"/>
        <v>0</v>
      </c>
      <c r="BA120" s="2720">
        <f t="shared" si="41"/>
        <v>0</v>
      </c>
      <c r="BB120" s="2720">
        <f t="shared" si="42"/>
        <v>0</v>
      </c>
      <c r="BC120" s="2720">
        <f t="shared" si="43"/>
        <v>0</v>
      </c>
      <c r="BD120" s="2720">
        <f t="shared" si="44"/>
        <v>0</v>
      </c>
      <c r="BE120" s="2720">
        <f t="shared" si="45"/>
        <v>0</v>
      </c>
      <c r="BF120" s="2720">
        <f t="shared" si="46"/>
        <v>0</v>
      </c>
      <c r="BG120" s="2720">
        <f t="shared" si="47"/>
        <v>0</v>
      </c>
      <c r="BH120" s="2720">
        <f t="shared" si="48"/>
        <v>0</v>
      </c>
      <c r="BI120" s="2720">
        <f t="shared" si="49"/>
        <v>0</v>
      </c>
      <c r="BJ120" s="2720">
        <f t="shared" si="50"/>
        <v>0</v>
      </c>
      <c r="BK120" s="2720">
        <f t="shared" si="51"/>
        <v>0</v>
      </c>
      <c r="BL120" s="2720">
        <f t="shared" si="52"/>
        <v>0</v>
      </c>
      <c r="BM120" s="2720">
        <f t="shared" si="53"/>
        <v>0</v>
      </c>
      <c r="BN120" s="2720">
        <f t="shared" si="54"/>
        <v>0</v>
      </c>
      <c r="BO120" s="2720">
        <f t="shared" si="55"/>
        <v>0</v>
      </c>
      <c r="BP120" s="2720">
        <f t="shared" si="56"/>
        <v>0</v>
      </c>
      <c r="BQ120" s="2720">
        <f t="shared" si="57"/>
        <v>0</v>
      </c>
      <c r="BR120" s="2720">
        <f t="shared" si="58"/>
        <v>0</v>
      </c>
      <c r="BS120" s="2720">
        <f t="shared" si="59"/>
        <v>0</v>
      </c>
      <c r="BT120" s="2772">
        <f t="shared" si="60"/>
        <v>0</v>
      </c>
    </row>
    <row r="121" spans="1:72">
      <c r="A121" s="2717"/>
      <c r="B121" s="2718"/>
      <c r="C121" s="2718"/>
      <c r="D121" s="2719"/>
      <c r="E121" s="2720">
        <f t="shared" si="61"/>
        <v>0</v>
      </c>
      <c r="F121" s="2721"/>
      <c r="G121" s="2722">
        <f t="shared" si="36"/>
        <v>0</v>
      </c>
      <c r="H121" s="2723">
        <f t="shared" si="37"/>
        <v>0</v>
      </c>
      <c r="I121" s="2730"/>
      <c r="J121" s="2730"/>
      <c r="K121" s="2730"/>
      <c r="L121" s="2730"/>
      <c r="M121" s="2730"/>
      <c r="N121" s="2730"/>
      <c r="O121" s="2730"/>
      <c r="P121" s="2730"/>
      <c r="Q121" s="2730"/>
      <c r="R121" s="2730"/>
      <c r="S121" s="2730"/>
      <c r="T121" s="2730"/>
      <c r="U121" s="2730"/>
      <c r="V121" s="2730"/>
      <c r="W121" s="2730"/>
      <c r="X121" s="2730"/>
      <c r="Y121" s="2730"/>
      <c r="Z121" s="2730"/>
      <c r="AA121" s="2730"/>
      <c r="AB121" s="2730"/>
      <c r="AC121" s="2720">
        <f t="shared" si="38"/>
        <v>0</v>
      </c>
      <c r="AD121" s="2740"/>
      <c r="AE121" s="2740"/>
      <c r="AF121" s="2740"/>
      <c r="AG121" s="2740"/>
      <c r="AH121" s="2740"/>
      <c r="AI121" s="2740"/>
      <c r="AJ121" s="2740"/>
      <c r="AK121" s="2740"/>
      <c r="AL121" s="2740"/>
      <c r="AM121" s="2740"/>
      <c r="AN121" s="2740"/>
      <c r="AO121" s="2740"/>
      <c r="AP121" s="2740"/>
      <c r="AQ121" s="2740"/>
      <c r="AR121" s="2740"/>
      <c r="AS121" s="2740"/>
      <c r="AT121" s="2750"/>
      <c r="AU121" s="2751"/>
      <c r="AV121" s="1092">
        <f t="shared" si="62"/>
        <v>0</v>
      </c>
      <c r="AW121" s="1092">
        <f t="shared" si="63"/>
        <v>0</v>
      </c>
      <c r="AX121" s="1092">
        <f t="shared" si="64"/>
        <v>0</v>
      </c>
      <c r="AY121" s="2765">
        <f t="shared" si="39"/>
        <v>0</v>
      </c>
      <c r="AZ121" s="2720">
        <f t="shared" si="40"/>
        <v>0</v>
      </c>
      <c r="BA121" s="2720">
        <f t="shared" si="41"/>
        <v>0</v>
      </c>
      <c r="BB121" s="2720">
        <f t="shared" si="42"/>
        <v>0</v>
      </c>
      <c r="BC121" s="2720">
        <f t="shared" si="43"/>
        <v>0</v>
      </c>
      <c r="BD121" s="2720">
        <f t="shared" si="44"/>
        <v>0</v>
      </c>
      <c r="BE121" s="2720">
        <f t="shared" si="45"/>
        <v>0</v>
      </c>
      <c r="BF121" s="2720">
        <f t="shared" si="46"/>
        <v>0</v>
      </c>
      <c r="BG121" s="2720">
        <f t="shared" si="47"/>
        <v>0</v>
      </c>
      <c r="BH121" s="2720">
        <f t="shared" si="48"/>
        <v>0</v>
      </c>
      <c r="BI121" s="2720">
        <f t="shared" si="49"/>
        <v>0</v>
      </c>
      <c r="BJ121" s="2720">
        <f t="shared" si="50"/>
        <v>0</v>
      </c>
      <c r="BK121" s="2720">
        <f t="shared" si="51"/>
        <v>0</v>
      </c>
      <c r="BL121" s="2720">
        <f t="shared" si="52"/>
        <v>0</v>
      </c>
      <c r="BM121" s="2720">
        <f t="shared" si="53"/>
        <v>0</v>
      </c>
      <c r="BN121" s="2720">
        <f t="shared" si="54"/>
        <v>0</v>
      </c>
      <c r="BO121" s="2720">
        <f t="shared" si="55"/>
        <v>0</v>
      </c>
      <c r="BP121" s="2720">
        <f t="shared" si="56"/>
        <v>0</v>
      </c>
      <c r="BQ121" s="2720">
        <f t="shared" si="57"/>
        <v>0</v>
      </c>
      <c r="BR121" s="2720">
        <f t="shared" si="58"/>
        <v>0</v>
      </c>
      <c r="BS121" s="2720">
        <f t="shared" si="59"/>
        <v>0</v>
      </c>
      <c r="BT121" s="2772">
        <f t="shared" si="60"/>
        <v>0</v>
      </c>
    </row>
    <row r="122" spans="1:72">
      <c r="A122" s="2717"/>
      <c r="B122" s="2718"/>
      <c r="C122" s="2718"/>
      <c r="D122" s="2719"/>
      <c r="E122" s="2720">
        <f t="shared" si="61"/>
        <v>0</v>
      </c>
      <c r="F122" s="2721"/>
      <c r="G122" s="2722">
        <f t="shared" si="36"/>
        <v>0</v>
      </c>
      <c r="H122" s="2723">
        <f t="shared" si="37"/>
        <v>0</v>
      </c>
      <c r="I122" s="2730"/>
      <c r="J122" s="2730"/>
      <c r="K122" s="2730"/>
      <c r="L122" s="2730"/>
      <c r="M122" s="2730"/>
      <c r="N122" s="2730"/>
      <c r="O122" s="2730"/>
      <c r="P122" s="2730"/>
      <c r="Q122" s="2730"/>
      <c r="R122" s="2730"/>
      <c r="S122" s="2730"/>
      <c r="T122" s="2730"/>
      <c r="U122" s="2730"/>
      <c r="V122" s="2730"/>
      <c r="W122" s="2730"/>
      <c r="X122" s="2730"/>
      <c r="Y122" s="2730"/>
      <c r="Z122" s="2730"/>
      <c r="AA122" s="2730"/>
      <c r="AB122" s="2730"/>
      <c r="AC122" s="2720">
        <f t="shared" si="38"/>
        <v>0</v>
      </c>
      <c r="AD122" s="2740"/>
      <c r="AE122" s="2740"/>
      <c r="AF122" s="2740"/>
      <c r="AG122" s="2740"/>
      <c r="AH122" s="2740"/>
      <c r="AI122" s="2740"/>
      <c r="AJ122" s="2740"/>
      <c r="AK122" s="2740"/>
      <c r="AL122" s="2740"/>
      <c r="AM122" s="2740"/>
      <c r="AN122" s="2740"/>
      <c r="AO122" s="2740"/>
      <c r="AP122" s="2740"/>
      <c r="AQ122" s="2740"/>
      <c r="AR122" s="2740"/>
      <c r="AS122" s="2740"/>
      <c r="AT122" s="2750"/>
      <c r="AU122" s="2751"/>
      <c r="AV122" s="1092">
        <f t="shared" si="62"/>
        <v>0</v>
      </c>
      <c r="AW122" s="1092">
        <f t="shared" si="63"/>
        <v>0</v>
      </c>
      <c r="AX122" s="1092">
        <f t="shared" si="64"/>
        <v>0</v>
      </c>
      <c r="AY122" s="2765">
        <f t="shared" si="39"/>
        <v>0</v>
      </c>
      <c r="AZ122" s="2720">
        <f t="shared" si="40"/>
        <v>0</v>
      </c>
      <c r="BA122" s="2720">
        <f t="shared" si="41"/>
        <v>0</v>
      </c>
      <c r="BB122" s="2720">
        <f t="shared" si="42"/>
        <v>0</v>
      </c>
      <c r="BC122" s="2720">
        <f t="shared" si="43"/>
        <v>0</v>
      </c>
      <c r="BD122" s="2720">
        <f t="shared" si="44"/>
        <v>0</v>
      </c>
      <c r="BE122" s="2720">
        <f t="shared" si="45"/>
        <v>0</v>
      </c>
      <c r="BF122" s="2720">
        <f t="shared" si="46"/>
        <v>0</v>
      </c>
      <c r="BG122" s="2720">
        <f t="shared" si="47"/>
        <v>0</v>
      </c>
      <c r="BH122" s="2720">
        <f t="shared" si="48"/>
        <v>0</v>
      </c>
      <c r="BI122" s="2720">
        <f t="shared" si="49"/>
        <v>0</v>
      </c>
      <c r="BJ122" s="2720">
        <f t="shared" si="50"/>
        <v>0</v>
      </c>
      <c r="BK122" s="2720">
        <f t="shared" si="51"/>
        <v>0</v>
      </c>
      <c r="BL122" s="2720">
        <f t="shared" si="52"/>
        <v>0</v>
      </c>
      <c r="BM122" s="2720">
        <f t="shared" si="53"/>
        <v>0</v>
      </c>
      <c r="BN122" s="2720">
        <f t="shared" si="54"/>
        <v>0</v>
      </c>
      <c r="BO122" s="2720">
        <f t="shared" si="55"/>
        <v>0</v>
      </c>
      <c r="BP122" s="2720">
        <f t="shared" si="56"/>
        <v>0</v>
      </c>
      <c r="BQ122" s="2720">
        <f t="shared" si="57"/>
        <v>0</v>
      </c>
      <c r="BR122" s="2720">
        <f t="shared" si="58"/>
        <v>0</v>
      </c>
      <c r="BS122" s="2720">
        <f t="shared" si="59"/>
        <v>0</v>
      </c>
      <c r="BT122" s="2772">
        <f t="shared" si="60"/>
        <v>0</v>
      </c>
    </row>
    <row r="123" spans="1:72">
      <c r="A123" s="2717"/>
      <c r="B123" s="2718"/>
      <c r="C123" s="2718"/>
      <c r="D123" s="2719"/>
      <c r="E123" s="2720">
        <f t="shared" si="61"/>
        <v>0</v>
      </c>
      <c r="F123" s="2721"/>
      <c r="G123" s="2722">
        <f t="shared" si="36"/>
        <v>0</v>
      </c>
      <c r="H123" s="2723">
        <f t="shared" si="37"/>
        <v>0</v>
      </c>
      <c r="I123" s="2730"/>
      <c r="J123" s="2730"/>
      <c r="K123" s="2730"/>
      <c r="L123" s="2730"/>
      <c r="M123" s="2730"/>
      <c r="N123" s="2730"/>
      <c r="O123" s="2730"/>
      <c r="P123" s="2730"/>
      <c r="Q123" s="2730"/>
      <c r="R123" s="2730"/>
      <c r="S123" s="2730"/>
      <c r="T123" s="2730"/>
      <c r="U123" s="2730"/>
      <c r="V123" s="2730"/>
      <c r="W123" s="2730"/>
      <c r="X123" s="2730"/>
      <c r="Y123" s="2730"/>
      <c r="Z123" s="2730"/>
      <c r="AA123" s="2730"/>
      <c r="AB123" s="2730"/>
      <c r="AC123" s="2720">
        <f t="shared" si="38"/>
        <v>0</v>
      </c>
      <c r="AD123" s="2740"/>
      <c r="AE123" s="2740"/>
      <c r="AF123" s="2740"/>
      <c r="AG123" s="2740"/>
      <c r="AH123" s="2740"/>
      <c r="AI123" s="2740"/>
      <c r="AJ123" s="2740"/>
      <c r="AK123" s="2740"/>
      <c r="AL123" s="2740"/>
      <c r="AM123" s="2740"/>
      <c r="AN123" s="2740"/>
      <c r="AO123" s="2740"/>
      <c r="AP123" s="2740"/>
      <c r="AQ123" s="2740"/>
      <c r="AR123" s="2740"/>
      <c r="AS123" s="2740"/>
      <c r="AT123" s="2750"/>
      <c r="AU123" s="2751"/>
      <c r="AV123" s="1092">
        <f t="shared" si="62"/>
        <v>0</v>
      </c>
      <c r="AW123" s="1092">
        <f t="shared" si="63"/>
        <v>0</v>
      </c>
      <c r="AX123" s="1092">
        <f t="shared" si="64"/>
        <v>0</v>
      </c>
      <c r="AY123" s="2765">
        <f t="shared" si="39"/>
        <v>0</v>
      </c>
      <c r="AZ123" s="2720">
        <f t="shared" si="40"/>
        <v>0</v>
      </c>
      <c r="BA123" s="2720">
        <f t="shared" si="41"/>
        <v>0</v>
      </c>
      <c r="BB123" s="2720">
        <f t="shared" si="42"/>
        <v>0</v>
      </c>
      <c r="BC123" s="2720">
        <f t="shared" si="43"/>
        <v>0</v>
      </c>
      <c r="BD123" s="2720">
        <f t="shared" si="44"/>
        <v>0</v>
      </c>
      <c r="BE123" s="2720">
        <f t="shared" si="45"/>
        <v>0</v>
      </c>
      <c r="BF123" s="2720">
        <f t="shared" si="46"/>
        <v>0</v>
      </c>
      <c r="BG123" s="2720">
        <f t="shared" si="47"/>
        <v>0</v>
      </c>
      <c r="BH123" s="2720">
        <f t="shared" si="48"/>
        <v>0</v>
      </c>
      <c r="BI123" s="2720">
        <f t="shared" si="49"/>
        <v>0</v>
      </c>
      <c r="BJ123" s="2720">
        <f t="shared" si="50"/>
        <v>0</v>
      </c>
      <c r="BK123" s="2720">
        <f t="shared" si="51"/>
        <v>0</v>
      </c>
      <c r="BL123" s="2720">
        <f t="shared" si="52"/>
        <v>0</v>
      </c>
      <c r="BM123" s="2720">
        <f t="shared" si="53"/>
        <v>0</v>
      </c>
      <c r="BN123" s="2720">
        <f t="shared" si="54"/>
        <v>0</v>
      </c>
      <c r="BO123" s="2720">
        <f t="shared" si="55"/>
        <v>0</v>
      </c>
      <c r="BP123" s="2720">
        <f t="shared" si="56"/>
        <v>0</v>
      </c>
      <c r="BQ123" s="2720">
        <f t="shared" si="57"/>
        <v>0</v>
      </c>
      <c r="BR123" s="2720">
        <f t="shared" si="58"/>
        <v>0</v>
      </c>
      <c r="BS123" s="2720">
        <f t="shared" si="59"/>
        <v>0</v>
      </c>
      <c r="BT123" s="2772">
        <f t="shared" si="60"/>
        <v>0</v>
      </c>
    </row>
    <row r="124" spans="1:72">
      <c r="A124" s="2717"/>
      <c r="B124" s="2718"/>
      <c r="C124" s="2718"/>
      <c r="D124" s="2719"/>
      <c r="E124" s="2720">
        <f t="shared" si="61"/>
        <v>0</v>
      </c>
      <c r="F124" s="2721"/>
      <c r="G124" s="2722">
        <f t="shared" si="36"/>
        <v>0</v>
      </c>
      <c r="H124" s="2723">
        <f t="shared" si="37"/>
        <v>0</v>
      </c>
      <c r="I124" s="2730"/>
      <c r="J124" s="2730"/>
      <c r="K124" s="2730"/>
      <c r="L124" s="2730"/>
      <c r="M124" s="2730"/>
      <c r="N124" s="2730"/>
      <c r="O124" s="2730"/>
      <c r="P124" s="2730"/>
      <c r="Q124" s="2730"/>
      <c r="R124" s="2730"/>
      <c r="S124" s="2730"/>
      <c r="T124" s="2730"/>
      <c r="U124" s="2730"/>
      <c r="V124" s="2730"/>
      <c r="W124" s="2730"/>
      <c r="X124" s="2730"/>
      <c r="Y124" s="2730"/>
      <c r="Z124" s="2730"/>
      <c r="AA124" s="2730"/>
      <c r="AB124" s="2730"/>
      <c r="AC124" s="2720">
        <f t="shared" si="38"/>
        <v>0</v>
      </c>
      <c r="AD124" s="2740"/>
      <c r="AE124" s="2740"/>
      <c r="AF124" s="2740"/>
      <c r="AG124" s="2740"/>
      <c r="AH124" s="2740"/>
      <c r="AI124" s="2740"/>
      <c r="AJ124" s="2740"/>
      <c r="AK124" s="2740"/>
      <c r="AL124" s="2740"/>
      <c r="AM124" s="2740"/>
      <c r="AN124" s="2740"/>
      <c r="AO124" s="2740"/>
      <c r="AP124" s="2740"/>
      <c r="AQ124" s="2740"/>
      <c r="AR124" s="2740"/>
      <c r="AS124" s="2740"/>
      <c r="AT124" s="2750"/>
      <c r="AU124" s="2751"/>
      <c r="AV124" s="1092">
        <f t="shared" si="62"/>
        <v>0</v>
      </c>
      <c r="AW124" s="1092">
        <f t="shared" si="63"/>
        <v>0</v>
      </c>
      <c r="AX124" s="1092">
        <f t="shared" si="64"/>
        <v>0</v>
      </c>
      <c r="AY124" s="2765">
        <f t="shared" si="39"/>
        <v>0</v>
      </c>
      <c r="AZ124" s="2720">
        <f t="shared" si="40"/>
        <v>0</v>
      </c>
      <c r="BA124" s="2720">
        <f t="shared" si="41"/>
        <v>0</v>
      </c>
      <c r="BB124" s="2720">
        <f t="shared" si="42"/>
        <v>0</v>
      </c>
      <c r="BC124" s="2720">
        <f t="shared" si="43"/>
        <v>0</v>
      </c>
      <c r="BD124" s="2720">
        <f t="shared" si="44"/>
        <v>0</v>
      </c>
      <c r="BE124" s="2720">
        <f t="shared" si="45"/>
        <v>0</v>
      </c>
      <c r="BF124" s="2720">
        <f t="shared" si="46"/>
        <v>0</v>
      </c>
      <c r="BG124" s="2720">
        <f t="shared" si="47"/>
        <v>0</v>
      </c>
      <c r="BH124" s="2720">
        <f t="shared" si="48"/>
        <v>0</v>
      </c>
      <c r="BI124" s="2720">
        <f t="shared" si="49"/>
        <v>0</v>
      </c>
      <c r="BJ124" s="2720">
        <f t="shared" si="50"/>
        <v>0</v>
      </c>
      <c r="BK124" s="2720">
        <f t="shared" si="51"/>
        <v>0</v>
      </c>
      <c r="BL124" s="2720">
        <f t="shared" si="52"/>
        <v>0</v>
      </c>
      <c r="BM124" s="2720">
        <f t="shared" si="53"/>
        <v>0</v>
      </c>
      <c r="BN124" s="2720">
        <f t="shared" si="54"/>
        <v>0</v>
      </c>
      <c r="BO124" s="2720">
        <f t="shared" si="55"/>
        <v>0</v>
      </c>
      <c r="BP124" s="2720">
        <f t="shared" si="56"/>
        <v>0</v>
      </c>
      <c r="BQ124" s="2720">
        <f t="shared" si="57"/>
        <v>0</v>
      </c>
      <c r="BR124" s="2720">
        <f t="shared" si="58"/>
        <v>0</v>
      </c>
      <c r="BS124" s="2720">
        <f t="shared" si="59"/>
        <v>0</v>
      </c>
      <c r="BT124" s="2772">
        <f t="shared" si="60"/>
        <v>0</v>
      </c>
    </row>
    <row r="125" spans="1:72">
      <c r="A125" s="2717"/>
      <c r="B125" s="2718"/>
      <c r="C125" s="2718"/>
      <c r="D125" s="2719"/>
      <c r="E125" s="2720">
        <f t="shared" si="61"/>
        <v>0</v>
      </c>
      <c r="F125" s="2721"/>
      <c r="G125" s="2722">
        <f t="shared" si="36"/>
        <v>0</v>
      </c>
      <c r="H125" s="2723">
        <f t="shared" si="37"/>
        <v>0</v>
      </c>
      <c r="I125" s="2730"/>
      <c r="J125" s="2730"/>
      <c r="K125" s="2730"/>
      <c r="L125" s="2730"/>
      <c r="M125" s="2730"/>
      <c r="N125" s="2730"/>
      <c r="O125" s="2730"/>
      <c r="P125" s="2730"/>
      <c r="Q125" s="2730"/>
      <c r="R125" s="2730"/>
      <c r="S125" s="2730"/>
      <c r="T125" s="2730"/>
      <c r="U125" s="2730"/>
      <c r="V125" s="2730"/>
      <c r="W125" s="2730"/>
      <c r="X125" s="2730"/>
      <c r="Y125" s="2730"/>
      <c r="Z125" s="2730"/>
      <c r="AA125" s="2730"/>
      <c r="AB125" s="2730"/>
      <c r="AC125" s="2720">
        <f t="shared" si="38"/>
        <v>0</v>
      </c>
      <c r="AD125" s="2740"/>
      <c r="AE125" s="2740"/>
      <c r="AF125" s="2740"/>
      <c r="AG125" s="2740"/>
      <c r="AH125" s="2740"/>
      <c r="AI125" s="2740"/>
      <c r="AJ125" s="2740"/>
      <c r="AK125" s="2740"/>
      <c r="AL125" s="2740"/>
      <c r="AM125" s="2740"/>
      <c r="AN125" s="2740"/>
      <c r="AO125" s="2740"/>
      <c r="AP125" s="2740"/>
      <c r="AQ125" s="2740"/>
      <c r="AR125" s="2740"/>
      <c r="AS125" s="2740"/>
      <c r="AT125" s="2750"/>
      <c r="AU125" s="2751"/>
      <c r="AV125" s="1092">
        <f t="shared" si="62"/>
        <v>0</v>
      </c>
      <c r="AW125" s="1092">
        <f t="shared" si="63"/>
        <v>0</v>
      </c>
      <c r="AX125" s="1092">
        <f t="shared" si="64"/>
        <v>0</v>
      </c>
      <c r="AY125" s="2765">
        <f t="shared" si="39"/>
        <v>0</v>
      </c>
      <c r="AZ125" s="2720">
        <f t="shared" si="40"/>
        <v>0</v>
      </c>
      <c r="BA125" s="2720">
        <f t="shared" si="41"/>
        <v>0</v>
      </c>
      <c r="BB125" s="2720">
        <f t="shared" si="42"/>
        <v>0</v>
      </c>
      <c r="BC125" s="2720">
        <f t="shared" si="43"/>
        <v>0</v>
      </c>
      <c r="BD125" s="2720">
        <f t="shared" si="44"/>
        <v>0</v>
      </c>
      <c r="BE125" s="2720">
        <f t="shared" si="45"/>
        <v>0</v>
      </c>
      <c r="BF125" s="2720">
        <f t="shared" si="46"/>
        <v>0</v>
      </c>
      <c r="BG125" s="2720">
        <f t="shared" si="47"/>
        <v>0</v>
      </c>
      <c r="BH125" s="2720">
        <f t="shared" si="48"/>
        <v>0</v>
      </c>
      <c r="BI125" s="2720">
        <f t="shared" si="49"/>
        <v>0</v>
      </c>
      <c r="BJ125" s="2720">
        <f t="shared" si="50"/>
        <v>0</v>
      </c>
      <c r="BK125" s="2720">
        <f t="shared" si="51"/>
        <v>0</v>
      </c>
      <c r="BL125" s="2720">
        <f t="shared" si="52"/>
        <v>0</v>
      </c>
      <c r="BM125" s="2720">
        <f t="shared" si="53"/>
        <v>0</v>
      </c>
      <c r="BN125" s="2720">
        <f t="shared" si="54"/>
        <v>0</v>
      </c>
      <c r="BO125" s="2720">
        <f t="shared" si="55"/>
        <v>0</v>
      </c>
      <c r="BP125" s="2720">
        <f t="shared" si="56"/>
        <v>0</v>
      </c>
      <c r="BQ125" s="2720">
        <f t="shared" si="57"/>
        <v>0</v>
      </c>
      <c r="BR125" s="2720">
        <f t="shared" si="58"/>
        <v>0</v>
      </c>
      <c r="BS125" s="2720">
        <f t="shared" si="59"/>
        <v>0</v>
      </c>
      <c r="BT125" s="2772">
        <f t="shared" si="60"/>
        <v>0</v>
      </c>
    </row>
    <row r="126" spans="1:72">
      <c r="A126" s="2717"/>
      <c r="B126" s="2718"/>
      <c r="C126" s="2718"/>
      <c r="D126" s="2719"/>
      <c r="E126" s="2720">
        <f t="shared" si="61"/>
        <v>0</v>
      </c>
      <c r="F126" s="2721"/>
      <c r="G126" s="2722">
        <f t="shared" si="36"/>
        <v>0</v>
      </c>
      <c r="H126" s="2723">
        <f t="shared" si="37"/>
        <v>0</v>
      </c>
      <c r="I126" s="2730"/>
      <c r="J126" s="2730"/>
      <c r="K126" s="2730"/>
      <c r="L126" s="2730"/>
      <c r="M126" s="2730"/>
      <c r="N126" s="2730"/>
      <c r="O126" s="2730"/>
      <c r="P126" s="2730"/>
      <c r="Q126" s="2730"/>
      <c r="R126" s="2730"/>
      <c r="S126" s="2730"/>
      <c r="T126" s="2730"/>
      <c r="U126" s="2730"/>
      <c r="V126" s="2730"/>
      <c r="W126" s="2730"/>
      <c r="X126" s="2730"/>
      <c r="Y126" s="2730"/>
      <c r="Z126" s="2730"/>
      <c r="AA126" s="2730"/>
      <c r="AB126" s="2730"/>
      <c r="AC126" s="2720">
        <f t="shared" si="38"/>
        <v>0</v>
      </c>
      <c r="AD126" s="2740"/>
      <c r="AE126" s="2740"/>
      <c r="AF126" s="2740"/>
      <c r="AG126" s="2740"/>
      <c r="AH126" s="2740"/>
      <c r="AI126" s="2740"/>
      <c r="AJ126" s="2740"/>
      <c r="AK126" s="2740"/>
      <c r="AL126" s="2740"/>
      <c r="AM126" s="2740"/>
      <c r="AN126" s="2740"/>
      <c r="AO126" s="2740"/>
      <c r="AP126" s="2740"/>
      <c r="AQ126" s="2740"/>
      <c r="AR126" s="2740"/>
      <c r="AS126" s="2740"/>
      <c r="AT126" s="2750"/>
      <c r="AU126" s="2751"/>
      <c r="AV126" s="1092">
        <f t="shared" si="62"/>
        <v>0</v>
      </c>
      <c r="AW126" s="1092">
        <f t="shared" si="63"/>
        <v>0</v>
      </c>
      <c r="AX126" s="1092">
        <f t="shared" si="64"/>
        <v>0</v>
      </c>
      <c r="AY126" s="2765">
        <f t="shared" si="39"/>
        <v>0</v>
      </c>
      <c r="AZ126" s="2720">
        <f t="shared" si="40"/>
        <v>0</v>
      </c>
      <c r="BA126" s="2720">
        <f t="shared" si="41"/>
        <v>0</v>
      </c>
      <c r="BB126" s="2720">
        <f t="shared" si="42"/>
        <v>0</v>
      </c>
      <c r="BC126" s="2720">
        <f t="shared" si="43"/>
        <v>0</v>
      </c>
      <c r="BD126" s="2720">
        <f t="shared" si="44"/>
        <v>0</v>
      </c>
      <c r="BE126" s="2720">
        <f t="shared" si="45"/>
        <v>0</v>
      </c>
      <c r="BF126" s="2720">
        <f t="shared" si="46"/>
        <v>0</v>
      </c>
      <c r="BG126" s="2720">
        <f t="shared" si="47"/>
        <v>0</v>
      </c>
      <c r="BH126" s="2720">
        <f t="shared" si="48"/>
        <v>0</v>
      </c>
      <c r="BI126" s="2720">
        <f t="shared" si="49"/>
        <v>0</v>
      </c>
      <c r="BJ126" s="2720">
        <f t="shared" si="50"/>
        <v>0</v>
      </c>
      <c r="BK126" s="2720">
        <f t="shared" si="51"/>
        <v>0</v>
      </c>
      <c r="BL126" s="2720">
        <f t="shared" si="52"/>
        <v>0</v>
      </c>
      <c r="BM126" s="2720">
        <f t="shared" si="53"/>
        <v>0</v>
      </c>
      <c r="BN126" s="2720">
        <f t="shared" si="54"/>
        <v>0</v>
      </c>
      <c r="BO126" s="2720">
        <f t="shared" si="55"/>
        <v>0</v>
      </c>
      <c r="BP126" s="2720">
        <f t="shared" si="56"/>
        <v>0</v>
      </c>
      <c r="BQ126" s="2720">
        <f t="shared" si="57"/>
        <v>0</v>
      </c>
      <c r="BR126" s="2720">
        <f t="shared" si="58"/>
        <v>0</v>
      </c>
      <c r="BS126" s="2720">
        <f t="shared" si="59"/>
        <v>0</v>
      </c>
      <c r="BT126" s="2772">
        <f t="shared" si="60"/>
        <v>0</v>
      </c>
    </row>
    <row r="127" spans="1:72">
      <c r="A127" s="2717"/>
      <c r="B127" s="2718"/>
      <c r="C127" s="2718"/>
      <c r="D127" s="2719"/>
      <c r="E127" s="2720">
        <f t="shared" si="61"/>
        <v>0</v>
      </c>
      <c r="F127" s="2721"/>
      <c r="G127" s="2722">
        <f t="shared" si="36"/>
        <v>0</v>
      </c>
      <c r="H127" s="2723">
        <f t="shared" si="37"/>
        <v>0</v>
      </c>
      <c r="I127" s="2730"/>
      <c r="J127" s="2730"/>
      <c r="K127" s="2730"/>
      <c r="L127" s="2730"/>
      <c r="M127" s="2730"/>
      <c r="N127" s="2730"/>
      <c r="O127" s="2730"/>
      <c r="P127" s="2730"/>
      <c r="Q127" s="2730"/>
      <c r="R127" s="2730"/>
      <c r="S127" s="2730"/>
      <c r="T127" s="2730"/>
      <c r="U127" s="2730"/>
      <c r="V127" s="2730"/>
      <c r="W127" s="2730"/>
      <c r="X127" s="2730"/>
      <c r="Y127" s="2730"/>
      <c r="Z127" s="2730"/>
      <c r="AA127" s="2730"/>
      <c r="AB127" s="2730"/>
      <c r="AC127" s="2720">
        <f t="shared" si="38"/>
        <v>0</v>
      </c>
      <c r="AD127" s="2740"/>
      <c r="AE127" s="2740"/>
      <c r="AF127" s="2740"/>
      <c r="AG127" s="2740"/>
      <c r="AH127" s="2740"/>
      <c r="AI127" s="2740"/>
      <c r="AJ127" s="2740"/>
      <c r="AK127" s="2740"/>
      <c r="AL127" s="2740"/>
      <c r="AM127" s="2740"/>
      <c r="AN127" s="2740"/>
      <c r="AO127" s="2740"/>
      <c r="AP127" s="2740"/>
      <c r="AQ127" s="2740"/>
      <c r="AR127" s="2740"/>
      <c r="AS127" s="2740"/>
      <c r="AT127" s="2750"/>
      <c r="AU127" s="2751"/>
      <c r="AV127" s="1092">
        <f t="shared" si="62"/>
        <v>0</v>
      </c>
      <c r="AW127" s="1092">
        <f t="shared" si="63"/>
        <v>0</v>
      </c>
      <c r="AX127" s="1092">
        <f t="shared" si="64"/>
        <v>0</v>
      </c>
      <c r="AY127" s="2765">
        <f t="shared" si="39"/>
        <v>0</v>
      </c>
      <c r="AZ127" s="2720">
        <f t="shared" si="40"/>
        <v>0</v>
      </c>
      <c r="BA127" s="2720">
        <f t="shared" si="41"/>
        <v>0</v>
      </c>
      <c r="BB127" s="2720">
        <f t="shared" si="42"/>
        <v>0</v>
      </c>
      <c r="BC127" s="2720">
        <f t="shared" si="43"/>
        <v>0</v>
      </c>
      <c r="BD127" s="2720">
        <f t="shared" si="44"/>
        <v>0</v>
      </c>
      <c r="BE127" s="2720">
        <f t="shared" si="45"/>
        <v>0</v>
      </c>
      <c r="BF127" s="2720">
        <f t="shared" si="46"/>
        <v>0</v>
      </c>
      <c r="BG127" s="2720">
        <f t="shared" si="47"/>
        <v>0</v>
      </c>
      <c r="BH127" s="2720">
        <f t="shared" si="48"/>
        <v>0</v>
      </c>
      <c r="BI127" s="2720">
        <f t="shared" si="49"/>
        <v>0</v>
      </c>
      <c r="BJ127" s="2720">
        <f t="shared" si="50"/>
        <v>0</v>
      </c>
      <c r="BK127" s="2720">
        <f t="shared" si="51"/>
        <v>0</v>
      </c>
      <c r="BL127" s="2720">
        <f t="shared" si="52"/>
        <v>0</v>
      </c>
      <c r="BM127" s="2720">
        <f t="shared" si="53"/>
        <v>0</v>
      </c>
      <c r="BN127" s="2720">
        <f t="shared" si="54"/>
        <v>0</v>
      </c>
      <c r="BO127" s="2720">
        <f t="shared" si="55"/>
        <v>0</v>
      </c>
      <c r="BP127" s="2720">
        <f t="shared" si="56"/>
        <v>0</v>
      </c>
      <c r="BQ127" s="2720">
        <f t="shared" si="57"/>
        <v>0</v>
      </c>
      <c r="BR127" s="2720">
        <f t="shared" si="58"/>
        <v>0</v>
      </c>
      <c r="BS127" s="2720">
        <f t="shared" si="59"/>
        <v>0</v>
      </c>
      <c r="BT127" s="2772">
        <f t="shared" si="60"/>
        <v>0</v>
      </c>
    </row>
    <row r="128" spans="1:72">
      <c r="A128" s="2717"/>
      <c r="B128" s="2718"/>
      <c r="C128" s="2718"/>
      <c r="D128" s="2719"/>
      <c r="E128" s="2720">
        <f t="shared" si="61"/>
        <v>0</v>
      </c>
      <c r="F128" s="2721"/>
      <c r="G128" s="2722">
        <f t="shared" si="36"/>
        <v>0</v>
      </c>
      <c r="H128" s="2723">
        <f t="shared" si="37"/>
        <v>0</v>
      </c>
      <c r="I128" s="2730"/>
      <c r="J128" s="2730"/>
      <c r="K128" s="2730"/>
      <c r="L128" s="2730"/>
      <c r="M128" s="2730"/>
      <c r="N128" s="2730"/>
      <c r="O128" s="2730"/>
      <c r="P128" s="2730"/>
      <c r="Q128" s="2730"/>
      <c r="R128" s="2730"/>
      <c r="S128" s="2730"/>
      <c r="T128" s="2730"/>
      <c r="U128" s="2730"/>
      <c r="V128" s="2730"/>
      <c r="W128" s="2730"/>
      <c r="X128" s="2730"/>
      <c r="Y128" s="2730"/>
      <c r="Z128" s="2730"/>
      <c r="AA128" s="2730"/>
      <c r="AB128" s="2730"/>
      <c r="AC128" s="2720">
        <f t="shared" si="38"/>
        <v>0</v>
      </c>
      <c r="AD128" s="2740"/>
      <c r="AE128" s="2740"/>
      <c r="AF128" s="2740"/>
      <c r="AG128" s="2740"/>
      <c r="AH128" s="2740"/>
      <c r="AI128" s="2740"/>
      <c r="AJ128" s="2740"/>
      <c r="AK128" s="2740"/>
      <c r="AL128" s="2740"/>
      <c r="AM128" s="2740"/>
      <c r="AN128" s="2740"/>
      <c r="AO128" s="2740"/>
      <c r="AP128" s="2740"/>
      <c r="AQ128" s="2740"/>
      <c r="AR128" s="2740"/>
      <c r="AS128" s="2740"/>
      <c r="AT128" s="2750"/>
      <c r="AU128" s="2751"/>
      <c r="AV128" s="1092">
        <f t="shared" si="62"/>
        <v>0</v>
      </c>
      <c r="AW128" s="1092">
        <f t="shared" si="63"/>
        <v>0</v>
      </c>
      <c r="AX128" s="1092">
        <f t="shared" si="64"/>
        <v>0</v>
      </c>
      <c r="AY128" s="2765">
        <f t="shared" si="39"/>
        <v>0</v>
      </c>
      <c r="AZ128" s="2720">
        <f t="shared" si="40"/>
        <v>0</v>
      </c>
      <c r="BA128" s="2720">
        <f t="shared" si="41"/>
        <v>0</v>
      </c>
      <c r="BB128" s="2720">
        <f t="shared" si="42"/>
        <v>0</v>
      </c>
      <c r="BC128" s="2720">
        <f t="shared" si="43"/>
        <v>0</v>
      </c>
      <c r="BD128" s="2720">
        <f t="shared" si="44"/>
        <v>0</v>
      </c>
      <c r="BE128" s="2720">
        <f t="shared" si="45"/>
        <v>0</v>
      </c>
      <c r="BF128" s="2720">
        <f t="shared" si="46"/>
        <v>0</v>
      </c>
      <c r="BG128" s="2720">
        <f t="shared" si="47"/>
        <v>0</v>
      </c>
      <c r="BH128" s="2720">
        <f t="shared" si="48"/>
        <v>0</v>
      </c>
      <c r="BI128" s="2720">
        <f t="shared" si="49"/>
        <v>0</v>
      </c>
      <c r="BJ128" s="2720">
        <f t="shared" si="50"/>
        <v>0</v>
      </c>
      <c r="BK128" s="2720">
        <f t="shared" si="51"/>
        <v>0</v>
      </c>
      <c r="BL128" s="2720">
        <f t="shared" si="52"/>
        <v>0</v>
      </c>
      <c r="BM128" s="2720">
        <f t="shared" si="53"/>
        <v>0</v>
      </c>
      <c r="BN128" s="2720">
        <f t="shared" si="54"/>
        <v>0</v>
      </c>
      <c r="BO128" s="2720">
        <f t="shared" si="55"/>
        <v>0</v>
      </c>
      <c r="BP128" s="2720">
        <f t="shared" si="56"/>
        <v>0</v>
      </c>
      <c r="BQ128" s="2720">
        <f t="shared" si="57"/>
        <v>0</v>
      </c>
      <c r="BR128" s="2720">
        <f t="shared" si="58"/>
        <v>0</v>
      </c>
      <c r="BS128" s="2720">
        <f t="shared" si="59"/>
        <v>0</v>
      </c>
      <c r="BT128" s="2772">
        <f t="shared" si="60"/>
        <v>0</v>
      </c>
    </row>
    <row r="129" spans="1:72">
      <c r="A129" s="2717"/>
      <c r="B129" s="2718"/>
      <c r="C129" s="2718"/>
      <c r="D129" s="2719"/>
      <c r="E129" s="2720">
        <f t="shared" si="61"/>
        <v>0</v>
      </c>
      <c r="F129" s="2721"/>
      <c r="G129" s="2722">
        <f t="shared" si="36"/>
        <v>0</v>
      </c>
      <c r="H129" s="2723">
        <f t="shared" si="37"/>
        <v>0</v>
      </c>
      <c r="I129" s="2730"/>
      <c r="J129" s="2730"/>
      <c r="K129" s="2730"/>
      <c r="L129" s="2730"/>
      <c r="M129" s="2730"/>
      <c r="N129" s="2730"/>
      <c r="O129" s="2730"/>
      <c r="P129" s="2730"/>
      <c r="Q129" s="2730"/>
      <c r="R129" s="2730"/>
      <c r="S129" s="2730"/>
      <c r="T129" s="2730"/>
      <c r="U129" s="2730"/>
      <c r="V129" s="2730"/>
      <c r="W129" s="2730"/>
      <c r="X129" s="2730"/>
      <c r="Y129" s="2730"/>
      <c r="Z129" s="2730"/>
      <c r="AA129" s="2730"/>
      <c r="AB129" s="2730"/>
      <c r="AC129" s="2720">
        <f t="shared" si="38"/>
        <v>0</v>
      </c>
      <c r="AD129" s="2740"/>
      <c r="AE129" s="2740"/>
      <c r="AF129" s="2740"/>
      <c r="AG129" s="2740"/>
      <c r="AH129" s="2740"/>
      <c r="AI129" s="2740"/>
      <c r="AJ129" s="2740"/>
      <c r="AK129" s="2740"/>
      <c r="AL129" s="2740"/>
      <c r="AM129" s="2740"/>
      <c r="AN129" s="2740"/>
      <c r="AO129" s="2740"/>
      <c r="AP129" s="2740"/>
      <c r="AQ129" s="2740"/>
      <c r="AR129" s="2740"/>
      <c r="AS129" s="2740"/>
      <c r="AT129" s="2750"/>
      <c r="AU129" s="2751"/>
      <c r="AV129" s="1092">
        <f t="shared" si="62"/>
        <v>0</v>
      </c>
      <c r="AW129" s="1092">
        <f t="shared" si="63"/>
        <v>0</v>
      </c>
      <c r="AX129" s="1092">
        <f t="shared" si="64"/>
        <v>0</v>
      </c>
      <c r="AY129" s="2765">
        <f t="shared" si="39"/>
        <v>0</v>
      </c>
      <c r="AZ129" s="2720">
        <f t="shared" si="40"/>
        <v>0</v>
      </c>
      <c r="BA129" s="2720">
        <f t="shared" si="41"/>
        <v>0</v>
      </c>
      <c r="BB129" s="2720">
        <f t="shared" si="42"/>
        <v>0</v>
      </c>
      <c r="BC129" s="2720">
        <f t="shared" si="43"/>
        <v>0</v>
      </c>
      <c r="BD129" s="2720">
        <f t="shared" si="44"/>
        <v>0</v>
      </c>
      <c r="BE129" s="2720">
        <f t="shared" si="45"/>
        <v>0</v>
      </c>
      <c r="BF129" s="2720">
        <f t="shared" si="46"/>
        <v>0</v>
      </c>
      <c r="BG129" s="2720">
        <f t="shared" si="47"/>
        <v>0</v>
      </c>
      <c r="BH129" s="2720">
        <f t="shared" si="48"/>
        <v>0</v>
      </c>
      <c r="BI129" s="2720">
        <f t="shared" si="49"/>
        <v>0</v>
      </c>
      <c r="BJ129" s="2720">
        <f t="shared" si="50"/>
        <v>0</v>
      </c>
      <c r="BK129" s="2720">
        <f t="shared" si="51"/>
        <v>0</v>
      </c>
      <c r="BL129" s="2720">
        <f t="shared" si="52"/>
        <v>0</v>
      </c>
      <c r="BM129" s="2720">
        <f t="shared" si="53"/>
        <v>0</v>
      </c>
      <c r="BN129" s="2720">
        <f t="shared" si="54"/>
        <v>0</v>
      </c>
      <c r="BO129" s="2720">
        <f t="shared" si="55"/>
        <v>0</v>
      </c>
      <c r="BP129" s="2720">
        <f t="shared" si="56"/>
        <v>0</v>
      </c>
      <c r="BQ129" s="2720">
        <f t="shared" si="57"/>
        <v>0</v>
      </c>
      <c r="BR129" s="2720">
        <f t="shared" si="58"/>
        <v>0</v>
      </c>
      <c r="BS129" s="2720">
        <f t="shared" si="59"/>
        <v>0</v>
      </c>
      <c r="BT129" s="2772">
        <f t="shared" si="60"/>
        <v>0</v>
      </c>
    </row>
    <row r="130" spans="1:72">
      <c r="A130" s="2717"/>
      <c r="B130" s="2718"/>
      <c r="C130" s="2718"/>
      <c r="D130" s="2719"/>
      <c r="E130" s="2720">
        <f t="shared" si="61"/>
        <v>0</v>
      </c>
      <c r="F130" s="2721"/>
      <c r="G130" s="2722">
        <f t="shared" si="36"/>
        <v>0</v>
      </c>
      <c r="H130" s="2723">
        <f t="shared" si="37"/>
        <v>0</v>
      </c>
      <c r="I130" s="2730"/>
      <c r="J130" s="2730"/>
      <c r="K130" s="2730"/>
      <c r="L130" s="2730"/>
      <c r="M130" s="2730"/>
      <c r="N130" s="2730"/>
      <c r="O130" s="2730"/>
      <c r="P130" s="2730"/>
      <c r="Q130" s="2730"/>
      <c r="R130" s="2730"/>
      <c r="S130" s="2730"/>
      <c r="T130" s="2730"/>
      <c r="U130" s="2730"/>
      <c r="V130" s="2730"/>
      <c r="W130" s="2730"/>
      <c r="X130" s="2730"/>
      <c r="Y130" s="2730"/>
      <c r="Z130" s="2730"/>
      <c r="AA130" s="2730"/>
      <c r="AB130" s="2730"/>
      <c r="AC130" s="2720">
        <f t="shared" si="38"/>
        <v>0</v>
      </c>
      <c r="AD130" s="2740"/>
      <c r="AE130" s="2740"/>
      <c r="AF130" s="2740"/>
      <c r="AG130" s="2740"/>
      <c r="AH130" s="2740"/>
      <c r="AI130" s="2740"/>
      <c r="AJ130" s="2740"/>
      <c r="AK130" s="2740"/>
      <c r="AL130" s="2740"/>
      <c r="AM130" s="2740"/>
      <c r="AN130" s="2740"/>
      <c r="AO130" s="2740"/>
      <c r="AP130" s="2740"/>
      <c r="AQ130" s="2740"/>
      <c r="AR130" s="2740"/>
      <c r="AS130" s="2740"/>
      <c r="AT130" s="2750"/>
      <c r="AU130" s="2751"/>
      <c r="AV130" s="1092">
        <f t="shared" si="62"/>
        <v>0</v>
      </c>
      <c r="AW130" s="1092">
        <f t="shared" si="63"/>
        <v>0</v>
      </c>
      <c r="AX130" s="1092">
        <f t="shared" si="64"/>
        <v>0</v>
      </c>
      <c r="AY130" s="2765">
        <f t="shared" si="39"/>
        <v>0</v>
      </c>
      <c r="AZ130" s="2720">
        <f t="shared" si="40"/>
        <v>0</v>
      </c>
      <c r="BA130" s="2720">
        <f t="shared" si="41"/>
        <v>0</v>
      </c>
      <c r="BB130" s="2720">
        <f t="shared" si="42"/>
        <v>0</v>
      </c>
      <c r="BC130" s="2720">
        <f t="shared" si="43"/>
        <v>0</v>
      </c>
      <c r="BD130" s="2720">
        <f t="shared" si="44"/>
        <v>0</v>
      </c>
      <c r="BE130" s="2720">
        <f t="shared" si="45"/>
        <v>0</v>
      </c>
      <c r="BF130" s="2720">
        <f t="shared" si="46"/>
        <v>0</v>
      </c>
      <c r="BG130" s="2720">
        <f t="shared" si="47"/>
        <v>0</v>
      </c>
      <c r="BH130" s="2720">
        <f t="shared" si="48"/>
        <v>0</v>
      </c>
      <c r="BI130" s="2720">
        <f t="shared" si="49"/>
        <v>0</v>
      </c>
      <c r="BJ130" s="2720">
        <f t="shared" si="50"/>
        <v>0</v>
      </c>
      <c r="BK130" s="2720">
        <f t="shared" si="51"/>
        <v>0</v>
      </c>
      <c r="BL130" s="2720">
        <f t="shared" si="52"/>
        <v>0</v>
      </c>
      <c r="BM130" s="2720">
        <f t="shared" si="53"/>
        <v>0</v>
      </c>
      <c r="BN130" s="2720">
        <f t="shared" si="54"/>
        <v>0</v>
      </c>
      <c r="BO130" s="2720">
        <f t="shared" si="55"/>
        <v>0</v>
      </c>
      <c r="BP130" s="2720">
        <f t="shared" si="56"/>
        <v>0</v>
      </c>
      <c r="BQ130" s="2720">
        <f t="shared" si="57"/>
        <v>0</v>
      </c>
      <c r="BR130" s="2720">
        <f t="shared" si="58"/>
        <v>0</v>
      </c>
      <c r="BS130" s="2720">
        <f t="shared" si="59"/>
        <v>0</v>
      </c>
      <c r="BT130" s="2772">
        <f t="shared" si="60"/>
        <v>0</v>
      </c>
    </row>
    <row r="131" spans="1:72">
      <c r="A131" s="2717"/>
      <c r="B131" s="2718"/>
      <c r="C131" s="2718"/>
      <c r="D131" s="2719"/>
      <c r="E131" s="2720">
        <f t="shared" si="61"/>
        <v>0</v>
      </c>
      <c r="F131" s="2721"/>
      <c r="G131" s="2722">
        <f t="shared" si="36"/>
        <v>0</v>
      </c>
      <c r="H131" s="2723">
        <f t="shared" si="37"/>
        <v>0</v>
      </c>
      <c r="I131" s="2730"/>
      <c r="J131" s="2730"/>
      <c r="K131" s="2730"/>
      <c r="L131" s="2730"/>
      <c r="M131" s="2730"/>
      <c r="N131" s="2730"/>
      <c r="O131" s="2730"/>
      <c r="P131" s="2730"/>
      <c r="Q131" s="2730"/>
      <c r="R131" s="2730"/>
      <c r="S131" s="2730"/>
      <c r="T131" s="2730"/>
      <c r="U131" s="2730"/>
      <c r="V131" s="2730"/>
      <c r="W131" s="2730"/>
      <c r="X131" s="2730"/>
      <c r="Y131" s="2730"/>
      <c r="Z131" s="2730"/>
      <c r="AA131" s="2730"/>
      <c r="AB131" s="2730"/>
      <c r="AC131" s="2720">
        <f t="shared" si="38"/>
        <v>0</v>
      </c>
      <c r="AD131" s="2740"/>
      <c r="AE131" s="2740"/>
      <c r="AF131" s="2740"/>
      <c r="AG131" s="2740"/>
      <c r="AH131" s="2740"/>
      <c r="AI131" s="2740"/>
      <c r="AJ131" s="2740"/>
      <c r="AK131" s="2740"/>
      <c r="AL131" s="2740"/>
      <c r="AM131" s="2740"/>
      <c r="AN131" s="2740"/>
      <c r="AO131" s="2740"/>
      <c r="AP131" s="2740"/>
      <c r="AQ131" s="2740"/>
      <c r="AR131" s="2740"/>
      <c r="AS131" s="2740"/>
      <c r="AT131" s="2750"/>
      <c r="AU131" s="2751"/>
      <c r="AV131" s="1092">
        <f t="shared" si="62"/>
        <v>0</v>
      </c>
      <c r="AW131" s="1092">
        <f t="shared" si="63"/>
        <v>0</v>
      </c>
      <c r="AX131" s="1092">
        <f t="shared" si="64"/>
        <v>0</v>
      </c>
      <c r="AY131" s="2765">
        <f t="shared" si="39"/>
        <v>0</v>
      </c>
      <c r="AZ131" s="2720">
        <f t="shared" si="40"/>
        <v>0</v>
      </c>
      <c r="BA131" s="2720">
        <f t="shared" si="41"/>
        <v>0</v>
      </c>
      <c r="BB131" s="2720">
        <f t="shared" si="42"/>
        <v>0</v>
      </c>
      <c r="BC131" s="2720">
        <f t="shared" si="43"/>
        <v>0</v>
      </c>
      <c r="BD131" s="2720">
        <f t="shared" si="44"/>
        <v>0</v>
      </c>
      <c r="BE131" s="2720">
        <f t="shared" si="45"/>
        <v>0</v>
      </c>
      <c r="BF131" s="2720">
        <f t="shared" si="46"/>
        <v>0</v>
      </c>
      <c r="BG131" s="2720">
        <f t="shared" si="47"/>
        <v>0</v>
      </c>
      <c r="BH131" s="2720">
        <f t="shared" si="48"/>
        <v>0</v>
      </c>
      <c r="BI131" s="2720">
        <f t="shared" si="49"/>
        <v>0</v>
      </c>
      <c r="BJ131" s="2720">
        <f t="shared" si="50"/>
        <v>0</v>
      </c>
      <c r="BK131" s="2720">
        <f t="shared" si="51"/>
        <v>0</v>
      </c>
      <c r="BL131" s="2720">
        <f t="shared" si="52"/>
        <v>0</v>
      </c>
      <c r="BM131" s="2720">
        <f t="shared" si="53"/>
        <v>0</v>
      </c>
      <c r="BN131" s="2720">
        <f t="shared" si="54"/>
        <v>0</v>
      </c>
      <c r="BO131" s="2720">
        <f t="shared" si="55"/>
        <v>0</v>
      </c>
      <c r="BP131" s="2720">
        <f t="shared" si="56"/>
        <v>0</v>
      </c>
      <c r="BQ131" s="2720">
        <f t="shared" si="57"/>
        <v>0</v>
      </c>
      <c r="BR131" s="2720">
        <f t="shared" si="58"/>
        <v>0</v>
      </c>
      <c r="BS131" s="2720">
        <f t="shared" si="59"/>
        <v>0</v>
      </c>
      <c r="BT131" s="2772">
        <f t="shared" si="60"/>
        <v>0</v>
      </c>
    </row>
    <row r="132" spans="1:72">
      <c r="A132" s="2717"/>
      <c r="B132" s="2718"/>
      <c r="C132" s="2718"/>
      <c r="D132" s="2719"/>
      <c r="E132" s="2720">
        <f t="shared" si="61"/>
        <v>0</v>
      </c>
      <c r="F132" s="2721"/>
      <c r="G132" s="2722">
        <f t="shared" si="36"/>
        <v>0</v>
      </c>
      <c r="H132" s="2723">
        <f t="shared" si="37"/>
        <v>0</v>
      </c>
      <c r="I132" s="2730"/>
      <c r="J132" s="2730"/>
      <c r="K132" s="2730"/>
      <c r="L132" s="2730"/>
      <c r="M132" s="2730"/>
      <c r="N132" s="2730"/>
      <c r="O132" s="2730"/>
      <c r="P132" s="2730"/>
      <c r="Q132" s="2730"/>
      <c r="R132" s="2730"/>
      <c r="S132" s="2730"/>
      <c r="T132" s="2730"/>
      <c r="U132" s="2730"/>
      <c r="V132" s="2730"/>
      <c r="W132" s="2730"/>
      <c r="X132" s="2730"/>
      <c r="Y132" s="2730"/>
      <c r="Z132" s="2730"/>
      <c r="AA132" s="2730"/>
      <c r="AB132" s="2730"/>
      <c r="AC132" s="2720">
        <f t="shared" si="38"/>
        <v>0</v>
      </c>
      <c r="AD132" s="2740"/>
      <c r="AE132" s="2740"/>
      <c r="AF132" s="2740"/>
      <c r="AG132" s="2740"/>
      <c r="AH132" s="2740"/>
      <c r="AI132" s="2740"/>
      <c r="AJ132" s="2740"/>
      <c r="AK132" s="2740"/>
      <c r="AL132" s="2740"/>
      <c r="AM132" s="2740"/>
      <c r="AN132" s="2740"/>
      <c r="AO132" s="2740"/>
      <c r="AP132" s="2740"/>
      <c r="AQ132" s="2740"/>
      <c r="AR132" s="2740"/>
      <c r="AS132" s="2740"/>
      <c r="AT132" s="2750"/>
      <c r="AU132" s="2751"/>
      <c r="AV132" s="1092">
        <f t="shared" si="62"/>
        <v>0</v>
      </c>
      <c r="AW132" s="1092">
        <f t="shared" si="63"/>
        <v>0</v>
      </c>
      <c r="AX132" s="1092">
        <f t="shared" si="64"/>
        <v>0</v>
      </c>
      <c r="AY132" s="2765">
        <f t="shared" si="39"/>
        <v>0</v>
      </c>
      <c r="AZ132" s="2720">
        <f t="shared" si="40"/>
        <v>0</v>
      </c>
      <c r="BA132" s="2720">
        <f t="shared" si="41"/>
        <v>0</v>
      </c>
      <c r="BB132" s="2720">
        <f t="shared" si="42"/>
        <v>0</v>
      </c>
      <c r="BC132" s="2720">
        <f t="shared" si="43"/>
        <v>0</v>
      </c>
      <c r="BD132" s="2720">
        <f t="shared" si="44"/>
        <v>0</v>
      </c>
      <c r="BE132" s="2720">
        <f t="shared" si="45"/>
        <v>0</v>
      </c>
      <c r="BF132" s="2720">
        <f t="shared" si="46"/>
        <v>0</v>
      </c>
      <c r="BG132" s="2720">
        <f t="shared" si="47"/>
        <v>0</v>
      </c>
      <c r="BH132" s="2720">
        <f t="shared" si="48"/>
        <v>0</v>
      </c>
      <c r="BI132" s="2720">
        <f t="shared" si="49"/>
        <v>0</v>
      </c>
      <c r="BJ132" s="2720">
        <f t="shared" si="50"/>
        <v>0</v>
      </c>
      <c r="BK132" s="2720">
        <f t="shared" si="51"/>
        <v>0</v>
      </c>
      <c r="BL132" s="2720">
        <f t="shared" si="52"/>
        <v>0</v>
      </c>
      <c r="BM132" s="2720">
        <f t="shared" si="53"/>
        <v>0</v>
      </c>
      <c r="BN132" s="2720">
        <f t="shared" si="54"/>
        <v>0</v>
      </c>
      <c r="BO132" s="2720">
        <f t="shared" si="55"/>
        <v>0</v>
      </c>
      <c r="BP132" s="2720">
        <f t="shared" si="56"/>
        <v>0</v>
      </c>
      <c r="BQ132" s="2720">
        <f t="shared" si="57"/>
        <v>0</v>
      </c>
      <c r="BR132" s="2720">
        <f t="shared" si="58"/>
        <v>0</v>
      </c>
      <c r="BS132" s="2720">
        <f t="shared" si="59"/>
        <v>0</v>
      </c>
      <c r="BT132" s="2772">
        <f t="shared" si="60"/>
        <v>0</v>
      </c>
    </row>
    <row r="133" spans="1:72">
      <c r="A133" s="2717"/>
      <c r="B133" s="2718"/>
      <c r="C133" s="2718"/>
      <c r="D133" s="2719"/>
      <c r="E133" s="2720">
        <f t="shared" si="61"/>
        <v>0</v>
      </c>
      <c r="F133" s="2721"/>
      <c r="G133" s="2722">
        <f t="shared" si="36"/>
        <v>0</v>
      </c>
      <c r="H133" s="2723">
        <f t="shared" si="37"/>
        <v>0</v>
      </c>
      <c r="I133" s="2730"/>
      <c r="J133" s="2730"/>
      <c r="K133" s="2730"/>
      <c r="L133" s="2730"/>
      <c r="M133" s="2730"/>
      <c r="N133" s="2730"/>
      <c r="O133" s="2730"/>
      <c r="P133" s="2730"/>
      <c r="Q133" s="2730"/>
      <c r="R133" s="2730"/>
      <c r="S133" s="2730"/>
      <c r="T133" s="2730"/>
      <c r="U133" s="2730"/>
      <c r="V133" s="2730"/>
      <c r="W133" s="2730"/>
      <c r="X133" s="2730"/>
      <c r="Y133" s="2730"/>
      <c r="Z133" s="2730"/>
      <c r="AA133" s="2730"/>
      <c r="AB133" s="2730"/>
      <c r="AC133" s="2720">
        <f t="shared" si="38"/>
        <v>0</v>
      </c>
      <c r="AD133" s="2740"/>
      <c r="AE133" s="2740"/>
      <c r="AF133" s="2740"/>
      <c r="AG133" s="2740"/>
      <c r="AH133" s="2740"/>
      <c r="AI133" s="2740"/>
      <c r="AJ133" s="2740"/>
      <c r="AK133" s="2740"/>
      <c r="AL133" s="2740"/>
      <c r="AM133" s="2740"/>
      <c r="AN133" s="2740"/>
      <c r="AO133" s="2740"/>
      <c r="AP133" s="2740"/>
      <c r="AQ133" s="2740"/>
      <c r="AR133" s="2740"/>
      <c r="AS133" s="2740"/>
      <c r="AT133" s="2750"/>
      <c r="AU133" s="2751"/>
      <c r="AV133" s="1092">
        <f t="shared" si="62"/>
        <v>0</v>
      </c>
      <c r="AW133" s="1092">
        <f t="shared" si="63"/>
        <v>0</v>
      </c>
      <c r="AX133" s="1092">
        <f t="shared" si="64"/>
        <v>0</v>
      </c>
      <c r="AY133" s="2765">
        <f t="shared" si="39"/>
        <v>0</v>
      </c>
      <c r="AZ133" s="2720">
        <f t="shared" si="40"/>
        <v>0</v>
      </c>
      <c r="BA133" s="2720">
        <f t="shared" si="41"/>
        <v>0</v>
      </c>
      <c r="BB133" s="2720">
        <f t="shared" si="42"/>
        <v>0</v>
      </c>
      <c r="BC133" s="2720">
        <f t="shared" si="43"/>
        <v>0</v>
      </c>
      <c r="BD133" s="2720">
        <f t="shared" si="44"/>
        <v>0</v>
      </c>
      <c r="BE133" s="2720">
        <f t="shared" si="45"/>
        <v>0</v>
      </c>
      <c r="BF133" s="2720">
        <f t="shared" si="46"/>
        <v>0</v>
      </c>
      <c r="BG133" s="2720">
        <f t="shared" si="47"/>
        <v>0</v>
      </c>
      <c r="BH133" s="2720">
        <f t="shared" si="48"/>
        <v>0</v>
      </c>
      <c r="BI133" s="2720">
        <f t="shared" si="49"/>
        <v>0</v>
      </c>
      <c r="BJ133" s="2720">
        <f t="shared" si="50"/>
        <v>0</v>
      </c>
      <c r="BK133" s="2720">
        <f t="shared" si="51"/>
        <v>0</v>
      </c>
      <c r="BL133" s="2720">
        <f t="shared" si="52"/>
        <v>0</v>
      </c>
      <c r="BM133" s="2720">
        <f t="shared" si="53"/>
        <v>0</v>
      </c>
      <c r="BN133" s="2720">
        <f t="shared" si="54"/>
        <v>0</v>
      </c>
      <c r="BO133" s="2720">
        <f t="shared" si="55"/>
        <v>0</v>
      </c>
      <c r="BP133" s="2720">
        <f t="shared" si="56"/>
        <v>0</v>
      </c>
      <c r="BQ133" s="2720">
        <f t="shared" si="57"/>
        <v>0</v>
      </c>
      <c r="BR133" s="2720">
        <f t="shared" si="58"/>
        <v>0</v>
      </c>
      <c r="BS133" s="2720">
        <f t="shared" si="59"/>
        <v>0</v>
      </c>
      <c r="BT133" s="2772">
        <f t="shared" si="60"/>
        <v>0</v>
      </c>
    </row>
    <row r="134" spans="1:72">
      <c r="A134" s="2717"/>
      <c r="B134" s="2718"/>
      <c r="C134" s="2718"/>
      <c r="D134" s="2719"/>
      <c r="E134" s="2720">
        <f t="shared" si="61"/>
        <v>0</v>
      </c>
      <c r="F134" s="2721"/>
      <c r="G134" s="2722">
        <f t="shared" si="36"/>
        <v>0</v>
      </c>
      <c r="H134" s="2723">
        <f t="shared" si="37"/>
        <v>0</v>
      </c>
      <c r="I134" s="2730"/>
      <c r="J134" s="2730"/>
      <c r="K134" s="2730"/>
      <c r="L134" s="2730"/>
      <c r="M134" s="2730"/>
      <c r="N134" s="2730"/>
      <c r="O134" s="2730"/>
      <c r="P134" s="2730"/>
      <c r="Q134" s="2730"/>
      <c r="R134" s="2730"/>
      <c r="S134" s="2730"/>
      <c r="T134" s="2730"/>
      <c r="U134" s="2730"/>
      <c r="V134" s="2730"/>
      <c r="W134" s="2730"/>
      <c r="X134" s="2730"/>
      <c r="Y134" s="2730"/>
      <c r="Z134" s="2730"/>
      <c r="AA134" s="2730"/>
      <c r="AB134" s="2730"/>
      <c r="AC134" s="2720">
        <f t="shared" si="38"/>
        <v>0</v>
      </c>
      <c r="AD134" s="2740"/>
      <c r="AE134" s="2740"/>
      <c r="AF134" s="2740"/>
      <c r="AG134" s="2740"/>
      <c r="AH134" s="2740"/>
      <c r="AI134" s="2740"/>
      <c r="AJ134" s="2740"/>
      <c r="AK134" s="2740"/>
      <c r="AL134" s="2740"/>
      <c r="AM134" s="2740"/>
      <c r="AN134" s="2740"/>
      <c r="AO134" s="2740"/>
      <c r="AP134" s="2740"/>
      <c r="AQ134" s="2740"/>
      <c r="AR134" s="2740"/>
      <c r="AS134" s="2740"/>
      <c r="AT134" s="2750"/>
      <c r="AU134" s="2751"/>
      <c r="AV134" s="1092">
        <f t="shared" si="62"/>
        <v>0</v>
      </c>
      <c r="AW134" s="1092">
        <f t="shared" si="63"/>
        <v>0</v>
      </c>
      <c r="AX134" s="1092">
        <f t="shared" si="64"/>
        <v>0</v>
      </c>
      <c r="AY134" s="2765">
        <f t="shared" si="39"/>
        <v>0</v>
      </c>
      <c r="AZ134" s="2720">
        <f t="shared" si="40"/>
        <v>0</v>
      </c>
      <c r="BA134" s="2720">
        <f t="shared" si="41"/>
        <v>0</v>
      </c>
      <c r="BB134" s="2720">
        <f t="shared" si="42"/>
        <v>0</v>
      </c>
      <c r="BC134" s="2720">
        <f t="shared" si="43"/>
        <v>0</v>
      </c>
      <c r="BD134" s="2720">
        <f t="shared" si="44"/>
        <v>0</v>
      </c>
      <c r="BE134" s="2720">
        <f t="shared" si="45"/>
        <v>0</v>
      </c>
      <c r="BF134" s="2720">
        <f t="shared" si="46"/>
        <v>0</v>
      </c>
      <c r="BG134" s="2720">
        <f t="shared" si="47"/>
        <v>0</v>
      </c>
      <c r="BH134" s="2720">
        <f t="shared" si="48"/>
        <v>0</v>
      </c>
      <c r="BI134" s="2720">
        <f t="shared" si="49"/>
        <v>0</v>
      </c>
      <c r="BJ134" s="2720">
        <f t="shared" si="50"/>
        <v>0</v>
      </c>
      <c r="BK134" s="2720">
        <f t="shared" si="51"/>
        <v>0</v>
      </c>
      <c r="BL134" s="2720">
        <f t="shared" si="52"/>
        <v>0</v>
      </c>
      <c r="BM134" s="2720">
        <f t="shared" si="53"/>
        <v>0</v>
      </c>
      <c r="BN134" s="2720">
        <f t="shared" si="54"/>
        <v>0</v>
      </c>
      <c r="BO134" s="2720">
        <f t="shared" si="55"/>
        <v>0</v>
      </c>
      <c r="BP134" s="2720">
        <f t="shared" si="56"/>
        <v>0</v>
      </c>
      <c r="BQ134" s="2720">
        <f t="shared" si="57"/>
        <v>0</v>
      </c>
      <c r="BR134" s="2720">
        <f t="shared" si="58"/>
        <v>0</v>
      </c>
      <c r="BS134" s="2720">
        <f t="shared" si="59"/>
        <v>0</v>
      </c>
      <c r="BT134" s="2772">
        <f t="shared" si="60"/>
        <v>0</v>
      </c>
    </row>
    <row r="135" spans="1:72">
      <c r="A135" s="2717"/>
      <c r="B135" s="2718"/>
      <c r="C135" s="2718"/>
      <c r="D135" s="2719"/>
      <c r="E135" s="2720">
        <f t="shared" si="61"/>
        <v>0</v>
      </c>
      <c r="F135" s="2721"/>
      <c r="G135" s="2722">
        <f t="shared" si="36"/>
        <v>0</v>
      </c>
      <c r="H135" s="2723">
        <f t="shared" si="37"/>
        <v>0</v>
      </c>
      <c r="I135" s="2730"/>
      <c r="J135" s="2730"/>
      <c r="K135" s="2730"/>
      <c r="L135" s="2730"/>
      <c r="M135" s="2730"/>
      <c r="N135" s="2730"/>
      <c r="O135" s="2730"/>
      <c r="P135" s="2730"/>
      <c r="Q135" s="2730"/>
      <c r="R135" s="2730"/>
      <c r="S135" s="2730"/>
      <c r="T135" s="2730"/>
      <c r="U135" s="2730"/>
      <c r="V135" s="2730"/>
      <c r="W135" s="2730"/>
      <c r="X135" s="2730"/>
      <c r="Y135" s="2730"/>
      <c r="Z135" s="2730"/>
      <c r="AA135" s="2730"/>
      <c r="AB135" s="2730"/>
      <c r="AC135" s="2720">
        <f t="shared" si="38"/>
        <v>0</v>
      </c>
      <c r="AD135" s="2740"/>
      <c r="AE135" s="2740"/>
      <c r="AF135" s="2740"/>
      <c r="AG135" s="2740"/>
      <c r="AH135" s="2740"/>
      <c r="AI135" s="2740"/>
      <c r="AJ135" s="2740"/>
      <c r="AK135" s="2740"/>
      <c r="AL135" s="2740"/>
      <c r="AM135" s="2740"/>
      <c r="AN135" s="2740"/>
      <c r="AO135" s="2740"/>
      <c r="AP135" s="2740"/>
      <c r="AQ135" s="2740"/>
      <c r="AR135" s="2740"/>
      <c r="AS135" s="2740"/>
      <c r="AT135" s="2750"/>
      <c r="AU135" s="2751"/>
      <c r="AV135" s="1092">
        <f t="shared" si="62"/>
        <v>0</v>
      </c>
      <c r="AW135" s="1092">
        <f t="shared" si="63"/>
        <v>0</v>
      </c>
      <c r="AX135" s="1092">
        <f t="shared" si="64"/>
        <v>0</v>
      </c>
      <c r="AY135" s="2765">
        <f t="shared" si="39"/>
        <v>0</v>
      </c>
      <c r="AZ135" s="2720">
        <f t="shared" si="40"/>
        <v>0</v>
      </c>
      <c r="BA135" s="2720">
        <f t="shared" si="41"/>
        <v>0</v>
      </c>
      <c r="BB135" s="2720">
        <f t="shared" si="42"/>
        <v>0</v>
      </c>
      <c r="BC135" s="2720">
        <f t="shared" si="43"/>
        <v>0</v>
      </c>
      <c r="BD135" s="2720">
        <f t="shared" si="44"/>
        <v>0</v>
      </c>
      <c r="BE135" s="2720">
        <f t="shared" si="45"/>
        <v>0</v>
      </c>
      <c r="BF135" s="2720">
        <f t="shared" si="46"/>
        <v>0</v>
      </c>
      <c r="BG135" s="2720">
        <f t="shared" si="47"/>
        <v>0</v>
      </c>
      <c r="BH135" s="2720">
        <f t="shared" si="48"/>
        <v>0</v>
      </c>
      <c r="BI135" s="2720">
        <f t="shared" si="49"/>
        <v>0</v>
      </c>
      <c r="BJ135" s="2720">
        <f t="shared" si="50"/>
        <v>0</v>
      </c>
      <c r="BK135" s="2720">
        <f t="shared" si="51"/>
        <v>0</v>
      </c>
      <c r="BL135" s="2720">
        <f t="shared" si="52"/>
        <v>0</v>
      </c>
      <c r="BM135" s="2720">
        <f t="shared" si="53"/>
        <v>0</v>
      </c>
      <c r="BN135" s="2720">
        <f t="shared" si="54"/>
        <v>0</v>
      </c>
      <c r="BO135" s="2720">
        <f t="shared" si="55"/>
        <v>0</v>
      </c>
      <c r="BP135" s="2720">
        <f t="shared" si="56"/>
        <v>0</v>
      </c>
      <c r="BQ135" s="2720">
        <f t="shared" si="57"/>
        <v>0</v>
      </c>
      <c r="BR135" s="2720">
        <f t="shared" si="58"/>
        <v>0</v>
      </c>
      <c r="BS135" s="2720">
        <f t="shared" si="59"/>
        <v>0</v>
      </c>
      <c r="BT135" s="2772">
        <f t="shared" si="60"/>
        <v>0</v>
      </c>
    </row>
    <row r="136" spans="1:72">
      <c r="A136" s="2717"/>
      <c r="B136" s="2718"/>
      <c r="C136" s="2718"/>
      <c r="D136" s="2719"/>
      <c r="E136" s="2720">
        <f t="shared" si="61"/>
        <v>0</v>
      </c>
      <c r="F136" s="2721"/>
      <c r="G136" s="2722">
        <f t="shared" si="36"/>
        <v>0</v>
      </c>
      <c r="H136" s="2723">
        <f t="shared" si="37"/>
        <v>0</v>
      </c>
      <c r="I136" s="2730"/>
      <c r="J136" s="2730"/>
      <c r="K136" s="2730"/>
      <c r="L136" s="2730"/>
      <c r="M136" s="2730"/>
      <c r="N136" s="2730"/>
      <c r="O136" s="2730"/>
      <c r="P136" s="2730"/>
      <c r="Q136" s="2730"/>
      <c r="R136" s="2730"/>
      <c r="S136" s="2730"/>
      <c r="T136" s="2730"/>
      <c r="U136" s="2730"/>
      <c r="V136" s="2730"/>
      <c r="W136" s="2730"/>
      <c r="X136" s="2730"/>
      <c r="Y136" s="2730"/>
      <c r="Z136" s="2730"/>
      <c r="AA136" s="2730"/>
      <c r="AB136" s="2730"/>
      <c r="AC136" s="2720">
        <f t="shared" si="38"/>
        <v>0</v>
      </c>
      <c r="AD136" s="2740"/>
      <c r="AE136" s="2740"/>
      <c r="AF136" s="2740"/>
      <c r="AG136" s="2740"/>
      <c r="AH136" s="2740"/>
      <c r="AI136" s="2740"/>
      <c r="AJ136" s="2740"/>
      <c r="AK136" s="2740"/>
      <c r="AL136" s="2740"/>
      <c r="AM136" s="2740"/>
      <c r="AN136" s="2740"/>
      <c r="AO136" s="2740"/>
      <c r="AP136" s="2740"/>
      <c r="AQ136" s="2740"/>
      <c r="AR136" s="2740"/>
      <c r="AS136" s="2740"/>
      <c r="AT136" s="2750"/>
      <c r="AU136" s="2751"/>
      <c r="AV136" s="1092">
        <f t="shared" si="62"/>
        <v>0</v>
      </c>
      <c r="AW136" s="1092">
        <f t="shared" si="63"/>
        <v>0</v>
      </c>
      <c r="AX136" s="1092">
        <f t="shared" si="64"/>
        <v>0</v>
      </c>
      <c r="AY136" s="2765">
        <f t="shared" si="39"/>
        <v>0</v>
      </c>
      <c r="AZ136" s="2720">
        <f t="shared" si="40"/>
        <v>0</v>
      </c>
      <c r="BA136" s="2720">
        <f t="shared" si="41"/>
        <v>0</v>
      </c>
      <c r="BB136" s="2720">
        <f t="shared" si="42"/>
        <v>0</v>
      </c>
      <c r="BC136" s="2720">
        <f t="shared" si="43"/>
        <v>0</v>
      </c>
      <c r="BD136" s="2720">
        <f t="shared" si="44"/>
        <v>0</v>
      </c>
      <c r="BE136" s="2720">
        <f t="shared" si="45"/>
        <v>0</v>
      </c>
      <c r="BF136" s="2720">
        <f t="shared" si="46"/>
        <v>0</v>
      </c>
      <c r="BG136" s="2720">
        <f t="shared" si="47"/>
        <v>0</v>
      </c>
      <c r="BH136" s="2720">
        <f t="shared" si="48"/>
        <v>0</v>
      </c>
      <c r="BI136" s="2720">
        <f t="shared" si="49"/>
        <v>0</v>
      </c>
      <c r="BJ136" s="2720">
        <f t="shared" si="50"/>
        <v>0</v>
      </c>
      <c r="BK136" s="2720">
        <f t="shared" si="51"/>
        <v>0</v>
      </c>
      <c r="BL136" s="2720">
        <f t="shared" si="52"/>
        <v>0</v>
      </c>
      <c r="BM136" s="2720">
        <f t="shared" si="53"/>
        <v>0</v>
      </c>
      <c r="BN136" s="2720">
        <f t="shared" si="54"/>
        <v>0</v>
      </c>
      <c r="BO136" s="2720">
        <f t="shared" si="55"/>
        <v>0</v>
      </c>
      <c r="BP136" s="2720">
        <f t="shared" si="56"/>
        <v>0</v>
      </c>
      <c r="BQ136" s="2720">
        <f t="shared" si="57"/>
        <v>0</v>
      </c>
      <c r="BR136" s="2720">
        <f t="shared" si="58"/>
        <v>0</v>
      </c>
      <c r="BS136" s="2720">
        <f t="shared" si="59"/>
        <v>0</v>
      </c>
      <c r="BT136" s="2772">
        <f t="shared" si="60"/>
        <v>0</v>
      </c>
    </row>
    <row r="137" spans="1:72">
      <c r="A137" s="2717"/>
      <c r="B137" s="2718"/>
      <c r="C137" s="2718"/>
      <c r="D137" s="2719"/>
      <c r="E137" s="2720">
        <f t="shared" si="61"/>
        <v>0</v>
      </c>
      <c r="F137" s="2721"/>
      <c r="G137" s="2722">
        <f t="shared" si="36"/>
        <v>0</v>
      </c>
      <c r="H137" s="2723">
        <f t="shared" si="37"/>
        <v>0</v>
      </c>
      <c r="I137" s="2730"/>
      <c r="J137" s="2730"/>
      <c r="K137" s="2730"/>
      <c r="L137" s="2730"/>
      <c r="M137" s="2730"/>
      <c r="N137" s="2730"/>
      <c r="O137" s="2730"/>
      <c r="P137" s="2730"/>
      <c r="Q137" s="2730"/>
      <c r="R137" s="2730"/>
      <c r="S137" s="2730"/>
      <c r="T137" s="2730"/>
      <c r="U137" s="2730"/>
      <c r="V137" s="2730"/>
      <c r="W137" s="2730"/>
      <c r="X137" s="2730"/>
      <c r="Y137" s="2730"/>
      <c r="Z137" s="2730"/>
      <c r="AA137" s="2730"/>
      <c r="AB137" s="2730"/>
      <c r="AC137" s="2720">
        <f t="shared" si="38"/>
        <v>0</v>
      </c>
      <c r="AD137" s="2740"/>
      <c r="AE137" s="2740"/>
      <c r="AF137" s="2740"/>
      <c r="AG137" s="2740"/>
      <c r="AH137" s="2740"/>
      <c r="AI137" s="2740"/>
      <c r="AJ137" s="2740"/>
      <c r="AK137" s="2740"/>
      <c r="AL137" s="2740"/>
      <c r="AM137" s="2740"/>
      <c r="AN137" s="2740"/>
      <c r="AO137" s="2740"/>
      <c r="AP137" s="2740"/>
      <c r="AQ137" s="2740"/>
      <c r="AR137" s="2740"/>
      <c r="AS137" s="2740"/>
      <c r="AT137" s="2750"/>
      <c r="AU137" s="2751"/>
      <c r="AV137" s="1092">
        <f t="shared" si="62"/>
        <v>0</v>
      </c>
      <c r="AW137" s="1092">
        <f t="shared" si="63"/>
        <v>0</v>
      </c>
      <c r="AX137" s="1092">
        <f t="shared" si="64"/>
        <v>0</v>
      </c>
      <c r="AY137" s="2765">
        <f t="shared" si="39"/>
        <v>0</v>
      </c>
      <c r="AZ137" s="2720">
        <f t="shared" si="40"/>
        <v>0</v>
      </c>
      <c r="BA137" s="2720">
        <f t="shared" si="41"/>
        <v>0</v>
      </c>
      <c r="BB137" s="2720">
        <f t="shared" si="42"/>
        <v>0</v>
      </c>
      <c r="BC137" s="2720">
        <f t="shared" si="43"/>
        <v>0</v>
      </c>
      <c r="BD137" s="2720">
        <f t="shared" si="44"/>
        <v>0</v>
      </c>
      <c r="BE137" s="2720">
        <f t="shared" si="45"/>
        <v>0</v>
      </c>
      <c r="BF137" s="2720">
        <f t="shared" si="46"/>
        <v>0</v>
      </c>
      <c r="BG137" s="2720">
        <f t="shared" si="47"/>
        <v>0</v>
      </c>
      <c r="BH137" s="2720">
        <f t="shared" si="48"/>
        <v>0</v>
      </c>
      <c r="BI137" s="2720">
        <f t="shared" si="49"/>
        <v>0</v>
      </c>
      <c r="BJ137" s="2720">
        <f t="shared" si="50"/>
        <v>0</v>
      </c>
      <c r="BK137" s="2720">
        <f t="shared" si="51"/>
        <v>0</v>
      </c>
      <c r="BL137" s="2720">
        <f t="shared" si="52"/>
        <v>0</v>
      </c>
      <c r="BM137" s="2720">
        <f t="shared" si="53"/>
        <v>0</v>
      </c>
      <c r="BN137" s="2720">
        <f t="shared" si="54"/>
        <v>0</v>
      </c>
      <c r="BO137" s="2720">
        <f t="shared" si="55"/>
        <v>0</v>
      </c>
      <c r="BP137" s="2720">
        <f t="shared" si="56"/>
        <v>0</v>
      </c>
      <c r="BQ137" s="2720">
        <f t="shared" si="57"/>
        <v>0</v>
      </c>
      <c r="BR137" s="2720">
        <f t="shared" si="58"/>
        <v>0</v>
      </c>
      <c r="BS137" s="2720">
        <f t="shared" si="59"/>
        <v>0</v>
      </c>
      <c r="BT137" s="2772">
        <f t="shared" si="60"/>
        <v>0</v>
      </c>
    </row>
    <row r="138" spans="1:72">
      <c r="A138" s="2717"/>
      <c r="B138" s="2718"/>
      <c r="C138" s="2718"/>
      <c r="D138" s="2719"/>
      <c r="E138" s="2720">
        <f t="shared" si="61"/>
        <v>0</v>
      </c>
      <c r="F138" s="2721"/>
      <c r="G138" s="2722">
        <f t="shared" si="36"/>
        <v>0</v>
      </c>
      <c r="H138" s="2723">
        <f t="shared" si="37"/>
        <v>0</v>
      </c>
      <c r="I138" s="2730"/>
      <c r="J138" s="2730"/>
      <c r="K138" s="2730"/>
      <c r="L138" s="2730"/>
      <c r="M138" s="2730"/>
      <c r="N138" s="2730"/>
      <c r="O138" s="2730"/>
      <c r="P138" s="2730"/>
      <c r="Q138" s="2730"/>
      <c r="R138" s="2730"/>
      <c r="S138" s="2730"/>
      <c r="T138" s="2730"/>
      <c r="U138" s="2730"/>
      <c r="V138" s="2730"/>
      <c r="W138" s="2730"/>
      <c r="X138" s="2730"/>
      <c r="Y138" s="2730"/>
      <c r="Z138" s="2730"/>
      <c r="AA138" s="2730"/>
      <c r="AB138" s="2730"/>
      <c r="AC138" s="2720">
        <f t="shared" si="38"/>
        <v>0</v>
      </c>
      <c r="AD138" s="2740"/>
      <c r="AE138" s="2740"/>
      <c r="AF138" s="2740"/>
      <c r="AG138" s="2740"/>
      <c r="AH138" s="2740"/>
      <c r="AI138" s="2740"/>
      <c r="AJ138" s="2740"/>
      <c r="AK138" s="2740"/>
      <c r="AL138" s="2740"/>
      <c r="AM138" s="2740"/>
      <c r="AN138" s="2740"/>
      <c r="AO138" s="2740"/>
      <c r="AP138" s="2740"/>
      <c r="AQ138" s="2740"/>
      <c r="AR138" s="2740"/>
      <c r="AS138" s="2740"/>
      <c r="AT138" s="2750"/>
      <c r="AU138" s="2751"/>
      <c r="AV138" s="1092">
        <f t="shared" si="62"/>
        <v>0</v>
      </c>
      <c r="AW138" s="1092">
        <f t="shared" si="63"/>
        <v>0</v>
      </c>
      <c r="AX138" s="1092">
        <f t="shared" si="64"/>
        <v>0</v>
      </c>
      <c r="AY138" s="2765">
        <f t="shared" si="39"/>
        <v>0</v>
      </c>
      <c r="AZ138" s="2720">
        <f t="shared" si="40"/>
        <v>0</v>
      </c>
      <c r="BA138" s="2720">
        <f t="shared" si="41"/>
        <v>0</v>
      </c>
      <c r="BB138" s="2720">
        <f t="shared" si="42"/>
        <v>0</v>
      </c>
      <c r="BC138" s="2720">
        <f t="shared" si="43"/>
        <v>0</v>
      </c>
      <c r="BD138" s="2720">
        <f t="shared" si="44"/>
        <v>0</v>
      </c>
      <c r="BE138" s="2720">
        <f t="shared" si="45"/>
        <v>0</v>
      </c>
      <c r="BF138" s="2720">
        <f t="shared" si="46"/>
        <v>0</v>
      </c>
      <c r="BG138" s="2720">
        <f t="shared" si="47"/>
        <v>0</v>
      </c>
      <c r="BH138" s="2720">
        <f t="shared" si="48"/>
        <v>0</v>
      </c>
      <c r="BI138" s="2720">
        <f t="shared" si="49"/>
        <v>0</v>
      </c>
      <c r="BJ138" s="2720">
        <f t="shared" si="50"/>
        <v>0</v>
      </c>
      <c r="BK138" s="2720">
        <f t="shared" si="51"/>
        <v>0</v>
      </c>
      <c r="BL138" s="2720">
        <f t="shared" si="52"/>
        <v>0</v>
      </c>
      <c r="BM138" s="2720">
        <f t="shared" si="53"/>
        <v>0</v>
      </c>
      <c r="BN138" s="2720">
        <f t="shared" si="54"/>
        <v>0</v>
      </c>
      <c r="BO138" s="2720">
        <f t="shared" si="55"/>
        <v>0</v>
      </c>
      <c r="BP138" s="2720">
        <f t="shared" si="56"/>
        <v>0</v>
      </c>
      <c r="BQ138" s="2720">
        <f t="shared" si="57"/>
        <v>0</v>
      </c>
      <c r="BR138" s="2720">
        <f t="shared" si="58"/>
        <v>0</v>
      </c>
      <c r="BS138" s="2720">
        <f t="shared" si="59"/>
        <v>0</v>
      </c>
      <c r="BT138" s="2772">
        <f t="shared" si="60"/>
        <v>0</v>
      </c>
    </row>
    <row r="139" spans="1:72">
      <c r="A139" s="2717"/>
      <c r="B139" s="2718"/>
      <c r="C139" s="2718"/>
      <c r="D139" s="2719"/>
      <c r="E139" s="2720">
        <f t="shared" si="61"/>
        <v>0</v>
      </c>
      <c r="F139" s="2721"/>
      <c r="G139" s="2722">
        <f t="shared" si="36"/>
        <v>0</v>
      </c>
      <c r="H139" s="2723">
        <f t="shared" si="37"/>
        <v>0</v>
      </c>
      <c r="I139" s="2730"/>
      <c r="J139" s="2730"/>
      <c r="K139" s="2730"/>
      <c r="L139" s="2730"/>
      <c r="M139" s="2730"/>
      <c r="N139" s="2730"/>
      <c r="O139" s="2730"/>
      <c r="P139" s="2730"/>
      <c r="Q139" s="2730"/>
      <c r="R139" s="2730"/>
      <c r="S139" s="2730"/>
      <c r="T139" s="2730"/>
      <c r="U139" s="2730"/>
      <c r="V139" s="2730"/>
      <c r="W139" s="2730"/>
      <c r="X139" s="2730"/>
      <c r="Y139" s="2730"/>
      <c r="Z139" s="2730"/>
      <c r="AA139" s="2730"/>
      <c r="AB139" s="2730"/>
      <c r="AC139" s="2720">
        <f t="shared" si="38"/>
        <v>0</v>
      </c>
      <c r="AD139" s="2740"/>
      <c r="AE139" s="2740"/>
      <c r="AF139" s="2740"/>
      <c r="AG139" s="2740"/>
      <c r="AH139" s="2740"/>
      <c r="AI139" s="2740"/>
      <c r="AJ139" s="2740"/>
      <c r="AK139" s="2740"/>
      <c r="AL139" s="2740"/>
      <c r="AM139" s="2740"/>
      <c r="AN139" s="2740"/>
      <c r="AO139" s="2740"/>
      <c r="AP139" s="2740"/>
      <c r="AQ139" s="2740"/>
      <c r="AR139" s="2740"/>
      <c r="AS139" s="2740"/>
      <c r="AT139" s="2750"/>
      <c r="AU139" s="2751"/>
      <c r="AV139" s="1092">
        <f t="shared" si="62"/>
        <v>0</v>
      </c>
      <c r="AW139" s="1092">
        <f t="shared" si="63"/>
        <v>0</v>
      </c>
      <c r="AX139" s="1092">
        <f t="shared" si="64"/>
        <v>0</v>
      </c>
      <c r="AY139" s="2765">
        <f t="shared" si="39"/>
        <v>0</v>
      </c>
      <c r="AZ139" s="2720">
        <f t="shared" si="40"/>
        <v>0</v>
      </c>
      <c r="BA139" s="2720">
        <f t="shared" si="41"/>
        <v>0</v>
      </c>
      <c r="BB139" s="2720">
        <f t="shared" si="42"/>
        <v>0</v>
      </c>
      <c r="BC139" s="2720">
        <f t="shared" si="43"/>
        <v>0</v>
      </c>
      <c r="BD139" s="2720">
        <f t="shared" si="44"/>
        <v>0</v>
      </c>
      <c r="BE139" s="2720">
        <f t="shared" si="45"/>
        <v>0</v>
      </c>
      <c r="BF139" s="2720">
        <f t="shared" si="46"/>
        <v>0</v>
      </c>
      <c r="BG139" s="2720">
        <f t="shared" si="47"/>
        <v>0</v>
      </c>
      <c r="BH139" s="2720">
        <f t="shared" si="48"/>
        <v>0</v>
      </c>
      <c r="BI139" s="2720">
        <f t="shared" si="49"/>
        <v>0</v>
      </c>
      <c r="BJ139" s="2720">
        <f t="shared" si="50"/>
        <v>0</v>
      </c>
      <c r="BK139" s="2720">
        <f t="shared" si="51"/>
        <v>0</v>
      </c>
      <c r="BL139" s="2720">
        <f t="shared" si="52"/>
        <v>0</v>
      </c>
      <c r="BM139" s="2720">
        <f t="shared" si="53"/>
        <v>0</v>
      </c>
      <c r="BN139" s="2720">
        <f t="shared" si="54"/>
        <v>0</v>
      </c>
      <c r="BO139" s="2720">
        <f t="shared" si="55"/>
        <v>0</v>
      </c>
      <c r="BP139" s="2720">
        <f t="shared" si="56"/>
        <v>0</v>
      </c>
      <c r="BQ139" s="2720">
        <f t="shared" si="57"/>
        <v>0</v>
      </c>
      <c r="BR139" s="2720">
        <f t="shared" si="58"/>
        <v>0</v>
      </c>
      <c r="BS139" s="2720">
        <f t="shared" si="59"/>
        <v>0</v>
      </c>
      <c r="BT139" s="2772">
        <f t="shared" si="60"/>
        <v>0</v>
      </c>
    </row>
    <row r="140" spans="1:72">
      <c r="A140" s="2717"/>
      <c r="B140" s="2718"/>
      <c r="C140" s="2718"/>
      <c r="D140" s="2719"/>
      <c r="E140" s="2720">
        <f t="shared" si="61"/>
        <v>0</v>
      </c>
      <c r="F140" s="2721"/>
      <c r="G140" s="2722">
        <f t="shared" si="36"/>
        <v>0</v>
      </c>
      <c r="H140" s="2723">
        <f t="shared" si="37"/>
        <v>0</v>
      </c>
      <c r="I140" s="2730"/>
      <c r="J140" s="2730"/>
      <c r="K140" s="2730"/>
      <c r="L140" s="2730"/>
      <c r="M140" s="2730"/>
      <c r="N140" s="2730"/>
      <c r="O140" s="2730"/>
      <c r="P140" s="2730"/>
      <c r="Q140" s="2730"/>
      <c r="R140" s="2730"/>
      <c r="S140" s="2730"/>
      <c r="T140" s="2730"/>
      <c r="U140" s="2730"/>
      <c r="V140" s="2730"/>
      <c r="W140" s="2730"/>
      <c r="X140" s="2730"/>
      <c r="Y140" s="2730"/>
      <c r="Z140" s="2730"/>
      <c r="AA140" s="2730"/>
      <c r="AB140" s="2730"/>
      <c r="AC140" s="2720">
        <f t="shared" si="38"/>
        <v>0</v>
      </c>
      <c r="AD140" s="2740"/>
      <c r="AE140" s="2740"/>
      <c r="AF140" s="2740"/>
      <c r="AG140" s="2740"/>
      <c r="AH140" s="2740"/>
      <c r="AI140" s="2740"/>
      <c r="AJ140" s="2740"/>
      <c r="AK140" s="2740"/>
      <c r="AL140" s="2740"/>
      <c r="AM140" s="2740"/>
      <c r="AN140" s="2740"/>
      <c r="AO140" s="2740"/>
      <c r="AP140" s="2740"/>
      <c r="AQ140" s="2740"/>
      <c r="AR140" s="2740"/>
      <c r="AS140" s="2740"/>
      <c r="AT140" s="2750"/>
      <c r="AU140" s="2751"/>
      <c r="AV140" s="1092">
        <f t="shared" si="62"/>
        <v>0</v>
      </c>
      <c r="AW140" s="1092">
        <f t="shared" si="63"/>
        <v>0</v>
      </c>
      <c r="AX140" s="1092">
        <f t="shared" si="64"/>
        <v>0</v>
      </c>
      <c r="AY140" s="2765">
        <f t="shared" si="39"/>
        <v>0</v>
      </c>
      <c r="AZ140" s="2720">
        <f t="shared" si="40"/>
        <v>0</v>
      </c>
      <c r="BA140" s="2720">
        <f t="shared" si="41"/>
        <v>0</v>
      </c>
      <c r="BB140" s="2720">
        <f t="shared" si="42"/>
        <v>0</v>
      </c>
      <c r="BC140" s="2720">
        <f t="shared" si="43"/>
        <v>0</v>
      </c>
      <c r="BD140" s="2720">
        <f t="shared" si="44"/>
        <v>0</v>
      </c>
      <c r="BE140" s="2720">
        <f t="shared" si="45"/>
        <v>0</v>
      </c>
      <c r="BF140" s="2720">
        <f t="shared" si="46"/>
        <v>0</v>
      </c>
      <c r="BG140" s="2720">
        <f t="shared" si="47"/>
        <v>0</v>
      </c>
      <c r="BH140" s="2720">
        <f t="shared" si="48"/>
        <v>0</v>
      </c>
      <c r="BI140" s="2720">
        <f t="shared" si="49"/>
        <v>0</v>
      </c>
      <c r="BJ140" s="2720">
        <f t="shared" si="50"/>
        <v>0</v>
      </c>
      <c r="BK140" s="2720">
        <f t="shared" si="51"/>
        <v>0</v>
      </c>
      <c r="BL140" s="2720">
        <f t="shared" si="52"/>
        <v>0</v>
      </c>
      <c r="BM140" s="2720">
        <f t="shared" si="53"/>
        <v>0</v>
      </c>
      <c r="BN140" s="2720">
        <f t="shared" si="54"/>
        <v>0</v>
      </c>
      <c r="BO140" s="2720">
        <f t="shared" si="55"/>
        <v>0</v>
      </c>
      <c r="BP140" s="2720">
        <f t="shared" si="56"/>
        <v>0</v>
      </c>
      <c r="BQ140" s="2720">
        <f t="shared" si="57"/>
        <v>0</v>
      </c>
      <c r="BR140" s="2720">
        <f t="shared" si="58"/>
        <v>0</v>
      </c>
      <c r="BS140" s="2720">
        <f t="shared" si="59"/>
        <v>0</v>
      </c>
      <c r="BT140" s="2772">
        <f t="shared" si="60"/>
        <v>0</v>
      </c>
    </row>
    <row r="141" spans="1:72">
      <c r="A141" s="2717"/>
      <c r="B141" s="2718"/>
      <c r="C141" s="2718"/>
      <c r="D141" s="2719"/>
      <c r="E141" s="2720">
        <f t="shared" si="61"/>
        <v>0</v>
      </c>
      <c r="F141" s="2721"/>
      <c r="G141" s="2722">
        <f t="shared" si="36"/>
        <v>0</v>
      </c>
      <c r="H141" s="2723">
        <f t="shared" si="37"/>
        <v>0</v>
      </c>
      <c r="I141" s="2730"/>
      <c r="J141" s="2730"/>
      <c r="K141" s="2730"/>
      <c r="L141" s="2730"/>
      <c r="M141" s="2730"/>
      <c r="N141" s="2730"/>
      <c r="O141" s="2730"/>
      <c r="P141" s="2730"/>
      <c r="Q141" s="2730"/>
      <c r="R141" s="2730"/>
      <c r="S141" s="2730"/>
      <c r="T141" s="2730"/>
      <c r="U141" s="2730"/>
      <c r="V141" s="2730"/>
      <c r="W141" s="2730"/>
      <c r="X141" s="2730"/>
      <c r="Y141" s="2730"/>
      <c r="Z141" s="2730"/>
      <c r="AA141" s="2730"/>
      <c r="AB141" s="2730"/>
      <c r="AC141" s="2720">
        <f t="shared" si="38"/>
        <v>0</v>
      </c>
      <c r="AD141" s="2740"/>
      <c r="AE141" s="2740"/>
      <c r="AF141" s="2740"/>
      <c r="AG141" s="2740"/>
      <c r="AH141" s="2740"/>
      <c r="AI141" s="2740"/>
      <c r="AJ141" s="2740"/>
      <c r="AK141" s="2740"/>
      <c r="AL141" s="2740"/>
      <c r="AM141" s="2740"/>
      <c r="AN141" s="2740"/>
      <c r="AO141" s="2740"/>
      <c r="AP141" s="2740"/>
      <c r="AQ141" s="2740"/>
      <c r="AR141" s="2740"/>
      <c r="AS141" s="2740"/>
      <c r="AT141" s="2750"/>
      <c r="AU141" s="2751"/>
      <c r="AV141" s="1092">
        <f t="shared" si="62"/>
        <v>0</v>
      </c>
      <c r="AW141" s="1092">
        <f t="shared" si="63"/>
        <v>0</v>
      </c>
      <c r="AX141" s="1092">
        <f t="shared" si="64"/>
        <v>0</v>
      </c>
      <c r="AY141" s="2765">
        <f t="shared" si="39"/>
        <v>0</v>
      </c>
      <c r="AZ141" s="2720">
        <f t="shared" si="40"/>
        <v>0</v>
      </c>
      <c r="BA141" s="2720">
        <f t="shared" si="41"/>
        <v>0</v>
      </c>
      <c r="BB141" s="2720">
        <f t="shared" si="42"/>
        <v>0</v>
      </c>
      <c r="BC141" s="2720">
        <f t="shared" si="43"/>
        <v>0</v>
      </c>
      <c r="BD141" s="2720">
        <f t="shared" si="44"/>
        <v>0</v>
      </c>
      <c r="BE141" s="2720">
        <f t="shared" si="45"/>
        <v>0</v>
      </c>
      <c r="BF141" s="2720">
        <f t="shared" si="46"/>
        <v>0</v>
      </c>
      <c r="BG141" s="2720">
        <f t="shared" si="47"/>
        <v>0</v>
      </c>
      <c r="BH141" s="2720">
        <f t="shared" si="48"/>
        <v>0</v>
      </c>
      <c r="BI141" s="2720">
        <f t="shared" si="49"/>
        <v>0</v>
      </c>
      <c r="BJ141" s="2720">
        <f t="shared" si="50"/>
        <v>0</v>
      </c>
      <c r="BK141" s="2720">
        <f t="shared" si="51"/>
        <v>0</v>
      </c>
      <c r="BL141" s="2720">
        <f t="shared" si="52"/>
        <v>0</v>
      </c>
      <c r="BM141" s="2720">
        <f t="shared" si="53"/>
        <v>0</v>
      </c>
      <c r="BN141" s="2720">
        <f t="shared" si="54"/>
        <v>0</v>
      </c>
      <c r="BO141" s="2720">
        <f t="shared" si="55"/>
        <v>0</v>
      </c>
      <c r="BP141" s="2720">
        <f t="shared" si="56"/>
        <v>0</v>
      </c>
      <c r="BQ141" s="2720">
        <f t="shared" si="57"/>
        <v>0</v>
      </c>
      <c r="BR141" s="2720">
        <f t="shared" si="58"/>
        <v>0</v>
      </c>
      <c r="BS141" s="2720">
        <f t="shared" si="59"/>
        <v>0</v>
      </c>
      <c r="BT141" s="2772">
        <f t="shared" si="60"/>
        <v>0</v>
      </c>
    </row>
    <row r="142" spans="1:72">
      <c r="A142" s="2717"/>
      <c r="B142" s="2718"/>
      <c r="C142" s="2718"/>
      <c r="D142" s="2719"/>
      <c r="E142" s="2720">
        <f t="shared" si="61"/>
        <v>0</v>
      </c>
      <c r="F142" s="2721"/>
      <c r="G142" s="2722">
        <f t="shared" ref="G142:G173" si="65">H142+AC142+AT142</f>
        <v>0</v>
      </c>
      <c r="H142" s="2723">
        <f t="shared" ref="H142:H173" si="66">SUMIF(I$12:AB$12,"总值",I142:AB142)</f>
        <v>0</v>
      </c>
      <c r="I142" s="2730"/>
      <c r="J142" s="2730"/>
      <c r="K142" s="2730"/>
      <c r="L142" s="2730"/>
      <c r="M142" s="2730"/>
      <c r="N142" s="2730"/>
      <c r="O142" s="2730"/>
      <c r="P142" s="2730"/>
      <c r="Q142" s="2730"/>
      <c r="R142" s="2730"/>
      <c r="S142" s="2730"/>
      <c r="T142" s="2730"/>
      <c r="U142" s="2730"/>
      <c r="V142" s="2730"/>
      <c r="W142" s="2730"/>
      <c r="X142" s="2730"/>
      <c r="Y142" s="2730"/>
      <c r="Z142" s="2730"/>
      <c r="AA142" s="2730"/>
      <c r="AB142" s="2730"/>
      <c r="AC142" s="2720">
        <f t="shared" ref="AC142:AC173" si="67">SUMIF(AD$12:AS$12,"总值",AD142:AS142)</f>
        <v>0</v>
      </c>
      <c r="AD142" s="2740"/>
      <c r="AE142" s="2740"/>
      <c r="AF142" s="2740"/>
      <c r="AG142" s="2740"/>
      <c r="AH142" s="2740"/>
      <c r="AI142" s="2740"/>
      <c r="AJ142" s="2740"/>
      <c r="AK142" s="2740"/>
      <c r="AL142" s="2740"/>
      <c r="AM142" s="2740"/>
      <c r="AN142" s="2740"/>
      <c r="AO142" s="2740"/>
      <c r="AP142" s="2740"/>
      <c r="AQ142" s="2740"/>
      <c r="AR142" s="2740"/>
      <c r="AS142" s="2740"/>
      <c r="AT142" s="2750"/>
      <c r="AU142" s="2751"/>
      <c r="AV142" s="1092">
        <f t="shared" si="62"/>
        <v>0</v>
      </c>
      <c r="AW142" s="1092">
        <f t="shared" si="63"/>
        <v>0</v>
      </c>
      <c r="AX142" s="1092">
        <f t="shared" si="64"/>
        <v>0</v>
      </c>
      <c r="AY142" s="2765">
        <f t="shared" ref="AY142:AY173" si="68">ROUND($AY$6*AZ142/$AZ$5,2)</f>
        <v>0</v>
      </c>
      <c r="AZ142" s="2720">
        <f t="shared" ref="AZ142:AZ173" si="69">BA142+BL142</f>
        <v>0</v>
      </c>
      <c r="BA142" s="2720">
        <f t="shared" ref="BA142:BA173" si="70">SUM(BB142:BK142)</f>
        <v>0</v>
      </c>
      <c r="BB142" s="2720">
        <f t="shared" ref="BB142:BB173" si="71">IF($D142="是",I142-J142,0)</f>
        <v>0</v>
      </c>
      <c r="BC142" s="2720">
        <f t="shared" ref="BC142:BC173" si="72">IF($D142="是",K142-L142,0)</f>
        <v>0</v>
      </c>
      <c r="BD142" s="2720">
        <f t="shared" ref="BD142:BD173" si="73">IF($D142="是",M142-N142,0)</f>
        <v>0</v>
      </c>
      <c r="BE142" s="2720">
        <f t="shared" ref="BE142:BE173" si="74">IF($D142="是",O142-P142,0)</f>
        <v>0</v>
      </c>
      <c r="BF142" s="2720">
        <f t="shared" ref="BF142:BF173" si="75">IF($D142="是",Q142-R142,0)</f>
        <v>0</v>
      </c>
      <c r="BG142" s="2720">
        <f t="shared" ref="BG142:BG173" si="76">IF($D142="是",S142-T142,0)</f>
        <v>0</v>
      </c>
      <c r="BH142" s="2720">
        <f t="shared" ref="BH142:BH173" si="77">IF($D142="是",U142-V142,0)</f>
        <v>0</v>
      </c>
      <c r="BI142" s="2720">
        <f t="shared" ref="BI142:BI173" si="78">IF($D142="是",W142-X142,0)</f>
        <v>0</v>
      </c>
      <c r="BJ142" s="2720">
        <f t="shared" ref="BJ142:BJ173" si="79">IF($D142="是",Y142-Z142,0)</f>
        <v>0</v>
      </c>
      <c r="BK142" s="2720">
        <f t="shared" ref="BK142:BK173" si="80">IF($D142="是",AA142-AB142,0)</f>
        <v>0</v>
      </c>
      <c r="BL142" s="2720">
        <f t="shared" ref="BL142:BL173" si="81">SUM(BM142:BT142)</f>
        <v>0</v>
      </c>
      <c r="BM142" s="2720">
        <f t="shared" ref="BM142:BM173" si="82">IF($D142="是",AD142-AE142,0)</f>
        <v>0</v>
      </c>
      <c r="BN142" s="2720">
        <f t="shared" ref="BN142:BN173" si="83">IF($D142="是",AF142-AG142,0)</f>
        <v>0</v>
      </c>
      <c r="BO142" s="2720">
        <f t="shared" ref="BO142:BO173" si="84">IF($D142="是",AH142-AI142,0)</f>
        <v>0</v>
      </c>
      <c r="BP142" s="2720">
        <f t="shared" ref="BP142:BP173" si="85">IF($D142="是",AJ142-AK142,0)</f>
        <v>0</v>
      </c>
      <c r="BQ142" s="2720">
        <f t="shared" ref="BQ142:BQ173" si="86">IF($D142="是",AL142-AM142,0)</f>
        <v>0</v>
      </c>
      <c r="BR142" s="2720">
        <f t="shared" ref="BR142:BR173" si="87">IF($D142="是",AN142-AO142,0)</f>
        <v>0</v>
      </c>
      <c r="BS142" s="2720">
        <f t="shared" ref="BS142:BS173" si="88">IF($D142="是",AP142-AQ142,0)</f>
        <v>0</v>
      </c>
      <c r="BT142" s="2772">
        <f t="shared" ref="BT142:BT173" si="89">IF($D142="是",AR142-AS142,0)</f>
        <v>0</v>
      </c>
    </row>
    <row r="143" spans="1:72">
      <c r="A143" s="2717"/>
      <c r="B143" s="2718"/>
      <c r="C143" s="2718"/>
      <c r="D143" s="2719"/>
      <c r="E143" s="2720">
        <f t="shared" si="61"/>
        <v>0</v>
      </c>
      <c r="F143" s="2721"/>
      <c r="G143" s="2722">
        <f t="shared" si="65"/>
        <v>0</v>
      </c>
      <c r="H143" s="2723">
        <f t="shared" si="66"/>
        <v>0</v>
      </c>
      <c r="I143" s="2730"/>
      <c r="J143" s="2730"/>
      <c r="K143" s="2730"/>
      <c r="L143" s="2730"/>
      <c r="M143" s="2730"/>
      <c r="N143" s="2730"/>
      <c r="O143" s="2730"/>
      <c r="P143" s="2730"/>
      <c r="Q143" s="2730"/>
      <c r="R143" s="2730"/>
      <c r="S143" s="2730"/>
      <c r="T143" s="2730"/>
      <c r="U143" s="2730"/>
      <c r="V143" s="2730"/>
      <c r="W143" s="2730"/>
      <c r="X143" s="2730"/>
      <c r="Y143" s="2730"/>
      <c r="Z143" s="2730"/>
      <c r="AA143" s="2730"/>
      <c r="AB143" s="2730"/>
      <c r="AC143" s="2720">
        <f t="shared" si="67"/>
        <v>0</v>
      </c>
      <c r="AD143" s="2740"/>
      <c r="AE143" s="2740"/>
      <c r="AF143" s="2740"/>
      <c r="AG143" s="2740"/>
      <c r="AH143" s="2740"/>
      <c r="AI143" s="2740"/>
      <c r="AJ143" s="2740"/>
      <c r="AK143" s="2740"/>
      <c r="AL143" s="2740"/>
      <c r="AM143" s="2740"/>
      <c r="AN143" s="2740"/>
      <c r="AO143" s="2740"/>
      <c r="AP143" s="2740"/>
      <c r="AQ143" s="2740"/>
      <c r="AR143" s="2740"/>
      <c r="AS143" s="2740"/>
      <c r="AT143" s="2750"/>
      <c r="AU143" s="2751"/>
      <c r="AV143" s="1092">
        <f t="shared" si="62"/>
        <v>0</v>
      </c>
      <c r="AW143" s="1092">
        <f t="shared" si="63"/>
        <v>0</v>
      </c>
      <c r="AX143" s="1092">
        <f t="shared" si="64"/>
        <v>0</v>
      </c>
      <c r="AY143" s="2765">
        <f t="shared" si="68"/>
        <v>0</v>
      </c>
      <c r="AZ143" s="2720">
        <f t="shared" si="69"/>
        <v>0</v>
      </c>
      <c r="BA143" s="2720">
        <f t="shared" si="70"/>
        <v>0</v>
      </c>
      <c r="BB143" s="2720">
        <f t="shared" si="71"/>
        <v>0</v>
      </c>
      <c r="BC143" s="2720">
        <f t="shared" si="72"/>
        <v>0</v>
      </c>
      <c r="BD143" s="2720">
        <f t="shared" si="73"/>
        <v>0</v>
      </c>
      <c r="BE143" s="2720">
        <f t="shared" si="74"/>
        <v>0</v>
      </c>
      <c r="BF143" s="2720">
        <f t="shared" si="75"/>
        <v>0</v>
      </c>
      <c r="BG143" s="2720">
        <f t="shared" si="76"/>
        <v>0</v>
      </c>
      <c r="BH143" s="2720">
        <f t="shared" si="77"/>
        <v>0</v>
      </c>
      <c r="BI143" s="2720">
        <f t="shared" si="78"/>
        <v>0</v>
      </c>
      <c r="BJ143" s="2720">
        <f t="shared" si="79"/>
        <v>0</v>
      </c>
      <c r="BK143" s="2720">
        <f t="shared" si="80"/>
        <v>0</v>
      </c>
      <c r="BL143" s="2720">
        <f t="shared" si="81"/>
        <v>0</v>
      </c>
      <c r="BM143" s="2720">
        <f t="shared" si="82"/>
        <v>0</v>
      </c>
      <c r="BN143" s="2720">
        <f t="shared" si="83"/>
        <v>0</v>
      </c>
      <c r="BO143" s="2720">
        <f t="shared" si="84"/>
        <v>0</v>
      </c>
      <c r="BP143" s="2720">
        <f t="shared" si="85"/>
        <v>0</v>
      </c>
      <c r="BQ143" s="2720">
        <f t="shared" si="86"/>
        <v>0</v>
      </c>
      <c r="BR143" s="2720">
        <f t="shared" si="87"/>
        <v>0</v>
      </c>
      <c r="BS143" s="2720">
        <f t="shared" si="88"/>
        <v>0</v>
      </c>
      <c r="BT143" s="2772">
        <f t="shared" si="89"/>
        <v>0</v>
      </c>
    </row>
    <row r="144" spans="1:72">
      <c r="A144" s="2717"/>
      <c r="B144" s="2718"/>
      <c r="C144" s="2718"/>
      <c r="D144" s="2719"/>
      <c r="E144" s="2720">
        <f t="shared" si="61"/>
        <v>0</v>
      </c>
      <c r="F144" s="2721"/>
      <c r="G144" s="2722">
        <f t="shared" si="65"/>
        <v>0</v>
      </c>
      <c r="H144" s="2723">
        <f t="shared" si="66"/>
        <v>0</v>
      </c>
      <c r="I144" s="2730"/>
      <c r="J144" s="2730"/>
      <c r="K144" s="2730"/>
      <c r="L144" s="2730"/>
      <c r="M144" s="2730"/>
      <c r="N144" s="2730"/>
      <c r="O144" s="2730"/>
      <c r="P144" s="2730"/>
      <c r="Q144" s="2730"/>
      <c r="R144" s="2730"/>
      <c r="S144" s="2730"/>
      <c r="T144" s="2730"/>
      <c r="U144" s="2730"/>
      <c r="V144" s="2730"/>
      <c r="W144" s="2730"/>
      <c r="X144" s="2730"/>
      <c r="Y144" s="2730"/>
      <c r="Z144" s="2730"/>
      <c r="AA144" s="2730"/>
      <c r="AB144" s="2730"/>
      <c r="AC144" s="2720">
        <f t="shared" si="67"/>
        <v>0</v>
      </c>
      <c r="AD144" s="2740"/>
      <c r="AE144" s="2740"/>
      <c r="AF144" s="2740"/>
      <c r="AG144" s="2740"/>
      <c r="AH144" s="2740"/>
      <c r="AI144" s="2740"/>
      <c r="AJ144" s="2740"/>
      <c r="AK144" s="2740"/>
      <c r="AL144" s="2740"/>
      <c r="AM144" s="2740"/>
      <c r="AN144" s="2740"/>
      <c r="AO144" s="2740"/>
      <c r="AP144" s="2740"/>
      <c r="AQ144" s="2740"/>
      <c r="AR144" s="2740"/>
      <c r="AS144" s="2740"/>
      <c r="AT144" s="2750"/>
      <c r="AU144" s="2751"/>
      <c r="AV144" s="1092">
        <f t="shared" si="62"/>
        <v>0</v>
      </c>
      <c r="AW144" s="1092">
        <f t="shared" si="63"/>
        <v>0</v>
      </c>
      <c r="AX144" s="1092">
        <f t="shared" si="64"/>
        <v>0</v>
      </c>
      <c r="AY144" s="2765">
        <f t="shared" si="68"/>
        <v>0</v>
      </c>
      <c r="AZ144" s="2720">
        <f t="shared" si="69"/>
        <v>0</v>
      </c>
      <c r="BA144" s="2720">
        <f t="shared" si="70"/>
        <v>0</v>
      </c>
      <c r="BB144" s="2720">
        <f t="shared" si="71"/>
        <v>0</v>
      </c>
      <c r="BC144" s="2720">
        <f t="shared" si="72"/>
        <v>0</v>
      </c>
      <c r="BD144" s="2720">
        <f t="shared" si="73"/>
        <v>0</v>
      </c>
      <c r="BE144" s="2720">
        <f t="shared" si="74"/>
        <v>0</v>
      </c>
      <c r="BF144" s="2720">
        <f t="shared" si="75"/>
        <v>0</v>
      </c>
      <c r="BG144" s="2720">
        <f t="shared" si="76"/>
        <v>0</v>
      </c>
      <c r="BH144" s="2720">
        <f t="shared" si="77"/>
        <v>0</v>
      </c>
      <c r="BI144" s="2720">
        <f t="shared" si="78"/>
        <v>0</v>
      </c>
      <c r="BJ144" s="2720">
        <f t="shared" si="79"/>
        <v>0</v>
      </c>
      <c r="BK144" s="2720">
        <f t="shared" si="80"/>
        <v>0</v>
      </c>
      <c r="BL144" s="2720">
        <f t="shared" si="81"/>
        <v>0</v>
      </c>
      <c r="BM144" s="2720">
        <f t="shared" si="82"/>
        <v>0</v>
      </c>
      <c r="BN144" s="2720">
        <f t="shared" si="83"/>
        <v>0</v>
      </c>
      <c r="BO144" s="2720">
        <f t="shared" si="84"/>
        <v>0</v>
      </c>
      <c r="BP144" s="2720">
        <f t="shared" si="85"/>
        <v>0</v>
      </c>
      <c r="BQ144" s="2720">
        <f t="shared" si="86"/>
        <v>0</v>
      </c>
      <c r="BR144" s="2720">
        <f t="shared" si="87"/>
        <v>0</v>
      </c>
      <c r="BS144" s="2720">
        <f t="shared" si="88"/>
        <v>0</v>
      </c>
      <c r="BT144" s="2772">
        <f t="shared" si="89"/>
        <v>0</v>
      </c>
    </row>
    <row r="145" spans="1:72">
      <c r="A145" s="2717"/>
      <c r="B145" s="2718"/>
      <c r="C145" s="2718"/>
      <c r="D145" s="2719"/>
      <c r="E145" s="2720">
        <f t="shared" ref="E145:E176" si="90">IF($C$3="是",ROUND($A$3*G145/$B$3,2),ROUND($A$3*(G145-AT145)/$B$3,2))</f>
        <v>0</v>
      </c>
      <c r="F145" s="2721"/>
      <c r="G145" s="2722">
        <f t="shared" si="65"/>
        <v>0</v>
      </c>
      <c r="H145" s="2723">
        <f t="shared" si="66"/>
        <v>0</v>
      </c>
      <c r="I145" s="2730"/>
      <c r="J145" s="2730"/>
      <c r="K145" s="2730"/>
      <c r="L145" s="2730"/>
      <c r="M145" s="2730"/>
      <c r="N145" s="2730"/>
      <c r="O145" s="2730"/>
      <c r="P145" s="2730"/>
      <c r="Q145" s="2730"/>
      <c r="R145" s="2730"/>
      <c r="S145" s="2730"/>
      <c r="T145" s="2730"/>
      <c r="U145" s="2730"/>
      <c r="V145" s="2730"/>
      <c r="W145" s="2730"/>
      <c r="X145" s="2730"/>
      <c r="Y145" s="2730"/>
      <c r="Z145" s="2730"/>
      <c r="AA145" s="2730"/>
      <c r="AB145" s="2730"/>
      <c r="AC145" s="2720">
        <f t="shared" si="67"/>
        <v>0</v>
      </c>
      <c r="AD145" s="2740"/>
      <c r="AE145" s="2740"/>
      <c r="AF145" s="2740"/>
      <c r="AG145" s="2740"/>
      <c r="AH145" s="2740"/>
      <c r="AI145" s="2740"/>
      <c r="AJ145" s="2740"/>
      <c r="AK145" s="2740"/>
      <c r="AL145" s="2740"/>
      <c r="AM145" s="2740"/>
      <c r="AN145" s="2740"/>
      <c r="AO145" s="2740"/>
      <c r="AP145" s="2740"/>
      <c r="AQ145" s="2740"/>
      <c r="AR145" s="2740"/>
      <c r="AS145" s="2740"/>
      <c r="AT145" s="2750"/>
      <c r="AU145" s="2751"/>
      <c r="AV145" s="1092">
        <f t="shared" ref="AV145:AV176" si="91">A145</f>
        <v>0</v>
      </c>
      <c r="AW145" s="1092">
        <f t="shared" ref="AW145:AW176" si="92">B145</f>
        <v>0</v>
      </c>
      <c r="AX145" s="1092">
        <f t="shared" ref="AX145:AX176" si="93">C145</f>
        <v>0</v>
      </c>
      <c r="AY145" s="2765">
        <f t="shared" si="68"/>
        <v>0</v>
      </c>
      <c r="AZ145" s="2720">
        <f t="shared" si="69"/>
        <v>0</v>
      </c>
      <c r="BA145" s="2720">
        <f t="shared" si="70"/>
        <v>0</v>
      </c>
      <c r="BB145" s="2720">
        <f t="shared" si="71"/>
        <v>0</v>
      </c>
      <c r="BC145" s="2720">
        <f t="shared" si="72"/>
        <v>0</v>
      </c>
      <c r="BD145" s="2720">
        <f t="shared" si="73"/>
        <v>0</v>
      </c>
      <c r="BE145" s="2720">
        <f t="shared" si="74"/>
        <v>0</v>
      </c>
      <c r="BF145" s="2720">
        <f t="shared" si="75"/>
        <v>0</v>
      </c>
      <c r="BG145" s="2720">
        <f t="shared" si="76"/>
        <v>0</v>
      </c>
      <c r="BH145" s="2720">
        <f t="shared" si="77"/>
        <v>0</v>
      </c>
      <c r="BI145" s="2720">
        <f t="shared" si="78"/>
        <v>0</v>
      </c>
      <c r="BJ145" s="2720">
        <f t="shared" si="79"/>
        <v>0</v>
      </c>
      <c r="BK145" s="2720">
        <f t="shared" si="80"/>
        <v>0</v>
      </c>
      <c r="BL145" s="2720">
        <f t="shared" si="81"/>
        <v>0</v>
      </c>
      <c r="BM145" s="2720">
        <f t="shared" si="82"/>
        <v>0</v>
      </c>
      <c r="BN145" s="2720">
        <f t="shared" si="83"/>
        <v>0</v>
      </c>
      <c r="BO145" s="2720">
        <f t="shared" si="84"/>
        <v>0</v>
      </c>
      <c r="BP145" s="2720">
        <f t="shared" si="85"/>
        <v>0</v>
      </c>
      <c r="BQ145" s="2720">
        <f t="shared" si="86"/>
        <v>0</v>
      </c>
      <c r="BR145" s="2720">
        <f t="shared" si="87"/>
        <v>0</v>
      </c>
      <c r="BS145" s="2720">
        <f t="shared" si="88"/>
        <v>0</v>
      </c>
      <c r="BT145" s="2772">
        <f t="shared" si="89"/>
        <v>0</v>
      </c>
    </row>
    <row r="146" spans="1:72">
      <c r="A146" s="2717"/>
      <c r="B146" s="2718"/>
      <c r="C146" s="2718"/>
      <c r="D146" s="2719"/>
      <c r="E146" s="2720">
        <f t="shared" si="90"/>
        <v>0</v>
      </c>
      <c r="F146" s="2721"/>
      <c r="G146" s="2722">
        <f t="shared" si="65"/>
        <v>0</v>
      </c>
      <c r="H146" s="2723">
        <f t="shared" si="66"/>
        <v>0</v>
      </c>
      <c r="I146" s="2730"/>
      <c r="J146" s="2730"/>
      <c r="K146" s="2730"/>
      <c r="L146" s="2730"/>
      <c r="M146" s="2730"/>
      <c r="N146" s="2730"/>
      <c r="O146" s="2730"/>
      <c r="P146" s="2730"/>
      <c r="Q146" s="2730"/>
      <c r="R146" s="2730"/>
      <c r="S146" s="2730"/>
      <c r="T146" s="2730"/>
      <c r="U146" s="2730"/>
      <c r="V146" s="2730"/>
      <c r="W146" s="2730"/>
      <c r="X146" s="2730"/>
      <c r="Y146" s="2730"/>
      <c r="Z146" s="2730"/>
      <c r="AA146" s="2730"/>
      <c r="AB146" s="2730"/>
      <c r="AC146" s="2720">
        <f t="shared" si="67"/>
        <v>0</v>
      </c>
      <c r="AD146" s="2740"/>
      <c r="AE146" s="2740"/>
      <c r="AF146" s="2740"/>
      <c r="AG146" s="2740"/>
      <c r="AH146" s="2740"/>
      <c r="AI146" s="2740"/>
      <c r="AJ146" s="2740"/>
      <c r="AK146" s="2740"/>
      <c r="AL146" s="2740"/>
      <c r="AM146" s="2740"/>
      <c r="AN146" s="2740"/>
      <c r="AO146" s="2740"/>
      <c r="AP146" s="2740"/>
      <c r="AQ146" s="2740"/>
      <c r="AR146" s="2740"/>
      <c r="AS146" s="2740"/>
      <c r="AT146" s="2750"/>
      <c r="AU146" s="2751"/>
      <c r="AV146" s="1092">
        <f t="shared" si="91"/>
        <v>0</v>
      </c>
      <c r="AW146" s="1092">
        <f t="shared" si="92"/>
        <v>0</v>
      </c>
      <c r="AX146" s="1092">
        <f t="shared" si="93"/>
        <v>0</v>
      </c>
      <c r="AY146" s="2765">
        <f t="shared" si="68"/>
        <v>0</v>
      </c>
      <c r="AZ146" s="2720">
        <f t="shared" si="69"/>
        <v>0</v>
      </c>
      <c r="BA146" s="2720">
        <f t="shared" si="70"/>
        <v>0</v>
      </c>
      <c r="BB146" s="2720">
        <f t="shared" si="71"/>
        <v>0</v>
      </c>
      <c r="BC146" s="2720">
        <f t="shared" si="72"/>
        <v>0</v>
      </c>
      <c r="BD146" s="2720">
        <f t="shared" si="73"/>
        <v>0</v>
      </c>
      <c r="BE146" s="2720">
        <f t="shared" si="74"/>
        <v>0</v>
      </c>
      <c r="BF146" s="2720">
        <f t="shared" si="75"/>
        <v>0</v>
      </c>
      <c r="BG146" s="2720">
        <f t="shared" si="76"/>
        <v>0</v>
      </c>
      <c r="BH146" s="2720">
        <f t="shared" si="77"/>
        <v>0</v>
      </c>
      <c r="BI146" s="2720">
        <f t="shared" si="78"/>
        <v>0</v>
      </c>
      <c r="BJ146" s="2720">
        <f t="shared" si="79"/>
        <v>0</v>
      </c>
      <c r="BK146" s="2720">
        <f t="shared" si="80"/>
        <v>0</v>
      </c>
      <c r="BL146" s="2720">
        <f t="shared" si="81"/>
        <v>0</v>
      </c>
      <c r="BM146" s="2720">
        <f t="shared" si="82"/>
        <v>0</v>
      </c>
      <c r="BN146" s="2720">
        <f t="shared" si="83"/>
        <v>0</v>
      </c>
      <c r="BO146" s="2720">
        <f t="shared" si="84"/>
        <v>0</v>
      </c>
      <c r="BP146" s="2720">
        <f t="shared" si="85"/>
        <v>0</v>
      </c>
      <c r="BQ146" s="2720">
        <f t="shared" si="86"/>
        <v>0</v>
      </c>
      <c r="BR146" s="2720">
        <f t="shared" si="87"/>
        <v>0</v>
      </c>
      <c r="BS146" s="2720">
        <f t="shared" si="88"/>
        <v>0</v>
      </c>
      <c r="BT146" s="2772">
        <f t="shared" si="89"/>
        <v>0</v>
      </c>
    </row>
    <row r="147" spans="1:72">
      <c r="A147" s="2717"/>
      <c r="B147" s="2718"/>
      <c r="C147" s="2718"/>
      <c r="D147" s="2719"/>
      <c r="E147" s="2720">
        <f t="shared" si="90"/>
        <v>0</v>
      </c>
      <c r="F147" s="2721"/>
      <c r="G147" s="2722">
        <f t="shared" si="65"/>
        <v>0</v>
      </c>
      <c r="H147" s="2723">
        <f t="shared" si="66"/>
        <v>0</v>
      </c>
      <c r="I147" s="2730"/>
      <c r="J147" s="2730"/>
      <c r="K147" s="2730"/>
      <c r="L147" s="2730"/>
      <c r="M147" s="2730"/>
      <c r="N147" s="2730"/>
      <c r="O147" s="2730"/>
      <c r="P147" s="2730"/>
      <c r="Q147" s="2730"/>
      <c r="R147" s="2730"/>
      <c r="S147" s="2730"/>
      <c r="T147" s="2730"/>
      <c r="U147" s="2730"/>
      <c r="V147" s="2730"/>
      <c r="W147" s="2730"/>
      <c r="X147" s="2730"/>
      <c r="Y147" s="2730"/>
      <c r="Z147" s="2730"/>
      <c r="AA147" s="2730"/>
      <c r="AB147" s="2730"/>
      <c r="AC147" s="2720">
        <f t="shared" si="67"/>
        <v>0</v>
      </c>
      <c r="AD147" s="2740"/>
      <c r="AE147" s="2740"/>
      <c r="AF147" s="2740"/>
      <c r="AG147" s="2740"/>
      <c r="AH147" s="2740"/>
      <c r="AI147" s="2740"/>
      <c r="AJ147" s="2740"/>
      <c r="AK147" s="2740"/>
      <c r="AL147" s="2740"/>
      <c r="AM147" s="2740"/>
      <c r="AN147" s="2740"/>
      <c r="AO147" s="2740"/>
      <c r="AP147" s="2740"/>
      <c r="AQ147" s="2740"/>
      <c r="AR147" s="2740"/>
      <c r="AS147" s="2740"/>
      <c r="AT147" s="2750"/>
      <c r="AU147" s="2751"/>
      <c r="AV147" s="1092">
        <f t="shared" si="91"/>
        <v>0</v>
      </c>
      <c r="AW147" s="1092">
        <f t="shared" si="92"/>
        <v>0</v>
      </c>
      <c r="AX147" s="1092">
        <f t="shared" si="93"/>
        <v>0</v>
      </c>
      <c r="AY147" s="2765">
        <f t="shared" si="68"/>
        <v>0</v>
      </c>
      <c r="AZ147" s="2720">
        <f t="shared" si="69"/>
        <v>0</v>
      </c>
      <c r="BA147" s="2720">
        <f t="shared" si="70"/>
        <v>0</v>
      </c>
      <c r="BB147" s="2720">
        <f t="shared" si="71"/>
        <v>0</v>
      </c>
      <c r="BC147" s="2720">
        <f t="shared" si="72"/>
        <v>0</v>
      </c>
      <c r="BD147" s="2720">
        <f t="shared" si="73"/>
        <v>0</v>
      </c>
      <c r="BE147" s="2720">
        <f t="shared" si="74"/>
        <v>0</v>
      </c>
      <c r="BF147" s="2720">
        <f t="shared" si="75"/>
        <v>0</v>
      </c>
      <c r="BG147" s="2720">
        <f t="shared" si="76"/>
        <v>0</v>
      </c>
      <c r="BH147" s="2720">
        <f t="shared" si="77"/>
        <v>0</v>
      </c>
      <c r="BI147" s="2720">
        <f t="shared" si="78"/>
        <v>0</v>
      </c>
      <c r="BJ147" s="2720">
        <f t="shared" si="79"/>
        <v>0</v>
      </c>
      <c r="BK147" s="2720">
        <f t="shared" si="80"/>
        <v>0</v>
      </c>
      <c r="BL147" s="2720">
        <f t="shared" si="81"/>
        <v>0</v>
      </c>
      <c r="BM147" s="2720">
        <f t="shared" si="82"/>
        <v>0</v>
      </c>
      <c r="BN147" s="2720">
        <f t="shared" si="83"/>
        <v>0</v>
      </c>
      <c r="BO147" s="2720">
        <f t="shared" si="84"/>
        <v>0</v>
      </c>
      <c r="BP147" s="2720">
        <f t="shared" si="85"/>
        <v>0</v>
      </c>
      <c r="BQ147" s="2720">
        <f t="shared" si="86"/>
        <v>0</v>
      </c>
      <c r="BR147" s="2720">
        <f t="shared" si="87"/>
        <v>0</v>
      </c>
      <c r="BS147" s="2720">
        <f t="shared" si="88"/>
        <v>0</v>
      </c>
      <c r="BT147" s="2772">
        <f t="shared" si="89"/>
        <v>0</v>
      </c>
    </row>
    <row r="148" spans="1:72">
      <c r="A148" s="2717"/>
      <c r="B148" s="2718"/>
      <c r="C148" s="2718"/>
      <c r="D148" s="2719"/>
      <c r="E148" s="2720">
        <f t="shared" si="90"/>
        <v>0</v>
      </c>
      <c r="F148" s="2721"/>
      <c r="G148" s="2722">
        <f t="shared" si="65"/>
        <v>0</v>
      </c>
      <c r="H148" s="2723">
        <f t="shared" si="66"/>
        <v>0</v>
      </c>
      <c r="I148" s="2730"/>
      <c r="J148" s="2730"/>
      <c r="K148" s="2730"/>
      <c r="L148" s="2730"/>
      <c r="M148" s="2730"/>
      <c r="N148" s="2730"/>
      <c r="O148" s="2730"/>
      <c r="P148" s="2730"/>
      <c r="Q148" s="2730"/>
      <c r="R148" s="2730"/>
      <c r="S148" s="2730"/>
      <c r="T148" s="2730"/>
      <c r="U148" s="2730"/>
      <c r="V148" s="2730"/>
      <c r="W148" s="2730"/>
      <c r="X148" s="2730"/>
      <c r="Y148" s="2730"/>
      <c r="Z148" s="2730"/>
      <c r="AA148" s="2730"/>
      <c r="AB148" s="2730"/>
      <c r="AC148" s="2720">
        <f t="shared" si="67"/>
        <v>0</v>
      </c>
      <c r="AD148" s="2740"/>
      <c r="AE148" s="2740"/>
      <c r="AF148" s="2740"/>
      <c r="AG148" s="2740"/>
      <c r="AH148" s="2740"/>
      <c r="AI148" s="2740"/>
      <c r="AJ148" s="2740"/>
      <c r="AK148" s="2740"/>
      <c r="AL148" s="2740"/>
      <c r="AM148" s="2740"/>
      <c r="AN148" s="2740"/>
      <c r="AO148" s="2740"/>
      <c r="AP148" s="2740"/>
      <c r="AQ148" s="2740"/>
      <c r="AR148" s="2740"/>
      <c r="AS148" s="2740"/>
      <c r="AT148" s="2750"/>
      <c r="AU148" s="2751"/>
      <c r="AV148" s="1092">
        <f t="shared" si="91"/>
        <v>0</v>
      </c>
      <c r="AW148" s="1092">
        <f t="shared" si="92"/>
        <v>0</v>
      </c>
      <c r="AX148" s="1092">
        <f t="shared" si="93"/>
        <v>0</v>
      </c>
      <c r="AY148" s="2765">
        <f t="shared" si="68"/>
        <v>0</v>
      </c>
      <c r="AZ148" s="2720">
        <f t="shared" si="69"/>
        <v>0</v>
      </c>
      <c r="BA148" s="2720">
        <f t="shared" si="70"/>
        <v>0</v>
      </c>
      <c r="BB148" s="2720">
        <f t="shared" si="71"/>
        <v>0</v>
      </c>
      <c r="BC148" s="2720">
        <f t="shared" si="72"/>
        <v>0</v>
      </c>
      <c r="BD148" s="2720">
        <f t="shared" si="73"/>
        <v>0</v>
      </c>
      <c r="BE148" s="2720">
        <f t="shared" si="74"/>
        <v>0</v>
      </c>
      <c r="BF148" s="2720">
        <f t="shared" si="75"/>
        <v>0</v>
      </c>
      <c r="BG148" s="2720">
        <f t="shared" si="76"/>
        <v>0</v>
      </c>
      <c r="BH148" s="2720">
        <f t="shared" si="77"/>
        <v>0</v>
      </c>
      <c r="BI148" s="2720">
        <f t="shared" si="78"/>
        <v>0</v>
      </c>
      <c r="BJ148" s="2720">
        <f t="shared" si="79"/>
        <v>0</v>
      </c>
      <c r="BK148" s="2720">
        <f t="shared" si="80"/>
        <v>0</v>
      </c>
      <c r="BL148" s="2720">
        <f t="shared" si="81"/>
        <v>0</v>
      </c>
      <c r="BM148" s="2720">
        <f t="shared" si="82"/>
        <v>0</v>
      </c>
      <c r="BN148" s="2720">
        <f t="shared" si="83"/>
        <v>0</v>
      </c>
      <c r="BO148" s="2720">
        <f t="shared" si="84"/>
        <v>0</v>
      </c>
      <c r="BP148" s="2720">
        <f t="shared" si="85"/>
        <v>0</v>
      </c>
      <c r="BQ148" s="2720">
        <f t="shared" si="86"/>
        <v>0</v>
      </c>
      <c r="BR148" s="2720">
        <f t="shared" si="87"/>
        <v>0</v>
      </c>
      <c r="BS148" s="2720">
        <f t="shared" si="88"/>
        <v>0</v>
      </c>
      <c r="BT148" s="2772">
        <f t="shared" si="89"/>
        <v>0</v>
      </c>
    </row>
    <row r="149" spans="1:72">
      <c r="A149" s="2717"/>
      <c r="B149" s="2718"/>
      <c r="C149" s="2718"/>
      <c r="D149" s="2719"/>
      <c r="E149" s="2720">
        <f t="shared" si="90"/>
        <v>0</v>
      </c>
      <c r="F149" s="2721"/>
      <c r="G149" s="2722">
        <f t="shared" si="65"/>
        <v>0</v>
      </c>
      <c r="H149" s="2723">
        <f t="shared" si="66"/>
        <v>0</v>
      </c>
      <c r="I149" s="2730"/>
      <c r="J149" s="2730"/>
      <c r="K149" s="2730"/>
      <c r="L149" s="2730"/>
      <c r="M149" s="2730"/>
      <c r="N149" s="2730"/>
      <c r="O149" s="2730"/>
      <c r="P149" s="2730"/>
      <c r="Q149" s="2730"/>
      <c r="R149" s="2730"/>
      <c r="S149" s="2730"/>
      <c r="T149" s="2730"/>
      <c r="U149" s="2730"/>
      <c r="V149" s="2730"/>
      <c r="W149" s="2730"/>
      <c r="X149" s="2730"/>
      <c r="Y149" s="2730"/>
      <c r="Z149" s="2730"/>
      <c r="AA149" s="2730"/>
      <c r="AB149" s="2730"/>
      <c r="AC149" s="2720">
        <f t="shared" si="67"/>
        <v>0</v>
      </c>
      <c r="AD149" s="2740"/>
      <c r="AE149" s="2740"/>
      <c r="AF149" s="2740"/>
      <c r="AG149" s="2740"/>
      <c r="AH149" s="2740"/>
      <c r="AI149" s="2740"/>
      <c r="AJ149" s="2740"/>
      <c r="AK149" s="2740"/>
      <c r="AL149" s="2740"/>
      <c r="AM149" s="2740"/>
      <c r="AN149" s="2740"/>
      <c r="AO149" s="2740"/>
      <c r="AP149" s="2740"/>
      <c r="AQ149" s="2740"/>
      <c r="AR149" s="2740"/>
      <c r="AS149" s="2740"/>
      <c r="AT149" s="2750"/>
      <c r="AU149" s="2751"/>
      <c r="AV149" s="1092">
        <f t="shared" si="91"/>
        <v>0</v>
      </c>
      <c r="AW149" s="1092">
        <f t="shared" si="92"/>
        <v>0</v>
      </c>
      <c r="AX149" s="1092">
        <f t="shared" si="93"/>
        <v>0</v>
      </c>
      <c r="AY149" s="2765">
        <f t="shared" si="68"/>
        <v>0</v>
      </c>
      <c r="AZ149" s="2720">
        <f t="shared" si="69"/>
        <v>0</v>
      </c>
      <c r="BA149" s="2720">
        <f t="shared" si="70"/>
        <v>0</v>
      </c>
      <c r="BB149" s="2720">
        <f t="shared" si="71"/>
        <v>0</v>
      </c>
      <c r="BC149" s="2720">
        <f t="shared" si="72"/>
        <v>0</v>
      </c>
      <c r="BD149" s="2720">
        <f t="shared" si="73"/>
        <v>0</v>
      </c>
      <c r="BE149" s="2720">
        <f t="shared" si="74"/>
        <v>0</v>
      </c>
      <c r="BF149" s="2720">
        <f t="shared" si="75"/>
        <v>0</v>
      </c>
      <c r="BG149" s="2720">
        <f t="shared" si="76"/>
        <v>0</v>
      </c>
      <c r="BH149" s="2720">
        <f t="shared" si="77"/>
        <v>0</v>
      </c>
      <c r="BI149" s="2720">
        <f t="shared" si="78"/>
        <v>0</v>
      </c>
      <c r="BJ149" s="2720">
        <f t="shared" si="79"/>
        <v>0</v>
      </c>
      <c r="BK149" s="2720">
        <f t="shared" si="80"/>
        <v>0</v>
      </c>
      <c r="BL149" s="2720">
        <f t="shared" si="81"/>
        <v>0</v>
      </c>
      <c r="BM149" s="2720">
        <f t="shared" si="82"/>
        <v>0</v>
      </c>
      <c r="BN149" s="2720">
        <f t="shared" si="83"/>
        <v>0</v>
      </c>
      <c r="BO149" s="2720">
        <f t="shared" si="84"/>
        <v>0</v>
      </c>
      <c r="BP149" s="2720">
        <f t="shared" si="85"/>
        <v>0</v>
      </c>
      <c r="BQ149" s="2720">
        <f t="shared" si="86"/>
        <v>0</v>
      </c>
      <c r="BR149" s="2720">
        <f t="shared" si="87"/>
        <v>0</v>
      </c>
      <c r="BS149" s="2720">
        <f t="shared" si="88"/>
        <v>0</v>
      </c>
      <c r="BT149" s="2772">
        <f t="shared" si="89"/>
        <v>0</v>
      </c>
    </row>
    <row r="150" spans="1:72">
      <c r="A150" s="2717"/>
      <c r="B150" s="2718"/>
      <c r="C150" s="2718"/>
      <c r="D150" s="2719"/>
      <c r="E150" s="2720">
        <f t="shared" si="90"/>
        <v>0</v>
      </c>
      <c r="F150" s="2721"/>
      <c r="G150" s="2722">
        <f t="shared" si="65"/>
        <v>0</v>
      </c>
      <c r="H150" s="2723">
        <f t="shared" si="66"/>
        <v>0</v>
      </c>
      <c r="I150" s="2730"/>
      <c r="J150" s="2730"/>
      <c r="K150" s="2730"/>
      <c r="L150" s="2730"/>
      <c r="M150" s="2730"/>
      <c r="N150" s="2730"/>
      <c r="O150" s="2730"/>
      <c r="P150" s="2730"/>
      <c r="Q150" s="2730"/>
      <c r="R150" s="2730"/>
      <c r="S150" s="2730"/>
      <c r="T150" s="2730"/>
      <c r="U150" s="2730"/>
      <c r="V150" s="2730"/>
      <c r="W150" s="2730"/>
      <c r="X150" s="2730"/>
      <c r="Y150" s="2730"/>
      <c r="Z150" s="2730"/>
      <c r="AA150" s="2730"/>
      <c r="AB150" s="2730"/>
      <c r="AC150" s="2720">
        <f t="shared" si="67"/>
        <v>0</v>
      </c>
      <c r="AD150" s="2740"/>
      <c r="AE150" s="2740"/>
      <c r="AF150" s="2740"/>
      <c r="AG150" s="2740"/>
      <c r="AH150" s="2740"/>
      <c r="AI150" s="2740"/>
      <c r="AJ150" s="2740"/>
      <c r="AK150" s="2740"/>
      <c r="AL150" s="2740"/>
      <c r="AM150" s="2740"/>
      <c r="AN150" s="2740"/>
      <c r="AO150" s="2740"/>
      <c r="AP150" s="2740"/>
      <c r="AQ150" s="2740"/>
      <c r="AR150" s="2740"/>
      <c r="AS150" s="2740"/>
      <c r="AT150" s="2750"/>
      <c r="AU150" s="2751"/>
      <c r="AV150" s="1092">
        <f t="shared" si="91"/>
        <v>0</v>
      </c>
      <c r="AW150" s="1092">
        <f t="shared" si="92"/>
        <v>0</v>
      </c>
      <c r="AX150" s="1092">
        <f t="shared" si="93"/>
        <v>0</v>
      </c>
      <c r="AY150" s="2765">
        <f t="shared" si="68"/>
        <v>0</v>
      </c>
      <c r="AZ150" s="2720">
        <f t="shared" si="69"/>
        <v>0</v>
      </c>
      <c r="BA150" s="2720">
        <f t="shared" si="70"/>
        <v>0</v>
      </c>
      <c r="BB150" s="2720">
        <f t="shared" si="71"/>
        <v>0</v>
      </c>
      <c r="BC150" s="2720">
        <f t="shared" si="72"/>
        <v>0</v>
      </c>
      <c r="BD150" s="2720">
        <f t="shared" si="73"/>
        <v>0</v>
      </c>
      <c r="BE150" s="2720">
        <f t="shared" si="74"/>
        <v>0</v>
      </c>
      <c r="BF150" s="2720">
        <f t="shared" si="75"/>
        <v>0</v>
      </c>
      <c r="BG150" s="2720">
        <f t="shared" si="76"/>
        <v>0</v>
      </c>
      <c r="BH150" s="2720">
        <f t="shared" si="77"/>
        <v>0</v>
      </c>
      <c r="BI150" s="2720">
        <f t="shared" si="78"/>
        <v>0</v>
      </c>
      <c r="BJ150" s="2720">
        <f t="shared" si="79"/>
        <v>0</v>
      </c>
      <c r="BK150" s="2720">
        <f t="shared" si="80"/>
        <v>0</v>
      </c>
      <c r="BL150" s="2720">
        <f t="shared" si="81"/>
        <v>0</v>
      </c>
      <c r="BM150" s="2720">
        <f t="shared" si="82"/>
        <v>0</v>
      </c>
      <c r="BN150" s="2720">
        <f t="shared" si="83"/>
        <v>0</v>
      </c>
      <c r="BO150" s="2720">
        <f t="shared" si="84"/>
        <v>0</v>
      </c>
      <c r="BP150" s="2720">
        <f t="shared" si="85"/>
        <v>0</v>
      </c>
      <c r="BQ150" s="2720">
        <f t="shared" si="86"/>
        <v>0</v>
      </c>
      <c r="BR150" s="2720">
        <f t="shared" si="87"/>
        <v>0</v>
      </c>
      <c r="BS150" s="2720">
        <f t="shared" si="88"/>
        <v>0</v>
      </c>
      <c r="BT150" s="2772">
        <f t="shared" si="89"/>
        <v>0</v>
      </c>
    </row>
    <row r="151" spans="1:72">
      <c r="A151" s="2717"/>
      <c r="B151" s="2718"/>
      <c r="C151" s="2718"/>
      <c r="D151" s="2719"/>
      <c r="E151" s="2720">
        <f t="shared" si="90"/>
        <v>0</v>
      </c>
      <c r="F151" s="2721"/>
      <c r="G151" s="2722">
        <f t="shared" si="65"/>
        <v>0</v>
      </c>
      <c r="H151" s="2723">
        <f t="shared" si="66"/>
        <v>0</v>
      </c>
      <c r="I151" s="2730"/>
      <c r="J151" s="2730"/>
      <c r="K151" s="2730"/>
      <c r="L151" s="2730"/>
      <c r="M151" s="2730"/>
      <c r="N151" s="2730"/>
      <c r="O151" s="2730"/>
      <c r="P151" s="2730"/>
      <c r="Q151" s="2730"/>
      <c r="R151" s="2730"/>
      <c r="S151" s="2730"/>
      <c r="T151" s="2730"/>
      <c r="U151" s="2730"/>
      <c r="V151" s="2730"/>
      <c r="W151" s="2730"/>
      <c r="X151" s="2730"/>
      <c r="Y151" s="2730"/>
      <c r="Z151" s="2730"/>
      <c r="AA151" s="2730"/>
      <c r="AB151" s="2730"/>
      <c r="AC151" s="2720">
        <f t="shared" si="67"/>
        <v>0</v>
      </c>
      <c r="AD151" s="2740"/>
      <c r="AE151" s="2740"/>
      <c r="AF151" s="2740"/>
      <c r="AG151" s="2740"/>
      <c r="AH151" s="2740"/>
      <c r="AI151" s="2740"/>
      <c r="AJ151" s="2740"/>
      <c r="AK151" s="2740"/>
      <c r="AL151" s="2740"/>
      <c r="AM151" s="2740"/>
      <c r="AN151" s="2740"/>
      <c r="AO151" s="2740"/>
      <c r="AP151" s="2740"/>
      <c r="AQ151" s="2740"/>
      <c r="AR151" s="2740"/>
      <c r="AS151" s="2740"/>
      <c r="AT151" s="2750"/>
      <c r="AU151" s="2751"/>
      <c r="AV151" s="1092">
        <f t="shared" si="91"/>
        <v>0</v>
      </c>
      <c r="AW151" s="1092">
        <f t="shared" si="92"/>
        <v>0</v>
      </c>
      <c r="AX151" s="1092">
        <f t="shared" si="93"/>
        <v>0</v>
      </c>
      <c r="AY151" s="2765">
        <f t="shared" si="68"/>
        <v>0</v>
      </c>
      <c r="AZ151" s="2720">
        <f t="shared" si="69"/>
        <v>0</v>
      </c>
      <c r="BA151" s="2720">
        <f t="shared" si="70"/>
        <v>0</v>
      </c>
      <c r="BB151" s="2720">
        <f t="shared" si="71"/>
        <v>0</v>
      </c>
      <c r="BC151" s="2720">
        <f t="shared" si="72"/>
        <v>0</v>
      </c>
      <c r="BD151" s="2720">
        <f t="shared" si="73"/>
        <v>0</v>
      </c>
      <c r="BE151" s="2720">
        <f t="shared" si="74"/>
        <v>0</v>
      </c>
      <c r="BF151" s="2720">
        <f t="shared" si="75"/>
        <v>0</v>
      </c>
      <c r="BG151" s="2720">
        <f t="shared" si="76"/>
        <v>0</v>
      </c>
      <c r="BH151" s="2720">
        <f t="shared" si="77"/>
        <v>0</v>
      </c>
      <c r="BI151" s="2720">
        <f t="shared" si="78"/>
        <v>0</v>
      </c>
      <c r="BJ151" s="2720">
        <f t="shared" si="79"/>
        <v>0</v>
      </c>
      <c r="BK151" s="2720">
        <f t="shared" si="80"/>
        <v>0</v>
      </c>
      <c r="BL151" s="2720">
        <f t="shared" si="81"/>
        <v>0</v>
      </c>
      <c r="BM151" s="2720">
        <f t="shared" si="82"/>
        <v>0</v>
      </c>
      <c r="BN151" s="2720">
        <f t="shared" si="83"/>
        <v>0</v>
      </c>
      <c r="BO151" s="2720">
        <f t="shared" si="84"/>
        <v>0</v>
      </c>
      <c r="BP151" s="2720">
        <f t="shared" si="85"/>
        <v>0</v>
      </c>
      <c r="BQ151" s="2720">
        <f t="shared" si="86"/>
        <v>0</v>
      </c>
      <c r="BR151" s="2720">
        <f t="shared" si="87"/>
        <v>0</v>
      </c>
      <c r="BS151" s="2720">
        <f t="shared" si="88"/>
        <v>0</v>
      </c>
      <c r="BT151" s="2772">
        <f t="shared" si="89"/>
        <v>0</v>
      </c>
    </row>
    <row r="152" spans="1:72">
      <c r="A152" s="2717"/>
      <c r="B152" s="2718"/>
      <c r="C152" s="2718"/>
      <c r="D152" s="2719"/>
      <c r="E152" s="2720">
        <f t="shared" si="90"/>
        <v>0</v>
      </c>
      <c r="F152" s="2721"/>
      <c r="G152" s="2722">
        <f t="shared" si="65"/>
        <v>0</v>
      </c>
      <c r="H152" s="2723">
        <f t="shared" si="66"/>
        <v>0</v>
      </c>
      <c r="I152" s="2730"/>
      <c r="J152" s="2730"/>
      <c r="K152" s="2730"/>
      <c r="L152" s="2730"/>
      <c r="M152" s="2730"/>
      <c r="N152" s="2730"/>
      <c r="O152" s="2730"/>
      <c r="P152" s="2730"/>
      <c r="Q152" s="2730"/>
      <c r="R152" s="2730"/>
      <c r="S152" s="2730"/>
      <c r="T152" s="2730"/>
      <c r="U152" s="2730"/>
      <c r="V152" s="2730"/>
      <c r="W152" s="2730"/>
      <c r="X152" s="2730"/>
      <c r="Y152" s="2730"/>
      <c r="Z152" s="2730"/>
      <c r="AA152" s="2730"/>
      <c r="AB152" s="2730"/>
      <c r="AC152" s="2720">
        <f t="shared" si="67"/>
        <v>0</v>
      </c>
      <c r="AD152" s="2740"/>
      <c r="AE152" s="2740"/>
      <c r="AF152" s="2740"/>
      <c r="AG152" s="2740"/>
      <c r="AH152" s="2740"/>
      <c r="AI152" s="2740"/>
      <c r="AJ152" s="2740"/>
      <c r="AK152" s="2740"/>
      <c r="AL152" s="2740"/>
      <c r="AM152" s="2740"/>
      <c r="AN152" s="2740"/>
      <c r="AO152" s="2740"/>
      <c r="AP152" s="2740"/>
      <c r="AQ152" s="2740"/>
      <c r="AR152" s="2740"/>
      <c r="AS152" s="2740"/>
      <c r="AT152" s="2750"/>
      <c r="AU152" s="2751"/>
      <c r="AV152" s="1092">
        <f t="shared" si="91"/>
        <v>0</v>
      </c>
      <c r="AW152" s="1092">
        <f t="shared" si="92"/>
        <v>0</v>
      </c>
      <c r="AX152" s="1092">
        <f t="shared" si="93"/>
        <v>0</v>
      </c>
      <c r="AY152" s="2765">
        <f t="shared" si="68"/>
        <v>0</v>
      </c>
      <c r="AZ152" s="2720">
        <f t="shared" si="69"/>
        <v>0</v>
      </c>
      <c r="BA152" s="2720">
        <f t="shared" si="70"/>
        <v>0</v>
      </c>
      <c r="BB152" s="2720">
        <f t="shared" si="71"/>
        <v>0</v>
      </c>
      <c r="BC152" s="2720">
        <f t="shared" si="72"/>
        <v>0</v>
      </c>
      <c r="BD152" s="2720">
        <f t="shared" si="73"/>
        <v>0</v>
      </c>
      <c r="BE152" s="2720">
        <f t="shared" si="74"/>
        <v>0</v>
      </c>
      <c r="BF152" s="2720">
        <f t="shared" si="75"/>
        <v>0</v>
      </c>
      <c r="BG152" s="2720">
        <f t="shared" si="76"/>
        <v>0</v>
      </c>
      <c r="BH152" s="2720">
        <f t="shared" si="77"/>
        <v>0</v>
      </c>
      <c r="BI152" s="2720">
        <f t="shared" si="78"/>
        <v>0</v>
      </c>
      <c r="BJ152" s="2720">
        <f t="shared" si="79"/>
        <v>0</v>
      </c>
      <c r="BK152" s="2720">
        <f t="shared" si="80"/>
        <v>0</v>
      </c>
      <c r="BL152" s="2720">
        <f t="shared" si="81"/>
        <v>0</v>
      </c>
      <c r="BM152" s="2720">
        <f t="shared" si="82"/>
        <v>0</v>
      </c>
      <c r="BN152" s="2720">
        <f t="shared" si="83"/>
        <v>0</v>
      </c>
      <c r="BO152" s="2720">
        <f t="shared" si="84"/>
        <v>0</v>
      </c>
      <c r="BP152" s="2720">
        <f t="shared" si="85"/>
        <v>0</v>
      </c>
      <c r="BQ152" s="2720">
        <f t="shared" si="86"/>
        <v>0</v>
      </c>
      <c r="BR152" s="2720">
        <f t="shared" si="87"/>
        <v>0</v>
      </c>
      <c r="BS152" s="2720">
        <f t="shared" si="88"/>
        <v>0</v>
      </c>
      <c r="BT152" s="2772">
        <f t="shared" si="89"/>
        <v>0</v>
      </c>
    </row>
    <row r="153" spans="1:72">
      <c r="A153" s="2717"/>
      <c r="B153" s="2718"/>
      <c r="C153" s="2718"/>
      <c r="D153" s="2719"/>
      <c r="E153" s="2720">
        <f t="shared" si="90"/>
        <v>0</v>
      </c>
      <c r="F153" s="2721"/>
      <c r="G153" s="2722">
        <f t="shared" si="65"/>
        <v>0</v>
      </c>
      <c r="H153" s="2723">
        <f t="shared" si="66"/>
        <v>0</v>
      </c>
      <c r="I153" s="2730"/>
      <c r="J153" s="2730"/>
      <c r="K153" s="2730"/>
      <c r="L153" s="2730"/>
      <c r="M153" s="2730"/>
      <c r="N153" s="2730"/>
      <c r="O153" s="2730"/>
      <c r="P153" s="2730"/>
      <c r="Q153" s="2730"/>
      <c r="R153" s="2730"/>
      <c r="S153" s="2730"/>
      <c r="T153" s="2730"/>
      <c r="U153" s="2730"/>
      <c r="V153" s="2730"/>
      <c r="W153" s="2730"/>
      <c r="X153" s="2730"/>
      <c r="Y153" s="2730"/>
      <c r="Z153" s="2730"/>
      <c r="AA153" s="2730"/>
      <c r="AB153" s="2730"/>
      <c r="AC153" s="2720">
        <f t="shared" si="67"/>
        <v>0</v>
      </c>
      <c r="AD153" s="2740"/>
      <c r="AE153" s="2740"/>
      <c r="AF153" s="2740"/>
      <c r="AG153" s="2740"/>
      <c r="AH153" s="2740"/>
      <c r="AI153" s="2740"/>
      <c r="AJ153" s="2740"/>
      <c r="AK153" s="2740"/>
      <c r="AL153" s="2740"/>
      <c r="AM153" s="2740"/>
      <c r="AN153" s="2740"/>
      <c r="AO153" s="2740"/>
      <c r="AP153" s="2740"/>
      <c r="AQ153" s="2740"/>
      <c r="AR153" s="2740"/>
      <c r="AS153" s="2740"/>
      <c r="AT153" s="2750"/>
      <c r="AU153" s="2751"/>
      <c r="AV153" s="1092">
        <f t="shared" si="91"/>
        <v>0</v>
      </c>
      <c r="AW153" s="1092">
        <f t="shared" si="92"/>
        <v>0</v>
      </c>
      <c r="AX153" s="1092">
        <f t="shared" si="93"/>
        <v>0</v>
      </c>
      <c r="AY153" s="2765">
        <f t="shared" si="68"/>
        <v>0</v>
      </c>
      <c r="AZ153" s="2720">
        <f t="shared" si="69"/>
        <v>0</v>
      </c>
      <c r="BA153" s="2720">
        <f t="shared" si="70"/>
        <v>0</v>
      </c>
      <c r="BB153" s="2720">
        <f t="shared" si="71"/>
        <v>0</v>
      </c>
      <c r="BC153" s="2720">
        <f t="shared" si="72"/>
        <v>0</v>
      </c>
      <c r="BD153" s="2720">
        <f t="shared" si="73"/>
        <v>0</v>
      </c>
      <c r="BE153" s="2720">
        <f t="shared" si="74"/>
        <v>0</v>
      </c>
      <c r="BF153" s="2720">
        <f t="shared" si="75"/>
        <v>0</v>
      </c>
      <c r="BG153" s="2720">
        <f t="shared" si="76"/>
        <v>0</v>
      </c>
      <c r="BH153" s="2720">
        <f t="shared" si="77"/>
        <v>0</v>
      </c>
      <c r="BI153" s="2720">
        <f t="shared" si="78"/>
        <v>0</v>
      </c>
      <c r="BJ153" s="2720">
        <f t="shared" si="79"/>
        <v>0</v>
      </c>
      <c r="BK153" s="2720">
        <f t="shared" si="80"/>
        <v>0</v>
      </c>
      <c r="BL153" s="2720">
        <f t="shared" si="81"/>
        <v>0</v>
      </c>
      <c r="BM153" s="2720">
        <f t="shared" si="82"/>
        <v>0</v>
      </c>
      <c r="BN153" s="2720">
        <f t="shared" si="83"/>
        <v>0</v>
      </c>
      <c r="BO153" s="2720">
        <f t="shared" si="84"/>
        <v>0</v>
      </c>
      <c r="BP153" s="2720">
        <f t="shared" si="85"/>
        <v>0</v>
      </c>
      <c r="BQ153" s="2720">
        <f t="shared" si="86"/>
        <v>0</v>
      </c>
      <c r="BR153" s="2720">
        <f t="shared" si="87"/>
        <v>0</v>
      </c>
      <c r="BS153" s="2720">
        <f t="shared" si="88"/>
        <v>0</v>
      </c>
      <c r="BT153" s="2772">
        <f t="shared" si="89"/>
        <v>0</v>
      </c>
    </row>
    <row r="154" spans="1:72">
      <c r="A154" s="2717"/>
      <c r="B154" s="2718"/>
      <c r="C154" s="2718"/>
      <c r="D154" s="2719"/>
      <c r="E154" s="2720">
        <f t="shared" si="90"/>
        <v>0</v>
      </c>
      <c r="F154" s="2721"/>
      <c r="G154" s="2722">
        <f t="shared" si="65"/>
        <v>0</v>
      </c>
      <c r="H154" s="2723">
        <f t="shared" si="66"/>
        <v>0</v>
      </c>
      <c r="I154" s="2730"/>
      <c r="J154" s="2730"/>
      <c r="K154" s="2730"/>
      <c r="L154" s="2730"/>
      <c r="M154" s="2730"/>
      <c r="N154" s="2730"/>
      <c r="O154" s="2730"/>
      <c r="P154" s="2730"/>
      <c r="Q154" s="2730"/>
      <c r="R154" s="2730"/>
      <c r="S154" s="2730"/>
      <c r="T154" s="2730"/>
      <c r="U154" s="2730"/>
      <c r="V154" s="2730"/>
      <c r="W154" s="2730"/>
      <c r="X154" s="2730"/>
      <c r="Y154" s="2730"/>
      <c r="Z154" s="2730"/>
      <c r="AA154" s="2730"/>
      <c r="AB154" s="2730"/>
      <c r="AC154" s="2720">
        <f t="shared" si="67"/>
        <v>0</v>
      </c>
      <c r="AD154" s="2740"/>
      <c r="AE154" s="2740"/>
      <c r="AF154" s="2740"/>
      <c r="AG154" s="2740"/>
      <c r="AH154" s="2740"/>
      <c r="AI154" s="2740"/>
      <c r="AJ154" s="2740"/>
      <c r="AK154" s="2740"/>
      <c r="AL154" s="2740"/>
      <c r="AM154" s="2740"/>
      <c r="AN154" s="2740"/>
      <c r="AO154" s="2740"/>
      <c r="AP154" s="2740"/>
      <c r="AQ154" s="2740"/>
      <c r="AR154" s="2740"/>
      <c r="AS154" s="2740"/>
      <c r="AT154" s="2750"/>
      <c r="AU154" s="2751"/>
      <c r="AV154" s="1092">
        <f t="shared" si="91"/>
        <v>0</v>
      </c>
      <c r="AW154" s="1092">
        <f t="shared" si="92"/>
        <v>0</v>
      </c>
      <c r="AX154" s="1092">
        <f t="shared" si="93"/>
        <v>0</v>
      </c>
      <c r="AY154" s="2765">
        <f t="shared" si="68"/>
        <v>0</v>
      </c>
      <c r="AZ154" s="2720">
        <f t="shared" si="69"/>
        <v>0</v>
      </c>
      <c r="BA154" s="2720">
        <f t="shared" si="70"/>
        <v>0</v>
      </c>
      <c r="BB154" s="2720">
        <f t="shared" si="71"/>
        <v>0</v>
      </c>
      <c r="BC154" s="2720">
        <f t="shared" si="72"/>
        <v>0</v>
      </c>
      <c r="BD154" s="2720">
        <f t="shared" si="73"/>
        <v>0</v>
      </c>
      <c r="BE154" s="2720">
        <f t="shared" si="74"/>
        <v>0</v>
      </c>
      <c r="BF154" s="2720">
        <f t="shared" si="75"/>
        <v>0</v>
      </c>
      <c r="BG154" s="2720">
        <f t="shared" si="76"/>
        <v>0</v>
      </c>
      <c r="BH154" s="2720">
        <f t="shared" si="77"/>
        <v>0</v>
      </c>
      <c r="BI154" s="2720">
        <f t="shared" si="78"/>
        <v>0</v>
      </c>
      <c r="BJ154" s="2720">
        <f t="shared" si="79"/>
        <v>0</v>
      </c>
      <c r="BK154" s="2720">
        <f t="shared" si="80"/>
        <v>0</v>
      </c>
      <c r="BL154" s="2720">
        <f t="shared" si="81"/>
        <v>0</v>
      </c>
      <c r="BM154" s="2720">
        <f t="shared" si="82"/>
        <v>0</v>
      </c>
      <c r="BN154" s="2720">
        <f t="shared" si="83"/>
        <v>0</v>
      </c>
      <c r="BO154" s="2720">
        <f t="shared" si="84"/>
        <v>0</v>
      </c>
      <c r="BP154" s="2720">
        <f t="shared" si="85"/>
        <v>0</v>
      </c>
      <c r="BQ154" s="2720">
        <f t="shared" si="86"/>
        <v>0</v>
      </c>
      <c r="BR154" s="2720">
        <f t="shared" si="87"/>
        <v>0</v>
      </c>
      <c r="BS154" s="2720">
        <f t="shared" si="88"/>
        <v>0</v>
      </c>
      <c r="BT154" s="2772">
        <f t="shared" si="89"/>
        <v>0</v>
      </c>
    </row>
    <row r="155" spans="1:72">
      <c r="A155" s="2717"/>
      <c r="B155" s="2718"/>
      <c r="C155" s="2718"/>
      <c r="D155" s="2719"/>
      <c r="E155" s="2720">
        <f t="shared" si="90"/>
        <v>0</v>
      </c>
      <c r="F155" s="2721"/>
      <c r="G155" s="2722">
        <f t="shared" si="65"/>
        <v>0</v>
      </c>
      <c r="H155" s="2723">
        <f t="shared" si="66"/>
        <v>0</v>
      </c>
      <c r="I155" s="2730"/>
      <c r="J155" s="2730"/>
      <c r="K155" s="2730"/>
      <c r="L155" s="2730"/>
      <c r="M155" s="2730"/>
      <c r="N155" s="2730"/>
      <c r="O155" s="2730"/>
      <c r="P155" s="2730"/>
      <c r="Q155" s="2730"/>
      <c r="R155" s="2730"/>
      <c r="S155" s="2730"/>
      <c r="T155" s="2730"/>
      <c r="U155" s="2730"/>
      <c r="V155" s="2730"/>
      <c r="W155" s="2730"/>
      <c r="X155" s="2730"/>
      <c r="Y155" s="2730"/>
      <c r="Z155" s="2730"/>
      <c r="AA155" s="2730"/>
      <c r="AB155" s="2730"/>
      <c r="AC155" s="2720">
        <f t="shared" si="67"/>
        <v>0</v>
      </c>
      <c r="AD155" s="2740"/>
      <c r="AE155" s="2740"/>
      <c r="AF155" s="2740"/>
      <c r="AG155" s="2740"/>
      <c r="AH155" s="2740"/>
      <c r="AI155" s="2740"/>
      <c r="AJ155" s="2740"/>
      <c r="AK155" s="2740"/>
      <c r="AL155" s="2740"/>
      <c r="AM155" s="2740"/>
      <c r="AN155" s="2740"/>
      <c r="AO155" s="2740"/>
      <c r="AP155" s="2740"/>
      <c r="AQ155" s="2740"/>
      <c r="AR155" s="2740"/>
      <c r="AS155" s="2740"/>
      <c r="AT155" s="2750"/>
      <c r="AU155" s="2751"/>
      <c r="AV155" s="1092">
        <f t="shared" si="91"/>
        <v>0</v>
      </c>
      <c r="AW155" s="1092">
        <f t="shared" si="92"/>
        <v>0</v>
      </c>
      <c r="AX155" s="1092">
        <f t="shared" si="93"/>
        <v>0</v>
      </c>
      <c r="AY155" s="2765">
        <f t="shared" si="68"/>
        <v>0</v>
      </c>
      <c r="AZ155" s="2720">
        <f t="shared" si="69"/>
        <v>0</v>
      </c>
      <c r="BA155" s="2720">
        <f t="shared" si="70"/>
        <v>0</v>
      </c>
      <c r="BB155" s="2720">
        <f t="shared" si="71"/>
        <v>0</v>
      </c>
      <c r="BC155" s="2720">
        <f t="shared" si="72"/>
        <v>0</v>
      </c>
      <c r="BD155" s="2720">
        <f t="shared" si="73"/>
        <v>0</v>
      </c>
      <c r="BE155" s="2720">
        <f t="shared" si="74"/>
        <v>0</v>
      </c>
      <c r="BF155" s="2720">
        <f t="shared" si="75"/>
        <v>0</v>
      </c>
      <c r="BG155" s="2720">
        <f t="shared" si="76"/>
        <v>0</v>
      </c>
      <c r="BH155" s="2720">
        <f t="shared" si="77"/>
        <v>0</v>
      </c>
      <c r="BI155" s="2720">
        <f t="shared" si="78"/>
        <v>0</v>
      </c>
      <c r="BJ155" s="2720">
        <f t="shared" si="79"/>
        <v>0</v>
      </c>
      <c r="BK155" s="2720">
        <f t="shared" si="80"/>
        <v>0</v>
      </c>
      <c r="BL155" s="2720">
        <f t="shared" si="81"/>
        <v>0</v>
      </c>
      <c r="BM155" s="2720">
        <f t="shared" si="82"/>
        <v>0</v>
      </c>
      <c r="BN155" s="2720">
        <f t="shared" si="83"/>
        <v>0</v>
      </c>
      <c r="BO155" s="2720">
        <f t="shared" si="84"/>
        <v>0</v>
      </c>
      <c r="BP155" s="2720">
        <f t="shared" si="85"/>
        <v>0</v>
      </c>
      <c r="BQ155" s="2720">
        <f t="shared" si="86"/>
        <v>0</v>
      </c>
      <c r="BR155" s="2720">
        <f t="shared" si="87"/>
        <v>0</v>
      </c>
      <c r="BS155" s="2720">
        <f t="shared" si="88"/>
        <v>0</v>
      </c>
      <c r="BT155" s="2772">
        <f t="shared" si="89"/>
        <v>0</v>
      </c>
    </row>
    <row r="156" spans="1:72">
      <c r="A156" s="2717"/>
      <c r="B156" s="2718"/>
      <c r="C156" s="2718"/>
      <c r="D156" s="2719"/>
      <c r="E156" s="2720">
        <f t="shared" si="90"/>
        <v>0</v>
      </c>
      <c r="F156" s="2721"/>
      <c r="G156" s="2722">
        <f t="shared" si="65"/>
        <v>0</v>
      </c>
      <c r="H156" s="2723">
        <f t="shared" si="66"/>
        <v>0</v>
      </c>
      <c r="I156" s="2730"/>
      <c r="J156" s="2730"/>
      <c r="K156" s="2730"/>
      <c r="L156" s="2730"/>
      <c r="M156" s="2730"/>
      <c r="N156" s="2730"/>
      <c r="O156" s="2730"/>
      <c r="P156" s="2730"/>
      <c r="Q156" s="2730"/>
      <c r="R156" s="2730"/>
      <c r="S156" s="2730"/>
      <c r="T156" s="2730"/>
      <c r="U156" s="2730"/>
      <c r="V156" s="2730"/>
      <c r="W156" s="2730"/>
      <c r="X156" s="2730"/>
      <c r="Y156" s="2730"/>
      <c r="Z156" s="2730"/>
      <c r="AA156" s="2730"/>
      <c r="AB156" s="2730"/>
      <c r="AC156" s="2720">
        <f t="shared" si="67"/>
        <v>0</v>
      </c>
      <c r="AD156" s="2740"/>
      <c r="AE156" s="2740"/>
      <c r="AF156" s="2740"/>
      <c r="AG156" s="2740"/>
      <c r="AH156" s="2740"/>
      <c r="AI156" s="2740"/>
      <c r="AJ156" s="2740"/>
      <c r="AK156" s="2740"/>
      <c r="AL156" s="2740"/>
      <c r="AM156" s="2740"/>
      <c r="AN156" s="2740"/>
      <c r="AO156" s="2740"/>
      <c r="AP156" s="2740"/>
      <c r="AQ156" s="2740"/>
      <c r="AR156" s="2740"/>
      <c r="AS156" s="2740"/>
      <c r="AT156" s="2750"/>
      <c r="AU156" s="2751"/>
      <c r="AV156" s="1092">
        <f t="shared" si="91"/>
        <v>0</v>
      </c>
      <c r="AW156" s="1092">
        <f t="shared" si="92"/>
        <v>0</v>
      </c>
      <c r="AX156" s="1092">
        <f t="shared" si="93"/>
        <v>0</v>
      </c>
      <c r="AY156" s="2765">
        <f t="shared" si="68"/>
        <v>0</v>
      </c>
      <c r="AZ156" s="2720">
        <f t="shared" si="69"/>
        <v>0</v>
      </c>
      <c r="BA156" s="2720">
        <f t="shared" si="70"/>
        <v>0</v>
      </c>
      <c r="BB156" s="2720">
        <f t="shared" si="71"/>
        <v>0</v>
      </c>
      <c r="BC156" s="2720">
        <f t="shared" si="72"/>
        <v>0</v>
      </c>
      <c r="BD156" s="2720">
        <f t="shared" si="73"/>
        <v>0</v>
      </c>
      <c r="BE156" s="2720">
        <f t="shared" si="74"/>
        <v>0</v>
      </c>
      <c r="BF156" s="2720">
        <f t="shared" si="75"/>
        <v>0</v>
      </c>
      <c r="BG156" s="2720">
        <f t="shared" si="76"/>
        <v>0</v>
      </c>
      <c r="BH156" s="2720">
        <f t="shared" si="77"/>
        <v>0</v>
      </c>
      <c r="BI156" s="2720">
        <f t="shared" si="78"/>
        <v>0</v>
      </c>
      <c r="BJ156" s="2720">
        <f t="shared" si="79"/>
        <v>0</v>
      </c>
      <c r="BK156" s="2720">
        <f t="shared" si="80"/>
        <v>0</v>
      </c>
      <c r="BL156" s="2720">
        <f t="shared" si="81"/>
        <v>0</v>
      </c>
      <c r="BM156" s="2720">
        <f t="shared" si="82"/>
        <v>0</v>
      </c>
      <c r="BN156" s="2720">
        <f t="shared" si="83"/>
        <v>0</v>
      </c>
      <c r="BO156" s="2720">
        <f t="shared" si="84"/>
        <v>0</v>
      </c>
      <c r="BP156" s="2720">
        <f t="shared" si="85"/>
        <v>0</v>
      </c>
      <c r="BQ156" s="2720">
        <f t="shared" si="86"/>
        <v>0</v>
      </c>
      <c r="BR156" s="2720">
        <f t="shared" si="87"/>
        <v>0</v>
      </c>
      <c r="BS156" s="2720">
        <f t="shared" si="88"/>
        <v>0</v>
      </c>
      <c r="BT156" s="2772">
        <f t="shared" si="89"/>
        <v>0</v>
      </c>
    </row>
    <row r="157" spans="1:72">
      <c r="A157" s="2717"/>
      <c r="B157" s="2718"/>
      <c r="C157" s="2718"/>
      <c r="D157" s="2719"/>
      <c r="E157" s="2720">
        <f t="shared" si="90"/>
        <v>0</v>
      </c>
      <c r="F157" s="2721"/>
      <c r="G157" s="2722">
        <f t="shared" si="65"/>
        <v>0</v>
      </c>
      <c r="H157" s="2723">
        <f t="shared" si="66"/>
        <v>0</v>
      </c>
      <c r="I157" s="2730"/>
      <c r="J157" s="2730"/>
      <c r="K157" s="2730"/>
      <c r="L157" s="2730"/>
      <c r="M157" s="2730"/>
      <c r="N157" s="2730"/>
      <c r="O157" s="2730"/>
      <c r="P157" s="2730"/>
      <c r="Q157" s="2730"/>
      <c r="R157" s="2730"/>
      <c r="S157" s="2730"/>
      <c r="T157" s="2730"/>
      <c r="U157" s="2730"/>
      <c r="V157" s="2730"/>
      <c r="W157" s="2730"/>
      <c r="X157" s="2730"/>
      <c r="Y157" s="2730"/>
      <c r="Z157" s="2730"/>
      <c r="AA157" s="2730"/>
      <c r="AB157" s="2730"/>
      <c r="AC157" s="2720">
        <f t="shared" si="67"/>
        <v>0</v>
      </c>
      <c r="AD157" s="2740"/>
      <c r="AE157" s="2740"/>
      <c r="AF157" s="2740"/>
      <c r="AG157" s="2740"/>
      <c r="AH157" s="2740"/>
      <c r="AI157" s="2740"/>
      <c r="AJ157" s="2740"/>
      <c r="AK157" s="2740"/>
      <c r="AL157" s="2740"/>
      <c r="AM157" s="2740"/>
      <c r="AN157" s="2740"/>
      <c r="AO157" s="2740"/>
      <c r="AP157" s="2740"/>
      <c r="AQ157" s="2740"/>
      <c r="AR157" s="2740"/>
      <c r="AS157" s="2740"/>
      <c r="AT157" s="2750"/>
      <c r="AU157" s="2751"/>
      <c r="AV157" s="1092">
        <f t="shared" si="91"/>
        <v>0</v>
      </c>
      <c r="AW157" s="1092">
        <f t="shared" si="92"/>
        <v>0</v>
      </c>
      <c r="AX157" s="1092">
        <f t="shared" si="93"/>
        <v>0</v>
      </c>
      <c r="AY157" s="2765">
        <f t="shared" si="68"/>
        <v>0</v>
      </c>
      <c r="AZ157" s="2720">
        <f t="shared" si="69"/>
        <v>0</v>
      </c>
      <c r="BA157" s="2720">
        <f t="shared" si="70"/>
        <v>0</v>
      </c>
      <c r="BB157" s="2720">
        <f t="shared" si="71"/>
        <v>0</v>
      </c>
      <c r="BC157" s="2720">
        <f t="shared" si="72"/>
        <v>0</v>
      </c>
      <c r="BD157" s="2720">
        <f t="shared" si="73"/>
        <v>0</v>
      </c>
      <c r="BE157" s="2720">
        <f t="shared" si="74"/>
        <v>0</v>
      </c>
      <c r="BF157" s="2720">
        <f t="shared" si="75"/>
        <v>0</v>
      </c>
      <c r="BG157" s="2720">
        <f t="shared" si="76"/>
        <v>0</v>
      </c>
      <c r="BH157" s="2720">
        <f t="shared" si="77"/>
        <v>0</v>
      </c>
      <c r="BI157" s="2720">
        <f t="shared" si="78"/>
        <v>0</v>
      </c>
      <c r="BJ157" s="2720">
        <f t="shared" si="79"/>
        <v>0</v>
      </c>
      <c r="BK157" s="2720">
        <f t="shared" si="80"/>
        <v>0</v>
      </c>
      <c r="BL157" s="2720">
        <f t="shared" si="81"/>
        <v>0</v>
      </c>
      <c r="BM157" s="2720">
        <f t="shared" si="82"/>
        <v>0</v>
      </c>
      <c r="BN157" s="2720">
        <f t="shared" si="83"/>
        <v>0</v>
      </c>
      <c r="BO157" s="2720">
        <f t="shared" si="84"/>
        <v>0</v>
      </c>
      <c r="BP157" s="2720">
        <f t="shared" si="85"/>
        <v>0</v>
      </c>
      <c r="BQ157" s="2720">
        <f t="shared" si="86"/>
        <v>0</v>
      </c>
      <c r="BR157" s="2720">
        <f t="shared" si="87"/>
        <v>0</v>
      </c>
      <c r="BS157" s="2720">
        <f t="shared" si="88"/>
        <v>0</v>
      </c>
      <c r="BT157" s="2772">
        <f t="shared" si="89"/>
        <v>0</v>
      </c>
    </row>
    <row r="158" spans="1:72">
      <c r="A158" s="2717"/>
      <c r="B158" s="2718"/>
      <c r="C158" s="2718"/>
      <c r="D158" s="2719"/>
      <c r="E158" s="2720">
        <f t="shared" si="90"/>
        <v>0</v>
      </c>
      <c r="F158" s="2721"/>
      <c r="G158" s="2722">
        <f t="shared" si="65"/>
        <v>0</v>
      </c>
      <c r="H158" s="2723">
        <f t="shared" si="66"/>
        <v>0</v>
      </c>
      <c r="I158" s="2730"/>
      <c r="J158" s="2730"/>
      <c r="K158" s="2730"/>
      <c r="L158" s="2730"/>
      <c r="M158" s="2730"/>
      <c r="N158" s="2730"/>
      <c r="O158" s="2730"/>
      <c r="P158" s="2730"/>
      <c r="Q158" s="2730"/>
      <c r="R158" s="2730"/>
      <c r="S158" s="2730"/>
      <c r="T158" s="2730"/>
      <c r="U158" s="2730"/>
      <c r="V158" s="2730"/>
      <c r="W158" s="2730"/>
      <c r="X158" s="2730"/>
      <c r="Y158" s="2730"/>
      <c r="Z158" s="2730"/>
      <c r="AA158" s="2730"/>
      <c r="AB158" s="2730"/>
      <c r="AC158" s="2720">
        <f t="shared" si="67"/>
        <v>0</v>
      </c>
      <c r="AD158" s="2740"/>
      <c r="AE158" s="2740"/>
      <c r="AF158" s="2740"/>
      <c r="AG158" s="2740"/>
      <c r="AH158" s="2740"/>
      <c r="AI158" s="2740"/>
      <c r="AJ158" s="2740"/>
      <c r="AK158" s="2740"/>
      <c r="AL158" s="2740"/>
      <c r="AM158" s="2740"/>
      <c r="AN158" s="2740"/>
      <c r="AO158" s="2740"/>
      <c r="AP158" s="2740"/>
      <c r="AQ158" s="2740"/>
      <c r="AR158" s="2740"/>
      <c r="AS158" s="2740"/>
      <c r="AT158" s="2750"/>
      <c r="AU158" s="2751"/>
      <c r="AV158" s="1092">
        <f t="shared" si="91"/>
        <v>0</v>
      </c>
      <c r="AW158" s="1092">
        <f t="shared" si="92"/>
        <v>0</v>
      </c>
      <c r="AX158" s="1092">
        <f t="shared" si="93"/>
        <v>0</v>
      </c>
      <c r="AY158" s="2765">
        <f t="shared" si="68"/>
        <v>0</v>
      </c>
      <c r="AZ158" s="2720">
        <f t="shared" si="69"/>
        <v>0</v>
      </c>
      <c r="BA158" s="2720">
        <f t="shared" si="70"/>
        <v>0</v>
      </c>
      <c r="BB158" s="2720">
        <f t="shared" si="71"/>
        <v>0</v>
      </c>
      <c r="BC158" s="2720">
        <f t="shared" si="72"/>
        <v>0</v>
      </c>
      <c r="BD158" s="2720">
        <f t="shared" si="73"/>
        <v>0</v>
      </c>
      <c r="BE158" s="2720">
        <f t="shared" si="74"/>
        <v>0</v>
      </c>
      <c r="BF158" s="2720">
        <f t="shared" si="75"/>
        <v>0</v>
      </c>
      <c r="BG158" s="2720">
        <f t="shared" si="76"/>
        <v>0</v>
      </c>
      <c r="BH158" s="2720">
        <f t="shared" si="77"/>
        <v>0</v>
      </c>
      <c r="BI158" s="2720">
        <f t="shared" si="78"/>
        <v>0</v>
      </c>
      <c r="BJ158" s="2720">
        <f t="shared" si="79"/>
        <v>0</v>
      </c>
      <c r="BK158" s="2720">
        <f t="shared" si="80"/>
        <v>0</v>
      </c>
      <c r="BL158" s="2720">
        <f t="shared" si="81"/>
        <v>0</v>
      </c>
      <c r="BM158" s="2720">
        <f t="shared" si="82"/>
        <v>0</v>
      </c>
      <c r="BN158" s="2720">
        <f t="shared" si="83"/>
        <v>0</v>
      </c>
      <c r="BO158" s="2720">
        <f t="shared" si="84"/>
        <v>0</v>
      </c>
      <c r="BP158" s="2720">
        <f t="shared" si="85"/>
        <v>0</v>
      </c>
      <c r="BQ158" s="2720">
        <f t="shared" si="86"/>
        <v>0</v>
      </c>
      <c r="BR158" s="2720">
        <f t="shared" si="87"/>
        <v>0</v>
      </c>
      <c r="BS158" s="2720">
        <f t="shared" si="88"/>
        <v>0</v>
      </c>
      <c r="BT158" s="2772">
        <f t="shared" si="89"/>
        <v>0</v>
      </c>
    </row>
    <row r="159" spans="1:72">
      <c r="A159" s="2717"/>
      <c r="B159" s="2718"/>
      <c r="C159" s="2718"/>
      <c r="D159" s="2719"/>
      <c r="E159" s="2720">
        <f t="shared" si="90"/>
        <v>0</v>
      </c>
      <c r="F159" s="2721"/>
      <c r="G159" s="2722">
        <f t="shared" si="65"/>
        <v>0</v>
      </c>
      <c r="H159" s="2723">
        <f t="shared" si="66"/>
        <v>0</v>
      </c>
      <c r="I159" s="2730"/>
      <c r="J159" s="2730"/>
      <c r="K159" s="2730"/>
      <c r="L159" s="2730"/>
      <c r="M159" s="2730"/>
      <c r="N159" s="2730"/>
      <c r="O159" s="2730"/>
      <c r="P159" s="2730"/>
      <c r="Q159" s="2730"/>
      <c r="R159" s="2730"/>
      <c r="S159" s="2730"/>
      <c r="T159" s="2730"/>
      <c r="U159" s="2730"/>
      <c r="V159" s="2730"/>
      <c r="W159" s="2730"/>
      <c r="X159" s="2730"/>
      <c r="Y159" s="2730"/>
      <c r="Z159" s="2730"/>
      <c r="AA159" s="2730"/>
      <c r="AB159" s="2730"/>
      <c r="AC159" s="2720">
        <f t="shared" si="67"/>
        <v>0</v>
      </c>
      <c r="AD159" s="2740"/>
      <c r="AE159" s="2740"/>
      <c r="AF159" s="2740"/>
      <c r="AG159" s="2740"/>
      <c r="AH159" s="2740"/>
      <c r="AI159" s="2740"/>
      <c r="AJ159" s="2740"/>
      <c r="AK159" s="2740"/>
      <c r="AL159" s="2740"/>
      <c r="AM159" s="2740"/>
      <c r="AN159" s="2740"/>
      <c r="AO159" s="2740"/>
      <c r="AP159" s="2740"/>
      <c r="AQ159" s="2740"/>
      <c r="AR159" s="2740"/>
      <c r="AS159" s="2740"/>
      <c r="AT159" s="2750"/>
      <c r="AU159" s="2751"/>
      <c r="AV159" s="1092">
        <f t="shared" si="91"/>
        <v>0</v>
      </c>
      <c r="AW159" s="1092">
        <f t="shared" si="92"/>
        <v>0</v>
      </c>
      <c r="AX159" s="1092">
        <f t="shared" si="93"/>
        <v>0</v>
      </c>
      <c r="AY159" s="2765">
        <f t="shared" si="68"/>
        <v>0</v>
      </c>
      <c r="AZ159" s="2720">
        <f t="shared" si="69"/>
        <v>0</v>
      </c>
      <c r="BA159" s="2720">
        <f t="shared" si="70"/>
        <v>0</v>
      </c>
      <c r="BB159" s="2720">
        <f t="shared" si="71"/>
        <v>0</v>
      </c>
      <c r="BC159" s="2720">
        <f t="shared" si="72"/>
        <v>0</v>
      </c>
      <c r="BD159" s="2720">
        <f t="shared" si="73"/>
        <v>0</v>
      </c>
      <c r="BE159" s="2720">
        <f t="shared" si="74"/>
        <v>0</v>
      </c>
      <c r="BF159" s="2720">
        <f t="shared" si="75"/>
        <v>0</v>
      </c>
      <c r="BG159" s="2720">
        <f t="shared" si="76"/>
        <v>0</v>
      </c>
      <c r="BH159" s="2720">
        <f t="shared" si="77"/>
        <v>0</v>
      </c>
      <c r="BI159" s="2720">
        <f t="shared" si="78"/>
        <v>0</v>
      </c>
      <c r="BJ159" s="2720">
        <f t="shared" si="79"/>
        <v>0</v>
      </c>
      <c r="BK159" s="2720">
        <f t="shared" si="80"/>
        <v>0</v>
      </c>
      <c r="BL159" s="2720">
        <f t="shared" si="81"/>
        <v>0</v>
      </c>
      <c r="BM159" s="2720">
        <f t="shared" si="82"/>
        <v>0</v>
      </c>
      <c r="BN159" s="2720">
        <f t="shared" si="83"/>
        <v>0</v>
      </c>
      <c r="BO159" s="2720">
        <f t="shared" si="84"/>
        <v>0</v>
      </c>
      <c r="BP159" s="2720">
        <f t="shared" si="85"/>
        <v>0</v>
      </c>
      <c r="BQ159" s="2720">
        <f t="shared" si="86"/>
        <v>0</v>
      </c>
      <c r="BR159" s="2720">
        <f t="shared" si="87"/>
        <v>0</v>
      </c>
      <c r="BS159" s="2720">
        <f t="shared" si="88"/>
        <v>0</v>
      </c>
      <c r="BT159" s="2772">
        <f t="shared" si="89"/>
        <v>0</v>
      </c>
    </row>
    <row r="160" spans="1:72">
      <c r="A160" s="2717"/>
      <c r="B160" s="2718"/>
      <c r="C160" s="2718"/>
      <c r="D160" s="2719"/>
      <c r="E160" s="2720">
        <f t="shared" si="90"/>
        <v>0</v>
      </c>
      <c r="F160" s="2721"/>
      <c r="G160" s="2722">
        <f t="shared" si="65"/>
        <v>0</v>
      </c>
      <c r="H160" s="2723">
        <f t="shared" si="66"/>
        <v>0</v>
      </c>
      <c r="I160" s="2730"/>
      <c r="J160" s="2730"/>
      <c r="K160" s="2730"/>
      <c r="L160" s="2730"/>
      <c r="M160" s="2730"/>
      <c r="N160" s="2730"/>
      <c r="O160" s="2730"/>
      <c r="P160" s="2730"/>
      <c r="Q160" s="2730"/>
      <c r="R160" s="2730"/>
      <c r="S160" s="2730"/>
      <c r="T160" s="2730"/>
      <c r="U160" s="2730"/>
      <c r="V160" s="2730"/>
      <c r="W160" s="2730"/>
      <c r="X160" s="2730"/>
      <c r="Y160" s="2730"/>
      <c r="Z160" s="2730"/>
      <c r="AA160" s="2730"/>
      <c r="AB160" s="2730"/>
      <c r="AC160" s="2720">
        <f t="shared" si="67"/>
        <v>0</v>
      </c>
      <c r="AD160" s="2740"/>
      <c r="AE160" s="2740"/>
      <c r="AF160" s="2740"/>
      <c r="AG160" s="2740"/>
      <c r="AH160" s="2740"/>
      <c r="AI160" s="2740"/>
      <c r="AJ160" s="2740"/>
      <c r="AK160" s="2740"/>
      <c r="AL160" s="2740"/>
      <c r="AM160" s="2740"/>
      <c r="AN160" s="2740"/>
      <c r="AO160" s="2740"/>
      <c r="AP160" s="2740"/>
      <c r="AQ160" s="2740"/>
      <c r="AR160" s="2740"/>
      <c r="AS160" s="2740"/>
      <c r="AT160" s="2750"/>
      <c r="AU160" s="2751"/>
      <c r="AV160" s="1092">
        <f t="shared" si="91"/>
        <v>0</v>
      </c>
      <c r="AW160" s="1092">
        <f t="shared" si="92"/>
        <v>0</v>
      </c>
      <c r="AX160" s="1092">
        <f t="shared" si="93"/>
        <v>0</v>
      </c>
      <c r="AY160" s="2765">
        <f t="shared" si="68"/>
        <v>0</v>
      </c>
      <c r="AZ160" s="2720">
        <f t="shared" si="69"/>
        <v>0</v>
      </c>
      <c r="BA160" s="2720">
        <f t="shared" si="70"/>
        <v>0</v>
      </c>
      <c r="BB160" s="2720">
        <f t="shared" si="71"/>
        <v>0</v>
      </c>
      <c r="BC160" s="2720">
        <f t="shared" si="72"/>
        <v>0</v>
      </c>
      <c r="BD160" s="2720">
        <f t="shared" si="73"/>
        <v>0</v>
      </c>
      <c r="BE160" s="2720">
        <f t="shared" si="74"/>
        <v>0</v>
      </c>
      <c r="BF160" s="2720">
        <f t="shared" si="75"/>
        <v>0</v>
      </c>
      <c r="BG160" s="2720">
        <f t="shared" si="76"/>
        <v>0</v>
      </c>
      <c r="BH160" s="2720">
        <f t="shared" si="77"/>
        <v>0</v>
      </c>
      <c r="BI160" s="2720">
        <f t="shared" si="78"/>
        <v>0</v>
      </c>
      <c r="BJ160" s="2720">
        <f t="shared" si="79"/>
        <v>0</v>
      </c>
      <c r="BK160" s="2720">
        <f t="shared" si="80"/>
        <v>0</v>
      </c>
      <c r="BL160" s="2720">
        <f t="shared" si="81"/>
        <v>0</v>
      </c>
      <c r="BM160" s="2720">
        <f t="shared" si="82"/>
        <v>0</v>
      </c>
      <c r="BN160" s="2720">
        <f t="shared" si="83"/>
        <v>0</v>
      </c>
      <c r="BO160" s="2720">
        <f t="shared" si="84"/>
        <v>0</v>
      </c>
      <c r="BP160" s="2720">
        <f t="shared" si="85"/>
        <v>0</v>
      </c>
      <c r="BQ160" s="2720">
        <f t="shared" si="86"/>
        <v>0</v>
      </c>
      <c r="BR160" s="2720">
        <f t="shared" si="87"/>
        <v>0</v>
      </c>
      <c r="BS160" s="2720">
        <f t="shared" si="88"/>
        <v>0</v>
      </c>
      <c r="BT160" s="2772">
        <f t="shared" si="89"/>
        <v>0</v>
      </c>
    </row>
    <row r="161" spans="1:72">
      <c r="A161" s="2717"/>
      <c r="B161" s="2718"/>
      <c r="C161" s="2718"/>
      <c r="D161" s="2719"/>
      <c r="E161" s="2720">
        <f t="shared" si="90"/>
        <v>0</v>
      </c>
      <c r="F161" s="2721"/>
      <c r="G161" s="2722">
        <f t="shared" si="65"/>
        <v>0</v>
      </c>
      <c r="H161" s="2723">
        <f t="shared" si="66"/>
        <v>0</v>
      </c>
      <c r="I161" s="2730"/>
      <c r="J161" s="2730"/>
      <c r="K161" s="2730"/>
      <c r="L161" s="2730"/>
      <c r="M161" s="2730"/>
      <c r="N161" s="2730"/>
      <c r="O161" s="2730"/>
      <c r="P161" s="2730"/>
      <c r="Q161" s="2730"/>
      <c r="R161" s="2730"/>
      <c r="S161" s="2730"/>
      <c r="T161" s="2730"/>
      <c r="U161" s="2730"/>
      <c r="V161" s="2730"/>
      <c r="W161" s="2730"/>
      <c r="X161" s="2730"/>
      <c r="Y161" s="2730"/>
      <c r="Z161" s="2730"/>
      <c r="AA161" s="2730"/>
      <c r="AB161" s="2730"/>
      <c r="AC161" s="2720">
        <f t="shared" si="67"/>
        <v>0</v>
      </c>
      <c r="AD161" s="2740"/>
      <c r="AE161" s="2740"/>
      <c r="AF161" s="2740"/>
      <c r="AG161" s="2740"/>
      <c r="AH161" s="2740"/>
      <c r="AI161" s="2740"/>
      <c r="AJ161" s="2740"/>
      <c r="AK161" s="2740"/>
      <c r="AL161" s="2740"/>
      <c r="AM161" s="2740"/>
      <c r="AN161" s="2740"/>
      <c r="AO161" s="2740"/>
      <c r="AP161" s="2740"/>
      <c r="AQ161" s="2740"/>
      <c r="AR161" s="2740"/>
      <c r="AS161" s="2740"/>
      <c r="AT161" s="2750"/>
      <c r="AU161" s="2751"/>
      <c r="AV161" s="1092">
        <f t="shared" si="91"/>
        <v>0</v>
      </c>
      <c r="AW161" s="1092">
        <f t="shared" si="92"/>
        <v>0</v>
      </c>
      <c r="AX161" s="1092">
        <f t="shared" si="93"/>
        <v>0</v>
      </c>
      <c r="AY161" s="2765">
        <f t="shared" si="68"/>
        <v>0</v>
      </c>
      <c r="AZ161" s="2720">
        <f t="shared" si="69"/>
        <v>0</v>
      </c>
      <c r="BA161" s="2720">
        <f t="shared" si="70"/>
        <v>0</v>
      </c>
      <c r="BB161" s="2720">
        <f t="shared" si="71"/>
        <v>0</v>
      </c>
      <c r="BC161" s="2720">
        <f t="shared" si="72"/>
        <v>0</v>
      </c>
      <c r="BD161" s="2720">
        <f t="shared" si="73"/>
        <v>0</v>
      </c>
      <c r="BE161" s="2720">
        <f t="shared" si="74"/>
        <v>0</v>
      </c>
      <c r="BF161" s="2720">
        <f t="shared" si="75"/>
        <v>0</v>
      </c>
      <c r="BG161" s="2720">
        <f t="shared" si="76"/>
        <v>0</v>
      </c>
      <c r="BH161" s="2720">
        <f t="shared" si="77"/>
        <v>0</v>
      </c>
      <c r="BI161" s="2720">
        <f t="shared" si="78"/>
        <v>0</v>
      </c>
      <c r="BJ161" s="2720">
        <f t="shared" si="79"/>
        <v>0</v>
      </c>
      <c r="BK161" s="2720">
        <f t="shared" si="80"/>
        <v>0</v>
      </c>
      <c r="BL161" s="2720">
        <f t="shared" si="81"/>
        <v>0</v>
      </c>
      <c r="BM161" s="2720">
        <f t="shared" si="82"/>
        <v>0</v>
      </c>
      <c r="BN161" s="2720">
        <f t="shared" si="83"/>
        <v>0</v>
      </c>
      <c r="BO161" s="2720">
        <f t="shared" si="84"/>
        <v>0</v>
      </c>
      <c r="BP161" s="2720">
        <f t="shared" si="85"/>
        <v>0</v>
      </c>
      <c r="BQ161" s="2720">
        <f t="shared" si="86"/>
        <v>0</v>
      </c>
      <c r="BR161" s="2720">
        <f t="shared" si="87"/>
        <v>0</v>
      </c>
      <c r="BS161" s="2720">
        <f t="shared" si="88"/>
        <v>0</v>
      </c>
      <c r="BT161" s="2772">
        <f t="shared" si="89"/>
        <v>0</v>
      </c>
    </row>
    <row r="162" spans="1:72">
      <c r="A162" s="2717"/>
      <c r="B162" s="2718"/>
      <c r="C162" s="2718"/>
      <c r="D162" s="2719"/>
      <c r="E162" s="2720">
        <f t="shared" si="90"/>
        <v>0</v>
      </c>
      <c r="F162" s="2721"/>
      <c r="G162" s="2722">
        <f t="shared" si="65"/>
        <v>0</v>
      </c>
      <c r="H162" s="2723">
        <f t="shared" si="66"/>
        <v>0</v>
      </c>
      <c r="I162" s="2730"/>
      <c r="J162" s="2730"/>
      <c r="K162" s="2730"/>
      <c r="L162" s="2730"/>
      <c r="M162" s="2730"/>
      <c r="N162" s="2730"/>
      <c r="O162" s="2730"/>
      <c r="P162" s="2730"/>
      <c r="Q162" s="2730"/>
      <c r="R162" s="2730"/>
      <c r="S162" s="2730"/>
      <c r="T162" s="2730"/>
      <c r="U162" s="2730"/>
      <c r="V162" s="2730"/>
      <c r="W162" s="2730"/>
      <c r="X162" s="2730"/>
      <c r="Y162" s="2730"/>
      <c r="Z162" s="2730"/>
      <c r="AA162" s="2730"/>
      <c r="AB162" s="2730"/>
      <c r="AC162" s="2720">
        <f t="shared" si="67"/>
        <v>0</v>
      </c>
      <c r="AD162" s="2740"/>
      <c r="AE162" s="2740"/>
      <c r="AF162" s="2740"/>
      <c r="AG162" s="2740"/>
      <c r="AH162" s="2740"/>
      <c r="AI162" s="2740"/>
      <c r="AJ162" s="2740"/>
      <c r="AK162" s="2740"/>
      <c r="AL162" s="2740"/>
      <c r="AM162" s="2740"/>
      <c r="AN162" s="2740"/>
      <c r="AO162" s="2740"/>
      <c r="AP162" s="2740"/>
      <c r="AQ162" s="2740"/>
      <c r="AR162" s="2740"/>
      <c r="AS162" s="2740"/>
      <c r="AT162" s="2750"/>
      <c r="AU162" s="2751"/>
      <c r="AV162" s="1092">
        <f t="shared" si="91"/>
        <v>0</v>
      </c>
      <c r="AW162" s="1092">
        <f t="shared" si="92"/>
        <v>0</v>
      </c>
      <c r="AX162" s="1092">
        <f t="shared" si="93"/>
        <v>0</v>
      </c>
      <c r="AY162" s="2765">
        <f t="shared" si="68"/>
        <v>0</v>
      </c>
      <c r="AZ162" s="2720">
        <f t="shared" si="69"/>
        <v>0</v>
      </c>
      <c r="BA162" s="2720">
        <f t="shared" si="70"/>
        <v>0</v>
      </c>
      <c r="BB162" s="2720">
        <f t="shared" si="71"/>
        <v>0</v>
      </c>
      <c r="BC162" s="2720">
        <f t="shared" si="72"/>
        <v>0</v>
      </c>
      <c r="BD162" s="2720">
        <f t="shared" si="73"/>
        <v>0</v>
      </c>
      <c r="BE162" s="2720">
        <f t="shared" si="74"/>
        <v>0</v>
      </c>
      <c r="BF162" s="2720">
        <f t="shared" si="75"/>
        <v>0</v>
      </c>
      <c r="BG162" s="2720">
        <f t="shared" si="76"/>
        <v>0</v>
      </c>
      <c r="BH162" s="2720">
        <f t="shared" si="77"/>
        <v>0</v>
      </c>
      <c r="BI162" s="2720">
        <f t="shared" si="78"/>
        <v>0</v>
      </c>
      <c r="BJ162" s="2720">
        <f t="shared" si="79"/>
        <v>0</v>
      </c>
      <c r="BK162" s="2720">
        <f t="shared" si="80"/>
        <v>0</v>
      </c>
      <c r="BL162" s="2720">
        <f t="shared" si="81"/>
        <v>0</v>
      </c>
      <c r="BM162" s="2720">
        <f t="shared" si="82"/>
        <v>0</v>
      </c>
      <c r="BN162" s="2720">
        <f t="shared" si="83"/>
        <v>0</v>
      </c>
      <c r="BO162" s="2720">
        <f t="shared" si="84"/>
        <v>0</v>
      </c>
      <c r="BP162" s="2720">
        <f t="shared" si="85"/>
        <v>0</v>
      </c>
      <c r="BQ162" s="2720">
        <f t="shared" si="86"/>
        <v>0</v>
      </c>
      <c r="BR162" s="2720">
        <f t="shared" si="87"/>
        <v>0</v>
      </c>
      <c r="BS162" s="2720">
        <f t="shared" si="88"/>
        <v>0</v>
      </c>
      <c r="BT162" s="2772">
        <f t="shared" si="89"/>
        <v>0</v>
      </c>
    </row>
    <row r="163" spans="1:72">
      <c r="A163" s="2717"/>
      <c r="B163" s="2718"/>
      <c r="C163" s="2718"/>
      <c r="D163" s="2719"/>
      <c r="E163" s="2720">
        <f t="shared" si="90"/>
        <v>0</v>
      </c>
      <c r="F163" s="2721"/>
      <c r="G163" s="2722">
        <f t="shared" si="65"/>
        <v>0</v>
      </c>
      <c r="H163" s="2723">
        <f t="shared" si="66"/>
        <v>0</v>
      </c>
      <c r="I163" s="2730"/>
      <c r="J163" s="2730"/>
      <c r="K163" s="2730"/>
      <c r="L163" s="2730"/>
      <c r="M163" s="2730"/>
      <c r="N163" s="2730"/>
      <c r="O163" s="2730"/>
      <c r="P163" s="2730"/>
      <c r="Q163" s="2730"/>
      <c r="R163" s="2730"/>
      <c r="S163" s="2730"/>
      <c r="T163" s="2730"/>
      <c r="U163" s="2730"/>
      <c r="V163" s="2730"/>
      <c r="W163" s="2730"/>
      <c r="X163" s="2730"/>
      <c r="Y163" s="2730"/>
      <c r="Z163" s="2730"/>
      <c r="AA163" s="2730"/>
      <c r="AB163" s="2730"/>
      <c r="AC163" s="2720">
        <f t="shared" si="67"/>
        <v>0</v>
      </c>
      <c r="AD163" s="2740"/>
      <c r="AE163" s="2740"/>
      <c r="AF163" s="2740"/>
      <c r="AG163" s="2740"/>
      <c r="AH163" s="2740"/>
      <c r="AI163" s="2740"/>
      <c r="AJ163" s="2740"/>
      <c r="AK163" s="2740"/>
      <c r="AL163" s="2740"/>
      <c r="AM163" s="2740"/>
      <c r="AN163" s="2740"/>
      <c r="AO163" s="2740"/>
      <c r="AP163" s="2740"/>
      <c r="AQ163" s="2740"/>
      <c r="AR163" s="2740"/>
      <c r="AS163" s="2740"/>
      <c r="AT163" s="2750"/>
      <c r="AU163" s="2751"/>
      <c r="AV163" s="1092">
        <f t="shared" si="91"/>
        <v>0</v>
      </c>
      <c r="AW163" s="1092">
        <f t="shared" si="92"/>
        <v>0</v>
      </c>
      <c r="AX163" s="1092">
        <f t="shared" si="93"/>
        <v>0</v>
      </c>
      <c r="AY163" s="2765">
        <f t="shared" si="68"/>
        <v>0</v>
      </c>
      <c r="AZ163" s="2720">
        <f t="shared" si="69"/>
        <v>0</v>
      </c>
      <c r="BA163" s="2720">
        <f t="shared" si="70"/>
        <v>0</v>
      </c>
      <c r="BB163" s="2720">
        <f t="shared" si="71"/>
        <v>0</v>
      </c>
      <c r="BC163" s="2720">
        <f t="shared" si="72"/>
        <v>0</v>
      </c>
      <c r="BD163" s="2720">
        <f t="shared" si="73"/>
        <v>0</v>
      </c>
      <c r="BE163" s="2720">
        <f t="shared" si="74"/>
        <v>0</v>
      </c>
      <c r="BF163" s="2720">
        <f t="shared" si="75"/>
        <v>0</v>
      </c>
      <c r="BG163" s="2720">
        <f t="shared" si="76"/>
        <v>0</v>
      </c>
      <c r="BH163" s="2720">
        <f t="shared" si="77"/>
        <v>0</v>
      </c>
      <c r="BI163" s="2720">
        <f t="shared" si="78"/>
        <v>0</v>
      </c>
      <c r="BJ163" s="2720">
        <f t="shared" si="79"/>
        <v>0</v>
      </c>
      <c r="BK163" s="2720">
        <f t="shared" si="80"/>
        <v>0</v>
      </c>
      <c r="BL163" s="2720">
        <f t="shared" si="81"/>
        <v>0</v>
      </c>
      <c r="BM163" s="2720">
        <f t="shared" si="82"/>
        <v>0</v>
      </c>
      <c r="BN163" s="2720">
        <f t="shared" si="83"/>
        <v>0</v>
      </c>
      <c r="BO163" s="2720">
        <f t="shared" si="84"/>
        <v>0</v>
      </c>
      <c r="BP163" s="2720">
        <f t="shared" si="85"/>
        <v>0</v>
      </c>
      <c r="BQ163" s="2720">
        <f t="shared" si="86"/>
        <v>0</v>
      </c>
      <c r="BR163" s="2720">
        <f t="shared" si="87"/>
        <v>0</v>
      </c>
      <c r="BS163" s="2720">
        <f t="shared" si="88"/>
        <v>0</v>
      </c>
      <c r="BT163" s="2772">
        <f t="shared" si="89"/>
        <v>0</v>
      </c>
    </row>
    <row r="164" spans="1:72">
      <c r="A164" s="2717"/>
      <c r="B164" s="2718"/>
      <c r="C164" s="2718"/>
      <c r="D164" s="2719"/>
      <c r="E164" s="2720">
        <f t="shared" si="90"/>
        <v>0</v>
      </c>
      <c r="F164" s="2721"/>
      <c r="G164" s="2722">
        <f t="shared" si="65"/>
        <v>0</v>
      </c>
      <c r="H164" s="2723">
        <f t="shared" si="66"/>
        <v>0</v>
      </c>
      <c r="I164" s="2730"/>
      <c r="J164" s="2730"/>
      <c r="K164" s="2730"/>
      <c r="L164" s="2730"/>
      <c r="M164" s="2730"/>
      <c r="N164" s="2730"/>
      <c r="O164" s="2730"/>
      <c r="P164" s="2730"/>
      <c r="Q164" s="2730"/>
      <c r="R164" s="2730"/>
      <c r="S164" s="2730"/>
      <c r="T164" s="2730"/>
      <c r="U164" s="2730"/>
      <c r="V164" s="2730"/>
      <c r="W164" s="2730"/>
      <c r="X164" s="2730"/>
      <c r="Y164" s="2730"/>
      <c r="Z164" s="2730"/>
      <c r="AA164" s="2730"/>
      <c r="AB164" s="2730"/>
      <c r="AC164" s="2720">
        <f t="shared" si="67"/>
        <v>0</v>
      </c>
      <c r="AD164" s="2740"/>
      <c r="AE164" s="2740"/>
      <c r="AF164" s="2740"/>
      <c r="AG164" s="2740"/>
      <c r="AH164" s="2740"/>
      <c r="AI164" s="2740"/>
      <c r="AJ164" s="2740"/>
      <c r="AK164" s="2740"/>
      <c r="AL164" s="2740"/>
      <c r="AM164" s="2740"/>
      <c r="AN164" s="2740"/>
      <c r="AO164" s="2740"/>
      <c r="AP164" s="2740"/>
      <c r="AQ164" s="2740"/>
      <c r="AR164" s="2740"/>
      <c r="AS164" s="2740"/>
      <c r="AT164" s="2750"/>
      <c r="AU164" s="2751"/>
      <c r="AV164" s="1092">
        <f t="shared" si="91"/>
        <v>0</v>
      </c>
      <c r="AW164" s="1092">
        <f t="shared" si="92"/>
        <v>0</v>
      </c>
      <c r="AX164" s="1092">
        <f t="shared" si="93"/>
        <v>0</v>
      </c>
      <c r="AY164" s="2765">
        <f t="shared" si="68"/>
        <v>0</v>
      </c>
      <c r="AZ164" s="2720">
        <f t="shared" si="69"/>
        <v>0</v>
      </c>
      <c r="BA164" s="2720">
        <f t="shared" si="70"/>
        <v>0</v>
      </c>
      <c r="BB164" s="2720">
        <f t="shared" si="71"/>
        <v>0</v>
      </c>
      <c r="BC164" s="2720">
        <f t="shared" si="72"/>
        <v>0</v>
      </c>
      <c r="BD164" s="2720">
        <f t="shared" si="73"/>
        <v>0</v>
      </c>
      <c r="BE164" s="2720">
        <f t="shared" si="74"/>
        <v>0</v>
      </c>
      <c r="BF164" s="2720">
        <f t="shared" si="75"/>
        <v>0</v>
      </c>
      <c r="BG164" s="2720">
        <f t="shared" si="76"/>
        <v>0</v>
      </c>
      <c r="BH164" s="2720">
        <f t="shared" si="77"/>
        <v>0</v>
      </c>
      <c r="BI164" s="2720">
        <f t="shared" si="78"/>
        <v>0</v>
      </c>
      <c r="BJ164" s="2720">
        <f t="shared" si="79"/>
        <v>0</v>
      </c>
      <c r="BK164" s="2720">
        <f t="shared" si="80"/>
        <v>0</v>
      </c>
      <c r="BL164" s="2720">
        <f t="shared" si="81"/>
        <v>0</v>
      </c>
      <c r="BM164" s="2720">
        <f t="shared" si="82"/>
        <v>0</v>
      </c>
      <c r="BN164" s="2720">
        <f t="shared" si="83"/>
        <v>0</v>
      </c>
      <c r="BO164" s="2720">
        <f t="shared" si="84"/>
        <v>0</v>
      </c>
      <c r="BP164" s="2720">
        <f t="shared" si="85"/>
        <v>0</v>
      </c>
      <c r="BQ164" s="2720">
        <f t="shared" si="86"/>
        <v>0</v>
      </c>
      <c r="BR164" s="2720">
        <f t="shared" si="87"/>
        <v>0</v>
      </c>
      <c r="BS164" s="2720">
        <f t="shared" si="88"/>
        <v>0</v>
      </c>
      <c r="BT164" s="2772">
        <f t="shared" si="89"/>
        <v>0</v>
      </c>
    </row>
    <row r="165" spans="1:72">
      <c r="A165" s="2717"/>
      <c r="B165" s="2718"/>
      <c r="C165" s="2718"/>
      <c r="D165" s="2719"/>
      <c r="E165" s="2720">
        <f t="shared" si="90"/>
        <v>0</v>
      </c>
      <c r="F165" s="2721"/>
      <c r="G165" s="2722">
        <f t="shared" si="65"/>
        <v>0</v>
      </c>
      <c r="H165" s="2723">
        <f t="shared" si="66"/>
        <v>0</v>
      </c>
      <c r="I165" s="2730"/>
      <c r="J165" s="2730"/>
      <c r="K165" s="2730"/>
      <c r="L165" s="2730"/>
      <c r="M165" s="2730"/>
      <c r="N165" s="2730"/>
      <c r="O165" s="2730"/>
      <c r="P165" s="2730"/>
      <c r="Q165" s="2730"/>
      <c r="R165" s="2730"/>
      <c r="S165" s="2730"/>
      <c r="T165" s="2730"/>
      <c r="U165" s="2730"/>
      <c r="V165" s="2730"/>
      <c r="W165" s="2730"/>
      <c r="X165" s="2730"/>
      <c r="Y165" s="2730"/>
      <c r="Z165" s="2730"/>
      <c r="AA165" s="2730"/>
      <c r="AB165" s="2730"/>
      <c r="AC165" s="2720">
        <f t="shared" si="67"/>
        <v>0</v>
      </c>
      <c r="AD165" s="2740"/>
      <c r="AE165" s="2740"/>
      <c r="AF165" s="2740"/>
      <c r="AG165" s="2740"/>
      <c r="AH165" s="2740"/>
      <c r="AI165" s="2740"/>
      <c r="AJ165" s="2740"/>
      <c r="AK165" s="2740"/>
      <c r="AL165" s="2740"/>
      <c r="AM165" s="2740"/>
      <c r="AN165" s="2740"/>
      <c r="AO165" s="2740"/>
      <c r="AP165" s="2740"/>
      <c r="AQ165" s="2740"/>
      <c r="AR165" s="2740"/>
      <c r="AS165" s="2740"/>
      <c r="AT165" s="2750"/>
      <c r="AU165" s="2751"/>
      <c r="AV165" s="1092">
        <f t="shared" si="91"/>
        <v>0</v>
      </c>
      <c r="AW165" s="1092">
        <f t="shared" si="92"/>
        <v>0</v>
      </c>
      <c r="AX165" s="1092">
        <f t="shared" si="93"/>
        <v>0</v>
      </c>
      <c r="AY165" s="2765">
        <f t="shared" si="68"/>
        <v>0</v>
      </c>
      <c r="AZ165" s="2720">
        <f t="shared" si="69"/>
        <v>0</v>
      </c>
      <c r="BA165" s="2720">
        <f t="shared" si="70"/>
        <v>0</v>
      </c>
      <c r="BB165" s="2720">
        <f t="shared" si="71"/>
        <v>0</v>
      </c>
      <c r="BC165" s="2720">
        <f t="shared" si="72"/>
        <v>0</v>
      </c>
      <c r="BD165" s="2720">
        <f t="shared" si="73"/>
        <v>0</v>
      </c>
      <c r="BE165" s="2720">
        <f t="shared" si="74"/>
        <v>0</v>
      </c>
      <c r="BF165" s="2720">
        <f t="shared" si="75"/>
        <v>0</v>
      </c>
      <c r="BG165" s="2720">
        <f t="shared" si="76"/>
        <v>0</v>
      </c>
      <c r="BH165" s="2720">
        <f t="shared" si="77"/>
        <v>0</v>
      </c>
      <c r="BI165" s="2720">
        <f t="shared" si="78"/>
        <v>0</v>
      </c>
      <c r="BJ165" s="2720">
        <f t="shared" si="79"/>
        <v>0</v>
      </c>
      <c r="BK165" s="2720">
        <f t="shared" si="80"/>
        <v>0</v>
      </c>
      <c r="BL165" s="2720">
        <f t="shared" si="81"/>
        <v>0</v>
      </c>
      <c r="BM165" s="2720">
        <f t="shared" si="82"/>
        <v>0</v>
      </c>
      <c r="BN165" s="2720">
        <f t="shared" si="83"/>
        <v>0</v>
      </c>
      <c r="BO165" s="2720">
        <f t="shared" si="84"/>
        <v>0</v>
      </c>
      <c r="BP165" s="2720">
        <f t="shared" si="85"/>
        <v>0</v>
      </c>
      <c r="BQ165" s="2720">
        <f t="shared" si="86"/>
        <v>0</v>
      </c>
      <c r="BR165" s="2720">
        <f t="shared" si="87"/>
        <v>0</v>
      </c>
      <c r="BS165" s="2720">
        <f t="shared" si="88"/>
        <v>0</v>
      </c>
      <c r="BT165" s="2772">
        <f t="shared" si="89"/>
        <v>0</v>
      </c>
    </row>
    <row r="166" spans="1:72">
      <c r="A166" s="2717"/>
      <c r="B166" s="2718"/>
      <c r="C166" s="2718"/>
      <c r="D166" s="2719"/>
      <c r="E166" s="2720">
        <f t="shared" si="90"/>
        <v>0</v>
      </c>
      <c r="F166" s="2721"/>
      <c r="G166" s="2722">
        <f t="shared" si="65"/>
        <v>0</v>
      </c>
      <c r="H166" s="2723">
        <f t="shared" si="66"/>
        <v>0</v>
      </c>
      <c r="I166" s="2730"/>
      <c r="J166" s="2730"/>
      <c r="K166" s="2730"/>
      <c r="L166" s="2730"/>
      <c r="M166" s="2730"/>
      <c r="N166" s="2730"/>
      <c r="O166" s="2730"/>
      <c r="P166" s="2730"/>
      <c r="Q166" s="2730"/>
      <c r="R166" s="2730"/>
      <c r="S166" s="2730"/>
      <c r="T166" s="2730"/>
      <c r="U166" s="2730"/>
      <c r="V166" s="2730"/>
      <c r="W166" s="2730"/>
      <c r="X166" s="2730"/>
      <c r="Y166" s="2730"/>
      <c r="Z166" s="2730"/>
      <c r="AA166" s="2730"/>
      <c r="AB166" s="2730"/>
      <c r="AC166" s="2720">
        <f t="shared" si="67"/>
        <v>0</v>
      </c>
      <c r="AD166" s="2740"/>
      <c r="AE166" s="2740"/>
      <c r="AF166" s="2740"/>
      <c r="AG166" s="2740"/>
      <c r="AH166" s="2740"/>
      <c r="AI166" s="2740"/>
      <c r="AJ166" s="2740"/>
      <c r="AK166" s="2740"/>
      <c r="AL166" s="2740"/>
      <c r="AM166" s="2740"/>
      <c r="AN166" s="2740"/>
      <c r="AO166" s="2740"/>
      <c r="AP166" s="2740"/>
      <c r="AQ166" s="2740"/>
      <c r="AR166" s="2740"/>
      <c r="AS166" s="2740"/>
      <c r="AT166" s="2750"/>
      <c r="AU166" s="2751"/>
      <c r="AV166" s="1092">
        <f t="shared" si="91"/>
        <v>0</v>
      </c>
      <c r="AW166" s="1092">
        <f t="shared" si="92"/>
        <v>0</v>
      </c>
      <c r="AX166" s="1092">
        <f t="shared" si="93"/>
        <v>0</v>
      </c>
      <c r="AY166" s="2765">
        <f t="shared" si="68"/>
        <v>0</v>
      </c>
      <c r="AZ166" s="2720">
        <f t="shared" si="69"/>
        <v>0</v>
      </c>
      <c r="BA166" s="2720">
        <f t="shared" si="70"/>
        <v>0</v>
      </c>
      <c r="BB166" s="2720">
        <f t="shared" si="71"/>
        <v>0</v>
      </c>
      <c r="BC166" s="2720">
        <f t="shared" si="72"/>
        <v>0</v>
      </c>
      <c r="BD166" s="2720">
        <f t="shared" si="73"/>
        <v>0</v>
      </c>
      <c r="BE166" s="2720">
        <f t="shared" si="74"/>
        <v>0</v>
      </c>
      <c r="BF166" s="2720">
        <f t="shared" si="75"/>
        <v>0</v>
      </c>
      <c r="BG166" s="2720">
        <f t="shared" si="76"/>
        <v>0</v>
      </c>
      <c r="BH166" s="2720">
        <f t="shared" si="77"/>
        <v>0</v>
      </c>
      <c r="BI166" s="2720">
        <f t="shared" si="78"/>
        <v>0</v>
      </c>
      <c r="BJ166" s="2720">
        <f t="shared" si="79"/>
        <v>0</v>
      </c>
      <c r="BK166" s="2720">
        <f t="shared" si="80"/>
        <v>0</v>
      </c>
      <c r="BL166" s="2720">
        <f t="shared" si="81"/>
        <v>0</v>
      </c>
      <c r="BM166" s="2720">
        <f t="shared" si="82"/>
        <v>0</v>
      </c>
      <c r="BN166" s="2720">
        <f t="shared" si="83"/>
        <v>0</v>
      </c>
      <c r="BO166" s="2720">
        <f t="shared" si="84"/>
        <v>0</v>
      </c>
      <c r="BP166" s="2720">
        <f t="shared" si="85"/>
        <v>0</v>
      </c>
      <c r="BQ166" s="2720">
        <f t="shared" si="86"/>
        <v>0</v>
      </c>
      <c r="BR166" s="2720">
        <f t="shared" si="87"/>
        <v>0</v>
      </c>
      <c r="BS166" s="2720">
        <f t="shared" si="88"/>
        <v>0</v>
      </c>
      <c r="BT166" s="2772">
        <f t="shared" si="89"/>
        <v>0</v>
      </c>
    </row>
    <row r="167" spans="1:72">
      <c r="A167" s="2717"/>
      <c r="B167" s="2718"/>
      <c r="C167" s="2718"/>
      <c r="D167" s="2719"/>
      <c r="E167" s="2720">
        <f t="shared" si="90"/>
        <v>0</v>
      </c>
      <c r="F167" s="2721"/>
      <c r="G167" s="2722">
        <f t="shared" si="65"/>
        <v>0</v>
      </c>
      <c r="H167" s="2723">
        <f t="shared" si="66"/>
        <v>0</v>
      </c>
      <c r="I167" s="2730"/>
      <c r="J167" s="2730"/>
      <c r="K167" s="2730"/>
      <c r="L167" s="2730"/>
      <c r="M167" s="2730"/>
      <c r="N167" s="2730"/>
      <c r="O167" s="2730"/>
      <c r="P167" s="2730"/>
      <c r="Q167" s="2730"/>
      <c r="R167" s="2730"/>
      <c r="S167" s="2730"/>
      <c r="T167" s="2730"/>
      <c r="U167" s="2730"/>
      <c r="V167" s="2730"/>
      <c r="W167" s="2730"/>
      <c r="X167" s="2730"/>
      <c r="Y167" s="2730"/>
      <c r="Z167" s="2730"/>
      <c r="AA167" s="2730"/>
      <c r="AB167" s="2730"/>
      <c r="AC167" s="2720">
        <f t="shared" si="67"/>
        <v>0</v>
      </c>
      <c r="AD167" s="2740"/>
      <c r="AE167" s="2740"/>
      <c r="AF167" s="2740"/>
      <c r="AG167" s="2740"/>
      <c r="AH167" s="2740"/>
      <c r="AI167" s="2740"/>
      <c r="AJ167" s="2740"/>
      <c r="AK167" s="2740"/>
      <c r="AL167" s="2740"/>
      <c r="AM167" s="2740"/>
      <c r="AN167" s="2740"/>
      <c r="AO167" s="2740"/>
      <c r="AP167" s="2740"/>
      <c r="AQ167" s="2740"/>
      <c r="AR167" s="2740"/>
      <c r="AS167" s="2740"/>
      <c r="AT167" s="2750"/>
      <c r="AU167" s="2751"/>
      <c r="AV167" s="1092">
        <f t="shared" si="91"/>
        <v>0</v>
      </c>
      <c r="AW167" s="1092">
        <f t="shared" si="92"/>
        <v>0</v>
      </c>
      <c r="AX167" s="1092">
        <f t="shared" si="93"/>
        <v>0</v>
      </c>
      <c r="AY167" s="2765">
        <f t="shared" si="68"/>
        <v>0</v>
      </c>
      <c r="AZ167" s="2720">
        <f t="shared" si="69"/>
        <v>0</v>
      </c>
      <c r="BA167" s="2720">
        <f t="shared" si="70"/>
        <v>0</v>
      </c>
      <c r="BB167" s="2720">
        <f t="shared" si="71"/>
        <v>0</v>
      </c>
      <c r="BC167" s="2720">
        <f t="shared" si="72"/>
        <v>0</v>
      </c>
      <c r="BD167" s="2720">
        <f t="shared" si="73"/>
        <v>0</v>
      </c>
      <c r="BE167" s="2720">
        <f t="shared" si="74"/>
        <v>0</v>
      </c>
      <c r="BF167" s="2720">
        <f t="shared" si="75"/>
        <v>0</v>
      </c>
      <c r="BG167" s="2720">
        <f t="shared" si="76"/>
        <v>0</v>
      </c>
      <c r="BH167" s="2720">
        <f t="shared" si="77"/>
        <v>0</v>
      </c>
      <c r="BI167" s="2720">
        <f t="shared" si="78"/>
        <v>0</v>
      </c>
      <c r="BJ167" s="2720">
        <f t="shared" si="79"/>
        <v>0</v>
      </c>
      <c r="BK167" s="2720">
        <f t="shared" si="80"/>
        <v>0</v>
      </c>
      <c r="BL167" s="2720">
        <f t="shared" si="81"/>
        <v>0</v>
      </c>
      <c r="BM167" s="2720">
        <f t="shared" si="82"/>
        <v>0</v>
      </c>
      <c r="BN167" s="2720">
        <f t="shared" si="83"/>
        <v>0</v>
      </c>
      <c r="BO167" s="2720">
        <f t="shared" si="84"/>
        <v>0</v>
      </c>
      <c r="BP167" s="2720">
        <f t="shared" si="85"/>
        <v>0</v>
      </c>
      <c r="BQ167" s="2720">
        <f t="shared" si="86"/>
        <v>0</v>
      </c>
      <c r="BR167" s="2720">
        <f t="shared" si="87"/>
        <v>0</v>
      </c>
      <c r="BS167" s="2720">
        <f t="shared" si="88"/>
        <v>0</v>
      </c>
      <c r="BT167" s="2772">
        <f t="shared" si="89"/>
        <v>0</v>
      </c>
    </row>
    <row r="168" spans="1:72">
      <c r="A168" s="2717"/>
      <c r="B168" s="2718"/>
      <c r="C168" s="2718"/>
      <c r="D168" s="2719"/>
      <c r="E168" s="2720">
        <f t="shared" si="90"/>
        <v>0</v>
      </c>
      <c r="F168" s="2721"/>
      <c r="G168" s="2722">
        <f t="shared" si="65"/>
        <v>0</v>
      </c>
      <c r="H168" s="2723">
        <f t="shared" si="66"/>
        <v>0</v>
      </c>
      <c r="I168" s="2730"/>
      <c r="J168" s="2730"/>
      <c r="K168" s="2730"/>
      <c r="L168" s="2730"/>
      <c r="M168" s="2730"/>
      <c r="N168" s="2730"/>
      <c r="O168" s="2730"/>
      <c r="P168" s="2730"/>
      <c r="Q168" s="2730"/>
      <c r="R168" s="2730"/>
      <c r="S168" s="2730"/>
      <c r="T168" s="2730"/>
      <c r="U168" s="2730"/>
      <c r="V168" s="2730"/>
      <c r="W168" s="2730"/>
      <c r="X168" s="2730"/>
      <c r="Y168" s="2730"/>
      <c r="Z168" s="2730"/>
      <c r="AA168" s="2730"/>
      <c r="AB168" s="2730"/>
      <c r="AC168" s="2720">
        <f t="shared" si="67"/>
        <v>0</v>
      </c>
      <c r="AD168" s="2740"/>
      <c r="AE168" s="2740"/>
      <c r="AF168" s="2740"/>
      <c r="AG168" s="2740"/>
      <c r="AH168" s="2740"/>
      <c r="AI168" s="2740"/>
      <c r="AJ168" s="2740"/>
      <c r="AK168" s="2740"/>
      <c r="AL168" s="2740"/>
      <c r="AM168" s="2740"/>
      <c r="AN168" s="2740"/>
      <c r="AO168" s="2740"/>
      <c r="AP168" s="2740"/>
      <c r="AQ168" s="2740"/>
      <c r="AR168" s="2740"/>
      <c r="AS168" s="2740"/>
      <c r="AT168" s="2750"/>
      <c r="AU168" s="2751"/>
      <c r="AV168" s="1092">
        <f t="shared" si="91"/>
        <v>0</v>
      </c>
      <c r="AW168" s="1092">
        <f t="shared" si="92"/>
        <v>0</v>
      </c>
      <c r="AX168" s="1092">
        <f t="shared" si="93"/>
        <v>0</v>
      </c>
      <c r="AY168" s="2765">
        <f t="shared" si="68"/>
        <v>0</v>
      </c>
      <c r="AZ168" s="2720">
        <f t="shared" si="69"/>
        <v>0</v>
      </c>
      <c r="BA168" s="2720">
        <f t="shared" si="70"/>
        <v>0</v>
      </c>
      <c r="BB168" s="2720">
        <f t="shared" si="71"/>
        <v>0</v>
      </c>
      <c r="BC168" s="2720">
        <f t="shared" si="72"/>
        <v>0</v>
      </c>
      <c r="BD168" s="2720">
        <f t="shared" si="73"/>
        <v>0</v>
      </c>
      <c r="BE168" s="2720">
        <f t="shared" si="74"/>
        <v>0</v>
      </c>
      <c r="BF168" s="2720">
        <f t="shared" si="75"/>
        <v>0</v>
      </c>
      <c r="BG168" s="2720">
        <f t="shared" si="76"/>
        <v>0</v>
      </c>
      <c r="BH168" s="2720">
        <f t="shared" si="77"/>
        <v>0</v>
      </c>
      <c r="BI168" s="2720">
        <f t="shared" si="78"/>
        <v>0</v>
      </c>
      <c r="BJ168" s="2720">
        <f t="shared" si="79"/>
        <v>0</v>
      </c>
      <c r="BK168" s="2720">
        <f t="shared" si="80"/>
        <v>0</v>
      </c>
      <c r="BL168" s="2720">
        <f t="shared" si="81"/>
        <v>0</v>
      </c>
      <c r="BM168" s="2720">
        <f t="shared" si="82"/>
        <v>0</v>
      </c>
      <c r="BN168" s="2720">
        <f t="shared" si="83"/>
        <v>0</v>
      </c>
      <c r="BO168" s="2720">
        <f t="shared" si="84"/>
        <v>0</v>
      </c>
      <c r="BP168" s="2720">
        <f t="shared" si="85"/>
        <v>0</v>
      </c>
      <c r="BQ168" s="2720">
        <f t="shared" si="86"/>
        <v>0</v>
      </c>
      <c r="BR168" s="2720">
        <f t="shared" si="87"/>
        <v>0</v>
      </c>
      <c r="BS168" s="2720">
        <f t="shared" si="88"/>
        <v>0</v>
      </c>
      <c r="BT168" s="2772">
        <f t="shared" si="89"/>
        <v>0</v>
      </c>
    </row>
    <row r="169" spans="1:72">
      <c r="A169" s="2717"/>
      <c r="B169" s="2718"/>
      <c r="C169" s="2718"/>
      <c r="D169" s="2719"/>
      <c r="E169" s="2720">
        <f t="shared" si="90"/>
        <v>0</v>
      </c>
      <c r="F169" s="2721"/>
      <c r="G169" s="2722">
        <f t="shared" si="65"/>
        <v>0</v>
      </c>
      <c r="H169" s="2723">
        <f t="shared" si="66"/>
        <v>0</v>
      </c>
      <c r="I169" s="2730"/>
      <c r="J169" s="2730"/>
      <c r="K169" s="2730"/>
      <c r="L169" s="2730"/>
      <c r="M169" s="2730"/>
      <c r="N169" s="2730"/>
      <c r="O169" s="2730"/>
      <c r="P169" s="2730"/>
      <c r="Q169" s="2730"/>
      <c r="R169" s="2730"/>
      <c r="S169" s="2730"/>
      <c r="T169" s="2730"/>
      <c r="U169" s="2730"/>
      <c r="V169" s="2730"/>
      <c r="W169" s="2730"/>
      <c r="X169" s="2730"/>
      <c r="Y169" s="2730"/>
      <c r="Z169" s="2730"/>
      <c r="AA169" s="2730"/>
      <c r="AB169" s="2730"/>
      <c r="AC169" s="2720">
        <f t="shared" si="67"/>
        <v>0</v>
      </c>
      <c r="AD169" s="2740"/>
      <c r="AE169" s="2740"/>
      <c r="AF169" s="2740"/>
      <c r="AG169" s="2740"/>
      <c r="AH169" s="2740"/>
      <c r="AI169" s="2740"/>
      <c r="AJ169" s="2740"/>
      <c r="AK169" s="2740"/>
      <c r="AL169" s="2740"/>
      <c r="AM169" s="2740"/>
      <c r="AN169" s="2740"/>
      <c r="AO169" s="2740"/>
      <c r="AP169" s="2740"/>
      <c r="AQ169" s="2740"/>
      <c r="AR169" s="2740"/>
      <c r="AS169" s="2740"/>
      <c r="AT169" s="2750"/>
      <c r="AU169" s="2751"/>
      <c r="AV169" s="1092">
        <f t="shared" si="91"/>
        <v>0</v>
      </c>
      <c r="AW169" s="1092">
        <f t="shared" si="92"/>
        <v>0</v>
      </c>
      <c r="AX169" s="1092">
        <f t="shared" si="93"/>
        <v>0</v>
      </c>
      <c r="AY169" s="2765">
        <f t="shared" si="68"/>
        <v>0</v>
      </c>
      <c r="AZ169" s="2720">
        <f t="shared" si="69"/>
        <v>0</v>
      </c>
      <c r="BA169" s="2720">
        <f t="shared" si="70"/>
        <v>0</v>
      </c>
      <c r="BB169" s="2720">
        <f t="shared" si="71"/>
        <v>0</v>
      </c>
      <c r="BC169" s="2720">
        <f t="shared" si="72"/>
        <v>0</v>
      </c>
      <c r="BD169" s="2720">
        <f t="shared" si="73"/>
        <v>0</v>
      </c>
      <c r="BE169" s="2720">
        <f t="shared" si="74"/>
        <v>0</v>
      </c>
      <c r="BF169" s="2720">
        <f t="shared" si="75"/>
        <v>0</v>
      </c>
      <c r="BG169" s="2720">
        <f t="shared" si="76"/>
        <v>0</v>
      </c>
      <c r="BH169" s="2720">
        <f t="shared" si="77"/>
        <v>0</v>
      </c>
      <c r="BI169" s="2720">
        <f t="shared" si="78"/>
        <v>0</v>
      </c>
      <c r="BJ169" s="2720">
        <f t="shared" si="79"/>
        <v>0</v>
      </c>
      <c r="BK169" s="2720">
        <f t="shared" si="80"/>
        <v>0</v>
      </c>
      <c r="BL169" s="2720">
        <f t="shared" si="81"/>
        <v>0</v>
      </c>
      <c r="BM169" s="2720">
        <f t="shared" si="82"/>
        <v>0</v>
      </c>
      <c r="BN169" s="2720">
        <f t="shared" si="83"/>
        <v>0</v>
      </c>
      <c r="BO169" s="2720">
        <f t="shared" si="84"/>
        <v>0</v>
      </c>
      <c r="BP169" s="2720">
        <f t="shared" si="85"/>
        <v>0</v>
      </c>
      <c r="BQ169" s="2720">
        <f t="shared" si="86"/>
        <v>0</v>
      </c>
      <c r="BR169" s="2720">
        <f t="shared" si="87"/>
        <v>0</v>
      </c>
      <c r="BS169" s="2720">
        <f t="shared" si="88"/>
        <v>0</v>
      </c>
      <c r="BT169" s="2772">
        <f t="shared" si="89"/>
        <v>0</v>
      </c>
    </row>
    <row r="170" spans="1:72">
      <c r="A170" s="2717"/>
      <c r="B170" s="2718"/>
      <c r="C170" s="2718"/>
      <c r="D170" s="2719"/>
      <c r="E170" s="2720">
        <f t="shared" si="90"/>
        <v>0</v>
      </c>
      <c r="F170" s="2721"/>
      <c r="G170" s="2722">
        <f t="shared" si="65"/>
        <v>0</v>
      </c>
      <c r="H170" s="2723">
        <f t="shared" si="66"/>
        <v>0</v>
      </c>
      <c r="I170" s="2730"/>
      <c r="J170" s="2730"/>
      <c r="K170" s="2730"/>
      <c r="L170" s="2730"/>
      <c r="M170" s="2730"/>
      <c r="N170" s="2730"/>
      <c r="O170" s="2730"/>
      <c r="P170" s="2730"/>
      <c r="Q170" s="2730"/>
      <c r="R170" s="2730"/>
      <c r="S170" s="2730"/>
      <c r="T170" s="2730"/>
      <c r="U170" s="2730"/>
      <c r="V170" s="2730"/>
      <c r="W170" s="2730"/>
      <c r="X170" s="2730"/>
      <c r="Y170" s="2730"/>
      <c r="Z170" s="2730"/>
      <c r="AA170" s="2730"/>
      <c r="AB170" s="2730"/>
      <c r="AC170" s="2720">
        <f t="shared" si="67"/>
        <v>0</v>
      </c>
      <c r="AD170" s="2740"/>
      <c r="AE170" s="2740"/>
      <c r="AF170" s="2740"/>
      <c r="AG170" s="2740"/>
      <c r="AH170" s="2740"/>
      <c r="AI170" s="2740"/>
      <c r="AJ170" s="2740"/>
      <c r="AK170" s="2740"/>
      <c r="AL170" s="2740"/>
      <c r="AM170" s="2740"/>
      <c r="AN170" s="2740"/>
      <c r="AO170" s="2740"/>
      <c r="AP170" s="2740"/>
      <c r="AQ170" s="2740"/>
      <c r="AR170" s="2740"/>
      <c r="AS170" s="2740"/>
      <c r="AT170" s="2750"/>
      <c r="AU170" s="2751"/>
      <c r="AV170" s="1092">
        <f t="shared" si="91"/>
        <v>0</v>
      </c>
      <c r="AW170" s="1092">
        <f t="shared" si="92"/>
        <v>0</v>
      </c>
      <c r="AX170" s="1092">
        <f t="shared" si="93"/>
        <v>0</v>
      </c>
      <c r="AY170" s="2765">
        <f t="shared" si="68"/>
        <v>0</v>
      </c>
      <c r="AZ170" s="2720">
        <f t="shared" si="69"/>
        <v>0</v>
      </c>
      <c r="BA170" s="2720">
        <f t="shared" si="70"/>
        <v>0</v>
      </c>
      <c r="BB170" s="2720">
        <f t="shared" si="71"/>
        <v>0</v>
      </c>
      <c r="BC170" s="2720">
        <f t="shared" si="72"/>
        <v>0</v>
      </c>
      <c r="BD170" s="2720">
        <f t="shared" si="73"/>
        <v>0</v>
      </c>
      <c r="BE170" s="2720">
        <f t="shared" si="74"/>
        <v>0</v>
      </c>
      <c r="BF170" s="2720">
        <f t="shared" si="75"/>
        <v>0</v>
      </c>
      <c r="BG170" s="2720">
        <f t="shared" si="76"/>
        <v>0</v>
      </c>
      <c r="BH170" s="2720">
        <f t="shared" si="77"/>
        <v>0</v>
      </c>
      <c r="BI170" s="2720">
        <f t="shared" si="78"/>
        <v>0</v>
      </c>
      <c r="BJ170" s="2720">
        <f t="shared" si="79"/>
        <v>0</v>
      </c>
      <c r="BK170" s="2720">
        <f t="shared" si="80"/>
        <v>0</v>
      </c>
      <c r="BL170" s="2720">
        <f t="shared" si="81"/>
        <v>0</v>
      </c>
      <c r="BM170" s="2720">
        <f t="shared" si="82"/>
        <v>0</v>
      </c>
      <c r="BN170" s="2720">
        <f t="shared" si="83"/>
        <v>0</v>
      </c>
      <c r="BO170" s="2720">
        <f t="shared" si="84"/>
        <v>0</v>
      </c>
      <c r="BP170" s="2720">
        <f t="shared" si="85"/>
        <v>0</v>
      </c>
      <c r="BQ170" s="2720">
        <f t="shared" si="86"/>
        <v>0</v>
      </c>
      <c r="BR170" s="2720">
        <f t="shared" si="87"/>
        <v>0</v>
      </c>
      <c r="BS170" s="2720">
        <f t="shared" si="88"/>
        <v>0</v>
      </c>
      <c r="BT170" s="2772">
        <f t="shared" si="89"/>
        <v>0</v>
      </c>
    </row>
    <row r="171" spans="1:72">
      <c r="A171" s="2717"/>
      <c r="B171" s="2718"/>
      <c r="C171" s="2718"/>
      <c r="D171" s="2719"/>
      <c r="E171" s="2720">
        <f t="shared" si="90"/>
        <v>0</v>
      </c>
      <c r="F171" s="2721"/>
      <c r="G171" s="2722">
        <f t="shared" si="65"/>
        <v>0</v>
      </c>
      <c r="H171" s="2723">
        <f t="shared" si="66"/>
        <v>0</v>
      </c>
      <c r="I171" s="2730"/>
      <c r="J171" s="2730"/>
      <c r="K171" s="2730"/>
      <c r="L171" s="2730"/>
      <c r="M171" s="2730"/>
      <c r="N171" s="2730"/>
      <c r="O171" s="2730"/>
      <c r="P171" s="2730"/>
      <c r="Q171" s="2730"/>
      <c r="R171" s="2730"/>
      <c r="S171" s="2730"/>
      <c r="T171" s="2730"/>
      <c r="U171" s="2730"/>
      <c r="V171" s="2730"/>
      <c r="W171" s="2730"/>
      <c r="X171" s="2730"/>
      <c r="Y171" s="2730"/>
      <c r="Z171" s="2730"/>
      <c r="AA171" s="2730"/>
      <c r="AB171" s="2730"/>
      <c r="AC171" s="2720">
        <f t="shared" si="67"/>
        <v>0</v>
      </c>
      <c r="AD171" s="2740"/>
      <c r="AE171" s="2740"/>
      <c r="AF171" s="2740"/>
      <c r="AG171" s="2740"/>
      <c r="AH171" s="2740"/>
      <c r="AI171" s="2740"/>
      <c r="AJ171" s="2740"/>
      <c r="AK171" s="2740"/>
      <c r="AL171" s="2740"/>
      <c r="AM171" s="2740"/>
      <c r="AN171" s="2740"/>
      <c r="AO171" s="2740"/>
      <c r="AP171" s="2740"/>
      <c r="AQ171" s="2740"/>
      <c r="AR171" s="2740"/>
      <c r="AS171" s="2740"/>
      <c r="AT171" s="2750"/>
      <c r="AU171" s="2751"/>
      <c r="AV171" s="1092">
        <f t="shared" si="91"/>
        <v>0</v>
      </c>
      <c r="AW171" s="1092">
        <f t="shared" si="92"/>
        <v>0</v>
      </c>
      <c r="AX171" s="1092">
        <f t="shared" si="93"/>
        <v>0</v>
      </c>
      <c r="AY171" s="2765">
        <f t="shared" si="68"/>
        <v>0</v>
      </c>
      <c r="AZ171" s="2720">
        <f t="shared" si="69"/>
        <v>0</v>
      </c>
      <c r="BA171" s="2720">
        <f t="shared" si="70"/>
        <v>0</v>
      </c>
      <c r="BB171" s="2720">
        <f t="shared" si="71"/>
        <v>0</v>
      </c>
      <c r="BC171" s="2720">
        <f t="shared" si="72"/>
        <v>0</v>
      </c>
      <c r="BD171" s="2720">
        <f t="shared" si="73"/>
        <v>0</v>
      </c>
      <c r="BE171" s="2720">
        <f t="shared" si="74"/>
        <v>0</v>
      </c>
      <c r="BF171" s="2720">
        <f t="shared" si="75"/>
        <v>0</v>
      </c>
      <c r="BG171" s="2720">
        <f t="shared" si="76"/>
        <v>0</v>
      </c>
      <c r="BH171" s="2720">
        <f t="shared" si="77"/>
        <v>0</v>
      </c>
      <c r="BI171" s="2720">
        <f t="shared" si="78"/>
        <v>0</v>
      </c>
      <c r="BJ171" s="2720">
        <f t="shared" si="79"/>
        <v>0</v>
      </c>
      <c r="BK171" s="2720">
        <f t="shared" si="80"/>
        <v>0</v>
      </c>
      <c r="BL171" s="2720">
        <f t="shared" si="81"/>
        <v>0</v>
      </c>
      <c r="BM171" s="2720">
        <f t="shared" si="82"/>
        <v>0</v>
      </c>
      <c r="BN171" s="2720">
        <f t="shared" si="83"/>
        <v>0</v>
      </c>
      <c r="BO171" s="2720">
        <f t="shared" si="84"/>
        <v>0</v>
      </c>
      <c r="BP171" s="2720">
        <f t="shared" si="85"/>
        <v>0</v>
      </c>
      <c r="BQ171" s="2720">
        <f t="shared" si="86"/>
        <v>0</v>
      </c>
      <c r="BR171" s="2720">
        <f t="shared" si="87"/>
        <v>0</v>
      </c>
      <c r="BS171" s="2720">
        <f t="shared" si="88"/>
        <v>0</v>
      </c>
      <c r="BT171" s="2772">
        <f t="shared" si="89"/>
        <v>0</v>
      </c>
    </row>
    <row r="172" spans="1:72">
      <c r="A172" s="2717"/>
      <c r="B172" s="2718"/>
      <c r="C172" s="2718"/>
      <c r="D172" s="2719"/>
      <c r="E172" s="2720">
        <f t="shared" si="90"/>
        <v>0</v>
      </c>
      <c r="F172" s="2721"/>
      <c r="G172" s="2722">
        <f t="shared" si="65"/>
        <v>0</v>
      </c>
      <c r="H172" s="2723">
        <f t="shared" si="66"/>
        <v>0</v>
      </c>
      <c r="I172" s="2730"/>
      <c r="J172" s="2730"/>
      <c r="K172" s="2730"/>
      <c r="L172" s="2730"/>
      <c r="M172" s="2730"/>
      <c r="N172" s="2730"/>
      <c r="O172" s="2730"/>
      <c r="P172" s="2730"/>
      <c r="Q172" s="2730"/>
      <c r="R172" s="2730"/>
      <c r="S172" s="2730"/>
      <c r="T172" s="2730"/>
      <c r="U172" s="2730"/>
      <c r="V172" s="2730"/>
      <c r="W172" s="2730"/>
      <c r="X172" s="2730"/>
      <c r="Y172" s="2730"/>
      <c r="Z172" s="2730"/>
      <c r="AA172" s="2730"/>
      <c r="AB172" s="2730"/>
      <c r="AC172" s="2720">
        <f t="shared" si="67"/>
        <v>0</v>
      </c>
      <c r="AD172" s="2740"/>
      <c r="AE172" s="2740"/>
      <c r="AF172" s="2740"/>
      <c r="AG172" s="2740"/>
      <c r="AH172" s="2740"/>
      <c r="AI172" s="2740"/>
      <c r="AJ172" s="2740"/>
      <c r="AK172" s="2740"/>
      <c r="AL172" s="2740"/>
      <c r="AM172" s="2740"/>
      <c r="AN172" s="2740"/>
      <c r="AO172" s="2740"/>
      <c r="AP172" s="2740"/>
      <c r="AQ172" s="2740"/>
      <c r="AR172" s="2740"/>
      <c r="AS172" s="2740"/>
      <c r="AT172" s="2750"/>
      <c r="AU172" s="2751"/>
      <c r="AV172" s="1092">
        <f t="shared" si="91"/>
        <v>0</v>
      </c>
      <c r="AW172" s="1092">
        <f t="shared" si="92"/>
        <v>0</v>
      </c>
      <c r="AX172" s="1092">
        <f t="shared" si="93"/>
        <v>0</v>
      </c>
      <c r="AY172" s="2765">
        <f t="shared" si="68"/>
        <v>0</v>
      </c>
      <c r="AZ172" s="2720">
        <f t="shared" si="69"/>
        <v>0</v>
      </c>
      <c r="BA172" s="2720">
        <f t="shared" si="70"/>
        <v>0</v>
      </c>
      <c r="BB172" s="2720">
        <f t="shared" si="71"/>
        <v>0</v>
      </c>
      <c r="BC172" s="2720">
        <f t="shared" si="72"/>
        <v>0</v>
      </c>
      <c r="BD172" s="2720">
        <f t="shared" si="73"/>
        <v>0</v>
      </c>
      <c r="BE172" s="2720">
        <f t="shared" si="74"/>
        <v>0</v>
      </c>
      <c r="BF172" s="2720">
        <f t="shared" si="75"/>
        <v>0</v>
      </c>
      <c r="BG172" s="2720">
        <f t="shared" si="76"/>
        <v>0</v>
      </c>
      <c r="BH172" s="2720">
        <f t="shared" si="77"/>
        <v>0</v>
      </c>
      <c r="BI172" s="2720">
        <f t="shared" si="78"/>
        <v>0</v>
      </c>
      <c r="BJ172" s="2720">
        <f t="shared" si="79"/>
        <v>0</v>
      </c>
      <c r="BK172" s="2720">
        <f t="shared" si="80"/>
        <v>0</v>
      </c>
      <c r="BL172" s="2720">
        <f t="shared" si="81"/>
        <v>0</v>
      </c>
      <c r="BM172" s="2720">
        <f t="shared" si="82"/>
        <v>0</v>
      </c>
      <c r="BN172" s="2720">
        <f t="shared" si="83"/>
        <v>0</v>
      </c>
      <c r="BO172" s="2720">
        <f t="shared" si="84"/>
        <v>0</v>
      </c>
      <c r="BP172" s="2720">
        <f t="shared" si="85"/>
        <v>0</v>
      </c>
      <c r="BQ172" s="2720">
        <f t="shared" si="86"/>
        <v>0</v>
      </c>
      <c r="BR172" s="2720">
        <f t="shared" si="87"/>
        <v>0</v>
      </c>
      <c r="BS172" s="2720">
        <f t="shared" si="88"/>
        <v>0</v>
      </c>
      <c r="BT172" s="2772">
        <f t="shared" si="89"/>
        <v>0</v>
      </c>
    </row>
    <row r="173" spans="1:72">
      <c r="A173" s="2717"/>
      <c r="B173" s="2718"/>
      <c r="C173" s="2718"/>
      <c r="D173" s="2719"/>
      <c r="E173" s="2720">
        <f t="shared" si="90"/>
        <v>0</v>
      </c>
      <c r="F173" s="2721"/>
      <c r="G173" s="2722">
        <f t="shared" si="65"/>
        <v>0</v>
      </c>
      <c r="H173" s="2723">
        <f t="shared" si="66"/>
        <v>0</v>
      </c>
      <c r="I173" s="2730"/>
      <c r="J173" s="2730"/>
      <c r="K173" s="2730"/>
      <c r="L173" s="2730"/>
      <c r="M173" s="2730"/>
      <c r="N173" s="2730"/>
      <c r="O173" s="2730"/>
      <c r="P173" s="2730"/>
      <c r="Q173" s="2730"/>
      <c r="R173" s="2730"/>
      <c r="S173" s="2730"/>
      <c r="T173" s="2730"/>
      <c r="U173" s="2730"/>
      <c r="V173" s="2730"/>
      <c r="W173" s="2730"/>
      <c r="X173" s="2730"/>
      <c r="Y173" s="2730"/>
      <c r="Z173" s="2730"/>
      <c r="AA173" s="2730"/>
      <c r="AB173" s="2730"/>
      <c r="AC173" s="2720">
        <f t="shared" si="67"/>
        <v>0</v>
      </c>
      <c r="AD173" s="2740"/>
      <c r="AE173" s="2740"/>
      <c r="AF173" s="2740"/>
      <c r="AG173" s="2740"/>
      <c r="AH173" s="2740"/>
      <c r="AI173" s="2740"/>
      <c r="AJ173" s="2740"/>
      <c r="AK173" s="2740"/>
      <c r="AL173" s="2740"/>
      <c r="AM173" s="2740"/>
      <c r="AN173" s="2740"/>
      <c r="AO173" s="2740"/>
      <c r="AP173" s="2740"/>
      <c r="AQ173" s="2740"/>
      <c r="AR173" s="2740"/>
      <c r="AS173" s="2740"/>
      <c r="AT173" s="2750"/>
      <c r="AU173" s="2751"/>
      <c r="AV173" s="1092">
        <f t="shared" si="91"/>
        <v>0</v>
      </c>
      <c r="AW173" s="1092">
        <f t="shared" si="92"/>
        <v>0</v>
      </c>
      <c r="AX173" s="1092">
        <f t="shared" si="93"/>
        <v>0</v>
      </c>
      <c r="AY173" s="2765">
        <f t="shared" si="68"/>
        <v>0</v>
      </c>
      <c r="AZ173" s="2720">
        <f t="shared" si="69"/>
        <v>0</v>
      </c>
      <c r="BA173" s="2720">
        <f t="shared" si="70"/>
        <v>0</v>
      </c>
      <c r="BB173" s="2720">
        <f t="shared" si="71"/>
        <v>0</v>
      </c>
      <c r="BC173" s="2720">
        <f t="shared" si="72"/>
        <v>0</v>
      </c>
      <c r="BD173" s="2720">
        <f t="shared" si="73"/>
        <v>0</v>
      </c>
      <c r="BE173" s="2720">
        <f t="shared" si="74"/>
        <v>0</v>
      </c>
      <c r="BF173" s="2720">
        <f t="shared" si="75"/>
        <v>0</v>
      </c>
      <c r="BG173" s="2720">
        <f t="shared" si="76"/>
        <v>0</v>
      </c>
      <c r="BH173" s="2720">
        <f t="shared" si="77"/>
        <v>0</v>
      </c>
      <c r="BI173" s="2720">
        <f t="shared" si="78"/>
        <v>0</v>
      </c>
      <c r="BJ173" s="2720">
        <f t="shared" si="79"/>
        <v>0</v>
      </c>
      <c r="BK173" s="2720">
        <f t="shared" si="80"/>
        <v>0</v>
      </c>
      <c r="BL173" s="2720">
        <f t="shared" si="81"/>
        <v>0</v>
      </c>
      <c r="BM173" s="2720">
        <f t="shared" si="82"/>
        <v>0</v>
      </c>
      <c r="BN173" s="2720">
        <f t="shared" si="83"/>
        <v>0</v>
      </c>
      <c r="BO173" s="2720">
        <f t="shared" si="84"/>
        <v>0</v>
      </c>
      <c r="BP173" s="2720">
        <f t="shared" si="85"/>
        <v>0</v>
      </c>
      <c r="BQ173" s="2720">
        <f t="shared" si="86"/>
        <v>0</v>
      </c>
      <c r="BR173" s="2720">
        <f t="shared" si="87"/>
        <v>0</v>
      </c>
      <c r="BS173" s="2720">
        <f t="shared" si="88"/>
        <v>0</v>
      </c>
      <c r="BT173" s="2772">
        <f t="shared" si="89"/>
        <v>0</v>
      </c>
    </row>
    <row r="174" spans="1:72">
      <c r="A174" s="2717"/>
      <c r="B174" s="2718"/>
      <c r="C174" s="2718"/>
      <c r="D174" s="2719"/>
      <c r="E174" s="2720">
        <f t="shared" si="90"/>
        <v>0</v>
      </c>
      <c r="F174" s="2721"/>
      <c r="G174" s="2722">
        <f t="shared" ref="G174:G207" si="94">H174+AC174+AT174</f>
        <v>0</v>
      </c>
      <c r="H174" s="2723">
        <f t="shared" ref="H174:H207" si="95">SUMIF(I$12:AB$12,"总值",I174:AB174)</f>
        <v>0</v>
      </c>
      <c r="I174" s="2730"/>
      <c r="J174" s="2730"/>
      <c r="K174" s="2730"/>
      <c r="L174" s="2730"/>
      <c r="M174" s="2730"/>
      <c r="N174" s="2730"/>
      <c r="O174" s="2730"/>
      <c r="P174" s="2730"/>
      <c r="Q174" s="2730"/>
      <c r="R174" s="2730"/>
      <c r="S174" s="2730"/>
      <c r="T174" s="2730"/>
      <c r="U174" s="2730"/>
      <c r="V174" s="2730"/>
      <c r="W174" s="2730"/>
      <c r="X174" s="2730"/>
      <c r="Y174" s="2730"/>
      <c r="Z174" s="2730"/>
      <c r="AA174" s="2730"/>
      <c r="AB174" s="2730"/>
      <c r="AC174" s="2720">
        <f t="shared" ref="AC174:AC207" si="96">SUMIF(AD$12:AS$12,"总值",AD174:AS174)</f>
        <v>0</v>
      </c>
      <c r="AD174" s="2740"/>
      <c r="AE174" s="2740"/>
      <c r="AF174" s="2740"/>
      <c r="AG174" s="2740"/>
      <c r="AH174" s="2740"/>
      <c r="AI174" s="2740"/>
      <c r="AJ174" s="2740"/>
      <c r="AK174" s="2740"/>
      <c r="AL174" s="2740"/>
      <c r="AM174" s="2740"/>
      <c r="AN174" s="2740"/>
      <c r="AO174" s="2740"/>
      <c r="AP174" s="2740"/>
      <c r="AQ174" s="2740"/>
      <c r="AR174" s="2740"/>
      <c r="AS174" s="2740"/>
      <c r="AT174" s="2750"/>
      <c r="AU174" s="2751"/>
      <c r="AV174" s="1092">
        <f t="shared" si="91"/>
        <v>0</v>
      </c>
      <c r="AW174" s="1092">
        <f t="shared" si="92"/>
        <v>0</v>
      </c>
      <c r="AX174" s="1092">
        <f t="shared" si="93"/>
        <v>0</v>
      </c>
      <c r="AY174" s="2765">
        <f t="shared" ref="AY174:AY207" si="97">ROUND($AY$6*AZ174/$AZ$5,2)</f>
        <v>0</v>
      </c>
      <c r="AZ174" s="2720">
        <f t="shared" ref="AZ174:AZ207" si="98">BA174+BL174</f>
        <v>0</v>
      </c>
      <c r="BA174" s="2720">
        <f t="shared" ref="BA174:BA207" si="99">SUM(BB174:BK174)</f>
        <v>0</v>
      </c>
      <c r="BB174" s="2720">
        <f t="shared" ref="BB174:BB207" si="100">IF($D174="是",I174-J174,0)</f>
        <v>0</v>
      </c>
      <c r="BC174" s="2720">
        <f t="shared" ref="BC174:BC207" si="101">IF($D174="是",K174-L174,0)</f>
        <v>0</v>
      </c>
      <c r="BD174" s="2720">
        <f t="shared" ref="BD174:BD207" si="102">IF($D174="是",M174-N174,0)</f>
        <v>0</v>
      </c>
      <c r="BE174" s="2720">
        <f t="shared" ref="BE174:BE207" si="103">IF($D174="是",O174-P174,0)</f>
        <v>0</v>
      </c>
      <c r="BF174" s="2720">
        <f t="shared" ref="BF174:BF207" si="104">IF($D174="是",Q174-R174,0)</f>
        <v>0</v>
      </c>
      <c r="BG174" s="2720">
        <f t="shared" ref="BG174:BG207" si="105">IF($D174="是",S174-T174,0)</f>
        <v>0</v>
      </c>
      <c r="BH174" s="2720">
        <f t="shared" ref="BH174:BH207" si="106">IF($D174="是",U174-V174,0)</f>
        <v>0</v>
      </c>
      <c r="BI174" s="2720">
        <f t="shared" ref="BI174:BI207" si="107">IF($D174="是",W174-X174,0)</f>
        <v>0</v>
      </c>
      <c r="BJ174" s="2720">
        <f t="shared" ref="BJ174:BJ207" si="108">IF($D174="是",Y174-Z174,0)</f>
        <v>0</v>
      </c>
      <c r="BK174" s="2720">
        <f t="shared" ref="BK174:BK207" si="109">IF($D174="是",AA174-AB174,0)</f>
        <v>0</v>
      </c>
      <c r="BL174" s="2720">
        <f t="shared" ref="BL174:BL207" si="110">SUM(BM174:BT174)</f>
        <v>0</v>
      </c>
      <c r="BM174" s="2720">
        <f t="shared" ref="BM174:BM207" si="111">IF($D174="是",AD174-AE174,0)</f>
        <v>0</v>
      </c>
      <c r="BN174" s="2720">
        <f t="shared" ref="BN174:BN207" si="112">IF($D174="是",AF174-AG174,0)</f>
        <v>0</v>
      </c>
      <c r="BO174" s="2720">
        <f t="shared" ref="BO174:BO207" si="113">IF($D174="是",AH174-AI174,0)</f>
        <v>0</v>
      </c>
      <c r="BP174" s="2720">
        <f t="shared" ref="BP174:BP207" si="114">IF($D174="是",AJ174-AK174,0)</f>
        <v>0</v>
      </c>
      <c r="BQ174" s="2720">
        <f t="shared" ref="BQ174:BQ207" si="115">IF($D174="是",AL174-AM174,0)</f>
        <v>0</v>
      </c>
      <c r="BR174" s="2720">
        <f t="shared" ref="BR174:BR207" si="116">IF($D174="是",AN174-AO174,0)</f>
        <v>0</v>
      </c>
      <c r="BS174" s="2720">
        <f t="shared" ref="BS174:BS207" si="117">IF($D174="是",AP174-AQ174,0)</f>
        <v>0</v>
      </c>
      <c r="BT174" s="2772">
        <f t="shared" ref="BT174:BT207" si="118">IF($D174="是",AR174-AS174,0)</f>
        <v>0</v>
      </c>
    </row>
    <row r="175" spans="1:72">
      <c r="A175" s="2717"/>
      <c r="B175" s="2718"/>
      <c r="C175" s="2718"/>
      <c r="D175" s="2719"/>
      <c r="E175" s="2720">
        <f t="shared" si="90"/>
        <v>0</v>
      </c>
      <c r="F175" s="2721"/>
      <c r="G175" s="2722">
        <f t="shared" si="94"/>
        <v>0</v>
      </c>
      <c r="H175" s="2723">
        <f t="shared" si="95"/>
        <v>0</v>
      </c>
      <c r="I175" s="2730"/>
      <c r="J175" s="2730"/>
      <c r="K175" s="2730"/>
      <c r="L175" s="2730"/>
      <c r="M175" s="2730"/>
      <c r="N175" s="2730"/>
      <c r="O175" s="2730"/>
      <c r="P175" s="2730"/>
      <c r="Q175" s="2730"/>
      <c r="R175" s="2730"/>
      <c r="S175" s="2730"/>
      <c r="T175" s="2730"/>
      <c r="U175" s="2730"/>
      <c r="V175" s="2730"/>
      <c r="W175" s="2730"/>
      <c r="X175" s="2730"/>
      <c r="Y175" s="2730"/>
      <c r="Z175" s="2730"/>
      <c r="AA175" s="2730"/>
      <c r="AB175" s="2730"/>
      <c r="AC175" s="2720">
        <f t="shared" si="96"/>
        <v>0</v>
      </c>
      <c r="AD175" s="2740"/>
      <c r="AE175" s="2740"/>
      <c r="AF175" s="2740"/>
      <c r="AG175" s="2740"/>
      <c r="AH175" s="2740"/>
      <c r="AI175" s="2740"/>
      <c r="AJ175" s="2740"/>
      <c r="AK175" s="2740"/>
      <c r="AL175" s="2740"/>
      <c r="AM175" s="2740"/>
      <c r="AN175" s="2740"/>
      <c r="AO175" s="2740"/>
      <c r="AP175" s="2740"/>
      <c r="AQ175" s="2740"/>
      <c r="AR175" s="2740"/>
      <c r="AS175" s="2740"/>
      <c r="AT175" s="2750"/>
      <c r="AU175" s="2751"/>
      <c r="AV175" s="1092">
        <f t="shared" si="91"/>
        <v>0</v>
      </c>
      <c r="AW175" s="1092">
        <f t="shared" si="92"/>
        <v>0</v>
      </c>
      <c r="AX175" s="1092">
        <f t="shared" si="93"/>
        <v>0</v>
      </c>
      <c r="AY175" s="2765">
        <f t="shared" si="97"/>
        <v>0</v>
      </c>
      <c r="AZ175" s="2720">
        <f t="shared" si="98"/>
        <v>0</v>
      </c>
      <c r="BA175" s="2720">
        <f t="shared" si="99"/>
        <v>0</v>
      </c>
      <c r="BB175" s="2720">
        <f t="shared" si="100"/>
        <v>0</v>
      </c>
      <c r="BC175" s="2720">
        <f t="shared" si="101"/>
        <v>0</v>
      </c>
      <c r="BD175" s="2720">
        <f t="shared" si="102"/>
        <v>0</v>
      </c>
      <c r="BE175" s="2720">
        <f t="shared" si="103"/>
        <v>0</v>
      </c>
      <c r="BF175" s="2720">
        <f t="shared" si="104"/>
        <v>0</v>
      </c>
      <c r="BG175" s="2720">
        <f t="shared" si="105"/>
        <v>0</v>
      </c>
      <c r="BH175" s="2720">
        <f t="shared" si="106"/>
        <v>0</v>
      </c>
      <c r="BI175" s="2720">
        <f t="shared" si="107"/>
        <v>0</v>
      </c>
      <c r="BJ175" s="2720">
        <f t="shared" si="108"/>
        <v>0</v>
      </c>
      <c r="BK175" s="2720">
        <f t="shared" si="109"/>
        <v>0</v>
      </c>
      <c r="BL175" s="2720">
        <f t="shared" si="110"/>
        <v>0</v>
      </c>
      <c r="BM175" s="2720">
        <f t="shared" si="111"/>
        <v>0</v>
      </c>
      <c r="BN175" s="2720">
        <f t="shared" si="112"/>
        <v>0</v>
      </c>
      <c r="BO175" s="2720">
        <f t="shared" si="113"/>
        <v>0</v>
      </c>
      <c r="BP175" s="2720">
        <f t="shared" si="114"/>
        <v>0</v>
      </c>
      <c r="BQ175" s="2720">
        <f t="shared" si="115"/>
        <v>0</v>
      </c>
      <c r="BR175" s="2720">
        <f t="shared" si="116"/>
        <v>0</v>
      </c>
      <c r="BS175" s="2720">
        <f t="shared" si="117"/>
        <v>0</v>
      </c>
      <c r="BT175" s="2772">
        <f t="shared" si="118"/>
        <v>0</v>
      </c>
    </row>
    <row r="176" spans="1:72">
      <c r="A176" s="2717"/>
      <c r="B176" s="2718"/>
      <c r="C176" s="2718"/>
      <c r="D176" s="2719"/>
      <c r="E176" s="2720">
        <f t="shared" si="90"/>
        <v>0</v>
      </c>
      <c r="F176" s="2721"/>
      <c r="G176" s="2722">
        <f t="shared" si="94"/>
        <v>0</v>
      </c>
      <c r="H176" s="2723">
        <f t="shared" si="95"/>
        <v>0</v>
      </c>
      <c r="I176" s="2730"/>
      <c r="J176" s="2730"/>
      <c r="K176" s="2730"/>
      <c r="L176" s="2730"/>
      <c r="M176" s="2730"/>
      <c r="N176" s="2730"/>
      <c r="O176" s="2730"/>
      <c r="P176" s="2730"/>
      <c r="Q176" s="2730"/>
      <c r="R176" s="2730"/>
      <c r="S176" s="2730"/>
      <c r="T176" s="2730"/>
      <c r="U176" s="2730"/>
      <c r="V176" s="2730"/>
      <c r="W176" s="2730"/>
      <c r="X176" s="2730"/>
      <c r="Y176" s="2730"/>
      <c r="Z176" s="2730"/>
      <c r="AA176" s="2730"/>
      <c r="AB176" s="2730"/>
      <c r="AC176" s="2720">
        <f t="shared" si="96"/>
        <v>0</v>
      </c>
      <c r="AD176" s="2740"/>
      <c r="AE176" s="2740"/>
      <c r="AF176" s="2740"/>
      <c r="AG176" s="2740"/>
      <c r="AH176" s="2740"/>
      <c r="AI176" s="2740"/>
      <c r="AJ176" s="2740"/>
      <c r="AK176" s="2740"/>
      <c r="AL176" s="2740"/>
      <c r="AM176" s="2740"/>
      <c r="AN176" s="2740"/>
      <c r="AO176" s="2740"/>
      <c r="AP176" s="2740"/>
      <c r="AQ176" s="2740"/>
      <c r="AR176" s="2740"/>
      <c r="AS176" s="2740"/>
      <c r="AT176" s="2750"/>
      <c r="AU176" s="2751"/>
      <c r="AV176" s="1092">
        <f t="shared" si="91"/>
        <v>0</v>
      </c>
      <c r="AW176" s="1092">
        <f t="shared" si="92"/>
        <v>0</v>
      </c>
      <c r="AX176" s="1092">
        <f t="shared" si="93"/>
        <v>0</v>
      </c>
      <c r="AY176" s="2765">
        <f t="shared" si="97"/>
        <v>0</v>
      </c>
      <c r="AZ176" s="2720">
        <f t="shared" si="98"/>
        <v>0</v>
      </c>
      <c r="BA176" s="2720">
        <f t="shared" si="99"/>
        <v>0</v>
      </c>
      <c r="BB176" s="2720">
        <f t="shared" si="100"/>
        <v>0</v>
      </c>
      <c r="BC176" s="2720">
        <f t="shared" si="101"/>
        <v>0</v>
      </c>
      <c r="BD176" s="2720">
        <f t="shared" si="102"/>
        <v>0</v>
      </c>
      <c r="BE176" s="2720">
        <f t="shared" si="103"/>
        <v>0</v>
      </c>
      <c r="BF176" s="2720">
        <f t="shared" si="104"/>
        <v>0</v>
      </c>
      <c r="BG176" s="2720">
        <f t="shared" si="105"/>
        <v>0</v>
      </c>
      <c r="BH176" s="2720">
        <f t="shared" si="106"/>
        <v>0</v>
      </c>
      <c r="BI176" s="2720">
        <f t="shared" si="107"/>
        <v>0</v>
      </c>
      <c r="BJ176" s="2720">
        <f t="shared" si="108"/>
        <v>0</v>
      </c>
      <c r="BK176" s="2720">
        <f t="shared" si="109"/>
        <v>0</v>
      </c>
      <c r="BL176" s="2720">
        <f t="shared" si="110"/>
        <v>0</v>
      </c>
      <c r="BM176" s="2720">
        <f t="shared" si="111"/>
        <v>0</v>
      </c>
      <c r="BN176" s="2720">
        <f t="shared" si="112"/>
        <v>0</v>
      </c>
      <c r="BO176" s="2720">
        <f t="shared" si="113"/>
        <v>0</v>
      </c>
      <c r="BP176" s="2720">
        <f t="shared" si="114"/>
        <v>0</v>
      </c>
      <c r="BQ176" s="2720">
        <f t="shared" si="115"/>
        <v>0</v>
      </c>
      <c r="BR176" s="2720">
        <f t="shared" si="116"/>
        <v>0</v>
      </c>
      <c r="BS176" s="2720">
        <f t="shared" si="117"/>
        <v>0</v>
      </c>
      <c r="BT176" s="2772">
        <f t="shared" si="118"/>
        <v>0</v>
      </c>
    </row>
    <row r="177" spans="1:72">
      <c r="A177" s="2717"/>
      <c r="B177" s="2718"/>
      <c r="C177" s="2718"/>
      <c r="D177" s="2719"/>
      <c r="E177" s="2720">
        <f t="shared" ref="E177:E207" si="119">IF($C$3="是",ROUND($A$3*G177/$B$3,2),ROUND($A$3*(G177-AT177)/$B$3,2))</f>
        <v>0</v>
      </c>
      <c r="F177" s="2721"/>
      <c r="G177" s="2722">
        <f t="shared" si="94"/>
        <v>0</v>
      </c>
      <c r="H177" s="2723">
        <f t="shared" si="95"/>
        <v>0</v>
      </c>
      <c r="I177" s="2730"/>
      <c r="J177" s="2730"/>
      <c r="K177" s="2730"/>
      <c r="L177" s="2730"/>
      <c r="M177" s="2730"/>
      <c r="N177" s="2730"/>
      <c r="O177" s="2730"/>
      <c r="P177" s="2730"/>
      <c r="Q177" s="2730"/>
      <c r="R177" s="2730"/>
      <c r="S177" s="2730"/>
      <c r="T177" s="2730"/>
      <c r="U177" s="2730"/>
      <c r="V177" s="2730"/>
      <c r="W177" s="2730"/>
      <c r="X177" s="2730"/>
      <c r="Y177" s="2730"/>
      <c r="Z177" s="2730"/>
      <c r="AA177" s="2730"/>
      <c r="AB177" s="2730"/>
      <c r="AC177" s="2720">
        <f t="shared" si="96"/>
        <v>0</v>
      </c>
      <c r="AD177" s="2740"/>
      <c r="AE177" s="2740"/>
      <c r="AF177" s="2740"/>
      <c r="AG177" s="2740"/>
      <c r="AH177" s="2740"/>
      <c r="AI177" s="2740"/>
      <c r="AJ177" s="2740"/>
      <c r="AK177" s="2740"/>
      <c r="AL177" s="2740"/>
      <c r="AM177" s="2740"/>
      <c r="AN177" s="2740"/>
      <c r="AO177" s="2740"/>
      <c r="AP177" s="2740"/>
      <c r="AQ177" s="2740"/>
      <c r="AR177" s="2740"/>
      <c r="AS177" s="2740"/>
      <c r="AT177" s="2750"/>
      <c r="AU177" s="2751"/>
      <c r="AV177" s="1092">
        <f t="shared" ref="AV177:AV207" si="120">A177</f>
        <v>0</v>
      </c>
      <c r="AW177" s="1092">
        <f t="shared" ref="AW177:AW207" si="121">B177</f>
        <v>0</v>
      </c>
      <c r="AX177" s="1092">
        <f t="shared" ref="AX177:AX207" si="122">C177</f>
        <v>0</v>
      </c>
      <c r="AY177" s="2765">
        <f t="shared" si="97"/>
        <v>0</v>
      </c>
      <c r="AZ177" s="2720">
        <f t="shared" si="98"/>
        <v>0</v>
      </c>
      <c r="BA177" s="2720">
        <f t="shared" si="99"/>
        <v>0</v>
      </c>
      <c r="BB177" s="2720">
        <f t="shared" si="100"/>
        <v>0</v>
      </c>
      <c r="BC177" s="2720">
        <f t="shared" si="101"/>
        <v>0</v>
      </c>
      <c r="BD177" s="2720">
        <f t="shared" si="102"/>
        <v>0</v>
      </c>
      <c r="BE177" s="2720">
        <f t="shared" si="103"/>
        <v>0</v>
      </c>
      <c r="BF177" s="2720">
        <f t="shared" si="104"/>
        <v>0</v>
      </c>
      <c r="BG177" s="2720">
        <f t="shared" si="105"/>
        <v>0</v>
      </c>
      <c r="BH177" s="2720">
        <f t="shared" si="106"/>
        <v>0</v>
      </c>
      <c r="BI177" s="2720">
        <f t="shared" si="107"/>
        <v>0</v>
      </c>
      <c r="BJ177" s="2720">
        <f t="shared" si="108"/>
        <v>0</v>
      </c>
      <c r="BK177" s="2720">
        <f t="shared" si="109"/>
        <v>0</v>
      </c>
      <c r="BL177" s="2720">
        <f t="shared" si="110"/>
        <v>0</v>
      </c>
      <c r="BM177" s="2720">
        <f t="shared" si="111"/>
        <v>0</v>
      </c>
      <c r="BN177" s="2720">
        <f t="shared" si="112"/>
        <v>0</v>
      </c>
      <c r="BO177" s="2720">
        <f t="shared" si="113"/>
        <v>0</v>
      </c>
      <c r="BP177" s="2720">
        <f t="shared" si="114"/>
        <v>0</v>
      </c>
      <c r="BQ177" s="2720">
        <f t="shared" si="115"/>
        <v>0</v>
      </c>
      <c r="BR177" s="2720">
        <f t="shared" si="116"/>
        <v>0</v>
      </c>
      <c r="BS177" s="2720">
        <f t="shared" si="117"/>
        <v>0</v>
      </c>
      <c r="BT177" s="2772">
        <f t="shared" si="118"/>
        <v>0</v>
      </c>
    </row>
    <row r="178" spans="1:72">
      <c r="A178" s="2717"/>
      <c r="B178" s="2718"/>
      <c r="C178" s="2718"/>
      <c r="D178" s="2719"/>
      <c r="E178" s="2720">
        <f t="shared" si="119"/>
        <v>0</v>
      </c>
      <c r="F178" s="2721"/>
      <c r="G178" s="2722">
        <f t="shared" si="94"/>
        <v>0</v>
      </c>
      <c r="H178" s="2723">
        <f t="shared" si="95"/>
        <v>0</v>
      </c>
      <c r="I178" s="2730"/>
      <c r="J178" s="2730"/>
      <c r="K178" s="2730"/>
      <c r="L178" s="2730"/>
      <c r="M178" s="2730"/>
      <c r="N178" s="2730"/>
      <c r="O178" s="2730"/>
      <c r="P178" s="2730"/>
      <c r="Q178" s="2730"/>
      <c r="R178" s="2730"/>
      <c r="S178" s="2730"/>
      <c r="T178" s="2730"/>
      <c r="U178" s="2730"/>
      <c r="V178" s="2730"/>
      <c r="W178" s="2730"/>
      <c r="X178" s="2730"/>
      <c r="Y178" s="2730"/>
      <c r="Z178" s="2730"/>
      <c r="AA178" s="2730"/>
      <c r="AB178" s="2730"/>
      <c r="AC178" s="2720">
        <f t="shared" si="96"/>
        <v>0</v>
      </c>
      <c r="AD178" s="2740"/>
      <c r="AE178" s="2740"/>
      <c r="AF178" s="2740"/>
      <c r="AG178" s="2740"/>
      <c r="AH178" s="2740"/>
      <c r="AI178" s="2740"/>
      <c r="AJ178" s="2740"/>
      <c r="AK178" s="2740"/>
      <c r="AL178" s="2740"/>
      <c r="AM178" s="2740"/>
      <c r="AN178" s="2740"/>
      <c r="AO178" s="2740"/>
      <c r="AP178" s="2740"/>
      <c r="AQ178" s="2740"/>
      <c r="AR178" s="2740"/>
      <c r="AS178" s="2740"/>
      <c r="AT178" s="2750"/>
      <c r="AU178" s="2751"/>
      <c r="AV178" s="1092">
        <f t="shared" si="120"/>
        <v>0</v>
      </c>
      <c r="AW178" s="1092">
        <f t="shared" si="121"/>
        <v>0</v>
      </c>
      <c r="AX178" s="1092">
        <f t="shared" si="122"/>
        <v>0</v>
      </c>
      <c r="AY178" s="2765">
        <f t="shared" si="97"/>
        <v>0</v>
      </c>
      <c r="AZ178" s="2720">
        <f t="shared" si="98"/>
        <v>0</v>
      </c>
      <c r="BA178" s="2720">
        <f t="shared" si="99"/>
        <v>0</v>
      </c>
      <c r="BB178" s="2720">
        <f t="shared" si="100"/>
        <v>0</v>
      </c>
      <c r="BC178" s="2720">
        <f t="shared" si="101"/>
        <v>0</v>
      </c>
      <c r="BD178" s="2720">
        <f t="shared" si="102"/>
        <v>0</v>
      </c>
      <c r="BE178" s="2720">
        <f t="shared" si="103"/>
        <v>0</v>
      </c>
      <c r="BF178" s="2720">
        <f t="shared" si="104"/>
        <v>0</v>
      </c>
      <c r="BG178" s="2720">
        <f t="shared" si="105"/>
        <v>0</v>
      </c>
      <c r="BH178" s="2720">
        <f t="shared" si="106"/>
        <v>0</v>
      </c>
      <c r="BI178" s="2720">
        <f t="shared" si="107"/>
        <v>0</v>
      </c>
      <c r="BJ178" s="2720">
        <f t="shared" si="108"/>
        <v>0</v>
      </c>
      <c r="BK178" s="2720">
        <f t="shared" si="109"/>
        <v>0</v>
      </c>
      <c r="BL178" s="2720">
        <f t="shared" si="110"/>
        <v>0</v>
      </c>
      <c r="BM178" s="2720">
        <f t="shared" si="111"/>
        <v>0</v>
      </c>
      <c r="BN178" s="2720">
        <f t="shared" si="112"/>
        <v>0</v>
      </c>
      <c r="BO178" s="2720">
        <f t="shared" si="113"/>
        <v>0</v>
      </c>
      <c r="BP178" s="2720">
        <f t="shared" si="114"/>
        <v>0</v>
      </c>
      <c r="BQ178" s="2720">
        <f t="shared" si="115"/>
        <v>0</v>
      </c>
      <c r="BR178" s="2720">
        <f t="shared" si="116"/>
        <v>0</v>
      </c>
      <c r="BS178" s="2720">
        <f t="shared" si="117"/>
        <v>0</v>
      </c>
      <c r="BT178" s="2772">
        <f t="shared" si="118"/>
        <v>0</v>
      </c>
    </row>
    <row r="179" spans="1:72">
      <c r="A179" s="2717"/>
      <c r="B179" s="2718"/>
      <c r="C179" s="2718"/>
      <c r="D179" s="2719"/>
      <c r="E179" s="2720">
        <f t="shared" si="119"/>
        <v>0</v>
      </c>
      <c r="F179" s="2721"/>
      <c r="G179" s="2722">
        <f t="shared" si="94"/>
        <v>0</v>
      </c>
      <c r="H179" s="2723">
        <f t="shared" si="95"/>
        <v>0</v>
      </c>
      <c r="I179" s="2730"/>
      <c r="J179" s="2730"/>
      <c r="K179" s="2730"/>
      <c r="L179" s="2730"/>
      <c r="M179" s="2730"/>
      <c r="N179" s="2730"/>
      <c r="O179" s="2730"/>
      <c r="P179" s="2730"/>
      <c r="Q179" s="2730"/>
      <c r="R179" s="2730"/>
      <c r="S179" s="2730"/>
      <c r="T179" s="2730"/>
      <c r="U179" s="2730"/>
      <c r="V179" s="2730"/>
      <c r="W179" s="2730"/>
      <c r="X179" s="2730"/>
      <c r="Y179" s="2730"/>
      <c r="Z179" s="2730"/>
      <c r="AA179" s="2730"/>
      <c r="AB179" s="2730"/>
      <c r="AC179" s="2720">
        <f t="shared" si="96"/>
        <v>0</v>
      </c>
      <c r="AD179" s="2740"/>
      <c r="AE179" s="2740"/>
      <c r="AF179" s="2740"/>
      <c r="AG179" s="2740"/>
      <c r="AH179" s="2740"/>
      <c r="AI179" s="2740"/>
      <c r="AJ179" s="2740"/>
      <c r="AK179" s="2740"/>
      <c r="AL179" s="2740"/>
      <c r="AM179" s="2740"/>
      <c r="AN179" s="2740"/>
      <c r="AO179" s="2740"/>
      <c r="AP179" s="2740"/>
      <c r="AQ179" s="2740"/>
      <c r="AR179" s="2740"/>
      <c r="AS179" s="2740"/>
      <c r="AT179" s="2750"/>
      <c r="AU179" s="2751"/>
      <c r="AV179" s="1092">
        <f t="shared" si="120"/>
        <v>0</v>
      </c>
      <c r="AW179" s="1092">
        <f t="shared" si="121"/>
        <v>0</v>
      </c>
      <c r="AX179" s="1092">
        <f t="shared" si="122"/>
        <v>0</v>
      </c>
      <c r="AY179" s="2765">
        <f t="shared" si="97"/>
        <v>0</v>
      </c>
      <c r="AZ179" s="2720">
        <f t="shared" si="98"/>
        <v>0</v>
      </c>
      <c r="BA179" s="2720">
        <f t="shared" si="99"/>
        <v>0</v>
      </c>
      <c r="BB179" s="2720">
        <f t="shared" si="100"/>
        <v>0</v>
      </c>
      <c r="BC179" s="2720">
        <f t="shared" si="101"/>
        <v>0</v>
      </c>
      <c r="BD179" s="2720">
        <f t="shared" si="102"/>
        <v>0</v>
      </c>
      <c r="BE179" s="2720">
        <f t="shared" si="103"/>
        <v>0</v>
      </c>
      <c r="BF179" s="2720">
        <f t="shared" si="104"/>
        <v>0</v>
      </c>
      <c r="BG179" s="2720">
        <f t="shared" si="105"/>
        <v>0</v>
      </c>
      <c r="BH179" s="2720">
        <f t="shared" si="106"/>
        <v>0</v>
      </c>
      <c r="BI179" s="2720">
        <f t="shared" si="107"/>
        <v>0</v>
      </c>
      <c r="BJ179" s="2720">
        <f t="shared" si="108"/>
        <v>0</v>
      </c>
      <c r="BK179" s="2720">
        <f t="shared" si="109"/>
        <v>0</v>
      </c>
      <c r="BL179" s="2720">
        <f t="shared" si="110"/>
        <v>0</v>
      </c>
      <c r="BM179" s="2720">
        <f t="shared" si="111"/>
        <v>0</v>
      </c>
      <c r="BN179" s="2720">
        <f t="shared" si="112"/>
        <v>0</v>
      </c>
      <c r="BO179" s="2720">
        <f t="shared" si="113"/>
        <v>0</v>
      </c>
      <c r="BP179" s="2720">
        <f t="shared" si="114"/>
        <v>0</v>
      </c>
      <c r="BQ179" s="2720">
        <f t="shared" si="115"/>
        <v>0</v>
      </c>
      <c r="BR179" s="2720">
        <f t="shared" si="116"/>
        <v>0</v>
      </c>
      <c r="BS179" s="2720">
        <f t="shared" si="117"/>
        <v>0</v>
      </c>
      <c r="BT179" s="2772">
        <f t="shared" si="118"/>
        <v>0</v>
      </c>
    </row>
    <row r="180" spans="1:72">
      <c r="A180" s="2717"/>
      <c r="B180" s="2718"/>
      <c r="C180" s="2718"/>
      <c r="D180" s="2719"/>
      <c r="E180" s="2720">
        <f t="shared" si="119"/>
        <v>0</v>
      </c>
      <c r="F180" s="2721"/>
      <c r="G180" s="2722">
        <f t="shared" si="94"/>
        <v>0</v>
      </c>
      <c r="H180" s="2723">
        <f t="shared" si="95"/>
        <v>0</v>
      </c>
      <c r="I180" s="2730"/>
      <c r="J180" s="2730"/>
      <c r="K180" s="2730"/>
      <c r="L180" s="2730"/>
      <c r="M180" s="2730"/>
      <c r="N180" s="2730"/>
      <c r="O180" s="2730"/>
      <c r="P180" s="2730"/>
      <c r="Q180" s="2730"/>
      <c r="R180" s="2730"/>
      <c r="S180" s="2730"/>
      <c r="T180" s="2730"/>
      <c r="U180" s="2730"/>
      <c r="V180" s="2730"/>
      <c r="W180" s="2730"/>
      <c r="X180" s="2730"/>
      <c r="Y180" s="2730"/>
      <c r="Z180" s="2730"/>
      <c r="AA180" s="2730"/>
      <c r="AB180" s="2730"/>
      <c r="AC180" s="2720">
        <f t="shared" si="96"/>
        <v>0</v>
      </c>
      <c r="AD180" s="2740"/>
      <c r="AE180" s="2740"/>
      <c r="AF180" s="2740"/>
      <c r="AG180" s="2740"/>
      <c r="AH180" s="2740"/>
      <c r="AI180" s="2740"/>
      <c r="AJ180" s="2740"/>
      <c r="AK180" s="2740"/>
      <c r="AL180" s="2740"/>
      <c r="AM180" s="2740"/>
      <c r="AN180" s="2740"/>
      <c r="AO180" s="2740"/>
      <c r="AP180" s="2740"/>
      <c r="AQ180" s="2740"/>
      <c r="AR180" s="2740"/>
      <c r="AS180" s="2740"/>
      <c r="AT180" s="2750"/>
      <c r="AU180" s="2751"/>
      <c r="AV180" s="1092">
        <f t="shared" si="120"/>
        <v>0</v>
      </c>
      <c r="AW180" s="1092">
        <f t="shared" si="121"/>
        <v>0</v>
      </c>
      <c r="AX180" s="1092">
        <f t="shared" si="122"/>
        <v>0</v>
      </c>
      <c r="AY180" s="2765">
        <f t="shared" si="97"/>
        <v>0</v>
      </c>
      <c r="AZ180" s="2720">
        <f t="shared" si="98"/>
        <v>0</v>
      </c>
      <c r="BA180" s="2720">
        <f t="shared" si="99"/>
        <v>0</v>
      </c>
      <c r="BB180" s="2720">
        <f t="shared" si="100"/>
        <v>0</v>
      </c>
      <c r="BC180" s="2720">
        <f t="shared" si="101"/>
        <v>0</v>
      </c>
      <c r="BD180" s="2720">
        <f t="shared" si="102"/>
        <v>0</v>
      </c>
      <c r="BE180" s="2720">
        <f t="shared" si="103"/>
        <v>0</v>
      </c>
      <c r="BF180" s="2720">
        <f t="shared" si="104"/>
        <v>0</v>
      </c>
      <c r="BG180" s="2720">
        <f t="shared" si="105"/>
        <v>0</v>
      </c>
      <c r="BH180" s="2720">
        <f t="shared" si="106"/>
        <v>0</v>
      </c>
      <c r="BI180" s="2720">
        <f t="shared" si="107"/>
        <v>0</v>
      </c>
      <c r="BJ180" s="2720">
        <f t="shared" si="108"/>
        <v>0</v>
      </c>
      <c r="BK180" s="2720">
        <f t="shared" si="109"/>
        <v>0</v>
      </c>
      <c r="BL180" s="2720">
        <f t="shared" si="110"/>
        <v>0</v>
      </c>
      <c r="BM180" s="2720">
        <f t="shared" si="111"/>
        <v>0</v>
      </c>
      <c r="BN180" s="2720">
        <f t="shared" si="112"/>
        <v>0</v>
      </c>
      <c r="BO180" s="2720">
        <f t="shared" si="113"/>
        <v>0</v>
      </c>
      <c r="BP180" s="2720">
        <f t="shared" si="114"/>
        <v>0</v>
      </c>
      <c r="BQ180" s="2720">
        <f t="shared" si="115"/>
        <v>0</v>
      </c>
      <c r="BR180" s="2720">
        <f t="shared" si="116"/>
        <v>0</v>
      </c>
      <c r="BS180" s="2720">
        <f t="shared" si="117"/>
        <v>0</v>
      </c>
      <c r="BT180" s="2772">
        <f t="shared" si="118"/>
        <v>0</v>
      </c>
    </row>
    <row r="181" spans="1:72">
      <c r="A181" s="2717"/>
      <c r="B181" s="2718"/>
      <c r="C181" s="2718"/>
      <c r="D181" s="2719"/>
      <c r="E181" s="2720">
        <f t="shared" si="119"/>
        <v>0</v>
      </c>
      <c r="F181" s="2721"/>
      <c r="G181" s="2722">
        <f t="shared" si="94"/>
        <v>0</v>
      </c>
      <c r="H181" s="2723">
        <f t="shared" si="95"/>
        <v>0</v>
      </c>
      <c r="I181" s="2730"/>
      <c r="J181" s="2730"/>
      <c r="K181" s="2730"/>
      <c r="L181" s="2730"/>
      <c r="M181" s="2730"/>
      <c r="N181" s="2730"/>
      <c r="O181" s="2730"/>
      <c r="P181" s="2730"/>
      <c r="Q181" s="2730"/>
      <c r="R181" s="2730"/>
      <c r="S181" s="2730"/>
      <c r="T181" s="2730"/>
      <c r="U181" s="2730"/>
      <c r="V181" s="2730"/>
      <c r="W181" s="2730"/>
      <c r="X181" s="2730"/>
      <c r="Y181" s="2730"/>
      <c r="Z181" s="2730"/>
      <c r="AA181" s="2730"/>
      <c r="AB181" s="2730"/>
      <c r="AC181" s="2720">
        <f t="shared" si="96"/>
        <v>0</v>
      </c>
      <c r="AD181" s="2740"/>
      <c r="AE181" s="2740"/>
      <c r="AF181" s="2740"/>
      <c r="AG181" s="2740"/>
      <c r="AH181" s="2740"/>
      <c r="AI181" s="2740"/>
      <c r="AJ181" s="2740"/>
      <c r="AK181" s="2740"/>
      <c r="AL181" s="2740"/>
      <c r="AM181" s="2740"/>
      <c r="AN181" s="2740"/>
      <c r="AO181" s="2740"/>
      <c r="AP181" s="2740"/>
      <c r="AQ181" s="2740"/>
      <c r="AR181" s="2740"/>
      <c r="AS181" s="2740"/>
      <c r="AT181" s="2750"/>
      <c r="AU181" s="2751"/>
      <c r="AV181" s="1092">
        <f t="shared" si="120"/>
        <v>0</v>
      </c>
      <c r="AW181" s="1092">
        <f t="shared" si="121"/>
        <v>0</v>
      </c>
      <c r="AX181" s="1092">
        <f t="shared" si="122"/>
        <v>0</v>
      </c>
      <c r="AY181" s="2765">
        <f t="shared" si="97"/>
        <v>0</v>
      </c>
      <c r="AZ181" s="2720">
        <f t="shared" si="98"/>
        <v>0</v>
      </c>
      <c r="BA181" s="2720">
        <f t="shared" si="99"/>
        <v>0</v>
      </c>
      <c r="BB181" s="2720">
        <f t="shared" si="100"/>
        <v>0</v>
      </c>
      <c r="BC181" s="2720">
        <f t="shared" si="101"/>
        <v>0</v>
      </c>
      <c r="BD181" s="2720">
        <f t="shared" si="102"/>
        <v>0</v>
      </c>
      <c r="BE181" s="2720">
        <f t="shared" si="103"/>
        <v>0</v>
      </c>
      <c r="BF181" s="2720">
        <f t="shared" si="104"/>
        <v>0</v>
      </c>
      <c r="BG181" s="2720">
        <f t="shared" si="105"/>
        <v>0</v>
      </c>
      <c r="BH181" s="2720">
        <f t="shared" si="106"/>
        <v>0</v>
      </c>
      <c r="BI181" s="2720">
        <f t="shared" si="107"/>
        <v>0</v>
      </c>
      <c r="BJ181" s="2720">
        <f t="shared" si="108"/>
        <v>0</v>
      </c>
      <c r="BK181" s="2720">
        <f t="shared" si="109"/>
        <v>0</v>
      </c>
      <c r="BL181" s="2720">
        <f t="shared" si="110"/>
        <v>0</v>
      </c>
      <c r="BM181" s="2720">
        <f t="shared" si="111"/>
        <v>0</v>
      </c>
      <c r="BN181" s="2720">
        <f t="shared" si="112"/>
        <v>0</v>
      </c>
      <c r="BO181" s="2720">
        <f t="shared" si="113"/>
        <v>0</v>
      </c>
      <c r="BP181" s="2720">
        <f t="shared" si="114"/>
        <v>0</v>
      </c>
      <c r="BQ181" s="2720">
        <f t="shared" si="115"/>
        <v>0</v>
      </c>
      <c r="BR181" s="2720">
        <f t="shared" si="116"/>
        <v>0</v>
      </c>
      <c r="BS181" s="2720">
        <f t="shared" si="117"/>
        <v>0</v>
      </c>
      <c r="BT181" s="2772">
        <f t="shared" si="118"/>
        <v>0</v>
      </c>
    </row>
    <row r="182" spans="1:72">
      <c r="A182" s="2717"/>
      <c r="B182" s="2718"/>
      <c r="C182" s="2718"/>
      <c r="D182" s="2719"/>
      <c r="E182" s="2720">
        <f t="shared" si="119"/>
        <v>0</v>
      </c>
      <c r="F182" s="2721"/>
      <c r="G182" s="2722">
        <f t="shared" si="94"/>
        <v>0</v>
      </c>
      <c r="H182" s="2723">
        <f t="shared" si="95"/>
        <v>0</v>
      </c>
      <c r="I182" s="2730"/>
      <c r="J182" s="2730"/>
      <c r="K182" s="2730"/>
      <c r="L182" s="2730"/>
      <c r="M182" s="2730"/>
      <c r="N182" s="2730"/>
      <c r="O182" s="2730"/>
      <c r="P182" s="2730"/>
      <c r="Q182" s="2730"/>
      <c r="R182" s="2730"/>
      <c r="S182" s="2730"/>
      <c r="T182" s="2730"/>
      <c r="U182" s="2730"/>
      <c r="V182" s="2730"/>
      <c r="W182" s="2730"/>
      <c r="X182" s="2730"/>
      <c r="Y182" s="2730"/>
      <c r="Z182" s="2730"/>
      <c r="AA182" s="2730"/>
      <c r="AB182" s="2730"/>
      <c r="AC182" s="2720">
        <f t="shared" si="96"/>
        <v>0</v>
      </c>
      <c r="AD182" s="2740"/>
      <c r="AE182" s="2740"/>
      <c r="AF182" s="2740"/>
      <c r="AG182" s="2740"/>
      <c r="AH182" s="2740"/>
      <c r="AI182" s="2740"/>
      <c r="AJ182" s="2740"/>
      <c r="AK182" s="2740"/>
      <c r="AL182" s="2740"/>
      <c r="AM182" s="2740"/>
      <c r="AN182" s="2740"/>
      <c r="AO182" s="2740"/>
      <c r="AP182" s="2740"/>
      <c r="AQ182" s="2740"/>
      <c r="AR182" s="2740"/>
      <c r="AS182" s="2740"/>
      <c r="AT182" s="2750"/>
      <c r="AU182" s="2751"/>
      <c r="AV182" s="1092">
        <f t="shared" si="120"/>
        <v>0</v>
      </c>
      <c r="AW182" s="1092">
        <f t="shared" si="121"/>
        <v>0</v>
      </c>
      <c r="AX182" s="1092">
        <f t="shared" si="122"/>
        <v>0</v>
      </c>
      <c r="AY182" s="2765">
        <f t="shared" si="97"/>
        <v>0</v>
      </c>
      <c r="AZ182" s="2720">
        <f t="shared" si="98"/>
        <v>0</v>
      </c>
      <c r="BA182" s="2720">
        <f t="shared" si="99"/>
        <v>0</v>
      </c>
      <c r="BB182" s="2720">
        <f t="shared" si="100"/>
        <v>0</v>
      </c>
      <c r="BC182" s="2720">
        <f t="shared" si="101"/>
        <v>0</v>
      </c>
      <c r="BD182" s="2720">
        <f t="shared" si="102"/>
        <v>0</v>
      </c>
      <c r="BE182" s="2720">
        <f t="shared" si="103"/>
        <v>0</v>
      </c>
      <c r="BF182" s="2720">
        <f t="shared" si="104"/>
        <v>0</v>
      </c>
      <c r="BG182" s="2720">
        <f t="shared" si="105"/>
        <v>0</v>
      </c>
      <c r="BH182" s="2720">
        <f t="shared" si="106"/>
        <v>0</v>
      </c>
      <c r="BI182" s="2720">
        <f t="shared" si="107"/>
        <v>0</v>
      </c>
      <c r="BJ182" s="2720">
        <f t="shared" si="108"/>
        <v>0</v>
      </c>
      <c r="BK182" s="2720">
        <f t="shared" si="109"/>
        <v>0</v>
      </c>
      <c r="BL182" s="2720">
        <f t="shared" si="110"/>
        <v>0</v>
      </c>
      <c r="BM182" s="2720">
        <f t="shared" si="111"/>
        <v>0</v>
      </c>
      <c r="BN182" s="2720">
        <f t="shared" si="112"/>
        <v>0</v>
      </c>
      <c r="BO182" s="2720">
        <f t="shared" si="113"/>
        <v>0</v>
      </c>
      <c r="BP182" s="2720">
        <f t="shared" si="114"/>
        <v>0</v>
      </c>
      <c r="BQ182" s="2720">
        <f t="shared" si="115"/>
        <v>0</v>
      </c>
      <c r="BR182" s="2720">
        <f t="shared" si="116"/>
        <v>0</v>
      </c>
      <c r="BS182" s="2720">
        <f t="shared" si="117"/>
        <v>0</v>
      </c>
      <c r="BT182" s="2772">
        <f t="shared" si="118"/>
        <v>0</v>
      </c>
    </row>
    <row r="183" spans="1:72">
      <c r="A183" s="2717"/>
      <c r="B183" s="2718"/>
      <c r="C183" s="2718"/>
      <c r="D183" s="2719"/>
      <c r="E183" s="2720">
        <f t="shared" si="119"/>
        <v>0</v>
      </c>
      <c r="F183" s="2721"/>
      <c r="G183" s="2722">
        <f t="shared" si="94"/>
        <v>0</v>
      </c>
      <c r="H183" s="2723">
        <f t="shared" si="95"/>
        <v>0</v>
      </c>
      <c r="I183" s="2730"/>
      <c r="J183" s="2730"/>
      <c r="K183" s="2730"/>
      <c r="L183" s="2730"/>
      <c r="M183" s="2730"/>
      <c r="N183" s="2730"/>
      <c r="O183" s="2730"/>
      <c r="P183" s="2730"/>
      <c r="Q183" s="2730"/>
      <c r="R183" s="2730"/>
      <c r="S183" s="2730"/>
      <c r="T183" s="2730"/>
      <c r="U183" s="2730"/>
      <c r="V183" s="2730"/>
      <c r="W183" s="2730"/>
      <c r="X183" s="2730"/>
      <c r="Y183" s="2730"/>
      <c r="Z183" s="2730"/>
      <c r="AA183" s="2730"/>
      <c r="AB183" s="2730"/>
      <c r="AC183" s="2720">
        <f t="shared" si="96"/>
        <v>0</v>
      </c>
      <c r="AD183" s="2740"/>
      <c r="AE183" s="2740"/>
      <c r="AF183" s="2740"/>
      <c r="AG183" s="2740"/>
      <c r="AH183" s="2740"/>
      <c r="AI183" s="2740"/>
      <c r="AJ183" s="2740"/>
      <c r="AK183" s="2740"/>
      <c r="AL183" s="2740"/>
      <c r="AM183" s="2740"/>
      <c r="AN183" s="2740"/>
      <c r="AO183" s="2740"/>
      <c r="AP183" s="2740"/>
      <c r="AQ183" s="2740"/>
      <c r="AR183" s="2740"/>
      <c r="AS183" s="2740"/>
      <c r="AT183" s="2750"/>
      <c r="AU183" s="2751"/>
      <c r="AV183" s="1092">
        <f t="shared" si="120"/>
        <v>0</v>
      </c>
      <c r="AW183" s="1092">
        <f t="shared" si="121"/>
        <v>0</v>
      </c>
      <c r="AX183" s="1092">
        <f t="shared" si="122"/>
        <v>0</v>
      </c>
      <c r="AY183" s="2765">
        <f t="shared" si="97"/>
        <v>0</v>
      </c>
      <c r="AZ183" s="2720">
        <f t="shared" si="98"/>
        <v>0</v>
      </c>
      <c r="BA183" s="2720">
        <f t="shared" si="99"/>
        <v>0</v>
      </c>
      <c r="BB183" s="2720">
        <f t="shared" si="100"/>
        <v>0</v>
      </c>
      <c r="BC183" s="2720">
        <f t="shared" si="101"/>
        <v>0</v>
      </c>
      <c r="BD183" s="2720">
        <f t="shared" si="102"/>
        <v>0</v>
      </c>
      <c r="BE183" s="2720">
        <f t="shared" si="103"/>
        <v>0</v>
      </c>
      <c r="BF183" s="2720">
        <f t="shared" si="104"/>
        <v>0</v>
      </c>
      <c r="BG183" s="2720">
        <f t="shared" si="105"/>
        <v>0</v>
      </c>
      <c r="BH183" s="2720">
        <f t="shared" si="106"/>
        <v>0</v>
      </c>
      <c r="BI183" s="2720">
        <f t="shared" si="107"/>
        <v>0</v>
      </c>
      <c r="BJ183" s="2720">
        <f t="shared" si="108"/>
        <v>0</v>
      </c>
      <c r="BK183" s="2720">
        <f t="shared" si="109"/>
        <v>0</v>
      </c>
      <c r="BL183" s="2720">
        <f t="shared" si="110"/>
        <v>0</v>
      </c>
      <c r="BM183" s="2720">
        <f t="shared" si="111"/>
        <v>0</v>
      </c>
      <c r="BN183" s="2720">
        <f t="shared" si="112"/>
        <v>0</v>
      </c>
      <c r="BO183" s="2720">
        <f t="shared" si="113"/>
        <v>0</v>
      </c>
      <c r="BP183" s="2720">
        <f t="shared" si="114"/>
        <v>0</v>
      </c>
      <c r="BQ183" s="2720">
        <f t="shared" si="115"/>
        <v>0</v>
      </c>
      <c r="BR183" s="2720">
        <f t="shared" si="116"/>
        <v>0</v>
      </c>
      <c r="BS183" s="2720">
        <f t="shared" si="117"/>
        <v>0</v>
      </c>
      <c r="BT183" s="2772">
        <f t="shared" si="118"/>
        <v>0</v>
      </c>
    </row>
    <row r="184" spans="1:72">
      <c r="A184" s="2717"/>
      <c r="B184" s="2718"/>
      <c r="C184" s="2718"/>
      <c r="D184" s="2719"/>
      <c r="E184" s="2720">
        <f t="shared" si="119"/>
        <v>0</v>
      </c>
      <c r="F184" s="2721"/>
      <c r="G184" s="2722">
        <f t="shared" si="94"/>
        <v>0</v>
      </c>
      <c r="H184" s="2723">
        <f t="shared" si="95"/>
        <v>0</v>
      </c>
      <c r="I184" s="2730"/>
      <c r="J184" s="2730"/>
      <c r="K184" s="2730"/>
      <c r="L184" s="2730"/>
      <c r="M184" s="2730"/>
      <c r="N184" s="2730"/>
      <c r="O184" s="2730"/>
      <c r="P184" s="2730"/>
      <c r="Q184" s="2730"/>
      <c r="R184" s="2730"/>
      <c r="S184" s="2730"/>
      <c r="T184" s="2730"/>
      <c r="U184" s="2730"/>
      <c r="V184" s="2730"/>
      <c r="W184" s="2730"/>
      <c r="X184" s="2730"/>
      <c r="Y184" s="2730"/>
      <c r="Z184" s="2730"/>
      <c r="AA184" s="2730"/>
      <c r="AB184" s="2730"/>
      <c r="AC184" s="2720">
        <f t="shared" si="96"/>
        <v>0</v>
      </c>
      <c r="AD184" s="2740"/>
      <c r="AE184" s="2740"/>
      <c r="AF184" s="2740"/>
      <c r="AG184" s="2740"/>
      <c r="AH184" s="2740"/>
      <c r="AI184" s="2740"/>
      <c r="AJ184" s="2740"/>
      <c r="AK184" s="2740"/>
      <c r="AL184" s="2740"/>
      <c r="AM184" s="2740"/>
      <c r="AN184" s="2740"/>
      <c r="AO184" s="2740"/>
      <c r="AP184" s="2740"/>
      <c r="AQ184" s="2740"/>
      <c r="AR184" s="2740"/>
      <c r="AS184" s="2740"/>
      <c r="AT184" s="2750"/>
      <c r="AU184" s="2751"/>
      <c r="AV184" s="1092">
        <f t="shared" si="120"/>
        <v>0</v>
      </c>
      <c r="AW184" s="1092">
        <f t="shared" si="121"/>
        <v>0</v>
      </c>
      <c r="AX184" s="1092">
        <f t="shared" si="122"/>
        <v>0</v>
      </c>
      <c r="AY184" s="2765">
        <f t="shared" si="97"/>
        <v>0</v>
      </c>
      <c r="AZ184" s="2720">
        <f t="shared" si="98"/>
        <v>0</v>
      </c>
      <c r="BA184" s="2720">
        <f t="shared" si="99"/>
        <v>0</v>
      </c>
      <c r="BB184" s="2720">
        <f t="shared" si="100"/>
        <v>0</v>
      </c>
      <c r="BC184" s="2720">
        <f t="shared" si="101"/>
        <v>0</v>
      </c>
      <c r="BD184" s="2720">
        <f t="shared" si="102"/>
        <v>0</v>
      </c>
      <c r="BE184" s="2720">
        <f t="shared" si="103"/>
        <v>0</v>
      </c>
      <c r="BF184" s="2720">
        <f t="shared" si="104"/>
        <v>0</v>
      </c>
      <c r="BG184" s="2720">
        <f t="shared" si="105"/>
        <v>0</v>
      </c>
      <c r="BH184" s="2720">
        <f t="shared" si="106"/>
        <v>0</v>
      </c>
      <c r="BI184" s="2720">
        <f t="shared" si="107"/>
        <v>0</v>
      </c>
      <c r="BJ184" s="2720">
        <f t="shared" si="108"/>
        <v>0</v>
      </c>
      <c r="BK184" s="2720">
        <f t="shared" si="109"/>
        <v>0</v>
      </c>
      <c r="BL184" s="2720">
        <f t="shared" si="110"/>
        <v>0</v>
      </c>
      <c r="BM184" s="2720">
        <f t="shared" si="111"/>
        <v>0</v>
      </c>
      <c r="BN184" s="2720">
        <f t="shared" si="112"/>
        <v>0</v>
      </c>
      <c r="BO184" s="2720">
        <f t="shared" si="113"/>
        <v>0</v>
      </c>
      <c r="BP184" s="2720">
        <f t="shared" si="114"/>
        <v>0</v>
      </c>
      <c r="BQ184" s="2720">
        <f t="shared" si="115"/>
        <v>0</v>
      </c>
      <c r="BR184" s="2720">
        <f t="shared" si="116"/>
        <v>0</v>
      </c>
      <c r="BS184" s="2720">
        <f t="shared" si="117"/>
        <v>0</v>
      </c>
      <c r="BT184" s="2772">
        <f t="shared" si="118"/>
        <v>0</v>
      </c>
    </row>
    <row r="185" spans="1:72">
      <c r="A185" s="2717"/>
      <c r="B185" s="2718"/>
      <c r="C185" s="2718"/>
      <c r="D185" s="2719"/>
      <c r="E185" s="2720">
        <f t="shared" si="119"/>
        <v>0</v>
      </c>
      <c r="F185" s="2721"/>
      <c r="G185" s="2722">
        <f t="shared" si="94"/>
        <v>0</v>
      </c>
      <c r="H185" s="2723">
        <f t="shared" si="95"/>
        <v>0</v>
      </c>
      <c r="I185" s="2730"/>
      <c r="J185" s="2730"/>
      <c r="K185" s="2730"/>
      <c r="L185" s="2730"/>
      <c r="M185" s="2730"/>
      <c r="N185" s="2730"/>
      <c r="O185" s="2730"/>
      <c r="P185" s="2730"/>
      <c r="Q185" s="2730"/>
      <c r="R185" s="2730"/>
      <c r="S185" s="2730"/>
      <c r="T185" s="2730"/>
      <c r="U185" s="2730"/>
      <c r="V185" s="2730"/>
      <c r="W185" s="2730"/>
      <c r="X185" s="2730"/>
      <c r="Y185" s="2730"/>
      <c r="Z185" s="2730"/>
      <c r="AA185" s="2730"/>
      <c r="AB185" s="2730"/>
      <c r="AC185" s="2720">
        <f t="shared" si="96"/>
        <v>0</v>
      </c>
      <c r="AD185" s="2740"/>
      <c r="AE185" s="2740"/>
      <c r="AF185" s="2740"/>
      <c r="AG185" s="2740"/>
      <c r="AH185" s="2740"/>
      <c r="AI185" s="2740"/>
      <c r="AJ185" s="2740"/>
      <c r="AK185" s="2740"/>
      <c r="AL185" s="2740"/>
      <c r="AM185" s="2740"/>
      <c r="AN185" s="2740"/>
      <c r="AO185" s="2740"/>
      <c r="AP185" s="2740"/>
      <c r="AQ185" s="2740"/>
      <c r="AR185" s="2740"/>
      <c r="AS185" s="2740"/>
      <c r="AT185" s="2750"/>
      <c r="AU185" s="2751"/>
      <c r="AV185" s="1092">
        <f t="shared" si="120"/>
        <v>0</v>
      </c>
      <c r="AW185" s="1092">
        <f t="shared" si="121"/>
        <v>0</v>
      </c>
      <c r="AX185" s="1092">
        <f t="shared" si="122"/>
        <v>0</v>
      </c>
      <c r="AY185" s="2765">
        <f t="shared" si="97"/>
        <v>0</v>
      </c>
      <c r="AZ185" s="2720">
        <f t="shared" si="98"/>
        <v>0</v>
      </c>
      <c r="BA185" s="2720">
        <f t="shared" si="99"/>
        <v>0</v>
      </c>
      <c r="BB185" s="2720">
        <f t="shared" si="100"/>
        <v>0</v>
      </c>
      <c r="BC185" s="2720">
        <f t="shared" si="101"/>
        <v>0</v>
      </c>
      <c r="BD185" s="2720">
        <f t="shared" si="102"/>
        <v>0</v>
      </c>
      <c r="BE185" s="2720">
        <f t="shared" si="103"/>
        <v>0</v>
      </c>
      <c r="BF185" s="2720">
        <f t="shared" si="104"/>
        <v>0</v>
      </c>
      <c r="BG185" s="2720">
        <f t="shared" si="105"/>
        <v>0</v>
      </c>
      <c r="BH185" s="2720">
        <f t="shared" si="106"/>
        <v>0</v>
      </c>
      <c r="BI185" s="2720">
        <f t="shared" si="107"/>
        <v>0</v>
      </c>
      <c r="BJ185" s="2720">
        <f t="shared" si="108"/>
        <v>0</v>
      </c>
      <c r="BK185" s="2720">
        <f t="shared" si="109"/>
        <v>0</v>
      </c>
      <c r="BL185" s="2720">
        <f t="shared" si="110"/>
        <v>0</v>
      </c>
      <c r="BM185" s="2720">
        <f t="shared" si="111"/>
        <v>0</v>
      </c>
      <c r="BN185" s="2720">
        <f t="shared" si="112"/>
        <v>0</v>
      </c>
      <c r="BO185" s="2720">
        <f t="shared" si="113"/>
        <v>0</v>
      </c>
      <c r="BP185" s="2720">
        <f t="shared" si="114"/>
        <v>0</v>
      </c>
      <c r="BQ185" s="2720">
        <f t="shared" si="115"/>
        <v>0</v>
      </c>
      <c r="BR185" s="2720">
        <f t="shared" si="116"/>
        <v>0</v>
      </c>
      <c r="BS185" s="2720">
        <f t="shared" si="117"/>
        <v>0</v>
      </c>
      <c r="BT185" s="2772">
        <f t="shared" si="118"/>
        <v>0</v>
      </c>
    </row>
    <row r="186" spans="1:72">
      <c r="A186" s="2717"/>
      <c r="B186" s="2718"/>
      <c r="C186" s="2718"/>
      <c r="D186" s="2719"/>
      <c r="E186" s="2720">
        <f t="shared" si="119"/>
        <v>0</v>
      </c>
      <c r="F186" s="2721"/>
      <c r="G186" s="2722">
        <f t="shared" si="94"/>
        <v>0</v>
      </c>
      <c r="H186" s="2723">
        <f t="shared" si="95"/>
        <v>0</v>
      </c>
      <c r="I186" s="2730"/>
      <c r="J186" s="2730"/>
      <c r="K186" s="2730"/>
      <c r="L186" s="2730"/>
      <c r="M186" s="2730"/>
      <c r="N186" s="2730"/>
      <c r="O186" s="2730"/>
      <c r="P186" s="2730"/>
      <c r="Q186" s="2730"/>
      <c r="R186" s="2730"/>
      <c r="S186" s="2730"/>
      <c r="T186" s="2730"/>
      <c r="U186" s="2730"/>
      <c r="V186" s="2730"/>
      <c r="W186" s="2730"/>
      <c r="X186" s="2730"/>
      <c r="Y186" s="2730"/>
      <c r="Z186" s="2730"/>
      <c r="AA186" s="2730"/>
      <c r="AB186" s="2730"/>
      <c r="AC186" s="2720">
        <f t="shared" si="96"/>
        <v>0</v>
      </c>
      <c r="AD186" s="2740"/>
      <c r="AE186" s="2740"/>
      <c r="AF186" s="2740"/>
      <c r="AG186" s="2740"/>
      <c r="AH186" s="2740"/>
      <c r="AI186" s="2740"/>
      <c r="AJ186" s="2740"/>
      <c r="AK186" s="2740"/>
      <c r="AL186" s="2740"/>
      <c r="AM186" s="2740"/>
      <c r="AN186" s="2740"/>
      <c r="AO186" s="2740"/>
      <c r="AP186" s="2740"/>
      <c r="AQ186" s="2740"/>
      <c r="AR186" s="2740"/>
      <c r="AS186" s="2740"/>
      <c r="AT186" s="2750"/>
      <c r="AU186" s="2751"/>
      <c r="AV186" s="1092">
        <f t="shared" si="120"/>
        <v>0</v>
      </c>
      <c r="AW186" s="1092">
        <f t="shared" si="121"/>
        <v>0</v>
      </c>
      <c r="AX186" s="1092">
        <f t="shared" si="122"/>
        <v>0</v>
      </c>
      <c r="AY186" s="2765">
        <f t="shared" si="97"/>
        <v>0</v>
      </c>
      <c r="AZ186" s="2720">
        <f t="shared" si="98"/>
        <v>0</v>
      </c>
      <c r="BA186" s="2720">
        <f t="shared" si="99"/>
        <v>0</v>
      </c>
      <c r="BB186" s="2720">
        <f t="shared" si="100"/>
        <v>0</v>
      </c>
      <c r="BC186" s="2720">
        <f t="shared" si="101"/>
        <v>0</v>
      </c>
      <c r="BD186" s="2720">
        <f t="shared" si="102"/>
        <v>0</v>
      </c>
      <c r="BE186" s="2720">
        <f t="shared" si="103"/>
        <v>0</v>
      </c>
      <c r="BF186" s="2720">
        <f t="shared" si="104"/>
        <v>0</v>
      </c>
      <c r="BG186" s="2720">
        <f t="shared" si="105"/>
        <v>0</v>
      </c>
      <c r="BH186" s="2720">
        <f t="shared" si="106"/>
        <v>0</v>
      </c>
      <c r="BI186" s="2720">
        <f t="shared" si="107"/>
        <v>0</v>
      </c>
      <c r="BJ186" s="2720">
        <f t="shared" si="108"/>
        <v>0</v>
      </c>
      <c r="BK186" s="2720">
        <f t="shared" si="109"/>
        <v>0</v>
      </c>
      <c r="BL186" s="2720">
        <f t="shared" si="110"/>
        <v>0</v>
      </c>
      <c r="BM186" s="2720">
        <f t="shared" si="111"/>
        <v>0</v>
      </c>
      <c r="BN186" s="2720">
        <f t="shared" si="112"/>
        <v>0</v>
      </c>
      <c r="BO186" s="2720">
        <f t="shared" si="113"/>
        <v>0</v>
      </c>
      <c r="BP186" s="2720">
        <f t="shared" si="114"/>
        <v>0</v>
      </c>
      <c r="BQ186" s="2720">
        <f t="shared" si="115"/>
        <v>0</v>
      </c>
      <c r="BR186" s="2720">
        <f t="shared" si="116"/>
        <v>0</v>
      </c>
      <c r="BS186" s="2720">
        <f t="shared" si="117"/>
        <v>0</v>
      </c>
      <c r="BT186" s="2772">
        <f t="shared" si="118"/>
        <v>0</v>
      </c>
    </row>
    <row r="187" spans="1:72">
      <c r="A187" s="2717"/>
      <c r="B187" s="2718"/>
      <c r="C187" s="2718"/>
      <c r="D187" s="2719"/>
      <c r="E187" s="2720">
        <f t="shared" si="119"/>
        <v>0</v>
      </c>
      <c r="F187" s="2721"/>
      <c r="G187" s="2722">
        <f t="shared" si="94"/>
        <v>0</v>
      </c>
      <c r="H187" s="2723">
        <f t="shared" si="95"/>
        <v>0</v>
      </c>
      <c r="I187" s="2730"/>
      <c r="J187" s="2730"/>
      <c r="K187" s="2730"/>
      <c r="L187" s="2730"/>
      <c r="M187" s="2730"/>
      <c r="N187" s="2730"/>
      <c r="O187" s="2730"/>
      <c r="P187" s="2730"/>
      <c r="Q187" s="2730"/>
      <c r="R187" s="2730"/>
      <c r="S187" s="2730"/>
      <c r="T187" s="2730"/>
      <c r="U187" s="2730"/>
      <c r="V187" s="2730"/>
      <c r="W187" s="2730"/>
      <c r="X187" s="2730"/>
      <c r="Y187" s="2730"/>
      <c r="Z187" s="2730"/>
      <c r="AA187" s="2730"/>
      <c r="AB187" s="2730"/>
      <c r="AC187" s="2720">
        <f t="shared" si="96"/>
        <v>0</v>
      </c>
      <c r="AD187" s="2740"/>
      <c r="AE187" s="2740"/>
      <c r="AF187" s="2740"/>
      <c r="AG187" s="2740"/>
      <c r="AH187" s="2740"/>
      <c r="AI187" s="2740"/>
      <c r="AJ187" s="2740"/>
      <c r="AK187" s="2740"/>
      <c r="AL187" s="2740"/>
      <c r="AM187" s="2740"/>
      <c r="AN187" s="2740"/>
      <c r="AO187" s="2740"/>
      <c r="AP187" s="2740"/>
      <c r="AQ187" s="2740"/>
      <c r="AR187" s="2740"/>
      <c r="AS187" s="2740"/>
      <c r="AT187" s="2750"/>
      <c r="AU187" s="2751"/>
      <c r="AV187" s="1092">
        <f t="shared" si="120"/>
        <v>0</v>
      </c>
      <c r="AW187" s="1092">
        <f t="shared" si="121"/>
        <v>0</v>
      </c>
      <c r="AX187" s="1092">
        <f t="shared" si="122"/>
        <v>0</v>
      </c>
      <c r="AY187" s="2765">
        <f t="shared" si="97"/>
        <v>0</v>
      </c>
      <c r="AZ187" s="2720">
        <f t="shared" si="98"/>
        <v>0</v>
      </c>
      <c r="BA187" s="2720">
        <f t="shared" si="99"/>
        <v>0</v>
      </c>
      <c r="BB187" s="2720">
        <f t="shared" si="100"/>
        <v>0</v>
      </c>
      <c r="BC187" s="2720">
        <f t="shared" si="101"/>
        <v>0</v>
      </c>
      <c r="BD187" s="2720">
        <f t="shared" si="102"/>
        <v>0</v>
      </c>
      <c r="BE187" s="2720">
        <f t="shared" si="103"/>
        <v>0</v>
      </c>
      <c r="BF187" s="2720">
        <f t="shared" si="104"/>
        <v>0</v>
      </c>
      <c r="BG187" s="2720">
        <f t="shared" si="105"/>
        <v>0</v>
      </c>
      <c r="BH187" s="2720">
        <f t="shared" si="106"/>
        <v>0</v>
      </c>
      <c r="BI187" s="2720">
        <f t="shared" si="107"/>
        <v>0</v>
      </c>
      <c r="BJ187" s="2720">
        <f t="shared" si="108"/>
        <v>0</v>
      </c>
      <c r="BK187" s="2720">
        <f t="shared" si="109"/>
        <v>0</v>
      </c>
      <c r="BL187" s="2720">
        <f t="shared" si="110"/>
        <v>0</v>
      </c>
      <c r="BM187" s="2720">
        <f t="shared" si="111"/>
        <v>0</v>
      </c>
      <c r="BN187" s="2720">
        <f t="shared" si="112"/>
        <v>0</v>
      </c>
      <c r="BO187" s="2720">
        <f t="shared" si="113"/>
        <v>0</v>
      </c>
      <c r="BP187" s="2720">
        <f t="shared" si="114"/>
        <v>0</v>
      </c>
      <c r="BQ187" s="2720">
        <f t="shared" si="115"/>
        <v>0</v>
      </c>
      <c r="BR187" s="2720">
        <f t="shared" si="116"/>
        <v>0</v>
      </c>
      <c r="BS187" s="2720">
        <f t="shared" si="117"/>
        <v>0</v>
      </c>
      <c r="BT187" s="2772">
        <f t="shared" si="118"/>
        <v>0</v>
      </c>
    </row>
    <row r="188" spans="1:72">
      <c r="A188" s="2717"/>
      <c r="B188" s="2718"/>
      <c r="C188" s="2718"/>
      <c r="D188" s="2719"/>
      <c r="E188" s="2720">
        <f t="shared" si="119"/>
        <v>0</v>
      </c>
      <c r="F188" s="2721"/>
      <c r="G188" s="2722">
        <f t="shared" si="94"/>
        <v>0</v>
      </c>
      <c r="H188" s="2723">
        <f t="shared" si="95"/>
        <v>0</v>
      </c>
      <c r="I188" s="2730"/>
      <c r="J188" s="2730"/>
      <c r="K188" s="2730"/>
      <c r="L188" s="2730"/>
      <c r="M188" s="2730"/>
      <c r="N188" s="2730"/>
      <c r="O188" s="2730"/>
      <c r="P188" s="2730"/>
      <c r="Q188" s="2730"/>
      <c r="R188" s="2730"/>
      <c r="S188" s="2730"/>
      <c r="T188" s="2730"/>
      <c r="U188" s="2730"/>
      <c r="V188" s="2730"/>
      <c r="W188" s="2730"/>
      <c r="X188" s="2730"/>
      <c r="Y188" s="2730"/>
      <c r="Z188" s="2730"/>
      <c r="AA188" s="2730"/>
      <c r="AB188" s="2730"/>
      <c r="AC188" s="2720">
        <f t="shared" si="96"/>
        <v>0</v>
      </c>
      <c r="AD188" s="2740"/>
      <c r="AE188" s="2740"/>
      <c r="AF188" s="2740"/>
      <c r="AG188" s="2740"/>
      <c r="AH188" s="2740"/>
      <c r="AI188" s="2740"/>
      <c r="AJ188" s="2740"/>
      <c r="AK188" s="2740"/>
      <c r="AL188" s="2740"/>
      <c r="AM188" s="2740"/>
      <c r="AN188" s="2740"/>
      <c r="AO188" s="2740"/>
      <c r="AP188" s="2740"/>
      <c r="AQ188" s="2740"/>
      <c r="AR188" s="2740"/>
      <c r="AS188" s="2740"/>
      <c r="AT188" s="2750"/>
      <c r="AU188" s="2751"/>
      <c r="AV188" s="1092">
        <f t="shared" si="120"/>
        <v>0</v>
      </c>
      <c r="AW188" s="1092">
        <f t="shared" si="121"/>
        <v>0</v>
      </c>
      <c r="AX188" s="1092">
        <f t="shared" si="122"/>
        <v>0</v>
      </c>
      <c r="AY188" s="2765">
        <f t="shared" si="97"/>
        <v>0</v>
      </c>
      <c r="AZ188" s="2720">
        <f t="shared" si="98"/>
        <v>0</v>
      </c>
      <c r="BA188" s="2720">
        <f t="shared" si="99"/>
        <v>0</v>
      </c>
      <c r="BB188" s="2720">
        <f t="shared" si="100"/>
        <v>0</v>
      </c>
      <c r="BC188" s="2720">
        <f t="shared" si="101"/>
        <v>0</v>
      </c>
      <c r="BD188" s="2720">
        <f t="shared" si="102"/>
        <v>0</v>
      </c>
      <c r="BE188" s="2720">
        <f t="shared" si="103"/>
        <v>0</v>
      </c>
      <c r="BF188" s="2720">
        <f t="shared" si="104"/>
        <v>0</v>
      </c>
      <c r="BG188" s="2720">
        <f t="shared" si="105"/>
        <v>0</v>
      </c>
      <c r="BH188" s="2720">
        <f t="shared" si="106"/>
        <v>0</v>
      </c>
      <c r="BI188" s="2720">
        <f t="shared" si="107"/>
        <v>0</v>
      </c>
      <c r="BJ188" s="2720">
        <f t="shared" si="108"/>
        <v>0</v>
      </c>
      <c r="BK188" s="2720">
        <f t="shared" si="109"/>
        <v>0</v>
      </c>
      <c r="BL188" s="2720">
        <f t="shared" si="110"/>
        <v>0</v>
      </c>
      <c r="BM188" s="2720">
        <f t="shared" si="111"/>
        <v>0</v>
      </c>
      <c r="BN188" s="2720">
        <f t="shared" si="112"/>
        <v>0</v>
      </c>
      <c r="BO188" s="2720">
        <f t="shared" si="113"/>
        <v>0</v>
      </c>
      <c r="BP188" s="2720">
        <f t="shared" si="114"/>
        <v>0</v>
      </c>
      <c r="BQ188" s="2720">
        <f t="shared" si="115"/>
        <v>0</v>
      </c>
      <c r="BR188" s="2720">
        <f t="shared" si="116"/>
        <v>0</v>
      </c>
      <c r="BS188" s="2720">
        <f t="shared" si="117"/>
        <v>0</v>
      </c>
      <c r="BT188" s="2772">
        <f t="shared" si="118"/>
        <v>0</v>
      </c>
    </row>
    <row r="189" spans="1:72">
      <c r="A189" s="2717"/>
      <c r="B189" s="2718"/>
      <c r="C189" s="2718"/>
      <c r="D189" s="2719"/>
      <c r="E189" s="2720">
        <f t="shared" si="119"/>
        <v>0</v>
      </c>
      <c r="F189" s="2721"/>
      <c r="G189" s="2722">
        <f t="shared" si="94"/>
        <v>0</v>
      </c>
      <c r="H189" s="2723">
        <f t="shared" si="95"/>
        <v>0</v>
      </c>
      <c r="I189" s="2730"/>
      <c r="J189" s="2730"/>
      <c r="K189" s="2730"/>
      <c r="L189" s="2730"/>
      <c r="M189" s="2730"/>
      <c r="N189" s="2730"/>
      <c r="O189" s="2730"/>
      <c r="P189" s="2730"/>
      <c r="Q189" s="2730"/>
      <c r="R189" s="2730"/>
      <c r="S189" s="2730"/>
      <c r="T189" s="2730"/>
      <c r="U189" s="2730"/>
      <c r="V189" s="2730"/>
      <c r="W189" s="2730"/>
      <c r="X189" s="2730"/>
      <c r="Y189" s="2730"/>
      <c r="Z189" s="2730"/>
      <c r="AA189" s="2730"/>
      <c r="AB189" s="2730"/>
      <c r="AC189" s="2720">
        <f t="shared" si="96"/>
        <v>0</v>
      </c>
      <c r="AD189" s="2740"/>
      <c r="AE189" s="2740"/>
      <c r="AF189" s="2740"/>
      <c r="AG189" s="2740"/>
      <c r="AH189" s="2740"/>
      <c r="AI189" s="2740"/>
      <c r="AJ189" s="2740"/>
      <c r="AK189" s="2740"/>
      <c r="AL189" s="2740"/>
      <c r="AM189" s="2740"/>
      <c r="AN189" s="2740"/>
      <c r="AO189" s="2740"/>
      <c r="AP189" s="2740"/>
      <c r="AQ189" s="2740"/>
      <c r="AR189" s="2740"/>
      <c r="AS189" s="2740"/>
      <c r="AT189" s="2750"/>
      <c r="AU189" s="2751"/>
      <c r="AV189" s="1092">
        <f t="shared" si="120"/>
        <v>0</v>
      </c>
      <c r="AW189" s="1092">
        <f t="shared" si="121"/>
        <v>0</v>
      </c>
      <c r="AX189" s="1092">
        <f t="shared" si="122"/>
        <v>0</v>
      </c>
      <c r="AY189" s="2765">
        <f t="shared" si="97"/>
        <v>0</v>
      </c>
      <c r="AZ189" s="2720">
        <f t="shared" si="98"/>
        <v>0</v>
      </c>
      <c r="BA189" s="2720">
        <f t="shared" si="99"/>
        <v>0</v>
      </c>
      <c r="BB189" s="2720">
        <f t="shared" si="100"/>
        <v>0</v>
      </c>
      <c r="BC189" s="2720">
        <f t="shared" si="101"/>
        <v>0</v>
      </c>
      <c r="BD189" s="2720">
        <f t="shared" si="102"/>
        <v>0</v>
      </c>
      <c r="BE189" s="2720">
        <f t="shared" si="103"/>
        <v>0</v>
      </c>
      <c r="BF189" s="2720">
        <f t="shared" si="104"/>
        <v>0</v>
      </c>
      <c r="BG189" s="2720">
        <f t="shared" si="105"/>
        <v>0</v>
      </c>
      <c r="BH189" s="2720">
        <f t="shared" si="106"/>
        <v>0</v>
      </c>
      <c r="BI189" s="2720">
        <f t="shared" si="107"/>
        <v>0</v>
      </c>
      <c r="BJ189" s="2720">
        <f t="shared" si="108"/>
        <v>0</v>
      </c>
      <c r="BK189" s="2720">
        <f t="shared" si="109"/>
        <v>0</v>
      </c>
      <c r="BL189" s="2720">
        <f t="shared" si="110"/>
        <v>0</v>
      </c>
      <c r="BM189" s="2720">
        <f t="shared" si="111"/>
        <v>0</v>
      </c>
      <c r="BN189" s="2720">
        <f t="shared" si="112"/>
        <v>0</v>
      </c>
      <c r="BO189" s="2720">
        <f t="shared" si="113"/>
        <v>0</v>
      </c>
      <c r="BP189" s="2720">
        <f t="shared" si="114"/>
        <v>0</v>
      </c>
      <c r="BQ189" s="2720">
        <f t="shared" si="115"/>
        <v>0</v>
      </c>
      <c r="BR189" s="2720">
        <f t="shared" si="116"/>
        <v>0</v>
      </c>
      <c r="BS189" s="2720">
        <f t="shared" si="117"/>
        <v>0</v>
      </c>
      <c r="BT189" s="2772">
        <f t="shared" si="118"/>
        <v>0</v>
      </c>
    </row>
    <row r="190" spans="1:72">
      <c r="A190" s="2717"/>
      <c r="B190" s="2718"/>
      <c r="C190" s="2718"/>
      <c r="D190" s="2719"/>
      <c r="E190" s="2720">
        <f t="shared" si="119"/>
        <v>0</v>
      </c>
      <c r="F190" s="2721"/>
      <c r="G190" s="2722">
        <f t="shared" si="94"/>
        <v>0</v>
      </c>
      <c r="H190" s="2723">
        <f t="shared" si="95"/>
        <v>0</v>
      </c>
      <c r="I190" s="2730"/>
      <c r="J190" s="2730"/>
      <c r="K190" s="2730"/>
      <c r="L190" s="2730"/>
      <c r="M190" s="2730"/>
      <c r="N190" s="2730"/>
      <c r="O190" s="2730"/>
      <c r="P190" s="2730"/>
      <c r="Q190" s="2730"/>
      <c r="R190" s="2730"/>
      <c r="S190" s="2730"/>
      <c r="T190" s="2730"/>
      <c r="U190" s="2730"/>
      <c r="V190" s="2730"/>
      <c r="W190" s="2730"/>
      <c r="X190" s="2730"/>
      <c r="Y190" s="2730"/>
      <c r="Z190" s="2730"/>
      <c r="AA190" s="2730"/>
      <c r="AB190" s="2730"/>
      <c r="AC190" s="2720">
        <f t="shared" si="96"/>
        <v>0</v>
      </c>
      <c r="AD190" s="2740"/>
      <c r="AE190" s="2740"/>
      <c r="AF190" s="2740"/>
      <c r="AG190" s="2740"/>
      <c r="AH190" s="2740"/>
      <c r="AI190" s="2740"/>
      <c r="AJ190" s="2740"/>
      <c r="AK190" s="2740"/>
      <c r="AL190" s="2740"/>
      <c r="AM190" s="2740"/>
      <c r="AN190" s="2740"/>
      <c r="AO190" s="2740"/>
      <c r="AP190" s="2740"/>
      <c r="AQ190" s="2740"/>
      <c r="AR190" s="2740"/>
      <c r="AS190" s="2740"/>
      <c r="AT190" s="2750"/>
      <c r="AU190" s="2751"/>
      <c r="AV190" s="1092">
        <f t="shared" si="120"/>
        <v>0</v>
      </c>
      <c r="AW190" s="1092">
        <f t="shared" si="121"/>
        <v>0</v>
      </c>
      <c r="AX190" s="1092">
        <f t="shared" si="122"/>
        <v>0</v>
      </c>
      <c r="AY190" s="2765">
        <f t="shared" si="97"/>
        <v>0</v>
      </c>
      <c r="AZ190" s="2720">
        <f t="shared" si="98"/>
        <v>0</v>
      </c>
      <c r="BA190" s="2720">
        <f t="shared" si="99"/>
        <v>0</v>
      </c>
      <c r="BB190" s="2720">
        <f t="shared" si="100"/>
        <v>0</v>
      </c>
      <c r="BC190" s="2720">
        <f t="shared" si="101"/>
        <v>0</v>
      </c>
      <c r="BD190" s="2720">
        <f t="shared" si="102"/>
        <v>0</v>
      </c>
      <c r="BE190" s="2720">
        <f t="shared" si="103"/>
        <v>0</v>
      </c>
      <c r="BF190" s="2720">
        <f t="shared" si="104"/>
        <v>0</v>
      </c>
      <c r="BG190" s="2720">
        <f t="shared" si="105"/>
        <v>0</v>
      </c>
      <c r="BH190" s="2720">
        <f t="shared" si="106"/>
        <v>0</v>
      </c>
      <c r="BI190" s="2720">
        <f t="shared" si="107"/>
        <v>0</v>
      </c>
      <c r="BJ190" s="2720">
        <f t="shared" si="108"/>
        <v>0</v>
      </c>
      <c r="BK190" s="2720">
        <f t="shared" si="109"/>
        <v>0</v>
      </c>
      <c r="BL190" s="2720">
        <f t="shared" si="110"/>
        <v>0</v>
      </c>
      <c r="BM190" s="2720">
        <f t="shared" si="111"/>
        <v>0</v>
      </c>
      <c r="BN190" s="2720">
        <f t="shared" si="112"/>
        <v>0</v>
      </c>
      <c r="BO190" s="2720">
        <f t="shared" si="113"/>
        <v>0</v>
      </c>
      <c r="BP190" s="2720">
        <f t="shared" si="114"/>
        <v>0</v>
      </c>
      <c r="BQ190" s="2720">
        <f t="shared" si="115"/>
        <v>0</v>
      </c>
      <c r="BR190" s="2720">
        <f t="shared" si="116"/>
        <v>0</v>
      </c>
      <c r="BS190" s="2720">
        <f t="shared" si="117"/>
        <v>0</v>
      </c>
      <c r="BT190" s="2772">
        <f t="shared" si="118"/>
        <v>0</v>
      </c>
    </row>
    <row r="191" spans="1:72">
      <c r="A191" s="2717"/>
      <c r="B191" s="2718"/>
      <c r="C191" s="2718"/>
      <c r="D191" s="2719"/>
      <c r="E191" s="2720">
        <f t="shared" si="119"/>
        <v>0</v>
      </c>
      <c r="F191" s="2721"/>
      <c r="G191" s="2722">
        <f t="shared" si="94"/>
        <v>0</v>
      </c>
      <c r="H191" s="2723">
        <f t="shared" si="95"/>
        <v>0</v>
      </c>
      <c r="I191" s="2730"/>
      <c r="J191" s="2730"/>
      <c r="K191" s="2730"/>
      <c r="L191" s="2730"/>
      <c r="M191" s="2730"/>
      <c r="N191" s="2730"/>
      <c r="O191" s="2730"/>
      <c r="P191" s="2730"/>
      <c r="Q191" s="2730"/>
      <c r="R191" s="2730"/>
      <c r="S191" s="2730"/>
      <c r="T191" s="2730"/>
      <c r="U191" s="2730"/>
      <c r="V191" s="2730"/>
      <c r="W191" s="2730"/>
      <c r="X191" s="2730"/>
      <c r="Y191" s="2730"/>
      <c r="Z191" s="2730"/>
      <c r="AA191" s="2730"/>
      <c r="AB191" s="2730"/>
      <c r="AC191" s="2720">
        <f t="shared" si="96"/>
        <v>0</v>
      </c>
      <c r="AD191" s="2740"/>
      <c r="AE191" s="2740"/>
      <c r="AF191" s="2740"/>
      <c r="AG191" s="2740"/>
      <c r="AH191" s="2740"/>
      <c r="AI191" s="2740"/>
      <c r="AJ191" s="2740"/>
      <c r="AK191" s="2740"/>
      <c r="AL191" s="2740"/>
      <c r="AM191" s="2740"/>
      <c r="AN191" s="2740"/>
      <c r="AO191" s="2740"/>
      <c r="AP191" s="2740"/>
      <c r="AQ191" s="2740"/>
      <c r="AR191" s="2740"/>
      <c r="AS191" s="2740"/>
      <c r="AT191" s="2750"/>
      <c r="AU191" s="2751"/>
      <c r="AV191" s="1092">
        <f t="shared" si="120"/>
        <v>0</v>
      </c>
      <c r="AW191" s="1092">
        <f t="shared" si="121"/>
        <v>0</v>
      </c>
      <c r="AX191" s="1092">
        <f t="shared" si="122"/>
        <v>0</v>
      </c>
      <c r="AY191" s="2765">
        <f t="shared" si="97"/>
        <v>0</v>
      </c>
      <c r="AZ191" s="2720">
        <f t="shared" si="98"/>
        <v>0</v>
      </c>
      <c r="BA191" s="2720">
        <f t="shared" si="99"/>
        <v>0</v>
      </c>
      <c r="BB191" s="2720">
        <f t="shared" si="100"/>
        <v>0</v>
      </c>
      <c r="BC191" s="2720">
        <f t="shared" si="101"/>
        <v>0</v>
      </c>
      <c r="BD191" s="2720">
        <f t="shared" si="102"/>
        <v>0</v>
      </c>
      <c r="BE191" s="2720">
        <f t="shared" si="103"/>
        <v>0</v>
      </c>
      <c r="BF191" s="2720">
        <f t="shared" si="104"/>
        <v>0</v>
      </c>
      <c r="BG191" s="2720">
        <f t="shared" si="105"/>
        <v>0</v>
      </c>
      <c r="BH191" s="2720">
        <f t="shared" si="106"/>
        <v>0</v>
      </c>
      <c r="BI191" s="2720">
        <f t="shared" si="107"/>
        <v>0</v>
      </c>
      <c r="BJ191" s="2720">
        <f t="shared" si="108"/>
        <v>0</v>
      </c>
      <c r="BK191" s="2720">
        <f t="shared" si="109"/>
        <v>0</v>
      </c>
      <c r="BL191" s="2720">
        <f t="shared" si="110"/>
        <v>0</v>
      </c>
      <c r="BM191" s="2720">
        <f t="shared" si="111"/>
        <v>0</v>
      </c>
      <c r="BN191" s="2720">
        <f t="shared" si="112"/>
        <v>0</v>
      </c>
      <c r="BO191" s="2720">
        <f t="shared" si="113"/>
        <v>0</v>
      </c>
      <c r="BP191" s="2720">
        <f t="shared" si="114"/>
        <v>0</v>
      </c>
      <c r="BQ191" s="2720">
        <f t="shared" si="115"/>
        <v>0</v>
      </c>
      <c r="BR191" s="2720">
        <f t="shared" si="116"/>
        <v>0</v>
      </c>
      <c r="BS191" s="2720">
        <f t="shared" si="117"/>
        <v>0</v>
      </c>
      <c r="BT191" s="2772">
        <f t="shared" si="118"/>
        <v>0</v>
      </c>
    </row>
    <row r="192" spans="1:72">
      <c r="A192" s="2717"/>
      <c r="B192" s="2718"/>
      <c r="C192" s="2718"/>
      <c r="D192" s="2719"/>
      <c r="E192" s="2720">
        <f t="shared" si="119"/>
        <v>0</v>
      </c>
      <c r="F192" s="2721"/>
      <c r="G192" s="2722">
        <f t="shared" si="94"/>
        <v>0</v>
      </c>
      <c r="H192" s="2723">
        <f t="shared" si="95"/>
        <v>0</v>
      </c>
      <c r="I192" s="2730"/>
      <c r="J192" s="2730"/>
      <c r="K192" s="2730"/>
      <c r="L192" s="2730"/>
      <c r="M192" s="2730"/>
      <c r="N192" s="2730"/>
      <c r="O192" s="2730"/>
      <c r="P192" s="2730"/>
      <c r="Q192" s="2730"/>
      <c r="R192" s="2730"/>
      <c r="S192" s="2730"/>
      <c r="T192" s="2730"/>
      <c r="U192" s="2730"/>
      <c r="V192" s="2730"/>
      <c r="W192" s="2730"/>
      <c r="X192" s="2730"/>
      <c r="Y192" s="2730"/>
      <c r="Z192" s="2730"/>
      <c r="AA192" s="2730"/>
      <c r="AB192" s="2730"/>
      <c r="AC192" s="2720">
        <f t="shared" si="96"/>
        <v>0</v>
      </c>
      <c r="AD192" s="2740"/>
      <c r="AE192" s="2740"/>
      <c r="AF192" s="2740"/>
      <c r="AG192" s="2740"/>
      <c r="AH192" s="2740"/>
      <c r="AI192" s="2740"/>
      <c r="AJ192" s="2740"/>
      <c r="AK192" s="2740"/>
      <c r="AL192" s="2740"/>
      <c r="AM192" s="2740"/>
      <c r="AN192" s="2740"/>
      <c r="AO192" s="2740"/>
      <c r="AP192" s="2740"/>
      <c r="AQ192" s="2740"/>
      <c r="AR192" s="2740"/>
      <c r="AS192" s="2740"/>
      <c r="AT192" s="2750"/>
      <c r="AU192" s="2751"/>
      <c r="AV192" s="1092">
        <f t="shared" si="120"/>
        <v>0</v>
      </c>
      <c r="AW192" s="1092">
        <f t="shared" si="121"/>
        <v>0</v>
      </c>
      <c r="AX192" s="1092">
        <f t="shared" si="122"/>
        <v>0</v>
      </c>
      <c r="AY192" s="2765">
        <f t="shared" si="97"/>
        <v>0</v>
      </c>
      <c r="AZ192" s="2720">
        <f t="shared" si="98"/>
        <v>0</v>
      </c>
      <c r="BA192" s="2720">
        <f t="shared" si="99"/>
        <v>0</v>
      </c>
      <c r="BB192" s="2720">
        <f t="shared" si="100"/>
        <v>0</v>
      </c>
      <c r="BC192" s="2720">
        <f t="shared" si="101"/>
        <v>0</v>
      </c>
      <c r="BD192" s="2720">
        <f t="shared" si="102"/>
        <v>0</v>
      </c>
      <c r="BE192" s="2720">
        <f t="shared" si="103"/>
        <v>0</v>
      </c>
      <c r="BF192" s="2720">
        <f t="shared" si="104"/>
        <v>0</v>
      </c>
      <c r="BG192" s="2720">
        <f t="shared" si="105"/>
        <v>0</v>
      </c>
      <c r="BH192" s="2720">
        <f t="shared" si="106"/>
        <v>0</v>
      </c>
      <c r="BI192" s="2720">
        <f t="shared" si="107"/>
        <v>0</v>
      </c>
      <c r="BJ192" s="2720">
        <f t="shared" si="108"/>
        <v>0</v>
      </c>
      <c r="BK192" s="2720">
        <f t="shared" si="109"/>
        <v>0</v>
      </c>
      <c r="BL192" s="2720">
        <f t="shared" si="110"/>
        <v>0</v>
      </c>
      <c r="BM192" s="2720">
        <f t="shared" si="111"/>
        <v>0</v>
      </c>
      <c r="BN192" s="2720">
        <f t="shared" si="112"/>
        <v>0</v>
      </c>
      <c r="BO192" s="2720">
        <f t="shared" si="113"/>
        <v>0</v>
      </c>
      <c r="BP192" s="2720">
        <f t="shared" si="114"/>
        <v>0</v>
      </c>
      <c r="BQ192" s="2720">
        <f t="shared" si="115"/>
        <v>0</v>
      </c>
      <c r="BR192" s="2720">
        <f t="shared" si="116"/>
        <v>0</v>
      </c>
      <c r="BS192" s="2720">
        <f t="shared" si="117"/>
        <v>0</v>
      </c>
      <c r="BT192" s="2772">
        <f t="shared" si="118"/>
        <v>0</v>
      </c>
    </row>
    <row r="193" spans="1:72">
      <c r="A193" s="2717"/>
      <c r="B193" s="2718"/>
      <c r="C193" s="2718"/>
      <c r="D193" s="2719"/>
      <c r="E193" s="2720">
        <f t="shared" si="119"/>
        <v>0</v>
      </c>
      <c r="F193" s="2721"/>
      <c r="G193" s="2722">
        <f t="shared" si="94"/>
        <v>0</v>
      </c>
      <c r="H193" s="2723">
        <f t="shared" si="95"/>
        <v>0</v>
      </c>
      <c r="I193" s="2730"/>
      <c r="J193" s="2730"/>
      <c r="K193" s="2730"/>
      <c r="L193" s="2730"/>
      <c r="M193" s="2730"/>
      <c r="N193" s="2730"/>
      <c r="O193" s="2730"/>
      <c r="P193" s="2730"/>
      <c r="Q193" s="2730"/>
      <c r="R193" s="2730"/>
      <c r="S193" s="2730"/>
      <c r="T193" s="2730"/>
      <c r="U193" s="2730"/>
      <c r="V193" s="2730"/>
      <c r="W193" s="2730"/>
      <c r="X193" s="2730"/>
      <c r="Y193" s="2730"/>
      <c r="Z193" s="2730"/>
      <c r="AA193" s="2730"/>
      <c r="AB193" s="2730"/>
      <c r="AC193" s="2720">
        <f t="shared" si="96"/>
        <v>0</v>
      </c>
      <c r="AD193" s="2740"/>
      <c r="AE193" s="2740"/>
      <c r="AF193" s="2740"/>
      <c r="AG193" s="2740"/>
      <c r="AH193" s="2740"/>
      <c r="AI193" s="2740"/>
      <c r="AJ193" s="2740"/>
      <c r="AK193" s="2740"/>
      <c r="AL193" s="2740"/>
      <c r="AM193" s="2740"/>
      <c r="AN193" s="2740"/>
      <c r="AO193" s="2740"/>
      <c r="AP193" s="2740"/>
      <c r="AQ193" s="2740"/>
      <c r="AR193" s="2740"/>
      <c r="AS193" s="2740"/>
      <c r="AT193" s="2750"/>
      <c r="AU193" s="2751"/>
      <c r="AV193" s="1092">
        <f t="shared" si="120"/>
        <v>0</v>
      </c>
      <c r="AW193" s="1092">
        <f t="shared" si="121"/>
        <v>0</v>
      </c>
      <c r="AX193" s="1092">
        <f t="shared" si="122"/>
        <v>0</v>
      </c>
      <c r="AY193" s="2765">
        <f t="shared" si="97"/>
        <v>0</v>
      </c>
      <c r="AZ193" s="2720">
        <f t="shared" si="98"/>
        <v>0</v>
      </c>
      <c r="BA193" s="2720">
        <f t="shared" si="99"/>
        <v>0</v>
      </c>
      <c r="BB193" s="2720">
        <f t="shared" si="100"/>
        <v>0</v>
      </c>
      <c r="BC193" s="2720">
        <f t="shared" si="101"/>
        <v>0</v>
      </c>
      <c r="BD193" s="2720">
        <f t="shared" si="102"/>
        <v>0</v>
      </c>
      <c r="BE193" s="2720">
        <f t="shared" si="103"/>
        <v>0</v>
      </c>
      <c r="BF193" s="2720">
        <f t="shared" si="104"/>
        <v>0</v>
      </c>
      <c r="BG193" s="2720">
        <f t="shared" si="105"/>
        <v>0</v>
      </c>
      <c r="BH193" s="2720">
        <f t="shared" si="106"/>
        <v>0</v>
      </c>
      <c r="BI193" s="2720">
        <f t="shared" si="107"/>
        <v>0</v>
      </c>
      <c r="BJ193" s="2720">
        <f t="shared" si="108"/>
        <v>0</v>
      </c>
      <c r="BK193" s="2720">
        <f t="shared" si="109"/>
        <v>0</v>
      </c>
      <c r="BL193" s="2720">
        <f t="shared" si="110"/>
        <v>0</v>
      </c>
      <c r="BM193" s="2720">
        <f t="shared" si="111"/>
        <v>0</v>
      </c>
      <c r="BN193" s="2720">
        <f t="shared" si="112"/>
        <v>0</v>
      </c>
      <c r="BO193" s="2720">
        <f t="shared" si="113"/>
        <v>0</v>
      </c>
      <c r="BP193" s="2720">
        <f t="shared" si="114"/>
        <v>0</v>
      </c>
      <c r="BQ193" s="2720">
        <f t="shared" si="115"/>
        <v>0</v>
      </c>
      <c r="BR193" s="2720">
        <f t="shared" si="116"/>
        <v>0</v>
      </c>
      <c r="BS193" s="2720">
        <f t="shared" si="117"/>
        <v>0</v>
      </c>
      <c r="BT193" s="2772">
        <f t="shared" si="118"/>
        <v>0</v>
      </c>
    </row>
    <row r="194" spans="1:72">
      <c r="A194" s="2717"/>
      <c r="B194" s="2718"/>
      <c r="C194" s="2718"/>
      <c r="D194" s="2719"/>
      <c r="E194" s="2720">
        <f t="shared" si="119"/>
        <v>0</v>
      </c>
      <c r="F194" s="2721"/>
      <c r="G194" s="2722">
        <f t="shared" si="94"/>
        <v>0</v>
      </c>
      <c r="H194" s="2723">
        <f t="shared" si="95"/>
        <v>0</v>
      </c>
      <c r="I194" s="2730"/>
      <c r="J194" s="2730"/>
      <c r="K194" s="2730"/>
      <c r="L194" s="2730"/>
      <c r="M194" s="2730"/>
      <c r="N194" s="2730"/>
      <c r="O194" s="2730"/>
      <c r="P194" s="2730"/>
      <c r="Q194" s="2730"/>
      <c r="R194" s="2730"/>
      <c r="S194" s="2730"/>
      <c r="T194" s="2730"/>
      <c r="U194" s="2730"/>
      <c r="V194" s="2730"/>
      <c r="W194" s="2730"/>
      <c r="X194" s="2730"/>
      <c r="Y194" s="2730"/>
      <c r="Z194" s="2730"/>
      <c r="AA194" s="2730"/>
      <c r="AB194" s="2730"/>
      <c r="AC194" s="2720">
        <f t="shared" si="96"/>
        <v>0</v>
      </c>
      <c r="AD194" s="2740"/>
      <c r="AE194" s="2740"/>
      <c r="AF194" s="2740"/>
      <c r="AG194" s="2740"/>
      <c r="AH194" s="2740"/>
      <c r="AI194" s="2740"/>
      <c r="AJ194" s="2740"/>
      <c r="AK194" s="2740"/>
      <c r="AL194" s="2740"/>
      <c r="AM194" s="2740"/>
      <c r="AN194" s="2740"/>
      <c r="AO194" s="2740"/>
      <c r="AP194" s="2740"/>
      <c r="AQ194" s="2740"/>
      <c r="AR194" s="2740"/>
      <c r="AS194" s="2740"/>
      <c r="AT194" s="2750"/>
      <c r="AU194" s="2751"/>
      <c r="AV194" s="1092">
        <f t="shared" si="120"/>
        <v>0</v>
      </c>
      <c r="AW194" s="1092">
        <f t="shared" si="121"/>
        <v>0</v>
      </c>
      <c r="AX194" s="1092">
        <f t="shared" si="122"/>
        <v>0</v>
      </c>
      <c r="AY194" s="2765">
        <f t="shared" si="97"/>
        <v>0</v>
      </c>
      <c r="AZ194" s="2720">
        <f t="shared" si="98"/>
        <v>0</v>
      </c>
      <c r="BA194" s="2720">
        <f t="shared" si="99"/>
        <v>0</v>
      </c>
      <c r="BB194" s="2720">
        <f t="shared" si="100"/>
        <v>0</v>
      </c>
      <c r="BC194" s="2720">
        <f t="shared" si="101"/>
        <v>0</v>
      </c>
      <c r="BD194" s="2720">
        <f t="shared" si="102"/>
        <v>0</v>
      </c>
      <c r="BE194" s="2720">
        <f t="shared" si="103"/>
        <v>0</v>
      </c>
      <c r="BF194" s="2720">
        <f t="shared" si="104"/>
        <v>0</v>
      </c>
      <c r="BG194" s="2720">
        <f t="shared" si="105"/>
        <v>0</v>
      </c>
      <c r="BH194" s="2720">
        <f t="shared" si="106"/>
        <v>0</v>
      </c>
      <c r="BI194" s="2720">
        <f t="shared" si="107"/>
        <v>0</v>
      </c>
      <c r="BJ194" s="2720">
        <f t="shared" si="108"/>
        <v>0</v>
      </c>
      <c r="BK194" s="2720">
        <f t="shared" si="109"/>
        <v>0</v>
      </c>
      <c r="BL194" s="2720">
        <f t="shared" si="110"/>
        <v>0</v>
      </c>
      <c r="BM194" s="2720">
        <f t="shared" si="111"/>
        <v>0</v>
      </c>
      <c r="BN194" s="2720">
        <f t="shared" si="112"/>
        <v>0</v>
      </c>
      <c r="BO194" s="2720">
        <f t="shared" si="113"/>
        <v>0</v>
      </c>
      <c r="BP194" s="2720">
        <f t="shared" si="114"/>
        <v>0</v>
      </c>
      <c r="BQ194" s="2720">
        <f t="shared" si="115"/>
        <v>0</v>
      </c>
      <c r="BR194" s="2720">
        <f t="shared" si="116"/>
        <v>0</v>
      </c>
      <c r="BS194" s="2720">
        <f t="shared" si="117"/>
        <v>0</v>
      </c>
      <c r="BT194" s="2772">
        <f t="shared" si="118"/>
        <v>0</v>
      </c>
    </row>
    <row r="195" spans="1:72">
      <c r="A195" s="2717"/>
      <c r="B195" s="2718"/>
      <c r="C195" s="2718"/>
      <c r="D195" s="2719"/>
      <c r="E195" s="2720">
        <f t="shared" si="119"/>
        <v>0</v>
      </c>
      <c r="F195" s="2721"/>
      <c r="G195" s="2722">
        <f t="shared" si="94"/>
        <v>0</v>
      </c>
      <c r="H195" s="2723">
        <f t="shared" si="95"/>
        <v>0</v>
      </c>
      <c r="I195" s="2730"/>
      <c r="J195" s="2730"/>
      <c r="K195" s="2730"/>
      <c r="L195" s="2730"/>
      <c r="M195" s="2730"/>
      <c r="N195" s="2730"/>
      <c r="O195" s="2730"/>
      <c r="P195" s="2730"/>
      <c r="Q195" s="2730"/>
      <c r="R195" s="2730"/>
      <c r="S195" s="2730"/>
      <c r="T195" s="2730"/>
      <c r="U195" s="2730"/>
      <c r="V195" s="2730"/>
      <c r="W195" s="2730"/>
      <c r="X195" s="2730"/>
      <c r="Y195" s="2730"/>
      <c r="Z195" s="2730"/>
      <c r="AA195" s="2730"/>
      <c r="AB195" s="2730"/>
      <c r="AC195" s="2720">
        <f t="shared" si="96"/>
        <v>0</v>
      </c>
      <c r="AD195" s="2740"/>
      <c r="AE195" s="2740"/>
      <c r="AF195" s="2740"/>
      <c r="AG195" s="2740"/>
      <c r="AH195" s="2740"/>
      <c r="AI195" s="2740"/>
      <c r="AJ195" s="2740"/>
      <c r="AK195" s="2740"/>
      <c r="AL195" s="2740"/>
      <c r="AM195" s="2740"/>
      <c r="AN195" s="2740"/>
      <c r="AO195" s="2740"/>
      <c r="AP195" s="2740"/>
      <c r="AQ195" s="2740"/>
      <c r="AR195" s="2740"/>
      <c r="AS195" s="2740"/>
      <c r="AT195" s="2750"/>
      <c r="AU195" s="2751"/>
      <c r="AV195" s="1092">
        <f t="shared" si="120"/>
        <v>0</v>
      </c>
      <c r="AW195" s="1092">
        <f t="shared" si="121"/>
        <v>0</v>
      </c>
      <c r="AX195" s="1092">
        <f t="shared" si="122"/>
        <v>0</v>
      </c>
      <c r="AY195" s="2765">
        <f t="shared" si="97"/>
        <v>0</v>
      </c>
      <c r="AZ195" s="2720">
        <f t="shared" si="98"/>
        <v>0</v>
      </c>
      <c r="BA195" s="2720">
        <f t="shared" si="99"/>
        <v>0</v>
      </c>
      <c r="BB195" s="2720">
        <f t="shared" si="100"/>
        <v>0</v>
      </c>
      <c r="BC195" s="2720">
        <f t="shared" si="101"/>
        <v>0</v>
      </c>
      <c r="BD195" s="2720">
        <f t="shared" si="102"/>
        <v>0</v>
      </c>
      <c r="BE195" s="2720">
        <f t="shared" si="103"/>
        <v>0</v>
      </c>
      <c r="BF195" s="2720">
        <f t="shared" si="104"/>
        <v>0</v>
      </c>
      <c r="BG195" s="2720">
        <f t="shared" si="105"/>
        <v>0</v>
      </c>
      <c r="BH195" s="2720">
        <f t="shared" si="106"/>
        <v>0</v>
      </c>
      <c r="BI195" s="2720">
        <f t="shared" si="107"/>
        <v>0</v>
      </c>
      <c r="BJ195" s="2720">
        <f t="shared" si="108"/>
        <v>0</v>
      </c>
      <c r="BK195" s="2720">
        <f t="shared" si="109"/>
        <v>0</v>
      </c>
      <c r="BL195" s="2720">
        <f t="shared" si="110"/>
        <v>0</v>
      </c>
      <c r="BM195" s="2720">
        <f t="shared" si="111"/>
        <v>0</v>
      </c>
      <c r="BN195" s="2720">
        <f t="shared" si="112"/>
        <v>0</v>
      </c>
      <c r="BO195" s="2720">
        <f t="shared" si="113"/>
        <v>0</v>
      </c>
      <c r="BP195" s="2720">
        <f t="shared" si="114"/>
        <v>0</v>
      </c>
      <c r="BQ195" s="2720">
        <f t="shared" si="115"/>
        <v>0</v>
      </c>
      <c r="BR195" s="2720">
        <f t="shared" si="116"/>
        <v>0</v>
      </c>
      <c r="BS195" s="2720">
        <f t="shared" si="117"/>
        <v>0</v>
      </c>
      <c r="BT195" s="2772">
        <f t="shared" si="118"/>
        <v>0</v>
      </c>
    </row>
    <row r="196" spans="1:72">
      <c r="A196" s="2717"/>
      <c r="B196" s="2718"/>
      <c r="C196" s="2718"/>
      <c r="D196" s="2719"/>
      <c r="E196" s="2720">
        <f t="shared" si="119"/>
        <v>0</v>
      </c>
      <c r="F196" s="2721"/>
      <c r="G196" s="2722">
        <f t="shared" si="94"/>
        <v>0</v>
      </c>
      <c r="H196" s="2723">
        <f t="shared" si="95"/>
        <v>0</v>
      </c>
      <c r="I196" s="2730"/>
      <c r="J196" s="2730"/>
      <c r="K196" s="2730"/>
      <c r="L196" s="2730"/>
      <c r="M196" s="2730"/>
      <c r="N196" s="2730"/>
      <c r="O196" s="2730"/>
      <c r="P196" s="2730"/>
      <c r="Q196" s="2730"/>
      <c r="R196" s="2730"/>
      <c r="S196" s="2730"/>
      <c r="T196" s="2730"/>
      <c r="U196" s="2730"/>
      <c r="V196" s="2730"/>
      <c r="W196" s="2730"/>
      <c r="X196" s="2730"/>
      <c r="Y196" s="2730"/>
      <c r="Z196" s="2730"/>
      <c r="AA196" s="2730"/>
      <c r="AB196" s="2730"/>
      <c r="AC196" s="2720">
        <f t="shared" si="96"/>
        <v>0</v>
      </c>
      <c r="AD196" s="2740"/>
      <c r="AE196" s="2740"/>
      <c r="AF196" s="2740"/>
      <c r="AG196" s="2740"/>
      <c r="AH196" s="2740"/>
      <c r="AI196" s="2740"/>
      <c r="AJ196" s="2740"/>
      <c r="AK196" s="2740"/>
      <c r="AL196" s="2740"/>
      <c r="AM196" s="2740"/>
      <c r="AN196" s="2740"/>
      <c r="AO196" s="2740"/>
      <c r="AP196" s="2740"/>
      <c r="AQ196" s="2740"/>
      <c r="AR196" s="2740"/>
      <c r="AS196" s="2740"/>
      <c r="AT196" s="2750"/>
      <c r="AU196" s="2751"/>
      <c r="AV196" s="1092">
        <f t="shared" si="120"/>
        <v>0</v>
      </c>
      <c r="AW196" s="1092">
        <f t="shared" si="121"/>
        <v>0</v>
      </c>
      <c r="AX196" s="1092">
        <f t="shared" si="122"/>
        <v>0</v>
      </c>
      <c r="AY196" s="2765">
        <f t="shared" si="97"/>
        <v>0</v>
      </c>
      <c r="AZ196" s="2720">
        <f t="shared" si="98"/>
        <v>0</v>
      </c>
      <c r="BA196" s="2720">
        <f t="shared" si="99"/>
        <v>0</v>
      </c>
      <c r="BB196" s="2720">
        <f t="shared" si="100"/>
        <v>0</v>
      </c>
      <c r="BC196" s="2720">
        <f t="shared" si="101"/>
        <v>0</v>
      </c>
      <c r="BD196" s="2720">
        <f t="shared" si="102"/>
        <v>0</v>
      </c>
      <c r="BE196" s="2720">
        <f t="shared" si="103"/>
        <v>0</v>
      </c>
      <c r="BF196" s="2720">
        <f t="shared" si="104"/>
        <v>0</v>
      </c>
      <c r="BG196" s="2720">
        <f t="shared" si="105"/>
        <v>0</v>
      </c>
      <c r="BH196" s="2720">
        <f t="shared" si="106"/>
        <v>0</v>
      </c>
      <c r="BI196" s="2720">
        <f t="shared" si="107"/>
        <v>0</v>
      </c>
      <c r="BJ196" s="2720">
        <f t="shared" si="108"/>
        <v>0</v>
      </c>
      <c r="BK196" s="2720">
        <f t="shared" si="109"/>
        <v>0</v>
      </c>
      <c r="BL196" s="2720">
        <f t="shared" si="110"/>
        <v>0</v>
      </c>
      <c r="BM196" s="2720">
        <f t="shared" si="111"/>
        <v>0</v>
      </c>
      <c r="BN196" s="2720">
        <f t="shared" si="112"/>
        <v>0</v>
      </c>
      <c r="BO196" s="2720">
        <f t="shared" si="113"/>
        <v>0</v>
      </c>
      <c r="BP196" s="2720">
        <f t="shared" si="114"/>
        <v>0</v>
      </c>
      <c r="BQ196" s="2720">
        <f t="shared" si="115"/>
        <v>0</v>
      </c>
      <c r="BR196" s="2720">
        <f t="shared" si="116"/>
        <v>0</v>
      </c>
      <c r="BS196" s="2720">
        <f t="shared" si="117"/>
        <v>0</v>
      </c>
      <c r="BT196" s="2772">
        <f t="shared" si="118"/>
        <v>0</v>
      </c>
    </row>
    <row r="197" spans="1:72">
      <c r="A197" s="2717"/>
      <c r="B197" s="2718"/>
      <c r="C197" s="2718"/>
      <c r="D197" s="2719"/>
      <c r="E197" s="2720">
        <f t="shared" si="119"/>
        <v>0</v>
      </c>
      <c r="F197" s="2721"/>
      <c r="G197" s="2722">
        <f t="shared" si="94"/>
        <v>0</v>
      </c>
      <c r="H197" s="2723">
        <f t="shared" si="95"/>
        <v>0</v>
      </c>
      <c r="I197" s="2730"/>
      <c r="J197" s="2730"/>
      <c r="K197" s="2730"/>
      <c r="L197" s="2730"/>
      <c r="M197" s="2730"/>
      <c r="N197" s="2730"/>
      <c r="O197" s="2730"/>
      <c r="P197" s="2730"/>
      <c r="Q197" s="2730"/>
      <c r="R197" s="2730"/>
      <c r="S197" s="2730"/>
      <c r="T197" s="2730"/>
      <c r="U197" s="2730"/>
      <c r="V197" s="2730"/>
      <c r="W197" s="2730"/>
      <c r="X197" s="2730"/>
      <c r="Y197" s="2730"/>
      <c r="Z197" s="2730"/>
      <c r="AA197" s="2730"/>
      <c r="AB197" s="2730"/>
      <c r="AC197" s="2720">
        <f t="shared" si="96"/>
        <v>0</v>
      </c>
      <c r="AD197" s="2740"/>
      <c r="AE197" s="2740"/>
      <c r="AF197" s="2740"/>
      <c r="AG197" s="2740"/>
      <c r="AH197" s="2740"/>
      <c r="AI197" s="2740"/>
      <c r="AJ197" s="2740"/>
      <c r="AK197" s="2740"/>
      <c r="AL197" s="2740"/>
      <c r="AM197" s="2740"/>
      <c r="AN197" s="2740"/>
      <c r="AO197" s="2740"/>
      <c r="AP197" s="2740"/>
      <c r="AQ197" s="2740"/>
      <c r="AR197" s="2740"/>
      <c r="AS197" s="2740"/>
      <c r="AT197" s="2750"/>
      <c r="AU197" s="2751"/>
      <c r="AV197" s="1092">
        <f t="shared" si="120"/>
        <v>0</v>
      </c>
      <c r="AW197" s="1092">
        <f t="shared" si="121"/>
        <v>0</v>
      </c>
      <c r="AX197" s="1092">
        <f t="shared" si="122"/>
        <v>0</v>
      </c>
      <c r="AY197" s="2765">
        <f t="shared" si="97"/>
        <v>0</v>
      </c>
      <c r="AZ197" s="2720">
        <f t="shared" si="98"/>
        <v>0</v>
      </c>
      <c r="BA197" s="2720">
        <f t="shared" si="99"/>
        <v>0</v>
      </c>
      <c r="BB197" s="2720">
        <f t="shared" si="100"/>
        <v>0</v>
      </c>
      <c r="BC197" s="2720">
        <f t="shared" si="101"/>
        <v>0</v>
      </c>
      <c r="BD197" s="2720">
        <f t="shared" si="102"/>
        <v>0</v>
      </c>
      <c r="BE197" s="2720">
        <f t="shared" si="103"/>
        <v>0</v>
      </c>
      <c r="BF197" s="2720">
        <f t="shared" si="104"/>
        <v>0</v>
      </c>
      <c r="BG197" s="2720">
        <f t="shared" si="105"/>
        <v>0</v>
      </c>
      <c r="BH197" s="2720">
        <f t="shared" si="106"/>
        <v>0</v>
      </c>
      <c r="BI197" s="2720">
        <f t="shared" si="107"/>
        <v>0</v>
      </c>
      <c r="BJ197" s="2720">
        <f t="shared" si="108"/>
        <v>0</v>
      </c>
      <c r="BK197" s="2720">
        <f t="shared" si="109"/>
        <v>0</v>
      </c>
      <c r="BL197" s="2720">
        <f t="shared" si="110"/>
        <v>0</v>
      </c>
      <c r="BM197" s="2720">
        <f t="shared" si="111"/>
        <v>0</v>
      </c>
      <c r="BN197" s="2720">
        <f t="shared" si="112"/>
        <v>0</v>
      </c>
      <c r="BO197" s="2720">
        <f t="shared" si="113"/>
        <v>0</v>
      </c>
      <c r="BP197" s="2720">
        <f t="shared" si="114"/>
        <v>0</v>
      </c>
      <c r="BQ197" s="2720">
        <f t="shared" si="115"/>
        <v>0</v>
      </c>
      <c r="BR197" s="2720">
        <f t="shared" si="116"/>
        <v>0</v>
      </c>
      <c r="BS197" s="2720">
        <f t="shared" si="117"/>
        <v>0</v>
      </c>
      <c r="BT197" s="2772">
        <f t="shared" si="118"/>
        <v>0</v>
      </c>
    </row>
    <row r="198" spans="1:72">
      <c r="A198" s="2717"/>
      <c r="B198" s="2718"/>
      <c r="C198" s="2718"/>
      <c r="D198" s="2719"/>
      <c r="E198" s="2720">
        <f t="shared" si="119"/>
        <v>0</v>
      </c>
      <c r="F198" s="2721"/>
      <c r="G198" s="2722">
        <f t="shared" si="94"/>
        <v>0</v>
      </c>
      <c r="H198" s="2723">
        <f t="shared" si="95"/>
        <v>0</v>
      </c>
      <c r="I198" s="2730"/>
      <c r="J198" s="2730"/>
      <c r="K198" s="2730"/>
      <c r="L198" s="2730"/>
      <c r="M198" s="2730"/>
      <c r="N198" s="2730"/>
      <c r="O198" s="2730"/>
      <c r="P198" s="2730"/>
      <c r="Q198" s="2730"/>
      <c r="R198" s="2730"/>
      <c r="S198" s="2730"/>
      <c r="T198" s="2730"/>
      <c r="U198" s="2730"/>
      <c r="V198" s="2730"/>
      <c r="W198" s="2730"/>
      <c r="X198" s="2730"/>
      <c r="Y198" s="2730"/>
      <c r="Z198" s="2730"/>
      <c r="AA198" s="2730"/>
      <c r="AB198" s="2730"/>
      <c r="AC198" s="2720">
        <f t="shared" si="96"/>
        <v>0</v>
      </c>
      <c r="AD198" s="2740"/>
      <c r="AE198" s="2740"/>
      <c r="AF198" s="2740"/>
      <c r="AG198" s="2740"/>
      <c r="AH198" s="2740"/>
      <c r="AI198" s="2740"/>
      <c r="AJ198" s="2740"/>
      <c r="AK198" s="2740"/>
      <c r="AL198" s="2740"/>
      <c r="AM198" s="2740"/>
      <c r="AN198" s="2740"/>
      <c r="AO198" s="2740"/>
      <c r="AP198" s="2740"/>
      <c r="AQ198" s="2740"/>
      <c r="AR198" s="2740"/>
      <c r="AS198" s="2740"/>
      <c r="AT198" s="2750"/>
      <c r="AU198" s="2751"/>
      <c r="AV198" s="1092">
        <f t="shared" si="120"/>
        <v>0</v>
      </c>
      <c r="AW198" s="1092">
        <f t="shared" si="121"/>
        <v>0</v>
      </c>
      <c r="AX198" s="1092">
        <f t="shared" si="122"/>
        <v>0</v>
      </c>
      <c r="AY198" s="2765">
        <f t="shared" si="97"/>
        <v>0</v>
      </c>
      <c r="AZ198" s="2720">
        <f t="shared" si="98"/>
        <v>0</v>
      </c>
      <c r="BA198" s="2720">
        <f t="shared" si="99"/>
        <v>0</v>
      </c>
      <c r="BB198" s="2720">
        <f t="shared" si="100"/>
        <v>0</v>
      </c>
      <c r="BC198" s="2720">
        <f t="shared" si="101"/>
        <v>0</v>
      </c>
      <c r="BD198" s="2720">
        <f t="shared" si="102"/>
        <v>0</v>
      </c>
      <c r="BE198" s="2720">
        <f t="shared" si="103"/>
        <v>0</v>
      </c>
      <c r="BF198" s="2720">
        <f t="shared" si="104"/>
        <v>0</v>
      </c>
      <c r="BG198" s="2720">
        <f t="shared" si="105"/>
        <v>0</v>
      </c>
      <c r="BH198" s="2720">
        <f t="shared" si="106"/>
        <v>0</v>
      </c>
      <c r="BI198" s="2720">
        <f t="shared" si="107"/>
        <v>0</v>
      </c>
      <c r="BJ198" s="2720">
        <f t="shared" si="108"/>
        <v>0</v>
      </c>
      <c r="BK198" s="2720">
        <f t="shared" si="109"/>
        <v>0</v>
      </c>
      <c r="BL198" s="2720">
        <f t="shared" si="110"/>
        <v>0</v>
      </c>
      <c r="BM198" s="2720">
        <f t="shared" si="111"/>
        <v>0</v>
      </c>
      <c r="BN198" s="2720">
        <f t="shared" si="112"/>
        <v>0</v>
      </c>
      <c r="BO198" s="2720">
        <f t="shared" si="113"/>
        <v>0</v>
      </c>
      <c r="BP198" s="2720">
        <f t="shared" si="114"/>
        <v>0</v>
      </c>
      <c r="BQ198" s="2720">
        <f t="shared" si="115"/>
        <v>0</v>
      </c>
      <c r="BR198" s="2720">
        <f t="shared" si="116"/>
        <v>0</v>
      </c>
      <c r="BS198" s="2720">
        <f t="shared" si="117"/>
        <v>0</v>
      </c>
      <c r="BT198" s="2772">
        <f t="shared" si="118"/>
        <v>0</v>
      </c>
    </row>
    <row r="199" spans="1:72">
      <c r="A199" s="2717"/>
      <c r="B199" s="2718"/>
      <c r="C199" s="2718"/>
      <c r="D199" s="2719"/>
      <c r="E199" s="2720">
        <f t="shared" si="119"/>
        <v>0</v>
      </c>
      <c r="F199" s="2721"/>
      <c r="G199" s="2722">
        <f t="shared" si="94"/>
        <v>0</v>
      </c>
      <c r="H199" s="2723">
        <f t="shared" si="95"/>
        <v>0</v>
      </c>
      <c r="I199" s="2730"/>
      <c r="J199" s="2730"/>
      <c r="K199" s="2730"/>
      <c r="L199" s="2730"/>
      <c r="M199" s="2730"/>
      <c r="N199" s="2730"/>
      <c r="O199" s="2730"/>
      <c r="P199" s="2730"/>
      <c r="Q199" s="2730"/>
      <c r="R199" s="2730"/>
      <c r="S199" s="2730"/>
      <c r="T199" s="2730"/>
      <c r="U199" s="2730"/>
      <c r="V199" s="2730"/>
      <c r="W199" s="2730"/>
      <c r="X199" s="2730"/>
      <c r="Y199" s="2730"/>
      <c r="Z199" s="2730"/>
      <c r="AA199" s="2730"/>
      <c r="AB199" s="2730"/>
      <c r="AC199" s="2720">
        <f t="shared" si="96"/>
        <v>0</v>
      </c>
      <c r="AD199" s="2740"/>
      <c r="AE199" s="2740"/>
      <c r="AF199" s="2740"/>
      <c r="AG199" s="2740"/>
      <c r="AH199" s="2740"/>
      <c r="AI199" s="2740"/>
      <c r="AJ199" s="2740"/>
      <c r="AK199" s="2740"/>
      <c r="AL199" s="2740"/>
      <c r="AM199" s="2740"/>
      <c r="AN199" s="2740"/>
      <c r="AO199" s="2740"/>
      <c r="AP199" s="2740"/>
      <c r="AQ199" s="2740"/>
      <c r="AR199" s="2740"/>
      <c r="AS199" s="2740"/>
      <c r="AT199" s="2750"/>
      <c r="AU199" s="2751"/>
      <c r="AV199" s="1092">
        <f t="shared" si="120"/>
        <v>0</v>
      </c>
      <c r="AW199" s="1092">
        <f t="shared" si="121"/>
        <v>0</v>
      </c>
      <c r="AX199" s="1092">
        <f t="shared" si="122"/>
        <v>0</v>
      </c>
      <c r="AY199" s="2765">
        <f t="shared" si="97"/>
        <v>0</v>
      </c>
      <c r="AZ199" s="2720">
        <f t="shared" si="98"/>
        <v>0</v>
      </c>
      <c r="BA199" s="2720">
        <f t="shared" si="99"/>
        <v>0</v>
      </c>
      <c r="BB199" s="2720">
        <f t="shared" si="100"/>
        <v>0</v>
      </c>
      <c r="BC199" s="2720">
        <f t="shared" si="101"/>
        <v>0</v>
      </c>
      <c r="BD199" s="2720">
        <f t="shared" si="102"/>
        <v>0</v>
      </c>
      <c r="BE199" s="2720">
        <f t="shared" si="103"/>
        <v>0</v>
      </c>
      <c r="BF199" s="2720">
        <f t="shared" si="104"/>
        <v>0</v>
      </c>
      <c r="BG199" s="2720">
        <f t="shared" si="105"/>
        <v>0</v>
      </c>
      <c r="BH199" s="2720">
        <f t="shared" si="106"/>
        <v>0</v>
      </c>
      <c r="BI199" s="2720">
        <f t="shared" si="107"/>
        <v>0</v>
      </c>
      <c r="BJ199" s="2720">
        <f t="shared" si="108"/>
        <v>0</v>
      </c>
      <c r="BK199" s="2720">
        <f t="shared" si="109"/>
        <v>0</v>
      </c>
      <c r="BL199" s="2720">
        <f t="shared" si="110"/>
        <v>0</v>
      </c>
      <c r="BM199" s="2720">
        <f t="shared" si="111"/>
        <v>0</v>
      </c>
      <c r="BN199" s="2720">
        <f t="shared" si="112"/>
        <v>0</v>
      </c>
      <c r="BO199" s="2720">
        <f t="shared" si="113"/>
        <v>0</v>
      </c>
      <c r="BP199" s="2720">
        <f t="shared" si="114"/>
        <v>0</v>
      </c>
      <c r="BQ199" s="2720">
        <f t="shared" si="115"/>
        <v>0</v>
      </c>
      <c r="BR199" s="2720">
        <f t="shared" si="116"/>
        <v>0</v>
      </c>
      <c r="BS199" s="2720">
        <f t="shared" si="117"/>
        <v>0</v>
      </c>
      <c r="BT199" s="2772">
        <f t="shared" si="118"/>
        <v>0</v>
      </c>
    </row>
    <row r="200" spans="1:72">
      <c r="A200" s="2717"/>
      <c r="B200" s="2718"/>
      <c r="C200" s="2718"/>
      <c r="D200" s="2719"/>
      <c r="E200" s="2720">
        <f t="shared" si="119"/>
        <v>0</v>
      </c>
      <c r="F200" s="2721"/>
      <c r="G200" s="2722">
        <f t="shared" si="94"/>
        <v>0</v>
      </c>
      <c r="H200" s="2723">
        <f t="shared" si="95"/>
        <v>0</v>
      </c>
      <c r="I200" s="2730"/>
      <c r="J200" s="2730"/>
      <c r="K200" s="2730"/>
      <c r="L200" s="2730"/>
      <c r="M200" s="2730"/>
      <c r="N200" s="2730"/>
      <c r="O200" s="2730"/>
      <c r="P200" s="2730"/>
      <c r="Q200" s="2730"/>
      <c r="R200" s="2730"/>
      <c r="S200" s="2730"/>
      <c r="T200" s="2730"/>
      <c r="U200" s="2730"/>
      <c r="V200" s="2730"/>
      <c r="W200" s="2730"/>
      <c r="X200" s="2730"/>
      <c r="Y200" s="2730"/>
      <c r="Z200" s="2730"/>
      <c r="AA200" s="2730"/>
      <c r="AB200" s="2730"/>
      <c r="AC200" s="2720">
        <f t="shared" si="96"/>
        <v>0</v>
      </c>
      <c r="AD200" s="2740"/>
      <c r="AE200" s="2740"/>
      <c r="AF200" s="2740"/>
      <c r="AG200" s="2740"/>
      <c r="AH200" s="2740"/>
      <c r="AI200" s="2740"/>
      <c r="AJ200" s="2740"/>
      <c r="AK200" s="2740"/>
      <c r="AL200" s="2740"/>
      <c r="AM200" s="2740"/>
      <c r="AN200" s="2740"/>
      <c r="AO200" s="2740"/>
      <c r="AP200" s="2740"/>
      <c r="AQ200" s="2740"/>
      <c r="AR200" s="2740"/>
      <c r="AS200" s="2740"/>
      <c r="AT200" s="2750"/>
      <c r="AU200" s="2751"/>
      <c r="AV200" s="1092">
        <f t="shared" si="120"/>
        <v>0</v>
      </c>
      <c r="AW200" s="1092">
        <f t="shared" si="121"/>
        <v>0</v>
      </c>
      <c r="AX200" s="1092">
        <f t="shared" si="122"/>
        <v>0</v>
      </c>
      <c r="AY200" s="2765">
        <f t="shared" si="97"/>
        <v>0</v>
      </c>
      <c r="AZ200" s="2720">
        <f t="shared" si="98"/>
        <v>0</v>
      </c>
      <c r="BA200" s="2720">
        <f t="shared" si="99"/>
        <v>0</v>
      </c>
      <c r="BB200" s="2720">
        <f t="shared" si="100"/>
        <v>0</v>
      </c>
      <c r="BC200" s="2720">
        <f t="shared" si="101"/>
        <v>0</v>
      </c>
      <c r="BD200" s="2720">
        <f t="shared" si="102"/>
        <v>0</v>
      </c>
      <c r="BE200" s="2720">
        <f t="shared" si="103"/>
        <v>0</v>
      </c>
      <c r="BF200" s="2720">
        <f t="shared" si="104"/>
        <v>0</v>
      </c>
      <c r="BG200" s="2720">
        <f t="shared" si="105"/>
        <v>0</v>
      </c>
      <c r="BH200" s="2720">
        <f t="shared" si="106"/>
        <v>0</v>
      </c>
      <c r="BI200" s="2720">
        <f t="shared" si="107"/>
        <v>0</v>
      </c>
      <c r="BJ200" s="2720">
        <f t="shared" si="108"/>
        <v>0</v>
      </c>
      <c r="BK200" s="2720">
        <f t="shared" si="109"/>
        <v>0</v>
      </c>
      <c r="BL200" s="2720">
        <f t="shared" si="110"/>
        <v>0</v>
      </c>
      <c r="BM200" s="2720">
        <f t="shared" si="111"/>
        <v>0</v>
      </c>
      <c r="BN200" s="2720">
        <f t="shared" si="112"/>
        <v>0</v>
      </c>
      <c r="BO200" s="2720">
        <f t="shared" si="113"/>
        <v>0</v>
      </c>
      <c r="BP200" s="2720">
        <f t="shared" si="114"/>
        <v>0</v>
      </c>
      <c r="BQ200" s="2720">
        <f t="shared" si="115"/>
        <v>0</v>
      </c>
      <c r="BR200" s="2720">
        <f t="shared" si="116"/>
        <v>0</v>
      </c>
      <c r="BS200" s="2720">
        <f t="shared" si="117"/>
        <v>0</v>
      </c>
      <c r="BT200" s="2772">
        <f t="shared" si="118"/>
        <v>0</v>
      </c>
    </row>
    <row r="201" spans="1:72">
      <c r="A201" s="2717"/>
      <c r="B201" s="2718"/>
      <c r="C201" s="2718"/>
      <c r="D201" s="2719"/>
      <c r="E201" s="2720">
        <f t="shared" si="119"/>
        <v>0</v>
      </c>
      <c r="F201" s="2721"/>
      <c r="G201" s="2722">
        <f t="shared" si="94"/>
        <v>0</v>
      </c>
      <c r="H201" s="2723">
        <f t="shared" si="95"/>
        <v>0</v>
      </c>
      <c r="I201" s="2730"/>
      <c r="J201" s="2730"/>
      <c r="K201" s="2730"/>
      <c r="L201" s="2730"/>
      <c r="M201" s="2730"/>
      <c r="N201" s="2730"/>
      <c r="O201" s="2730"/>
      <c r="P201" s="2730"/>
      <c r="Q201" s="2730"/>
      <c r="R201" s="2730"/>
      <c r="S201" s="2730"/>
      <c r="T201" s="2730"/>
      <c r="U201" s="2730"/>
      <c r="V201" s="2730"/>
      <c r="W201" s="2730"/>
      <c r="X201" s="2730"/>
      <c r="Y201" s="2730"/>
      <c r="Z201" s="2730"/>
      <c r="AA201" s="2730"/>
      <c r="AB201" s="2730"/>
      <c r="AC201" s="2720">
        <f t="shared" si="96"/>
        <v>0</v>
      </c>
      <c r="AD201" s="2740"/>
      <c r="AE201" s="2740"/>
      <c r="AF201" s="2740"/>
      <c r="AG201" s="2740"/>
      <c r="AH201" s="2740"/>
      <c r="AI201" s="2740"/>
      <c r="AJ201" s="2740"/>
      <c r="AK201" s="2740"/>
      <c r="AL201" s="2740"/>
      <c r="AM201" s="2740"/>
      <c r="AN201" s="2740"/>
      <c r="AO201" s="2740"/>
      <c r="AP201" s="2740"/>
      <c r="AQ201" s="2740"/>
      <c r="AR201" s="2740"/>
      <c r="AS201" s="2740"/>
      <c r="AT201" s="2750"/>
      <c r="AU201" s="2751"/>
      <c r="AV201" s="1092">
        <f t="shared" si="120"/>
        <v>0</v>
      </c>
      <c r="AW201" s="1092">
        <f t="shared" si="121"/>
        <v>0</v>
      </c>
      <c r="AX201" s="1092">
        <f t="shared" si="122"/>
        <v>0</v>
      </c>
      <c r="AY201" s="2765">
        <f t="shared" si="97"/>
        <v>0</v>
      </c>
      <c r="AZ201" s="2720">
        <f t="shared" si="98"/>
        <v>0</v>
      </c>
      <c r="BA201" s="2720">
        <f t="shared" si="99"/>
        <v>0</v>
      </c>
      <c r="BB201" s="2720">
        <f t="shared" si="100"/>
        <v>0</v>
      </c>
      <c r="BC201" s="2720">
        <f t="shared" si="101"/>
        <v>0</v>
      </c>
      <c r="BD201" s="2720">
        <f t="shared" si="102"/>
        <v>0</v>
      </c>
      <c r="BE201" s="2720">
        <f t="shared" si="103"/>
        <v>0</v>
      </c>
      <c r="BF201" s="2720">
        <f t="shared" si="104"/>
        <v>0</v>
      </c>
      <c r="BG201" s="2720">
        <f t="shared" si="105"/>
        <v>0</v>
      </c>
      <c r="BH201" s="2720">
        <f t="shared" si="106"/>
        <v>0</v>
      </c>
      <c r="BI201" s="2720">
        <f t="shared" si="107"/>
        <v>0</v>
      </c>
      <c r="BJ201" s="2720">
        <f t="shared" si="108"/>
        <v>0</v>
      </c>
      <c r="BK201" s="2720">
        <f t="shared" si="109"/>
        <v>0</v>
      </c>
      <c r="BL201" s="2720">
        <f t="shared" si="110"/>
        <v>0</v>
      </c>
      <c r="BM201" s="2720">
        <f t="shared" si="111"/>
        <v>0</v>
      </c>
      <c r="BN201" s="2720">
        <f t="shared" si="112"/>
        <v>0</v>
      </c>
      <c r="BO201" s="2720">
        <f t="shared" si="113"/>
        <v>0</v>
      </c>
      <c r="BP201" s="2720">
        <f t="shared" si="114"/>
        <v>0</v>
      </c>
      <c r="BQ201" s="2720">
        <f t="shared" si="115"/>
        <v>0</v>
      </c>
      <c r="BR201" s="2720">
        <f t="shared" si="116"/>
        <v>0</v>
      </c>
      <c r="BS201" s="2720">
        <f t="shared" si="117"/>
        <v>0</v>
      </c>
      <c r="BT201" s="2772">
        <f t="shared" si="118"/>
        <v>0</v>
      </c>
    </row>
    <row r="202" spans="1:72">
      <c r="A202" s="2717"/>
      <c r="B202" s="2718"/>
      <c r="C202" s="2718"/>
      <c r="D202" s="2719"/>
      <c r="E202" s="2720">
        <f t="shared" si="119"/>
        <v>0</v>
      </c>
      <c r="F202" s="2721"/>
      <c r="G202" s="2722">
        <f t="shared" si="94"/>
        <v>0</v>
      </c>
      <c r="H202" s="2723">
        <f t="shared" si="95"/>
        <v>0</v>
      </c>
      <c r="I202" s="2730"/>
      <c r="J202" s="2730"/>
      <c r="K202" s="2730"/>
      <c r="L202" s="2730"/>
      <c r="M202" s="2730"/>
      <c r="N202" s="2730"/>
      <c r="O202" s="2730"/>
      <c r="P202" s="2730"/>
      <c r="Q202" s="2730"/>
      <c r="R202" s="2730"/>
      <c r="S202" s="2730"/>
      <c r="T202" s="2730"/>
      <c r="U202" s="2730"/>
      <c r="V202" s="2730"/>
      <c r="W202" s="2730"/>
      <c r="X202" s="2730"/>
      <c r="Y202" s="2730"/>
      <c r="Z202" s="2730"/>
      <c r="AA202" s="2730"/>
      <c r="AB202" s="2730"/>
      <c r="AC202" s="2720">
        <f t="shared" si="96"/>
        <v>0</v>
      </c>
      <c r="AD202" s="2740"/>
      <c r="AE202" s="2740"/>
      <c r="AF202" s="2740"/>
      <c r="AG202" s="2740"/>
      <c r="AH202" s="2740"/>
      <c r="AI202" s="2740"/>
      <c r="AJ202" s="2740"/>
      <c r="AK202" s="2740"/>
      <c r="AL202" s="2740"/>
      <c r="AM202" s="2740"/>
      <c r="AN202" s="2740"/>
      <c r="AO202" s="2740"/>
      <c r="AP202" s="2740"/>
      <c r="AQ202" s="2740"/>
      <c r="AR202" s="2740"/>
      <c r="AS202" s="2740"/>
      <c r="AT202" s="2750"/>
      <c r="AU202" s="2751"/>
      <c r="AV202" s="1092">
        <f t="shared" si="120"/>
        <v>0</v>
      </c>
      <c r="AW202" s="1092">
        <f t="shared" si="121"/>
        <v>0</v>
      </c>
      <c r="AX202" s="1092">
        <f t="shared" si="122"/>
        <v>0</v>
      </c>
      <c r="AY202" s="2765">
        <f t="shared" si="97"/>
        <v>0</v>
      </c>
      <c r="AZ202" s="2720">
        <f t="shared" si="98"/>
        <v>0</v>
      </c>
      <c r="BA202" s="2720">
        <f t="shared" si="99"/>
        <v>0</v>
      </c>
      <c r="BB202" s="2720">
        <f t="shared" si="100"/>
        <v>0</v>
      </c>
      <c r="BC202" s="2720">
        <f t="shared" si="101"/>
        <v>0</v>
      </c>
      <c r="BD202" s="2720">
        <f t="shared" si="102"/>
        <v>0</v>
      </c>
      <c r="BE202" s="2720">
        <f t="shared" si="103"/>
        <v>0</v>
      </c>
      <c r="BF202" s="2720">
        <f t="shared" si="104"/>
        <v>0</v>
      </c>
      <c r="BG202" s="2720">
        <f t="shared" si="105"/>
        <v>0</v>
      </c>
      <c r="BH202" s="2720">
        <f t="shared" si="106"/>
        <v>0</v>
      </c>
      <c r="BI202" s="2720">
        <f t="shared" si="107"/>
        <v>0</v>
      </c>
      <c r="BJ202" s="2720">
        <f t="shared" si="108"/>
        <v>0</v>
      </c>
      <c r="BK202" s="2720">
        <f t="shared" si="109"/>
        <v>0</v>
      </c>
      <c r="BL202" s="2720">
        <f t="shared" si="110"/>
        <v>0</v>
      </c>
      <c r="BM202" s="2720">
        <f t="shared" si="111"/>
        <v>0</v>
      </c>
      <c r="BN202" s="2720">
        <f t="shared" si="112"/>
        <v>0</v>
      </c>
      <c r="BO202" s="2720">
        <f t="shared" si="113"/>
        <v>0</v>
      </c>
      <c r="BP202" s="2720">
        <f t="shared" si="114"/>
        <v>0</v>
      </c>
      <c r="BQ202" s="2720">
        <f t="shared" si="115"/>
        <v>0</v>
      </c>
      <c r="BR202" s="2720">
        <f t="shared" si="116"/>
        <v>0</v>
      </c>
      <c r="BS202" s="2720">
        <f t="shared" si="117"/>
        <v>0</v>
      </c>
      <c r="BT202" s="2772">
        <f t="shared" si="118"/>
        <v>0</v>
      </c>
    </row>
    <row r="203" spans="1:72">
      <c r="A203" s="2717"/>
      <c r="B203" s="2718"/>
      <c r="C203" s="2718"/>
      <c r="D203" s="2719"/>
      <c r="E203" s="2720">
        <f t="shared" si="119"/>
        <v>0</v>
      </c>
      <c r="F203" s="2721"/>
      <c r="G203" s="2722">
        <f t="shared" si="94"/>
        <v>0</v>
      </c>
      <c r="H203" s="2723">
        <f t="shared" si="95"/>
        <v>0</v>
      </c>
      <c r="I203" s="2730"/>
      <c r="J203" s="2730"/>
      <c r="K203" s="2730"/>
      <c r="L203" s="2730"/>
      <c r="M203" s="2730"/>
      <c r="N203" s="2730"/>
      <c r="O203" s="2730"/>
      <c r="P203" s="2730"/>
      <c r="Q203" s="2730"/>
      <c r="R203" s="2730"/>
      <c r="S203" s="2730"/>
      <c r="T203" s="2730"/>
      <c r="U203" s="2730"/>
      <c r="V203" s="2730"/>
      <c r="W203" s="2730"/>
      <c r="X203" s="2730"/>
      <c r="Y203" s="2730"/>
      <c r="Z203" s="2730"/>
      <c r="AA203" s="2730"/>
      <c r="AB203" s="2730"/>
      <c r="AC203" s="2720">
        <f t="shared" si="96"/>
        <v>0</v>
      </c>
      <c r="AD203" s="2740"/>
      <c r="AE203" s="2740"/>
      <c r="AF203" s="2740"/>
      <c r="AG203" s="2740"/>
      <c r="AH203" s="2740"/>
      <c r="AI203" s="2740"/>
      <c r="AJ203" s="2740"/>
      <c r="AK203" s="2740"/>
      <c r="AL203" s="2740"/>
      <c r="AM203" s="2740"/>
      <c r="AN203" s="2740"/>
      <c r="AO203" s="2740"/>
      <c r="AP203" s="2740"/>
      <c r="AQ203" s="2740"/>
      <c r="AR203" s="2740"/>
      <c r="AS203" s="2740"/>
      <c r="AT203" s="2750"/>
      <c r="AU203" s="2751"/>
      <c r="AV203" s="1092">
        <f t="shared" si="120"/>
        <v>0</v>
      </c>
      <c r="AW203" s="1092">
        <f t="shared" si="121"/>
        <v>0</v>
      </c>
      <c r="AX203" s="1092">
        <f t="shared" si="122"/>
        <v>0</v>
      </c>
      <c r="AY203" s="2765">
        <f t="shared" si="97"/>
        <v>0</v>
      </c>
      <c r="AZ203" s="2720">
        <f t="shared" si="98"/>
        <v>0</v>
      </c>
      <c r="BA203" s="2720">
        <f t="shared" si="99"/>
        <v>0</v>
      </c>
      <c r="BB203" s="2720">
        <f t="shared" si="100"/>
        <v>0</v>
      </c>
      <c r="BC203" s="2720">
        <f t="shared" si="101"/>
        <v>0</v>
      </c>
      <c r="BD203" s="2720">
        <f t="shared" si="102"/>
        <v>0</v>
      </c>
      <c r="BE203" s="2720">
        <f t="shared" si="103"/>
        <v>0</v>
      </c>
      <c r="BF203" s="2720">
        <f t="shared" si="104"/>
        <v>0</v>
      </c>
      <c r="BG203" s="2720">
        <f t="shared" si="105"/>
        <v>0</v>
      </c>
      <c r="BH203" s="2720">
        <f t="shared" si="106"/>
        <v>0</v>
      </c>
      <c r="BI203" s="2720">
        <f t="shared" si="107"/>
        <v>0</v>
      </c>
      <c r="BJ203" s="2720">
        <f t="shared" si="108"/>
        <v>0</v>
      </c>
      <c r="BK203" s="2720">
        <f t="shared" si="109"/>
        <v>0</v>
      </c>
      <c r="BL203" s="2720">
        <f t="shared" si="110"/>
        <v>0</v>
      </c>
      <c r="BM203" s="2720">
        <f t="shared" si="111"/>
        <v>0</v>
      </c>
      <c r="BN203" s="2720">
        <f t="shared" si="112"/>
        <v>0</v>
      </c>
      <c r="BO203" s="2720">
        <f t="shared" si="113"/>
        <v>0</v>
      </c>
      <c r="BP203" s="2720">
        <f t="shared" si="114"/>
        <v>0</v>
      </c>
      <c r="BQ203" s="2720">
        <f t="shared" si="115"/>
        <v>0</v>
      </c>
      <c r="BR203" s="2720">
        <f t="shared" si="116"/>
        <v>0</v>
      </c>
      <c r="BS203" s="2720">
        <f t="shared" si="117"/>
        <v>0</v>
      </c>
      <c r="BT203" s="2772">
        <f t="shared" si="118"/>
        <v>0</v>
      </c>
    </row>
    <row r="204" spans="1:72">
      <c r="A204" s="2717"/>
      <c r="B204" s="2718"/>
      <c r="C204" s="2718"/>
      <c r="D204" s="2719"/>
      <c r="E204" s="2720">
        <f t="shared" si="119"/>
        <v>0</v>
      </c>
      <c r="F204" s="2721"/>
      <c r="G204" s="2722">
        <f t="shared" si="94"/>
        <v>0</v>
      </c>
      <c r="H204" s="2723">
        <f t="shared" si="95"/>
        <v>0</v>
      </c>
      <c r="I204" s="2730"/>
      <c r="J204" s="2730"/>
      <c r="K204" s="2730"/>
      <c r="L204" s="2730"/>
      <c r="M204" s="2730"/>
      <c r="N204" s="2730"/>
      <c r="O204" s="2730"/>
      <c r="P204" s="2730"/>
      <c r="Q204" s="2730"/>
      <c r="R204" s="2730"/>
      <c r="S204" s="2730"/>
      <c r="T204" s="2730"/>
      <c r="U204" s="2730"/>
      <c r="V204" s="2730"/>
      <c r="W204" s="2730"/>
      <c r="X204" s="2730"/>
      <c r="Y204" s="2730"/>
      <c r="Z204" s="2730"/>
      <c r="AA204" s="2730"/>
      <c r="AB204" s="2730"/>
      <c r="AC204" s="2720">
        <f t="shared" si="96"/>
        <v>0</v>
      </c>
      <c r="AD204" s="2740"/>
      <c r="AE204" s="2740"/>
      <c r="AF204" s="2740"/>
      <c r="AG204" s="2740"/>
      <c r="AH204" s="2740"/>
      <c r="AI204" s="2740"/>
      <c r="AJ204" s="2740"/>
      <c r="AK204" s="2740"/>
      <c r="AL204" s="2740"/>
      <c r="AM204" s="2740"/>
      <c r="AN204" s="2740"/>
      <c r="AO204" s="2740"/>
      <c r="AP204" s="2740"/>
      <c r="AQ204" s="2740"/>
      <c r="AR204" s="2740"/>
      <c r="AS204" s="2740"/>
      <c r="AT204" s="2750"/>
      <c r="AU204" s="2751"/>
      <c r="AV204" s="1092">
        <f t="shared" si="120"/>
        <v>0</v>
      </c>
      <c r="AW204" s="1092">
        <f t="shared" si="121"/>
        <v>0</v>
      </c>
      <c r="AX204" s="1092">
        <f t="shared" si="122"/>
        <v>0</v>
      </c>
      <c r="AY204" s="2765">
        <f t="shared" si="97"/>
        <v>0</v>
      </c>
      <c r="AZ204" s="2720">
        <f t="shared" si="98"/>
        <v>0</v>
      </c>
      <c r="BA204" s="2720">
        <f t="shared" si="99"/>
        <v>0</v>
      </c>
      <c r="BB204" s="2720">
        <f t="shared" si="100"/>
        <v>0</v>
      </c>
      <c r="BC204" s="2720">
        <f t="shared" si="101"/>
        <v>0</v>
      </c>
      <c r="BD204" s="2720">
        <f t="shared" si="102"/>
        <v>0</v>
      </c>
      <c r="BE204" s="2720">
        <f t="shared" si="103"/>
        <v>0</v>
      </c>
      <c r="BF204" s="2720">
        <f t="shared" si="104"/>
        <v>0</v>
      </c>
      <c r="BG204" s="2720">
        <f t="shared" si="105"/>
        <v>0</v>
      </c>
      <c r="BH204" s="2720">
        <f t="shared" si="106"/>
        <v>0</v>
      </c>
      <c r="BI204" s="2720">
        <f t="shared" si="107"/>
        <v>0</v>
      </c>
      <c r="BJ204" s="2720">
        <f t="shared" si="108"/>
        <v>0</v>
      </c>
      <c r="BK204" s="2720">
        <f t="shared" si="109"/>
        <v>0</v>
      </c>
      <c r="BL204" s="2720">
        <f t="shared" si="110"/>
        <v>0</v>
      </c>
      <c r="BM204" s="2720">
        <f t="shared" si="111"/>
        <v>0</v>
      </c>
      <c r="BN204" s="2720">
        <f t="shared" si="112"/>
        <v>0</v>
      </c>
      <c r="BO204" s="2720">
        <f t="shared" si="113"/>
        <v>0</v>
      </c>
      <c r="BP204" s="2720">
        <f t="shared" si="114"/>
        <v>0</v>
      </c>
      <c r="BQ204" s="2720">
        <f t="shared" si="115"/>
        <v>0</v>
      </c>
      <c r="BR204" s="2720">
        <f t="shared" si="116"/>
        <v>0</v>
      </c>
      <c r="BS204" s="2720">
        <f t="shared" si="117"/>
        <v>0</v>
      </c>
      <c r="BT204" s="2772">
        <f t="shared" si="118"/>
        <v>0</v>
      </c>
    </row>
    <row r="205" spans="1:72">
      <c r="A205" s="2717"/>
      <c r="B205" s="2717"/>
      <c r="C205" s="2717"/>
      <c r="D205" s="2719"/>
      <c r="E205" s="2720">
        <f t="shared" si="119"/>
        <v>0</v>
      </c>
      <c r="F205" s="2773"/>
      <c r="G205" s="2722">
        <f t="shared" si="94"/>
        <v>0</v>
      </c>
      <c r="H205" s="2723">
        <f t="shared" si="95"/>
        <v>0</v>
      </c>
      <c r="I205" s="2774"/>
      <c r="J205" s="2774"/>
      <c r="K205" s="2730"/>
      <c r="L205" s="2730"/>
      <c r="M205" s="2730"/>
      <c r="N205" s="2730"/>
      <c r="O205" s="2730"/>
      <c r="P205" s="2730"/>
      <c r="Q205" s="2730"/>
      <c r="R205" s="2730"/>
      <c r="S205" s="2730"/>
      <c r="T205" s="2730"/>
      <c r="U205" s="2730"/>
      <c r="V205" s="2730"/>
      <c r="W205" s="2730"/>
      <c r="X205" s="2730"/>
      <c r="Y205" s="2730"/>
      <c r="Z205" s="2730"/>
      <c r="AA205" s="2730"/>
      <c r="AB205" s="2730"/>
      <c r="AC205" s="2720">
        <f t="shared" si="96"/>
        <v>0</v>
      </c>
      <c r="AD205" s="2740"/>
      <c r="AE205" s="2740"/>
      <c r="AF205" s="2740"/>
      <c r="AG205" s="2740"/>
      <c r="AH205" s="2740"/>
      <c r="AI205" s="2740"/>
      <c r="AJ205" s="2740"/>
      <c r="AK205" s="2740"/>
      <c r="AL205" s="2740"/>
      <c r="AM205" s="2740"/>
      <c r="AN205" s="2740"/>
      <c r="AO205" s="2740"/>
      <c r="AP205" s="2740"/>
      <c r="AQ205" s="2740"/>
      <c r="AR205" s="2740"/>
      <c r="AS205" s="2740"/>
      <c r="AT205" s="2740"/>
      <c r="AU205" s="2775"/>
      <c r="AV205" s="1092">
        <f t="shared" si="120"/>
        <v>0</v>
      </c>
      <c r="AW205" s="1092">
        <f t="shared" si="121"/>
        <v>0</v>
      </c>
      <c r="AX205" s="1092">
        <f t="shared" si="122"/>
        <v>0</v>
      </c>
      <c r="AY205" s="2765">
        <f t="shared" si="97"/>
        <v>0</v>
      </c>
      <c r="AZ205" s="2720">
        <f t="shared" si="98"/>
        <v>0</v>
      </c>
      <c r="BA205" s="2720">
        <f t="shared" si="99"/>
        <v>0</v>
      </c>
      <c r="BB205" s="2720">
        <f t="shared" si="100"/>
        <v>0</v>
      </c>
      <c r="BC205" s="2720">
        <f t="shared" si="101"/>
        <v>0</v>
      </c>
      <c r="BD205" s="2720">
        <f t="shared" si="102"/>
        <v>0</v>
      </c>
      <c r="BE205" s="2720">
        <f t="shared" si="103"/>
        <v>0</v>
      </c>
      <c r="BF205" s="2720">
        <f t="shared" si="104"/>
        <v>0</v>
      </c>
      <c r="BG205" s="2720">
        <f t="shared" si="105"/>
        <v>0</v>
      </c>
      <c r="BH205" s="2720">
        <f t="shared" si="106"/>
        <v>0</v>
      </c>
      <c r="BI205" s="2720">
        <f t="shared" si="107"/>
        <v>0</v>
      </c>
      <c r="BJ205" s="2720">
        <f t="shared" si="108"/>
        <v>0</v>
      </c>
      <c r="BK205" s="2720">
        <f t="shared" si="109"/>
        <v>0</v>
      </c>
      <c r="BL205" s="2720">
        <f t="shared" si="110"/>
        <v>0</v>
      </c>
      <c r="BM205" s="2720">
        <f t="shared" si="111"/>
        <v>0</v>
      </c>
      <c r="BN205" s="2720">
        <f t="shared" si="112"/>
        <v>0</v>
      </c>
      <c r="BO205" s="2720">
        <f t="shared" si="113"/>
        <v>0</v>
      </c>
      <c r="BP205" s="2720">
        <f t="shared" si="114"/>
        <v>0</v>
      </c>
      <c r="BQ205" s="2720">
        <f t="shared" si="115"/>
        <v>0</v>
      </c>
      <c r="BR205" s="2720">
        <f t="shared" si="116"/>
        <v>0</v>
      </c>
      <c r="BS205" s="2720">
        <f t="shared" si="117"/>
        <v>0</v>
      </c>
      <c r="BT205" s="2772">
        <f t="shared" si="118"/>
        <v>0</v>
      </c>
    </row>
    <row r="206" spans="1:72">
      <c r="A206" s="2717"/>
      <c r="B206" s="2717"/>
      <c r="C206" s="2717"/>
      <c r="D206" s="2719"/>
      <c r="E206" s="2720">
        <f t="shared" si="119"/>
        <v>0</v>
      </c>
      <c r="F206" s="2773"/>
      <c r="G206" s="2722">
        <f t="shared" si="94"/>
        <v>0</v>
      </c>
      <c r="H206" s="2723">
        <f t="shared" si="95"/>
        <v>0</v>
      </c>
      <c r="I206" s="2730"/>
      <c r="J206" s="2730"/>
      <c r="K206" s="2730"/>
      <c r="L206" s="2730"/>
      <c r="M206" s="2730"/>
      <c r="N206" s="2730"/>
      <c r="O206" s="2730"/>
      <c r="P206" s="2730"/>
      <c r="Q206" s="2730"/>
      <c r="R206" s="2730"/>
      <c r="S206" s="2730"/>
      <c r="T206" s="2730"/>
      <c r="U206" s="2730"/>
      <c r="V206" s="2730"/>
      <c r="W206" s="2730"/>
      <c r="X206" s="2730"/>
      <c r="Y206" s="2730"/>
      <c r="Z206" s="2730"/>
      <c r="AA206" s="2730"/>
      <c r="AB206" s="2730"/>
      <c r="AC206" s="2720">
        <f t="shared" si="96"/>
        <v>0</v>
      </c>
      <c r="AD206" s="2740"/>
      <c r="AE206" s="2740"/>
      <c r="AF206" s="2740"/>
      <c r="AG206" s="2740"/>
      <c r="AH206" s="2740"/>
      <c r="AI206" s="2740"/>
      <c r="AJ206" s="2740"/>
      <c r="AK206" s="2740"/>
      <c r="AL206" s="2740"/>
      <c r="AM206" s="2740"/>
      <c r="AN206" s="2740"/>
      <c r="AO206" s="2740"/>
      <c r="AP206" s="2740"/>
      <c r="AQ206" s="2740"/>
      <c r="AR206" s="2740"/>
      <c r="AS206" s="2740"/>
      <c r="AT206" s="2740"/>
      <c r="AU206" s="2775"/>
      <c r="AV206" s="1092">
        <f t="shared" si="120"/>
        <v>0</v>
      </c>
      <c r="AW206" s="1092">
        <f t="shared" si="121"/>
        <v>0</v>
      </c>
      <c r="AX206" s="1092">
        <f t="shared" si="122"/>
        <v>0</v>
      </c>
      <c r="AY206" s="2765">
        <f t="shared" si="97"/>
        <v>0</v>
      </c>
      <c r="AZ206" s="2720">
        <f t="shared" si="98"/>
        <v>0</v>
      </c>
      <c r="BA206" s="2720">
        <f t="shared" si="99"/>
        <v>0</v>
      </c>
      <c r="BB206" s="2720">
        <f t="shared" si="100"/>
        <v>0</v>
      </c>
      <c r="BC206" s="2720">
        <f t="shared" si="101"/>
        <v>0</v>
      </c>
      <c r="BD206" s="2720">
        <f t="shared" si="102"/>
        <v>0</v>
      </c>
      <c r="BE206" s="2720">
        <f t="shared" si="103"/>
        <v>0</v>
      </c>
      <c r="BF206" s="2720">
        <f t="shared" si="104"/>
        <v>0</v>
      </c>
      <c r="BG206" s="2720">
        <f t="shared" si="105"/>
        <v>0</v>
      </c>
      <c r="BH206" s="2720">
        <f t="shared" si="106"/>
        <v>0</v>
      </c>
      <c r="BI206" s="2720">
        <f t="shared" si="107"/>
        <v>0</v>
      </c>
      <c r="BJ206" s="2720">
        <f t="shared" si="108"/>
        <v>0</v>
      </c>
      <c r="BK206" s="2720">
        <f t="shared" si="109"/>
        <v>0</v>
      </c>
      <c r="BL206" s="2720">
        <f t="shared" si="110"/>
        <v>0</v>
      </c>
      <c r="BM206" s="2720">
        <f t="shared" si="111"/>
        <v>0</v>
      </c>
      <c r="BN206" s="2720">
        <f t="shared" si="112"/>
        <v>0</v>
      </c>
      <c r="BO206" s="2720">
        <f t="shared" si="113"/>
        <v>0</v>
      </c>
      <c r="BP206" s="2720">
        <f t="shared" si="114"/>
        <v>0</v>
      </c>
      <c r="BQ206" s="2720">
        <f t="shared" si="115"/>
        <v>0</v>
      </c>
      <c r="BR206" s="2720">
        <f t="shared" si="116"/>
        <v>0</v>
      </c>
      <c r="BS206" s="2720">
        <f t="shared" si="117"/>
        <v>0</v>
      </c>
      <c r="BT206" s="2772">
        <f t="shared" si="118"/>
        <v>0</v>
      </c>
    </row>
    <row r="207" spans="1:72">
      <c r="A207" s="2717"/>
      <c r="B207" s="2717"/>
      <c r="C207" s="2717"/>
      <c r="D207" s="2719"/>
      <c r="E207" s="2720">
        <f t="shared" si="119"/>
        <v>0</v>
      </c>
      <c r="F207" s="2773"/>
      <c r="G207" s="2722">
        <f t="shared" si="94"/>
        <v>0</v>
      </c>
      <c r="H207" s="2723">
        <f t="shared" si="95"/>
        <v>0</v>
      </c>
      <c r="I207" s="2730"/>
      <c r="J207" s="2730"/>
      <c r="K207" s="2730"/>
      <c r="L207" s="2730"/>
      <c r="M207" s="2730"/>
      <c r="N207" s="2730"/>
      <c r="O207" s="2730"/>
      <c r="P207" s="2730"/>
      <c r="Q207" s="2730"/>
      <c r="R207" s="2730"/>
      <c r="S207" s="2730"/>
      <c r="T207" s="2730"/>
      <c r="U207" s="2730"/>
      <c r="V207" s="2730"/>
      <c r="W207" s="2730"/>
      <c r="X207" s="2730"/>
      <c r="Y207" s="2730"/>
      <c r="Z207" s="2730"/>
      <c r="AA207" s="2730"/>
      <c r="AB207" s="2730"/>
      <c r="AC207" s="2720">
        <f t="shared" si="96"/>
        <v>0</v>
      </c>
      <c r="AD207" s="2740"/>
      <c r="AE207" s="2740"/>
      <c r="AF207" s="2740"/>
      <c r="AG207" s="2740"/>
      <c r="AH207" s="2740"/>
      <c r="AI207" s="2740"/>
      <c r="AJ207" s="2740"/>
      <c r="AK207" s="2740"/>
      <c r="AL207" s="2740"/>
      <c r="AM207" s="2740"/>
      <c r="AN207" s="2740"/>
      <c r="AO207" s="2740"/>
      <c r="AP207" s="2740"/>
      <c r="AQ207" s="2740"/>
      <c r="AR207" s="2740"/>
      <c r="AS207" s="2740"/>
      <c r="AT207" s="2740"/>
      <c r="AU207" s="2775"/>
      <c r="AV207" s="1092">
        <f t="shared" si="120"/>
        <v>0</v>
      </c>
      <c r="AW207" s="1092">
        <f t="shared" si="121"/>
        <v>0</v>
      </c>
      <c r="AX207" s="1092">
        <f t="shared" si="122"/>
        <v>0</v>
      </c>
      <c r="AY207" s="2765">
        <f t="shared" si="97"/>
        <v>0</v>
      </c>
      <c r="AZ207" s="2720">
        <f t="shared" si="98"/>
        <v>0</v>
      </c>
      <c r="BA207" s="2720">
        <f t="shared" si="99"/>
        <v>0</v>
      </c>
      <c r="BB207" s="2720">
        <f t="shared" si="100"/>
        <v>0</v>
      </c>
      <c r="BC207" s="2720">
        <f t="shared" si="101"/>
        <v>0</v>
      </c>
      <c r="BD207" s="2720">
        <f t="shared" si="102"/>
        <v>0</v>
      </c>
      <c r="BE207" s="2720">
        <f t="shared" si="103"/>
        <v>0</v>
      </c>
      <c r="BF207" s="2720">
        <f t="shared" si="104"/>
        <v>0</v>
      </c>
      <c r="BG207" s="2720">
        <f t="shared" si="105"/>
        <v>0</v>
      </c>
      <c r="BH207" s="2720">
        <f t="shared" si="106"/>
        <v>0</v>
      </c>
      <c r="BI207" s="2720">
        <f t="shared" si="107"/>
        <v>0</v>
      </c>
      <c r="BJ207" s="2720">
        <f t="shared" si="108"/>
        <v>0</v>
      </c>
      <c r="BK207" s="2720">
        <f t="shared" si="109"/>
        <v>0</v>
      </c>
      <c r="BL207" s="2720">
        <f t="shared" si="110"/>
        <v>0</v>
      </c>
      <c r="BM207" s="2720">
        <f t="shared" si="111"/>
        <v>0</v>
      </c>
      <c r="BN207" s="2720">
        <f t="shared" si="112"/>
        <v>0</v>
      </c>
      <c r="BO207" s="2720">
        <f t="shared" si="113"/>
        <v>0</v>
      </c>
      <c r="BP207" s="2720">
        <f t="shared" si="114"/>
        <v>0</v>
      </c>
      <c r="BQ207" s="2720">
        <f t="shared" si="115"/>
        <v>0</v>
      </c>
      <c r="BR207" s="2720">
        <f t="shared" si="116"/>
        <v>0</v>
      </c>
      <c r="BS207" s="2720">
        <f t="shared" si="117"/>
        <v>0</v>
      </c>
      <c r="BT207" s="2772">
        <f t="shared" si="118"/>
        <v>0</v>
      </c>
    </row>
    <row r="208" spans="1:72">
      <c r="A208" s="2717"/>
      <c r="B208" s="2718"/>
      <c r="C208" s="2718"/>
      <c r="D208" s="2719"/>
      <c r="E208" s="2720">
        <f t="shared" ref="E208:E302" si="123">IF($C$3="是",ROUND($A$3*G208/$B$3,2),ROUND($A$3*(G208-AT208)/$B$3,2))</f>
        <v>0</v>
      </c>
      <c r="F208" s="2721"/>
      <c r="G208" s="2722">
        <f t="shared" ref="G208:G299" si="124">H208+AC208+AT208</f>
        <v>0</v>
      </c>
      <c r="H208" s="2723">
        <f t="shared" ref="H208:H299" si="125">SUMIF(I$12:AB$12,"总值",I208:AB208)</f>
        <v>0</v>
      </c>
      <c r="I208" s="2730"/>
      <c r="J208" s="2730"/>
      <c r="K208" s="2730"/>
      <c r="L208" s="2730"/>
      <c r="M208" s="2730"/>
      <c r="N208" s="2730"/>
      <c r="O208" s="2730"/>
      <c r="P208" s="2730"/>
      <c r="Q208" s="2730"/>
      <c r="R208" s="2730"/>
      <c r="S208" s="2730"/>
      <c r="T208" s="2730"/>
      <c r="U208" s="2730"/>
      <c r="V208" s="2730"/>
      <c r="W208" s="2730"/>
      <c r="X208" s="2730"/>
      <c r="Y208" s="2730"/>
      <c r="Z208" s="2730"/>
      <c r="AA208" s="2730"/>
      <c r="AB208" s="2730"/>
      <c r="AC208" s="2720">
        <f t="shared" ref="AC208:AC299" si="126">SUMIF(AD$12:AS$12,"总值",AD208:AS208)</f>
        <v>0</v>
      </c>
      <c r="AD208" s="2740"/>
      <c r="AE208" s="2740"/>
      <c r="AF208" s="2740"/>
      <c r="AG208" s="2740"/>
      <c r="AH208" s="2740"/>
      <c r="AI208" s="2740"/>
      <c r="AJ208" s="2740"/>
      <c r="AK208" s="2740"/>
      <c r="AL208" s="2740"/>
      <c r="AM208" s="2740"/>
      <c r="AN208" s="2740"/>
      <c r="AO208" s="2740"/>
      <c r="AP208" s="2740"/>
      <c r="AQ208" s="2740"/>
      <c r="AR208" s="2740"/>
      <c r="AS208" s="2740"/>
      <c r="AT208" s="2750"/>
      <c r="AU208" s="2751"/>
      <c r="AV208" s="1092">
        <f t="shared" ref="AV208:AV302" si="127">A208</f>
        <v>0</v>
      </c>
      <c r="AW208" s="1092">
        <f t="shared" ref="AW208:AW302" si="128">B208</f>
        <v>0</v>
      </c>
      <c r="AX208" s="1092">
        <f t="shared" ref="AX208:AX302" si="129">C208</f>
        <v>0</v>
      </c>
      <c r="AY208" s="2765">
        <f t="shared" ref="AY208:AY299" si="130">ROUND($AY$6*AZ208/$AZ$5,2)</f>
        <v>0</v>
      </c>
      <c r="AZ208" s="2720">
        <f t="shared" ref="AZ208:AZ299" si="131">BA208+BL208</f>
        <v>0</v>
      </c>
      <c r="BA208" s="2720">
        <f t="shared" ref="BA208:BA299" si="132">SUM(BB208:BK208)</f>
        <v>0</v>
      </c>
      <c r="BB208" s="2720">
        <f t="shared" ref="BB208:BB299" si="133">IF($D208="是",I208-J208,0)</f>
        <v>0</v>
      </c>
      <c r="BC208" s="2720">
        <f t="shared" ref="BC208:BC299" si="134">IF($D208="是",K208-L208,0)</f>
        <v>0</v>
      </c>
      <c r="BD208" s="2720">
        <f t="shared" ref="BD208:BD299" si="135">IF($D208="是",M208-N208,0)</f>
        <v>0</v>
      </c>
      <c r="BE208" s="2720">
        <f t="shared" ref="BE208:BE299" si="136">IF($D208="是",O208-P208,0)</f>
        <v>0</v>
      </c>
      <c r="BF208" s="2720">
        <f t="shared" ref="BF208:BF299" si="137">IF($D208="是",Q208-R208,0)</f>
        <v>0</v>
      </c>
      <c r="BG208" s="2720">
        <f t="shared" ref="BG208:BG299" si="138">IF($D208="是",S208-T208,0)</f>
        <v>0</v>
      </c>
      <c r="BH208" s="2720">
        <f t="shared" ref="BH208:BH299" si="139">IF($D208="是",U208-V208,0)</f>
        <v>0</v>
      </c>
      <c r="BI208" s="2720">
        <f t="shared" ref="BI208:BI299" si="140">IF($D208="是",W208-X208,0)</f>
        <v>0</v>
      </c>
      <c r="BJ208" s="2720">
        <f t="shared" ref="BJ208:BJ299" si="141">IF($D208="是",Y208-Z208,0)</f>
        <v>0</v>
      </c>
      <c r="BK208" s="2720">
        <f t="shared" ref="BK208:BK299" si="142">IF($D208="是",AA208-AB208,0)</f>
        <v>0</v>
      </c>
      <c r="BL208" s="2720">
        <f t="shared" ref="BL208:BL299" si="143">SUM(BM208:BT208)</f>
        <v>0</v>
      </c>
      <c r="BM208" s="2720">
        <f t="shared" ref="BM208:BM299" si="144">IF($D208="是",AD208-AE208,0)</f>
        <v>0</v>
      </c>
      <c r="BN208" s="2720">
        <f t="shared" ref="BN208:BN299" si="145">IF($D208="是",AF208-AG208,0)</f>
        <v>0</v>
      </c>
      <c r="BO208" s="2720">
        <f t="shared" ref="BO208:BO299" si="146">IF($D208="是",AH208-AI208,0)</f>
        <v>0</v>
      </c>
      <c r="BP208" s="2720">
        <f t="shared" ref="BP208:BP299" si="147">IF($D208="是",AJ208-AK208,0)</f>
        <v>0</v>
      </c>
      <c r="BQ208" s="2720">
        <f t="shared" ref="BQ208:BQ299" si="148">IF($D208="是",AL208-AM208,0)</f>
        <v>0</v>
      </c>
      <c r="BR208" s="2720">
        <f t="shared" ref="BR208:BR299" si="149">IF($D208="是",AN208-AO208,0)</f>
        <v>0</v>
      </c>
      <c r="BS208" s="2720">
        <f t="shared" ref="BS208:BS299" si="150">IF($D208="是",AP208-AQ208,0)</f>
        <v>0</v>
      </c>
      <c r="BT208" s="2772">
        <f t="shared" ref="BT208:BT299" si="151">IF($D208="是",AR208-AS208,0)</f>
        <v>0</v>
      </c>
    </row>
    <row r="209" spans="1:72">
      <c r="A209" s="2717"/>
      <c r="B209" s="2718"/>
      <c r="C209" s="2718"/>
      <c r="D209" s="2719"/>
      <c r="E209" s="2720">
        <f t="shared" si="123"/>
        <v>0</v>
      </c>
      <c r="F209" s="2721"/>
      <c r="G209" s="2722">
        <f t="shared" si="124"/>
        <v>0</v>
      </c>
      <c r="H209" s="2723">
        <f t="shared" si="125"/>
        <v>0</v>
      </c>
      <c r="I209" s="2730"/>
      <c r="J209" s="2730"/>
      <c r="K209" s="2730"/>
      <c r="L209" s="2730"/>
      <c r="M209" s="2730"/>
      <c r="N209" s="2730"/>
      <c r="O209" s="2730"/>
      <c r="P209" s="2730"/>
      <c r="Q209" s="2730"/>
      <c r="R209" s="2730"/>
      <c r="S209" s="2730"/>
      <c r="T209" s="2730"/>
      <c r="U209" s="2730"/>
      <c r="V209" s="2730"/>
      <c r="W209" s="2730"/>
      <c r="X209" s="2730"/>
      <c r="Y209" s="2730"/>
      <c r="Z209" s="2730"/>
      <c r="AA209" s="2730"/>
      <c r="AB209" s="2730"/>
      <c r="AC209" s="2720">
        <f t="shared" si="126"/>
        <v>0</v>
      </c>
      <c r="AD209" s="2740"/>
      <c r="AE209" s="2740"/>
      <c r="AF209" s="2740"/>
      <c r="AG209" s="2740"/>
      <c r="AH209" s="2740"/>
      <c r="AI209" s="2740"/>
      <c r="AJ209" s="2740"/>
      <c r="AK209" s="2740"/>
      <c r="AL209" s="2740"/>
      <c r="AM209" s="2740"/>
      <c r="AN209" s="2740"/>
      <c r="AO209" s="2740"/>
      <c r="AP209" s="2740"/>
      <c r="AQ209" s="2740"/>
      <c r="AR209" s="2740"/>
      <c r="AS209" s="2740"/>
      <c r="AT209" s="2750"/>
      <c r="AU209" s="2751"/>
      <c r="AV209" s="1092">
        <f t="shared" si="127"/>
        <v>0</v>
      </c>
      <c r="AW209" s="1092">
        <f t="shared" si="128"/>
        <v>0</v>
      </c>
      <c r="AX209" s="1092">
        <f t="shared" si="129"/>
        <v>0</v>
      </c>
      <c r="AY209" s="2765">
        <f t="shared" si="130"/>
        <v>0</v>
      </c>
      <c r="AZ209" s="2720">
        <f t="shared" si="131"/>
        <v>0</v>
      </c>
      <c r="BA209" s="2720">
        <f t="shared" si="132"/>
        <v>0</v>
      </c>
      <c r="BB209" s="2720">
        <f t="shared" si="133"/>
        <v>0</v>
      </c>
      <c r="BC209" s="2720">
        <f t="shared" si="134"/>
        <v>0</v>
      </c>
      <c r="BD209" s="2720">
        <f t="shared" si="135"/>
        <v>0</v>
      </c>
      <c r="BE209" s="2720">
        <f t="shared" si="136"/>
        <v>0</v>
      </c>
      <c r="BF209" s="2720">
        <f t="shared" si="137"/>
        <v>0</v>
      </c>
      <c r="BG209" s="2720">
        <f t="shared" si="138"/>
        <v>0</v>
      </c>
      <c r="BH209" s="2720">
        <f t="shared" si="139"/>
        <v>0</v>
      </c>
      <c r="BI209" s="2720">
        <f t="shared" si="140"/>
        <v>0</v>
      </c>
      <c r="BJ209" s="2720">
        <f t="shared" si="141"/>
        <v>0</v>
      </c>
      <c r="BK209" s="2720">
        <f t="shared" si="142"/>
        <v>0</v>
      </c>
      <c r="BL209" s="2720">
        <f t="shared" si="143"/>
        <v>0</v>
      </c>
      <c r="BM209" s="2720">
        <f t="shared" si="144"/>
        <v>0</v>
      </c>
      <c r="BN209" s="2720">
        <f t="shared" si="145"/>
        <v>0</v>
      </c>
      <c r="BO209" s="2720">
        <f t="shared" si="146"/>
        <v>0</v>
      </c>
      <c r="BP209" s="2720">
        <f t="shared" si="147"/>
        <v>0</v>
      </c>
      <c r="BQ209" s="2720">
        <f t="shared" si="148"/>
        <v>0</v>
      </c>
      <c r="BR209" s="2720">
        <f t="shared" si="149"/>
        <v>0</v>
      </c>
      <c r="BS209" s="2720">
        <f t="shared" si="150"/>
        <v>0</v>
      </c>
      <c r="BT209" s="2772">
        <f t="shared" si="151"/>
        <v>0</v>
      </c>
    </row>
    <row r="210" spans="1:72">
      <c r="A210" s="2717"/>
      <c r="B210" s="2718"/>
      <c r="C210" s="2718"/>
      <c r="D210" s="2719"/>
      <c r="E210" s="2720">
        <f t="shared" si="123"/>
        <v>0</v>
      </c>
      <c r="F210" s="2721"/>
      <c r="G210" s="2722">
        <f t="shared" si="124"/>
        <v>0</v>
      </c>
      <c r="H210" s="2723">
        <f t="shared" si="125"/>
        <v>0</v>
      </c>
      <c r="I210" s="2730"/>
      <c r="J210" s="2730"/>
      <c r="K210" s="2730"/>
      <c r="L210" s="2730"/>
      <c r="M210" s="2730"/>
      <c r="N210" s="2730"/>
      <c r="O210" s="2730"/>
      <c r="P210" s="2730"/>
      <c r="Q210" s="2730"/>
      <c r="R210" s="2730"/>
      <c r="S210" s="2730"/>
      <c r="T210" s="2730"/>
      <c r="U210" s="2730"/>
      <c r="V210" s="2730"/>
      <c r="W210" s="2730"/>
      <c r="X210" s="2730"/>
      <c r="Y210" s="2730"/>
      <c r="Z210" s="2730"/>
      <c r="AA210" s="2730"/>
      <c r="AB210" s="2730"/>
      <c r="AC210" s="2720">
        <f t="shared" si="126"/>
        <v>0</v>
      </c>
      <c r="AD210" s="2740"/>
      <c r="AE210" s="2740"/>
      <c r="AF210" s="2740"/>
      <c r="AG210" s="2740"/>
      <c r="AH210" s="2740"/>
      <c r="AI210" s="2740"/>
      <c r="AJ210" s="2740"/>
      <c r="AK210" s="2740"/>
      <c r="AL210" s="2740"/>
      <c r="AM210" s="2740"/>
      <c r="AN210" s="2740"/>
      <c r="AO210" s="2740"/>
      <c r="AP210" s="2740"/>
      <c r="AQ210" s="2740"/>
      <c r="AR210" s="2740"/>
      <c r="AS210" s="2740"/>
      <c r="AT210" s="2750"/>
      <c r="AU210" s="2751"/>
      <c r="AV210" s="1092">
        <f t="shared" si="127"/>
        <v>0</v>
      </c>
      <c r="AW210" s="1092">
        <f t="shared" si="128"/>
        <v>0</v>
      </c>
      <c r="AX210" s="1092">
        <f t="shared" si="129"/>
        <v>0</v>
      </c>
      <c r="AY210" s="2765">
        <f t="shared" si="130"/>
        <v>0</v>
      </c>
      <c r="AZ210" s="2720">
        <f t="shared" si="131"/>
        <v>0</v>
      </c>
      <c r="BA210" s="2720">
        <f t="shared" si="132"/>
        <v>0</v>
      </c>
      <c r="BB210" s="2720">
        <f t="shared" si="133"/>
        <v>0</v>
      </c>
      <c r="BC210" s="2720">
        <f t="shared" si="134"/>
        <v>0</v>
      </c>
      <c r="BD210" s="2720">
        <f t="shared" si="135"/>
        <v>0</v>
      </c>
      <c r="BE210" s="2720">
        <f t="shared" si="136"/>
        <v>0</v>
      </c>
      <c r="BF210" s="2720">
        <f t="shared" si="137"/>
        <v>0</v>
      </c>
      <c r="BG210" s="2720">
        <f t="shared" si="138"/>
        <v>0</v>
      </c>
      <c r="BH210" s="2720">
        <f t="shared" si="139"/>
        <v>0</v>
      </c>
      <c r="BI210" s="2720">
        <f t="shared" si="140"/>
        <v>0</v>
      </c>
      <c r="BJ210" s="2720">
        <f t="shared" si="141"/>
        <v>0</v>
      </c>
      <c r="BK210" s="2720">
        <f t="shared" si="142"/>
        <v>0</v>
      </c>
      <c r="BL210" s="2720">
        <f t="shared" si="143"/>
        <v>0</v>
      </c>
      <c r="BM210" s="2720">
        <f t="shared" si="144"/>
        <v>0</v>
      </c>
      <c r="BN210" s="2720">
        <f t="shared" si="145"/>
        <v>0</v>
      </c>
      <c r="BO210" s="2720">
        <f t="shared" si="146"/>
        <v>0</v>
      </c>
      <c r="BP210" s="2720">
        <f t="shared" si="147"/>
        <v>0</v>
      </c>
      <c r="BQ210" s="2720">
        <f t="shared" si="148"/>
        <v>0</v>
      </c>
      <c r="BR210" s="2720">
        <f t="shared" si="149"/>
        <v>0</v>
      </c>
      <c r="BS210" s="2720">
        <f t="shared" si="150"/>
        <v>0</v>
      </c>
      <c r="BT210" s="2772">
        <f t="shared" si="151"/>
        <v>0</v>
      </c>
    </row>
    <row r="211" spans="1:72">
      <c r="A211" s="2717"/>
      <c r="B211" s="2718"/>
      <c r="C211" s="2718"/>
      <c r="D211" s="2719"/>
      <c r="E211" s="2720">
        <f t="shared" si="123"/>
        <v>0</v>
      </c>
      <c r="F211" s="2721"/>
      <c r="G211" s="2722">
        <f t="shared" si="124"/>
        <v>0</v>
      </c>
      <c r="H211" s="2723">
        <f t="shared" si="125"/>
        <v>0</v>
      </c>
      <c r="I211" s="2730"/>
      <c r="J211" s="2730"/>
      <c r="K211" s="2730"/>
      <c r="L211" s="2730"/>
      <c r="M211" s="2730"/>
      <c r="N211" s="2730"/>
      <c r="O211" s="2730"/>
      <c r="P211" s="2730"/>
      <c r="Q211" s="2730"/>
      <c r="R211" s="2730"/>
      <c r="S211" s="2730"/>
      <c r="T211" s="2730"/>
      <c r="U211" s="2730"/>
      <c r="V211" s="2730"/>
      <c r="W211" s="2730"/>
      <c r="X211" s="2730"/>
      <c r="Y211" s="2730"/>
      <c r="Z211" s="2730"/>
      <c r="AA211" s="2730"/>
      <c r="AB211" s="2730"/>
      <c r="AC211" s="2720">
        <f t="shared" si="126"/>
        <v>0</v>
      </c>
      <c r="AD211" s="2740"/>
      <c r="AE211" s="2740"/>
      <c r="AF211" s="2740"/>
      <c r="AG211" s="2740"/>
      <c r="AH211" s="2740"/>
      <c r="AI211" s="2740"/>
      <c r="AJ211" s="2740"/>
      <c r="AK211" s="2740"/>
      <c r="AL211" s="2740"/>
      <c r="AM211" s="2740"/>
      <c r="AN211" s="2740"/>
      <c r="AO211" s="2740"/>
      <c r="AP211" s="2740"/>
      <c r="AQ211" s="2740"/>
      <c r="AR211" s="2740"/>
      <c r="AS211" s="2740"/>
      <c r="AT211" s="2750"/>
      <c r="AU211" s="2751"/>
      <c r="AV211" s="1092">
        <f t="shared" si="127"/>
        <v>0</v>
      </c>
      <c r="AW211" s="1092">
        <f t="shared" si="128"/>
        <v>0</v>
      </c>
      <c r="AX211" s="1092">
        <f t="shared" si="129"/>
        <v>0</v>
      </c>
      <c r="AY211" s="2765">
        <f t="shared" si="130"/>
        <v>0</v>
      </c>
      <c r="AZ211" s="2720">
        <f t="shared" si="131"/>
        <v>0</v>
      </c>
      <c r="BA211" s="2720">
        <f t="shared" si="132"/>
        <v>0</v>
      </c>
      <c r="BB211" s="2720">
        <f t="shared" si="133"/>
        <v>0</v>
      </c>
      <c r="BC211" s="2720">
        <f t="shared" si="134"/>
        <v>0</v>
      </c>
      <c r="BD211" s="2720">
        <f t="shared" si="135"/>
        <v>0</v>
      </c>
      <c r="BE211" s="2720">
        <f t="shared" si="136"/>
        <v>0</v>
      </c>
      <c r="BF211" s="2720">
        <f t="shared" si="137"/>
        <v>0</v>
      </c>
      <c r="BG211" s="2720">
        <f t="shared" si="138"/>
        <v>0</v>
      </c>
      <c r="BH211" s="2720">
        <f t="shared" si="139"/>
        <v>0</v>
      </c>
      <c r="BI211" s="2720">
        <f t="shared" si="140"/>
        <v>0</v>
      </c>
      <c r="BJ211" s="2720">
        <f t="shared" si="141"/>
        <v>0</v>
      </c>
      <c r="BK211" s="2720">
        <f t="shared" si="142"/>
        <v>0</v>
      </c>
      <c r="BL211" s="2720">
        <f t="shared" si="143"/>
        <v>0</v>
      </c>
      <c r="BM211" s="2720">
        <f t="shared" si="144"/>
        <v>0</v>
      </c>
      <c r="BN211" s="2720">
        <f t="shared" si="145"/>
        <v>0</v>
      </c>
      <c r="BO211" s="2720">
        <f t="shared" si="146"/>
        <v>0</v>
      </c>
      <c r="BP211" s="2720">
        <f t="shared" si="147"/>
        <v>0</v>
      </c>
      <c r="BQ211" s="2720">
        <f t="shared" si="148"/>
        <v>0</v>
      </c>
      <c r="BR211" s="2720">
        <f t="shared" si="149"/>
        <v>0</v>
      </c>
      <c r="BS211" s="2720">
        <f t="shared" si="150"/>
        <v>0</v>
      </c>
      <c r="BT211" s="2772">
        <f t="shared" si="151"/>
        <v>0</v>
      </c>
    </row>
    <row r="212" spans="1:72">
      <c r="A212" s="2717"/>
      <c r="B212" s="2718"/>
      <c r="C212" s="2718"/>
      <c r="D212" s="2719"/>
      <c r="E212" s="2720">
        <f t="shared" si="123"/>
        <v>0</v>
      </c>
      <c r="F212" s="2721"/>
      <c r="G212" s="2722">
        <f t="shared" si="124"/>
        <v>0</v>
      </c>
      <c r="H212" s="2723">
        <f t="shared" si="125"/>
        <v>0</v>
      </c>
      <c r="I212" s="2730"/>
      <c r="J212" s="2730"/>
      <c r="K212" s="2730"/>
      <c r="L212" s="2730"/>
      <c r="M212" s="2730"/>
      <c r="N212" s="2730"/>
      <c r="O212" s="2730"/>
      <c r="P212" s="2730"/>
      <c r="Q212" s="2730"/>
      <c r="R212" s="2730"/>
      <c r="S212" s="2730"/>
      <c r="T212" s="2730"/>
      <c r="U212" s="2730"/>
      <c r="V212" s="2730"/>
      <c r="W212" s="2730"/>
      <c r="X212" s="2730"/>
      <c r="Y212" s="2730"/>
      <c r="Z212" s="2730"/>
      <c r="AA212" s="2730"/>
      <c r="AB212" s="2730"/>
      <c r="AC212" s="2720">
        <f t="shared" si="126"/>
        <v>0</v>
      </c>
      <c r="AD212" s="2740"/>
      <c r="AE212" s="2740"/>
      <c r="AF212" s="2740"/>
      <c r="AG212" s="2740"/>
      <c r="AH212" s="2740"/>
      <c r="AI212" s="2740"/>
      <c r="AJ212" s="2740"/>
      <c r="AK212" s="2740"/>
      <c r="AL212" s="2740"/>
      <c r="AM212" s="2740"/>
      <c r="AN212" s="2740"/>
      <c r="AO212" s="2740"/>
      <c r="AP212" s="2740"/>
      <c r="AQ212" s="2740"/>
      <c r="AR212" s="2740"/>
      <c r="AS212" s="2740"/>
      <c r="AT212" s="2750"/>
      <c r="AU212" s="2751"/>
      <c r="AV212" s="1092">
        <f t="shared" si="127"/>
        <v>0</v>
      </c>
      <c r="AW212" s="1092">
        <f t="shared" si="128"/>
        <v>0</v>
      </c>
      <c r="AX212" s="1092">
        <f t="shared" si="129"/>
        <v>0</v>
      </c>
      <c r="AY212" s="2765">
        <f t="shared" si="130"/>
        <v>0</v>
      </c>
      <c r="AZ212" s="2720">
        <f t="shared" si="131"/>
        <v>0</v>
      </c>
      <c r="BA212" s="2720">
        <f t="shared" si="132"/>
        <v>0</v>
      </c>
      <c r="BB212" s="2720">
        <f t="shared" si="133"/>
        <v>0</v>
      </c>
      <c r="BC212" s="2720">
        <f t="shared" si="134"/>
        <v>0</v>
      </c>
      <c r="BD212" s="2720">
        <f t="shared" si="135"/>
        <v>0</v>
      </c>
      <c r="BE212" s="2720">
        <f t="shared" si="136"/>
        <v>0</v>
      </c>
      <c r="BF212" s="2720">
        <f t="shared" si="137"/>
        <v>0</v>
      </c>
      <c r="BG212" s="2720">
        <f t="shared" si="138"/>
        <v>0</v>
      </c>
      <c r="BH212" s="2720">
        <f t="shared" si="139"/>
        <v>0</v>
      </c>
      <c r="BI212" s="2720">
        <f t="shared" si="140"/>
        <v>0</v>
      </c>
      <c r="BJ212" s="2720">
        <f t="shared" si="141"/>
        <v>0</v>
      </c>
      <c r="BK212" s="2720">
        <f t="shared" si="142"/>
        <v>0</v>
      </c>
      <c r="BL212" s="2720">
        <f t="shared" si="143"/>
        <v>0</v>
      </c>
      <c r="BM212" s="2720">
        <f t="shared" si="144"/>
        <v>0</v>
      </c>
      <c r="BN212" s="2720">
        <f t="shared" si="145"/>
        <v>0</v>
      </c>
      <c r="BO212" s="2720">
        <f t="shared" si="146"/>
        <v>0</v>
      </c>
      <c r="BP212" s="2720">
        <f t="shared" si="147"/>
        <v>0</v>
      </c>
      <c r="BQ212" s="2720">
        <f t="shared" si="148"/>
        <v>0</v>
      </c>
      <c r="BR212" s="2720">
        <f t="shared" si="149"/>
        <v>0</v>
      </c>
      <c r="BS212" s="2720">
        <f t="shared" si="150"/>
        <v>0</v>
      </c>
      <c r="BT212" s="2772">
        <f t="shared" si="151"/>
        <v>0</v>
      </c>
    </row>
    <row r="213" spans="1:72">
      <c r="A213" s="2717"/>
      <c r="B213" s="2718"/>
      <c r="C213" s="2718"/>
      <c r="D213" s="2719"/>
      <c r="E213" s="2720">
        <f t="shared" si="123"/>
        <v>0</v>
      </c>
      <c r="F213" s="2721"/>
      <c r="G213" s="2722">
        <f t="shared" si="124"/>
        <v>0</v>
      </c>
      <c r="H213" s="2723">
        <f t="shared" si="125"/>
        <v>0</v>
      </c>
      <c r="I213" s="2730"/>
      <c r="J213" s="2730"/>
      <c r="K213" s="2730"/>
      <c r="L213" s="2730"/>
      <c r="M213" s="2730"/>
      <c r="N213" s="2730"/>
      <c r="O213" s="2730"/>
      <c r="P213" s="2730"/>
      <c r="Q213" s="2730"/>
      <c r="R213" s="2730"/>
      <c r="S213" s="2730"/>
      <c r="T213" s="2730"/>
      <c r="U213" s="2730"/>
      <c r="V213" s="2730"/>
      <c r="W213" s="2730"/>
      <c r="X213" s="2730"/>
      <c r="Y213" s="2730"/>
      <c r="Z213" s="2730"/>
      <c r="AA213" s="2730"/>
      <c r="AB213" s="2730"/>
      <c r="AC213" s="2720">
        <f t="shared" si="126"/>
        <v>0</v>
      </c>
      <c r="AD213" s="2740"/>
      <c r="AE213" s="2740"/>
      <c r="AF213" s="2740"/>
      <c r="AG213" s="2740"/>
      <c r="AH213" s="2740"/>
      <c r="AI213" s="2740"/>
      <c r="AJ213" s="2740"/>
      <c r="AK213" s="2740"/>
      <c r="AL213" s="2740"/>
      <c r="AM213" s="2740"/>
      <c r="AN213" s="2740"/>
      <c r="AO213" s="2740"/>
      <c r="AP213" s="2740"/>
      <c r="AQ213" s="2740"/>
      <c r="AR213" s="2740"/>
      <c r="AS213" s="2740"/>
      <c r="AT213" s="2750"/>
      <c r="AU213" s="2751"/>
      <c r="AV213" s="1092">
        <f t="shared" si="127"/>
        <v>0</v>
      </c>
      <c r="AW213" s="1092">
        <f t="shared" si="128"/>
        <v>0</v>
      </c>
      <c r="AX213" s="1092">
        <f t="shared" si="129"/>
        <v>0</v>
      </c>
      <c r="AY213" s="2765">
        <f t="shared" si="130"/>
        <v>0</v>
      </c>
      <c r="AZ213" s="2720">
        <f t="shared" si="131"/>
        <v>0</v>
      </c>
      <c r="BA213" s="2720">
        <f t="shared" si="132"/>
        <v>0</v>
      </c>
      <c r="BB213" s="2720">
        <f t="shared" si="133"/>
        <v>0</v>
      </c>
      <c r="BC213" s="2720">
        <f t="shared" si="134"/>
        <v>0</v>
      </c>
      <c r="BD213" s="2720">
        <f t="shared" si="135"/>
        <v>0</v>
      </c>
      <c r="BE213" s="2720">
        <f t="shared" si="136"/>
        <v>0</v>
      </c>
      <c r="BF213" s="2720">
        <f t="shared" si="137"/>
        <v>0</v>
      </c>
      <c r="BG213" s="2720">
        <f t="shared" si="138"/>
        <v>0</v>
      </c>
      <c r="BH213" s="2720">
        <f t="shared" si="139"/>
        <v>0</v>
      </c>
      <c r="BI213" s="2720">
        <f t="shared" si="140"/>
        <v>0</v>
      </c>
      <c r="BJ213" s="2720">
        <f t="shared" si="141"/>
        <v>0</v>
      </c>
      <c r="BK213" s="2720">
        <f t="shared" si="142"/>
        <v>0</v>
      </c>
      <c r="BL213" s="2720">
        <f t="shared" si="143"/>
        <v>0</v>
      </c>
      <c r="BM213" s="2720">
        <f t="shared" si="144"/>
        <v>0</v>
      </c>
      <c r="BN213" s="2720">
        <f t="shared" si="145"/>
        <v>0</v>
      </c>
      <c r="BO213" s="2720">
        <f t="shared" si="146"/>
        <v>0</v>
      </c>
      <c r="BP213" s="2720">
        <f t="shared" si="147"/>
        <v>0</v>
      </c>
      <c r="BQ213" s="2720">
        <f t="shared" si="148"/>
        <v>0</v>
      </c>
      <c r="BR213" s="2720">
        <f t="shared" si="149"/>
        <v>0</v>
      </c>
      <c r="BS213" s="2720">
        <f t="shared" si="150"/>
        <v>0</v>
      </c>
      <c r="BT213" s="2772">
        <f t="shared" si="151"/>
        <v>0</v>
      </c>
    </row>
    <row r="214" spans="1:72">
      <c r="A214" s="2717"/>
      <c r="B214" s="2718"/>
      <c r="C214" s="2718"/>
      <c r="D214" s="2719"/>
      <c r="E214" s="2720">
        <f t="shared" si="123"/>
        <v>0</v>
      </c>
      <c r="F214" s="2721"/>
      <c r="G214" s="2722">
        <f t="shared" si="124"/>
        <v>0</v>
      </c>
      <c r="H214" s="2723">
        <f t="shared" si="125"/>
        <v>0</v>
      </c>
      <c r="I214" s="2730"/>
      <c r="J214" s="2730"/>
      <c r="K214" s="2730"/>
      <c r="L214" s="2730"/>
      <c r="M214" s="2730"/>
      <c r="N214" s="2730"/>
      <c r="O214" s="2730"/>
      <c r="P214" s="2730"/>
      <c r="Q214" s="2730"/>
      <c r="R214" s="2730"/>
      <c r="S214" s="2730"/>
      <c r="T214" s="2730"/>
      <c r="U214" s="2730"/>
      <c r="V214" s="2730"/>
      <c r="W214" s="2730"/>
      <c r="X214" s="2730"/>
      <c r="Y214" s="2730"/>
      <c r="Z214" s="2730"/>
      <c r="AA214" s="2730"/>
      <c r="AB214" s="2730"/>
      <c r="AC214" s="2720">
        <f t="shared" si="126"/>
        <v>0</v>
      </c>
      <c r="AD214" s="2740"/>
      <c r="AE214" s="2740"/>
      <c r="AF214" s="2740"/>
      <c r="AG214" s="2740"/>
      <c r="AH214" s="2740"/>
      <c r="AI214" s="2740"/>
      <c r="AJ214" s="2740"/>
      <c r="AK214" s="2740"/>
      <c r="AL214" s="2740"/>
      <c r="AM214" s="2740"/>
      <c r="AN214" s="2740"/>
      <c r="AO214" s="2740"/>
      <c r="AP214" s="2740"/>
      <c r="AQ214" s="2740"/>
      <c r="AR214" s="2740"/>
      <c r="AS214" s="2740"/>
      <c r="AT214" s="2750"/>
      <c r="AU214" s="2751"/>
      <c r="AV214" s="1092">
        <f t="shared" si="127"/>
        <v>0</v>
      </c>
      <c r="AW214" s="1092">
        <f t="shared" si="128"/>
        <v>0</v>
      </c>
      <c r="AX214" s="1092">
        <f t="shared" si="129"/>
        <v>0</v>
      </c>
      <c r="AY214" s="2765">
        <f t="shared" si="130"/>
        <v>0</v>
      </c>
      <c r="AZ214" s="2720">
        <f t="shared" si="131"/>
        <v>0</v>
      </c>
      <c r="BA214" s="2720">
        <f t="shared" si="132"/>
        <v>0</v>
      </c>
      <c r="BB214" s="2720">
        <f t="shared" si="133"/>
        <v>0</v>
      </c>
      <c r="BC214" s="2720">
        <f t="shared" si="134"/>
        <v>0</v>
      </c>
      <c r="BD214" s="2720">
        <f t="shared" si="135"/>
        <v>0</v>
      </c>
      <c r="BE214" s="2720">
        <f t="shared" si="136"/>
        <v>0</v>
      </c>
      <c r="BF214" s="2720">
        <f t="shared" si="137"/>
        <v>0</v>
      </c>
      <c r="BG214" s="2720">
        <f t="shared" si="138"/>
        <v>0</v>
      </c>
      <c r="BH214" s="2720">
        <f t="shared" si="139"/>
        <v>0</v>
      </c>
      <c r="BI214" s="2720">
        <f t="shared" si="140"/>
        <v>0</v>
      </c>
      <c r="BJ214" s="2720">
        <f t="shared" si="141"/>
        <v>0</v>
      </c>
      <c r="BK214" s="2720">
        <f t="shared" si="142"/>
        <v>0</v>
      </c>
      <c r="BL214" s="2720">
        <f t="shared" si="143"/>
        <v>0</v>
      </c>
      <c r="BM214" s="2720">
        <f t="shared" si="144"/>
        <v>0</v>
      </c>
      <c r="BN214" s="2720">
        <f t="shared" si="145"/>
        <v>0</v>
      </c>
      <c r="BO214" s="2720">
        <f t="shared" si="146"/>
        <v>0</v>
      </c>
      <c r="BP214" s="2720">
        <f t="shared" si="147"/>
        <v>0</v>
      </c>
      <c r="BQ214" s="2720">
        <f t="shared" si="148"/>
        <v>0</v>
      </c>
      <c r="BR214" s="2720">
        <f t="shared" si="149"/>
        <v>0</v>
      </c>
      <c r="BS214" s="2720">
        <f t="shared" si="150"/>
        <v>0</v>
      </c>
      <c r="BT214" s="2772">
        <f t="shared" si="151"/>
        <v>0</v>
      </c>
    </row>
    <row r="215" spans="1:72">
      <c r="A215" s="2717"/>
      <c r="B215" s="2718"/>
      <c r="C215" s="2718"/>
      <c r="D215" s="2719"/>
      <c r="E215" s="2720">
        <f t="shared" si="123"/>
        <v>0</v>
      </c>
      <c r="F215" s="2721"/>
      <c r="G215" s="2722">
        <f t="shared" si="124"/>
        <v>0</v>
      </c>
      <c r="H215" s="2723">
        <f t="shared" si="125"/>
        <v>0</v>
      </c>
      <c r="I215" s="2730"/>
      <c r="J215" s="2730"/>
      <c r="K215" s="2730"/>
      <c r="L215" s="2730"/>
      <c r="M215" s="2730"/>
      <c r="N215" s="2730"/>
      <c r="O215" s="2730"/>
      <c r="P215" s="2730"/>
      <c r="Q215" s="2730"/>
      <c r="R215" s="2730"/>
      <c r="S215" s="2730"/>
      <c r="T215" s="2730"/>
      <c r="U215" s="2730"/>
      <c r="V215" s="2730"/>
      <c r="W215" s="2730"/>
      <c r="X215" s="2730"/>
      <c r="Y215" s="2730"/>
      <c r="Z215" s="2730"/>
      <c r="AA215" s="2730"/>
      <c r="AB215" s="2730"/>
      <c r="AC215" s="2720">
        <f t="shared" si="126"/>
        <v>0</v>
      </c>
      <c r="AD215" s="2740"/>
      <c r="AE215" s="2740"/>
      <c r="AF215" s="2740"/>
      <c r="AG215" s="2740"/>
      <c r="AH215" s="2740"/>
      <c r="AI215" s="2740"/>
      <c r="AJ215" s="2740"/>
      <c r="AK215" s="2740"/>
      <c r="AL215" s="2740"/>
      <c r="AM215" s="2740"/>
      <c r="AN215" s="2740"/>
      <c r="AO215" s="2740"/>
      <c r="AP215" s="2740"/>
      <c r="AQ215" s="2740"/>
      <c r="AR215" s="2740"/>
      <c r="AS215" s="2740"/>
      <c r="AT215" s="2750"/>
      <c r="AU215" s="2751"/>
      <c r="AV215" s="1092">
        <f t="shared" si="127"/>
        <v>0</v>
      </c>
      <c r="AW215" s="1092">
        <f t="shared" si="128"/>
        <v>0</v>
      </c>
      <c r="AX215" s="1092">
        <f t="shared" si="129"/>
        <v>0</v>
      </c>
      <c r="AY215" s="2765">
        <f t="shared" si="130"/>
        <v>0</v>
      </c>
      <c r="AZ215" s="2720">
        <f t="shared" si="131"/>
        <v>0</v>
      </c>
      <c r="BA215" s="2720">
        <f t="shared" si="132"/>
        <v>0</v>
      </c>
      <c r="BB215" s="2720">
        <f t="shared" si="133"/>
        <v>0</v>
      </c>
      <c r="BC215" s="2720">
        <f t="shared" si="134"/>
        <v>0</v>
      </c>
      <c r="BD215" s="2720">
        <f t="shared" si="135"/>
        <v>0</v>
      </c>
      <c r="BE215" s="2720">
        <f t="shared" si="136"/>
        <v>0</v>
      </c>
      <c r="BF215" s="2720">
        <f t="shared" si="137"/>
        <v>0</v>
      </c>
      <c r="BG215" s="2720">
        <f t="shared" si="138"/>
        <v>0</v>
      </c>
      <c r="BH215" s="2720">
        <f t="shared" si="139"/>
        <v>0</v>
      </c>
      <c r="BI215" s="2720">
        <f t="shared" si="140"/>
        <v>0</v>
      </c>
      <c r="BJ215" s="2720">
        <f t="shared" si="141"/>
        <v>0</v>
      </c>
      <c r="BK215" s="2720">
        <f t="shared" si="142"/>
        <v>0</v>
      </c>
      <c r="BL215" s="2720">
        <f t="shared" si="143"/>
        <v>0</v>
      </c>
      <c r="BM215" s="2720">
        <f t="shared" si="144"/>
        <v>0</v>
      </c>
      <c r="BN215" s="2720">
        <f t="shared" si="145"/>
        <v>0</v>
      </c>
      <c r="BO215" s="2720">
        <f t="shared" si="146"/>
        <v>0</v>
      </c>
      <c r="BP215" s="2720">
        <f t="shared" si="147"/>
        <v>0</v>
      </c>
      <c r="BQ215" s="2720">
        <f t="shared" si="148"/>
        <v>0</v>
      </c>
      <c r="BR215" s="2720">
        <f t="shared" si="149"/>
        <v>0</v>
      </c>
      <c r="BS215" s="2720">
        <f t="shared" si="150"/>
        <v>0</v>
      </c>
      <c r="BT215" s="2772">
        <f t="shared" si="151"/>
        <v>0</v>
      </c>
    </row>
    <row r="216" spans="1:72">
      <c r="A216" s="2717"/>
      <c r="B216" s="2718"/>
      <c r="C216" s="2718"/>
      <c r="D216" s="2719"/>
      <c r="E216" s="2720">
        <f t="shared" si="123"/>
        <v>0</v>
      </c>
      <c r="F216" s="2721"/>
      <c r="G216" s="2722">
        <f t="shared" si="124"/>
        <v>0</v>
      </c>
      <c r="H216" s="2723">
        <f t="shared" si="125"/>
        <v>0</v>
      </c>
      <c r="I216" s="2730"/>
      <c r="J216" s="2730"/>
      <c r="K216" s="2730"/>
      <c r="L216" s="2730"/>
      <c r="M216" s="2730"/>
      <c r="N216" s="2730"/>
      <c r="O216" s="2730"/>
      <c r="P216" s="2730"/>
      <c r="Q216" s="2730"/>
      <c r="R216" s="2730"/>
      <c r="S216" s="2730"/>
      <c r="T216" s="2730"/>
      <c r="U216" s="2730"/>
      <c r="V216" s="2730"/>
      <c r="W216" s="2730"/>
      <c r="X216" s="2730"/>
      <c r="Y216" s="2730"/>
      <c r="Z216" s="2730"/>
      <c r="AA216" s="2730"/>
      <c r="AB216" s="2730"/>
      <c r="AC216" s="2720">
        <f t="shared" si="126"/>
        <v>0</v>
      </c>
      <c r="AD216" s="2740"/>
      <c r="AE216" s="2740"/>
      <c r="AF216" s="2740"/>
      <c r="AG216" s="2740"/>
      <c r="AH216" s="2740"/>
      <c r="AI216" s="2740"/>
      <c r="AJ216" s="2740"/>
      <c r="AK216" s="2740"/>
      <c r="AL216" s="2740"/>
      <c r="AM216" s="2740"/>
      <c r="AN216" s="2740"/>
      <c r="AO216" s="2740"/>
      <c r="AP216" s="2740"/>
      <c r="AQ216" s="2740"/>
      <c r="AR216" s="2740"/>
      <c r="AS216" s="2740"/>
      <c r="AT216" s="2750"/>
      <c r="AU216" s="2751"/>
      <c r="AV216" s="1092">
        <f t="shared" si="127"/>
        <v>0</v>
      </c>
      <c r="AW216" s="1092">
        <f t="shared" si="128"/>
        <v>0</v>
      </c>
      <c r="AX216" s="1092">
        <f t="shared" si="129"/>
        <v>0</v>
      </c>
      <c r="AY216" s="2765">
        <f t="shared" si="130"/>
        <v>0</v>
      </c>
      <c r="AZ216" s="2720">
        <f t="shared" si="131"/>
        <v>0</v>
      </c>
      <c r="BA216" s="2720">
        <f t="shared" si="132"/>
        <v>0</v>
      </c>
      <c r="BB216" s="2720">
        <f t="shared" si="133"/>
        <v>0</v>
      </c>
      <c r="BC216" s="2720">
        <f t="shared" si="134"/>
        <v>0</v>
      </c>
      <c r="BD216" s="2720">
        <f t="shared" si="135"/>
        <v>0</v>
      </c>
      <c r="BE216" s="2720">
        <f t="shared" si="136"/>
        <v>0</v>
      </c>
      <c r="BF216" s="2720">
        <f t="shared" si="137"/>
        <v>0</v>
      </c>
      <c r="BG216" s="2720">
        <f t="shared" si="138"/>
        <v>0</v>
      </c>
      <c r="BH216" s="2720">
        <f t="shared" si="139"/>
        <v>0</v>
      </c>
      <c r="BI216" s="2720">
        <f t="shared" si="140"/>
        <v>0</v>
      </c>
      <c r="BJ216" s="2720">
        <f t="shared" si="141"/>
        <v>0</v>
      </c>
      <c r="BK216" s="2720">
        <f t="shared" si="142"/>
        <v>0</v>
      </c>
      <c r="BL216" s="2720">
        <f t="shared" si="143"/>
        <v>0</v>
      </c>
      <c r="BM216" s="2720">
        <f t="shared" si="144"/>
        <v>0</v>
      </c>
      <c r="BN216" s="2720">
        <f t="shared" si="145"/>
        <v>0</v>
      </c>
      <c r="BO216" s="2720">
        <f t="shared" si="146"/>
        <v>0</v>
      </c>
      <c r="BP216" s="2720">
        <f t="shared" si="147"/>
        <v>0</v>
      </c>
      <c r="BQ216" s="2720">
        <f t="shared" si="148"/>
        <v>0</v>
      </c>
      <c r="BR216" s="2720">
        <f t="shared" si="149"/>
        <v>0</v>
      </c>
      <c r="BS216" s="2720">
        <f t="shared" si="150"/>
        <v>0</v>
      </c>
      <c r="BT216" s="2772">
        <f t="shared" si="151"/>
        <v>0</v>
      </c>
    </row>
    <row r="217" spans="1:72">
      <c r="A217" s="2717"/>
      <c r="B217" s="2718"/>
      <c r="C217" s="2718"/>
      <c r="D217" s="2719"/>
      <c r="E217" s="2720">
        <f t="shared" si="123"/>
        <v>0</v>
      </c>
      <c r="F217" s="2721"/>
      <c r="G217" s="2722">
        <f t="shared" si="124"/>
        <v>0</v>
      </c>
      <c r="H217" s="2723">
        <f t="shared" si="125"/>
        <v>0</v>
      </c>
      <c r="I217" s="2730"/>
      <c r="J217" s="2730"/>
      <c r="K217" s="2730"/>
      <c r="L217" s="2730"/>
      <c r="M217" s="2730"/>
      <c r="N217" s="2730"/>
      <c r="O217" s="2730"/>
      <c r="P217" s="2730"/>
      <c r="Q217" s="2730"/>
      <c r="R217" s="2730"/>
      <c r="S217" s="2730"/>
      <c r="T217" s="2730"/>
      <c r="U217" s="2730"/>
      <c r="V217" s="2730"/>
      <c r="W217" s="2730"/>
      <c r="X217" s="2730"/>
      <c r="Y217" s="2730"/>
      <c r="Z217" s="2730"/>
      <c r="AA217" s="2730"/>
      <c r="AB217" s="2730"/>
      <c r="AC217" s="2720">
        <f t="shared" si="126"/>
        <v>0</v>
      </c>
      <c r="AD217" s="2740"/>
      <c r="AE217" s="2740"/>
      <c r="AF217" s="2740"/>
      <c r="AG217" s="2740"/>
      <c r="AH217" s="2740"/>
      <c r="AI217" s="2740"/>
      <c r="AJ217" s="2740"/>
      <c r="AK217" s="2740"/>
      <c r="AL217" s="2740"/>
      <c r="AM217" s="2740"/>
      <c r="AN217" s="2740"/>
      <c r="AO217" s="2740"/>
      <c r="AP217" s="2740"/>
      <c r="AQ217" s="2740"/>
      <c r="AR217" s="2740"/>
      <c r="AS217" s="2740"/>
      <c r="AT217" s="2750"/>
      <c r="AU217" s="2751"/>
      <c r="AV217" s="1092">
        <f t="shared" si="127"/>
        <v>0</v>
      </c>
      <c r="AW217" s="1092">
        <f t="shared" si="128"/>
        <v>0</v>
      </c>
      <c r="AX217" s="1092">
        <f t="shared" si="129"/>
        <v>0</v>
      </c>
      <c r="AY217" s="2765">
        <f t="shared" si="130"/>
        <v>0</v>
      </c>
      <c r="AZ217" s="2720">
        <f t="shared" si="131"/>
        <v>0</v>
      </c>
      <c r="BA217" s="2720">
        <f t="shared" si="132"/>
        <v>0</v>
      </c>
      <c r="BB217" s="2720">
        <f t="shared" si="133"/>
        <v>0</v>
      </c>
      <c r="BC217" s="2720">
        <f t="shared" si="134"/>
        <v>0</v>
      </c>
      <c r="BD217" s="2720">
        <f t="shared" si="135"/>
        <v>0</v>
      </c>
      <c r="BE217" s="2720">
        <f t="shared" si="136"/>
        <v>0</v>
      </c>
      <c r="BF217" s="2720">
        <f t="shared" si="137"/>
        <v>0</v>
      </c>
      <c r="BG217" s="2720">
        <f t="shared" si="138"/>
        <v>0</v>
      </c>
      <c r="BH217" s="2720">
        <f t="shared" si="139"/>
        <v>0</v>
      </c>
      <c r="BI217" s="2720">
        <f t="shared" si="140"/>
        <v>0</v>
      </c>
      <c r="BJ217" s="2720">
        <f t="shared" si="141"/>
        <v>0</v>
      </c>
      <c r="BK217" s="2720">
        <f t="shared" si="142"/>
        <v>0</v>
      </c>
      <c r="BL217" s="2720">
        <f t="shared" si="143"/>
        <v>0</v>
      </c>
      <c r="BM217" s="2720">
        <f t="shared" si="144"/>
        <v>0</v>
      </c>
      <c r="BN217" s="2720">
        <f t="shared" si="145"/>
        <v>0</v>
      </c>
      <c r="BO217" s="2720">
        <f t="shared" si="146"/>
        <v>0</v>
      </c>
      <c r="BP217" s="2720">
        <f t="shared" si="147"/>
        <v>0</v>
      </c>
      <c r="BQ217" s="2720">
        <f t="shared" si="148"/>
        <v>0</v>
      </c>
      <c r="BR217" s="2720">
        <f t="shared" si="149"/>
        <v>0</v>
      </c>
      <c r="BS217" s="2720">
        <f t="shared" si="150"/>
        <v>0</v>
      </c>
      <c r="BT217" s="2772">
        <f t="shared" si="151"/>
        <v>0</v>
      </c>
    </row>
    <row r="218" spans="1:72">
      <c r="A218" s="2717"/>
      <c r="B218" s="2718"/>
      <c r="C218" s="2718"/>
      <c r="D218" s="2719"/>
      <c r="E218" s="2720">
        <f t="shared" si="123"/>
        <v>0</v>
      </c>
      <c r="F218" s="2721"/>
      <c r="G218" s="2722">
        <f t="shared" si="124"/>
        <v>0</v>
      </c>
      <c r="H218" s="2723">
        <f t="shared" si="125"/>
        <v>0</v>
      </c>
      <c r="I218" s="2730"/>
      <c r="J218" s="2730"/>
      <c r="K218" s="2730"/>
      <c r="L218" s="2730"/>
      <c r="M218" s="2730"/>
      <c r="N218" s="2730"/>
      <c r="O218" s="2730"/>
      <c r="P218" s="2730"/>
      <c r="Q218" s="2730"/>
      <c r="R218" s="2730"/>
      <c r="S218" s="2730"/>
      <c r="T218" s="2730"/>
      <c r="U218" s="2730"/>
      <c r="V218" s="2730"/>
      <c r="W218" s="2730"/>
      <c r="X218" s="2730"/>
      <c r="Y218" s="2730"/>
      <c r="Z218" s="2730"/>
      <c r="AA218" s="2730"/>
      <c r="AB218" s="2730"/>
      <c r="AC218" s="2720">
        <f t="shared" si="126"/>
        <v>0</v>
      </c>
      <c r="AD218" s="2740"/>
      <c r="AE218" s="2740"/>
      <c r="AF218" s="2740"/>
      <c r="AG218" s="2740"/>
      <c r="AH218" s="2740"/>
      <c r="AI218" s="2740"/>
      <c r="AJ218" s="2740"/>
      <c r="AK218" s="2740"/>
      <c r="AL218" s="2740"/>
      <c r="AM218" s="2740"/>
      <c r="AN218" s="2740"/>
      <c r="AO218" s="2740"/>
      <c r="AP218" s="2740"/>
      <c r="AQ218" s="2740"/>
      <c r="AR218" s="2740"/>
      <c r="AS218" s="2740"/>
      <c r="AT218" s="2750"/>
      <c r="AU218" s="2751"/>
      <c r="AV218" s="1092">
        <f t="shared" si="127"/>
        <v>0</v>
      </c>
      <c r="AW218" s="1092">
        <f t="shared" si="128"/>
        <v>0</v>
      </c>
      <c r="AX218" s="1092">
        <f t="shared" si="129"/>
        <v>0</v>
      </c>
      <c r="AY218" s="2765">
        <f t="shared" si="130"/>
        <v>0</v>
      </c>
      <c r="AZ218" s="2720">
        <f t="shared" si="131"/>
        <v>0</v>
      </c>
      <c r="BA218" s="2720">
        <f t="shared" si="132"/>
        <v>0</v>
      </c>
      <c r="BB218" s="2720">
        <f t="shared" si="133"/>
        <v>0</v>
      </c>
      <c r="BC218" s="2720">
        <f t="shared" si="134"/>
        <v>0</v>
      </c>
      <c r="BD218" s="2720">
        <f t="shared" si="135"/>
        <v>0</v>
      </c>
      <c r="BE218" s="2720">
        <f t="shared" si="136"/>
        <v>0</v>
      </c>
      <c r="BF218" s="2720">
        <f t="shared" si="137"/>
        <v>0</v>
      </c>
      <c r="BG218" s="2720">
        <f t="shared" si="138"/>
        <v>0</v>
      </c>
      <c r="BH218" s="2720">
        <f t="shared" si="139"/>
        <v>0</v>
      </c>
      <c r="BI218" s="2720">
        <f t="shared" si="140"/>
        <v>0</v>
      </c>
      <c r="BJ218" s="2720">
        <f t="shared" si="141"/>
        <v>0</v>
      </c>
      <c r="BK218" s="2720">
        <f t="shared" si="142"/>
        <v>0</v>
      </c>
      <c r="BL218" s="2720">
        <f t="shared" si="143"/>
        <v>0</v>
      </c>
      <c r="BM218" s="2720">
        <f t="shared" si="144"/>
        <v>0</v>
      </c>
      <c r="BN218" s="2720">
        <f t="shared" si="145"/>
        <v>0</v>
      </c>
      <c r="BO218" s="2720">
        <f t="shared" si="146"/>
        <v>0</v>
      </c>
      <c r="BP218" s="2720">
        <f t="shared" si="147"/>
        <v>0</v>
      </c>
      <c r="BQ218" s="2720">
        <f t="shared" si="148"/>
        <v>0</v>
      </c>
      <c r="BR218" s="2720">
        <f t="shared" si="149"/>
        <v>0</v>
      </c>
      <c r="BS218" s="2720">
        <f t="shared" si="150"/>
        <v>0</v>
      </c>
      <c r="BT218" s="2772">
        <f t="shared" si="151"/>
        <v>0</v>
      </c>
    </row>
    <row r="219" spans="1:72">
      <c r="A219" s="2717"/>
      <c r="B219" s="2718"/>
      <c r="C219" s="2718"/>
      <c r="D219" s="2719"/>
      <c r="E219" s="2720">
        <f t="shared" si="123"/>
        <v>0</v>
      </c>
      <c r="F219" s="2721"/>
      <c r="G219" s="2722">
        <f t="shared" si="124"/>
        <v>0</v>
      </c>
      <c r="H219" s="2723">
        <f t="shared" si="125"/>
        <v>0</v>
      </c>
      <c r="I219" s="2730"/>
      <c r="J219" s="2730"/>
      <c r="K219" s="2730"/>
      <c r="L219" s="2730"/>
      <c r="M219" s="2730"/>
      <c r="N219" s="2730"/>
      <c r="O219" s="2730"/>
      <c r="P219" s="2730"/>
      <c r="Q219" s="2730"/>
      <c r="R219" s="2730"/>
      <c r="S219" s="2730"/>
      <c r="T219" s="2730"/>
      <c r="U219" s="2730"/>
      <c r="V219" s="2730"/>
      <c r="W219" s="2730"/>
      <c r="X219" s="2730"/>
      <c r="Y219" s="2730"/>
      <c r="Z219" s="2730"/>
      <c r="AA219" s="2730"/>
      <c r="AB219" s="2730"/>
      <c r="AC219" s="2720">
        <f t="shared" si="126"/>
        <v>0</v>
      </c>
      <c r="AD219" s="2740"/>
      <c r="AE219" s="2740"/>
      <c r="AF219" s="2740"/>
      <c r="AG219" s="2740"/>
      <c r="AH219" s="2740"/>
      <c r="AI219" s="2740"/>
      <c r="AJ219" s="2740"/>
      <c r="AK219" s="2740"/>
      <c r="AL219" s="2740"/>
      <c r="AM219" s="2740"/>
      <c r="AN219" s="2740"/>
      <c r="AO219" s="2740"/>
      <c r="AP219" s="2740"/>
      <c r="AQ219" s="2740"/>
      <c r="AR219" s="2740"/>
      <c r="AS219" s="2740"/>
      <c r="AT219" s="2750"/>
      <c r="AU219" s="2751"/>
      <c r="AV219" s="1092">
        <f t="shared" si="127"/>
        <v>0</v>
      </c>
      <c r="AW219" s="1092">
        <f t="shared" si="128"/>
        <v>0</v>
      </c>
      <c r="AX219" s="1092">
        <f t="shared" si="129"/>
        <v>0</v>
      </c>
      <c r="AY219" s="2765">
        <f t="shared" si="130"/>
        <v>0</v>
      </c>
      <c r="AZ219" s="2720">
        <f t="shared" si="131"/>
        <v>0</v>
      </c>
      <c r="BA219" s="2720">
        <f t="shared" si="132"/>
        <v>0</v>
      </c>
      <c r="BB219" s="2720">
        <f t="shared" si="133"/>
        <v>0</v>
      </c>
      <c r="BC219" s="2720">
        <f t="shared" si="134"/>
        <v>0</v>
      </c>
      <c r="BD219" s="2720">
        <f t="shared" si="135"/>
        <v>0</v>
      </c>
      <c r="BE219" s="2720">
        <f t="shared" si="136"/>
        <v>0</v>
      </c>
      <c r="BF219" s="2720">
        <f t="shared" si="137"/>
        <v>0</v>
      </c>
      <c r="BG219" s="2720">
        <f t="shared" si="138"/>
        <v>0</v>
      </c>
      <c r="BH219" s="2720">
        <f t="shared" si="139"/>
        <v>0</v>
      </c>
      <c r="BI219" s="2720">
        <f t="shared" si="140"/>
        <v>0</v>
      </c>
      <c r="BJ219" s="2720">
        <f t="shared" si="141"/>
        <v>0</v>
      </c>
      <c r="BK219" s="2720">
        <f t="shared" si="142"/>
        <v>0</v>
      </c>
      <c r="BL219" s="2720">
        <f t="shared" si="143"/>
        <v>0</v>
      </c>
      <c r="BM219" s="2720">
        <f t="shared" si="144"/>
        <v>0</v>
      </c>
      <c r="BN219" s="2720">
        <f t="shared" si="145"/>
        <v>0</v>
      </c>
      <c r="BO219" s="2720">
        <f t="shared" si="146"/>
        <v>0</v>
      </c>
      <c r="BP219" s="2720">
        <f t="shared" si="147"/>
        <v>0</v>
      </c>
      <c r="BQ219" s="2720">
        <f t="shared" si="148"/>
        <v>0</v>
      </c>
      <c r="BR219" s="2720">
        <f t="shared" si="149"/>
        <v>0</v>
      </c>
      <c r="BS219" s="2720">
        <f t="shared" si="150"/>
        <v>0</v>
      </c>
      <c r="BT219" s="2772">
        <f t="shared" si="151"/>
        <v>0</v>
      </c>
    </row>
    <row r="220" spans="1:72">
      <c r="A220" s="2717"/>
      <c r="B220" s="2718"/>
      <c r="C220" s="2718"/>
      <c r="D220" s="2719"/>
      <c r="E220" s="2720">
        <f t="shared" si="123"/>
        <v>0</v>
      </c>
      <c r="F220" s="2721"/>
      <c r="G220" s="2722">
        <f t="shared" si="124"/>
        <v>0</v>
      </c>
      <c r="H220" s="2723">
        <f t="shared" si="125"/>
        <v>0</v>
      </c>
      <c r="I220" s="2730"/>
      <c r="J220" s="2730"/>
      <c r="K220" s="2730"/>
      <c r="L220" s="2730"/>
      <c r="M220" s="2730"/>
      <c r="N220" s="2730"/>
      <c r="O220" s="2730"/>
      <c r="P220" s="2730"/>
      <c r="Q220" s="2730"/>
      <c r="R220" s="2730"/>
      <c r="S220" s="2730"/>
      <c r="T220" s="2730"/>
      <c r="U220" s="2730"/>
      <c r="V220" s="2730"/>
      <c r="W220" s="2730"/>
      <c r="X220" s="2730"/>
      <c r="Y220" s="2730"/>
      <c r="Z220" s="2730"/>
      <c r="AA220" s="2730"/>
      <c r="AB220" s="2730"/>
      <c r="AC220" s="2720">
        <f t="shared" si="126"/>
        <v>0</v>
      </c>
      <c r="AD220" s="2740"/>
      <c r="AE220" s="2740"/>
      <c r="AF220" s="2740"/>
      <c r="AG220" s="2740"/>
      <c r="AH220" s="2740"/>
      <c r="AI220" s="2740"/>
      <c r="AJ220" s="2740"/>
      <c r="AK220" s="2740"/>
      <c r="AL220" s="2740"/>
      <c r="AM220" s="2740"/>
      <c r="AN220" s="2740"/>
      <c r="AO220" s="2740"/>
      <c r="AP220" s="2740"/>
      <c r="AQ220" s="2740"/>
      <c r="AR220" s="2740"/>
      <c r="AS220" s="2740"/>
      <c r="AT220" s="2750"/>
      <c r="AU220" s="2751"/>
      <c r="AV220" s="1092">
        <f t="shared" si="127"/>
        <v>0</v>
      </c>
      <c r="AW220" s="1092">
        <f t="shared" si="128"/>
        <v>0</v>
      </c>
      <c r="AX220" s="1092">
        <f t="shared" si="129"/>
        <v>0</v>
      </c>
      <c r="AY220" s="2765">
        <f t="shared" si="130"/>
        <v>0</v>
      </c>
      <c r="AZ220" s="2720">
        <f t="shared" si="131"/>
        <v>0</v>
      </c>
      <c r="BA220" s="2720">
        <f t="shared" si="132"/>
        <v>0</v>
      </c>
      <c r="BB220" s="2720">
        <f t="shared" si="133"/>
        <v>0</v>
      </c>
      <c r="BC220" s="2720">
        <f t="shared" si="134"/>
        <v>0</v>
      </c>
      <c r="BD220" s="2720">
        <f t="shared" si="135"/>
        <v>0</v>
      </c>
      <c r="BE220" s="2720">
        <f t="shared" si="136"/>
        <v>0</v>
      </c>
      <c r="BF220" s="2720">
        <f t="shared" si="137"/>
        <v>0</v>
      </c>
      <c r="BG220" s="2720">
        <f t="shared" si="138"/>
        <v>0</v>
      </c>
      <c r="BH220" s="2720">
        <f t="shared" si="139"/>
        <v>0</v>
      </c>
      <c r="BI220" s="2720">
        <f t="shared" si="140"/>
        <v>0</v>
      </c>
      <c r="BJ220" s="2720">
        <f t="shared" si="141"/>
        <v>0</v>
      </c>
      <c r="BK220" s="2720">
        <f t="shared" si="142"/>
        <v>0</v>
      </c>
      <c r="BL220" s="2720">
        <f t="shared" si="143"/>
        <v>0</v>
      </c>
      <c r="BM220" s="2720">
        <f t="shared" si="144"/>
        <v>0</v>
      </c>
      <c r="BN220" s="2720">
        <f t="shared" si="145"/>
        <v>0</v>
      </c>
      <c r="BO220" s="2720">
        <f t="shared" si="146"/>
        <v>0</v>
      </c>
      <c r="BP220" s="2720">
        <f t="shared" si="147"/>
        <v>0</v>
      </c>
      <c r="BQ220" s="2720">
        <f t="shared" si="148"/>
        <v>0</v>
      </c>
      <c r="BR220" s="2720">
        <f t="shared" si="149"/>
        <v>0</v>
      </c>
      <c r="BS220" s="2720">
        <f t="shared" si="150"/>
        <v>0</v>
      </c>
      <c r="BT220" s="2772">
        <f t="shared" si="151"/>
        <v>0</v>
      </c>
    </row>
    <row r="221" spans="1:72">
      <c r="A221" s="2717"/>
      <c r="B221" s="2718"/>
      <c r="C221" s="2718"/>
      <c r="D221" s="2719"/>
      <c r="E221" s="2720">
        <f t="shared" si="123"/>
        <v>0</v>
      </c>
      <c r="F221" s="2721"/>
      <c r="G221" s="2722">
        <f t="shared" si="124"/>
        <v>0</v>
      </c>
      <c r="H221" s="2723">
        <f t="shared" si="125"/>
        <v>0</v>
      </c>
      <c r="I221" s="2730"/>
      <c r="J221" s="2730"/>
      <c r="K221" s="2730"/>
      <c r="L221" s="2730"/>
      <c r="M221" s="2730"/>
      <c r="N221" s="2730"/>
      <c r="O221" s="2730"/>
      <c r="P221" s="2730"/>
      <c r="Q221" s="2730"/>
      <c r="R221" s="2730"/>
      <c r="S221" s="2730"/>
      <c r="T221" s="2730"/>
      <c r="U221" s="2730"/>
      <c r="V221" s="2730"/>
      <c r="W221" s="2730"/>
      <c r="X221" s="2730"/>
      <c r="Y221" s="2730"/>
      <c r="Z221" s="2730"/>
      <c r="AA221" s="2730"/>
      <c r="AB221" s="2730"/>
      <c r="AC221" s="2720">
        <f t="shared" si="126"/>
        <v>0</v>
      </c>
      <c r="AD221" s="2740"/>
      <c r="AE221" s="2740"/>
      <c r="AF221" s="2740"/>
      <c r="AG221" s="2740"/>
      <c r="AH221" s="2740"/>
      <c r="AI221" s="2740"/>
      <c r="AJ221" s="2740"/>
      <c r="AK221" s="2740"/>
      <c r="AL221" s="2740"/>
      <c r="AM221" s="2740"/>
      <c r="AN221" s="2740"/>
      <c r="AO221" s="2740"/>
      <c r="AP221" s="2740"/>
      <c r="AQ221" s="2740"/>
      <c r="AR221" s="2740"/>
      <c r="AS221" s="2740"/>
      <c r="AT221" s="2750"/>
      <c r="AU221" s="2751"/>
      <c r="AV221" s="1092">
        <f t="shared" si="127"/>
        <v>0</v>
      </c>
      <c r="AW221" s="1092">
        <f t="shared" si="128"/>
        <v>0</v>
      </c>
      <c r="AX221" s="1092">
        <f t="shared" si="129"/>
        <v>0</v>
      </c>
      <c r="AY221" s="2765">
        <f t="shared" si="130"/>
        <v>0</v>
      </c>
      <c r="AZ221" s="2720">
        <f t="shared" si="131"/>
        <v>0</v>
      </c>
      <c r="BA221" s="2720">
        <f t="shared" si="132"/>
        <v>0</v>
      </c>
      <c r="BB221" s="2720">
        <f t="shared" si="133"/>
        <v>0</v>
      </c>
      <c r="BC221" s="2720">
        <f t="shared" si="134"/>
        <v>0</v>
      </c>
      <c r="BD221" s="2720">
        <f t="shared" si="135"/>
        <v>0</v>
      </c>
      <c r="BE221" s="2720">
        <f t="shared" si="136"/>
        <v>0</v>
      </c>
      <c r="BF221" s="2720">
        <f t="shared" si="137"/>
        <v>0</v>
      </c>
      <c r="BG221" s="2720">
        <f t="shared" si="138"/>
        <v>0</v>
      </c>
      <c r="BH221" s="2720">
        <f t="shared" si="139"/>
        <v>0</v>
      </c>
      <c r="BI221" s="2720">
        <f t="shared" si="140"/>
        <v>0</v>
      </c>
      <c r="BJ221" s="2720">
        <f t="shared" si="141"/>
        <v>0</v>
      </c>
      <c r="BK221" s="2720">
        <f t="shared" si="142"/>
        <v>0</v>
      </c>
      <c r="BL221" s="2720">
        <f t="shared" si="143"/>
        <v>0</v>
      </c>
      <c r="BM221" s="2720">
        <f t="shared" si="144"/>
        <v>0</v>
      </c>
      <c r="BN221" s="2720">
        <f t="shared" si="145"/>
        <v>0</v>
      </c>
      <c r="BO221" s="2720">
        <f t="shared" si="146"/>
        <v>0</v>
      </c>
      <c r="BP221" s="2720">
        <f t="shared" si="147"/>
        <v>0</v>
      </c>
      <c r="BQ221" s="2720">
        <f t="shared" si="148"/>
        <v>0</v>
      </c>
      <c r="BR221" s="2720">
        <f t="shared" si="149"/>
        <v>0</v>
      </c>
      <c r="BS221" s="2720">
        <f t="shared" si="150"/>
        <v>0</v>
      </c>
      <c r="BT221" s="2772">
        <f t="shared" si="151"/>
        <v>0</v>
      </c>
    </row>
    <row r="222" spans="1:72">
      <c r="A222" s="2717"/>
      <c r="B222" s="2718"/>
      <c r="C222" s="2718"/>
      <c r="D222" s="2719"/>
      <c r="E222" s="2720">
        <f t="shared" si="123"/>
        <v>0</v>
      </c>
      <c r="F222" s="2721"/>
      <c r="G222" s="2722">
        <f t="shared" si="124"/>
        <v>0</v>
      </c>
      <c r="H222" s="2723">
        <f t="shared" si="125"/>
        <v>0</v>
      </c>
      <c r="I222" s="2730"/>
      <c r="J222" s="2730"/>
      <c r="K222" s="2730"/>
      <c r="L222" s="2730"/>
      <c r="M222" s="2730"/>
      <c r="N222" s="2730"/>
      <c r="O222" s="2730"/>
      <c r="P222" s="2730"/>
      <c r="Q222" s="2730"/>
      <c r="R222" s="2730"/>
      <c r="S222" s="2730"/>
      <c r="T222" s="2730"/>
      <c r="U222" s="2730"/>
      <c r="V222" s="2730"/>
      <c r="W222" s="2730"/>
      <c r="X222" s="2730"/>
      <c r="Y222" s="2730"/>
      <c r="Z222" s="2730"/>
      <c r="AA222" s="2730"/>
      <c r="AB222" s="2730"/>
      <c r="AC222" s="2720">
        <f t="shared" si="126"/>
        <v>0</v>
      </c>
      <c r="AD222" s="2740"/>
      <c r="AE222" s="2740"/>
      <c r="AF222" s="2740"/>
      <c r="AG222" s="2740"/>
      <c r="AH222" s="2740"/>
      <c r="AI222" s="2740"/>
      <c r="AJ222" s="2740"/>
      <c r="AK222" s="2740"/>
      <c r="AL222" s="2740"/>
      <c r="AM222" s="2740"/>
      <c r="AN222" s="2740"/>
      <c r="AO222" s="2740"/>
      <c r="AP222" s="2740"/>
      <c r="AQ222" s="2740"/>
      <c r="AR222" s="2740"/>
      <c r="AS222" s="2740"/>
      <c r="AT222" s="2750"/>
      <c r="AU222" s="2751"/>
      <c r="AV222" s="1092">
        <f t="shared" si="127"/>
        <v>0</v>
      </c>
      <c r="AW222" s="1092">
        <f t="shared" si="128"/>
        <v>0</v>
      </c>
      <c r="AX222" s="1092">
        <f t="shared" si="129"/>
        <v>0</v>
      </c>
      <c r="AY222" s="2765">
        <f t="shared" si="130"/>
        <v>0</v>
      </c>
      <c r="AZ222" s="2720">
        <f t="shared" si="131"/>
        <v>0</v>
      </c>
      <c r="BA222" s="2720">
        <f t="shared" si="132"/>
        <v>0</v>
      </c>
      <c r="BB222" s="2720">
        <f t="shared" si="133"/>
        <v>0</v>
      </c>
      <c r="BC222" s="2720">
        <f t="shared" si="134"/>
        <v>0</v>
      </c>
      <c r="BD222" s="2720">
        <f t="shared" si="135"/>
        <v>0</v>
      </c>
      <c r="BE222" s="2720">
        <f t="shared" si="136"/>
        <v>0</v>
      </c>
      <c r="BF222" s="2720">
        <f t="shared" si="137"/>
        <v>0</v>
      </c>
      <c r="BG222" s="2720">
        <f t="shared" si="138"/>
        <v>0</v>
      </c>
      <c r="BH222" s="2720">
        <f t="shared" si="139"/>
        <v>0</v>
      </c>
      <c r="BI222" s="2720">
        <f t="shared" si="140"/>
        <v>0</v>
      </c>
      <c r="BJ222" s="2720">
        <f t="shared" si="141"/>
        <v>0</v>
      </c>
      <c r="BK222" s="2720">
        <f t="shared" si="142"/>
        <v>0</v>
      </c>
      <c r="BL222" s="2720">
        <f t="shared" si="143"/>
        <v>0</v>
      </c>
      <c r="BM222" s="2720">
        <f t="shared" si="144"/>
        <v>0</v>
      </c>
      <c r="BN222" s="2720">
        <f t="shared" si="145"/>
        <v>0</v>
      </c>
      <c r="BO222" s="2720">
        <f t="shared" si="146"/>
        <v>0</v>
      </c>
      <c r="BP222" s="2720">
        <f t="shared" si="147"/>
        <v>0</v>
      </c>
      <c r="BQ222" s="2720">
        <f t="shared" si="148"/>
        <v>0</v>
      </c>
      <c r="BR222" s="2720">
        <f t="shared" si="149"/>
        <v>0</v>
      </c>
      <c r="BS222" s="2720">
        <f t="shared" si="150"/>
        <v>0</v>
      </c>
      <c r="BT222" s="2772">
        <f t="shared" si="151"/>
        <v>0</v>
      </c>
    </row>
    <row r="223" spans="1:72">
      <c r="A223" s="2717"/>
      <c r="B223" s="2718"/>
      <c r="C223" s="2718"/>
      <c r="D223" s="2719"/>
      <c r="E223" s="2720">
        <f t="shared" si="123"/>
        <v>0</v>
      </c>
      <c r="F223" s="2721"/>
      <c r="G223" s="2722">
        <f t="shared" si="124"/>
        <v>0</v>
      </c>
      <c r="H223" s="2723">
        <f t="shared" si="125"/>
        <v>0</v>
      </c>
      <c r="I223" s="2730"/>
      <c r="J223" s="2730"/>
      <c r="K223" s="2730"/>
      <c r="L223" s="2730"/>
      <c r="M223" s="2730"/>
      <c r="N223" s="2730"/>
      <c r="O223" s="2730"/>
      <c r="P223" s="2730"/>
      <c r="Q223" s="2730"/>
      <c r="R223" s="2730"/>
      <c r="S223" s="2730"/>
      <c r="T223" s="2730"/>
      <c r="U223" s="2730"/>
      <c r="V223" s="2730"/>
      <c r="W223" s="2730"/>
      <c r="X223" s="2730"/>
      <c r="Y223" s="2730"/>
      <c r="Z223" s="2730"/>
      <c r="AA223" s="2730"/>
      <c r="AB223" s="2730"/>
      <c r="AC223" s="2720">
        <f t="shared" si="126"/>
        <v>0</v>
      </c>
      <c r="AD223" s="2740"/>
      <c r="AE223" s="2740"/>
      <c r="AF223" s="2740"/>
      <c r="AG223" s="2740"/>
      <c r="AH223" s="2740"/>
      <c r="AI223" s="2740"/>
      <c r="AJ223" s="2740"/>
      <c r="AK223" s="2740"/>
      <c r="AL223" s="2740"/>
      <c r="AM223" s="2740"/>
      <c r="AN223" s="2740"/>
      <c r="AO223" s="2740"/>
      <c r="AP223" s="2740"/>
      <c r="AQ223" s="2740"/>
      <c r="AR223" s="2740"/>
      <c r="AS223" s="2740"/>
      <c r="AT223" s="2750"/>
      <c r="AU223" s="2751"/>
      <c r="AV223" s="1092">
        <f t="shared" si="127"/>
        <v>0</v>
      </c>
      <c r="AW223" s="1092">
        <f t="shared" si="128"/>
        <v>0</v>
      </c>
      <c r="AX223" s="1092">
        <f t="shared" si="129"/>
        <v>0</v>
      </c>
      <c r="AY223" s="2765">
        <f t="shared" si="130"/>
        <v>0</v>
      </c>
      <c r="AZ223" s="2720">
        <f t="shared" si="131"/>
        <v>0</v>
      </c>
      <c r="BA223" s="2720">
        <f t="shared" si="132"/>
        <v>0</v>
      </c>
      <c r="BB223" s="2720">
        <f t="shared" si="133"/>
        <v>0</v>
      </c>
      <c r="BC223" s="2720">
        <f t="shared" si="134"/>
        <v>0</v>
      </c>
      <c r="BD223" s="2720">
        <f t="shared" si="135"/>
        <v>0</v>
      </c>
      <c r="BE223" s="2720">
        <f t="shared" si="136"/>
        <v>0</v>
      </c>
      <c r="BF223" s="2720">
        <f t="shared" si="137"/>
        <v>0</v>
      </c>
      <c r="BG223" s="2720">
        <f t="shared" si="138"/>
        <v>0</v>
      </c>
      <c r="BH223" s="2720">
        <f t="shared" si="139"/>
        <v>0</v>
      </c>
      <c r="BI223" s="2720">
        <f t="shared" si="140"/>
        <v>0</v>
      </c>
      <c r="BJ223" s="2720">
        <f t="shared" si="141"/>
        <v>0</v>
      </c>
      <c r="BK223" s="2720">
        <f t="shared" si="142"/>
        <v>0</v>
      </c>
      <c r="BL223" s="2720">
        <f t="shared" si="143"/>
        <v>0</v>
      </c>
      <c r="BM223" s="2720">
        <f t="shared" si="144"/>
        <v>0</v>
      </c>
      <c r="BN223" s="2720">
        <f t="shared" si="145"/>
        <v>0</v>
      </c>
      <c r="BO223" s="2720">
        <f t="shared" si="146"/>
        <v>0</v>
      </c>
      <c r="BP223" s="2720">
        <f t="shared" si="147"/>
        <v>0</v>
      </c>
      <c r="BQ223" s="2720">
        <f t="shared" si="148"/>
        <v>0</v>
      </c>
      <c r="BR223" s="2720">
        <f t="shared" si="149"/>
        <v>0</v>
      </c>
      <c r="BS223" s="2720">
        <f t="shared" si="150"/>
        <v>0</v>
      </c>
      <c r="BT223" s="2772">
        <f t="shared" si="151"/>
        <v>0</v>
      </c>
    </row>
    <row r="224" spans="1:72">
      <c r="A224" s="2717"/>
      <c r="B224" s="2718"/>
      <c r="C224" s="2718"/>
      <c r="D224" s="2719"/>
      <c r="E224" s="2720">
        <f t="shared" si="123"/>
        <v>0</v>
      </c>
      <c r="F224" s="2721"/>
      <c r="G224" s="2722">
        <f t="shared" si="124"/>
        <v>0</v>
      </c>
      <c r="H224" s="2723">
        <f t="shared" si="125"/>
        <v>0</v>
      </c>
      <c r="I224" s="2730"/>
      <c r="J224" s="2730"/>
      <c r="K224" s="2730"/>
      <c r="L224" s="2730"/>
      <c r="M224" s="2730"/>
      <c r="N224" s="2730"/>
      <c r="O224" s="2730"/>
      <c r="P224" s="2730"/>
      <c r="Q224" s="2730"/>
      <c r="R224" s="2730"/>
      <c r="S224" s="2730"/>
      <c r="T224" s="2730"/>
      <c r="U224" s="2730"/>
      <c r="V224" s="2730"/>
      <c r="W224" s="2730"/>
      <c r="X224" s="2730"/>
      <c r="Y224" s="2730"/>
      <c r="Z224" s="2730"/>
      <c r="AA224" s="2730"/>
      <c r="AB224" s="2730"/>
      <c r="AC224" s="2720">
        <f t="shared" si="126"/>
        <v>0</v>
      </c>
      <c r="AD224" s="2740"/>
      <c r="AE224" s="2740"/>
      <c r="AF224" s="2740"/>
      <c r="AG224" s="2740"/>
      <c r="AH224" s="2740"/>
      <c r="AI224" s="2740"/>
      <c r="AJ224" s="2740"/>
      <c r="AK224" s="2740"/>
      <c r="AL224" s="2740"/>
      <c r="AM224" s="2740"/>
      <c r="AN224" s="2740"/>
      <c r="AO224" s="2740"/>
      <c r="AP224" s="2740"/>
      <c r="AQ224" s="2740"/>
      <c r="AR224" s="2740"/>
      <c r="AS224" s="2740"/>
      <c r="AT224" s="2750"/>
      <c r="AU224" s="2751"/>
      <c r="AV224" s="1092">
        <f t="shared" si="127"/>
        <v>0</v>
      </c>
      <c r="AW224" s="1092">
        <f t="shared" si="128"/>
        <v>0</v>
      </c>
      <c r="AX224" s="1092">
        <f t="shared" si="129"/>
        <v>0</v>
      </c>
      <c r="AY224" s="2765">
        <f t="shared" si="130"/>
        <v>0</v>
      </c>
      <c r="AZ224" s="2720">
        <f t="shared" si="131"/>
        <v>0</v>
      </c>
      <c r="BA224" s="2720">
        <f t="shared" si="132"/>
        <v>0</v>
      </c>
      <c r="BB224" s="2720">
        <f t="shared" si="133"/>
        <v>0</v>
      </c>
      <c r="BC224" s="2720">
        <f t="shared" si="134"/>
        <v>0</v>
      </c>
      <c r="BD224" s="2720">
        <f t="shared" si="135"/>
        <v>0</v>
      </c>
      <c r="BE224" s="2720">
        <f t="shared" si="136"/>
        <v>0</v>
      </c>
      <c r="BF224" s="2720">
        <f t="shared" si="137"/>
        <v>0</v>
      </c>
      <c r="BG224" s="2720">
        <f t="shared" si="138"/>
        <v>0</v>
      </c>
      <c r="BH224" s="2720">
        <f t="shared" si="139"/>
        <v>0</v>
      </c>
      <c r="BI224" s="2720">
        <f t="shared" si="140"/>
        <v>0</v>
      </c>
      <c r="BJ224" s="2720">
        <f t="shared" si="141"/>
        <v>0</v>
      </c>
      <c r="BK224" s="2720">
        <f t="shared" si="142"/>
        <v>0</v>
      </c>
      <c r="BL224" s="2720">
        <f t="shared" si="143"/>
        <v>0</v>
      </c>
      <c r="BM224" s="2720">
        <f t="shared" si="144"/>
        <v>0</v>
      </c>
      <c r="BN224" s="2720">
        <f t="shared" si="145"/>
        <v>0</v>
      </c>
      <c r="BO224" s="2720">
        <f t="shared" si="146"/>
        <v>0</v>
      </c>
      <c r="BP224" s="2720">
        <f t="shared" si="147"/>
        <v>0</v>
      </c>
      <c r="BQ224" s="2720">
        <f t="shared" si="148"/>
        <v>0</v>
      </c>
      <c r="BR224" s="2720">
        <f t="shared" si="149"/>
        <v>0</v>
      </c>
      <c r="BS224" s="2720">
        <f t="shared" si="150"/>
        <v>0</v>
      </c>
      <c r="BT224" s="2772">
        <f t="shared" si="151"/>
        <v>0</v>
      </c>
    </row>
    <row r="225" spans="1:72">
      <c r="A225" s="2717"/>
      <c r="B225" s="2718"/>
      <c r="C225" s="2718"/>
      <c r="D225" s="2719"/>
      <c r="E225" s="2720">
        <f t="shared" si="123"/>
        <v>0</v>
      </c>
      <c r="F225" s="2721"/>
      <c r="G225" s="2722">
        <f t="shared" si="124"/>
        <v>0</v>
      </c>
      <c r="H225" s="2723">
        <f t="shared" si="125"/>
        <v>0</v>
      </c>
      <c r="I225" s="2730"/>
      <c r="J225" s="2730"/>
      <c r="K225" s="2730"/>
      <c r="L225" s="2730"/>
      <c r="M225" s="2730"/>
      <c r="N225" s="2730"/>
      <c r="O225" s="2730"/>
      <c r="P225" s="2730"/>
      <c r="Q225" s="2730"/>
      <c r="R225" s="2730"/>
      <c r="S225" s="2730"/>
      <c r="T225" s="2730"/>
      <c r="U225" s="2730"/>
      <c r="V225" s="2730"/>
      <c r="W225" s="2730"/>
      <c r="X225" s="2730"/>
      <c r="Y225" s="2730"/>
      <c r="Z225" s="2730"/>
      <c r="AA225" s="2730"/>
      <c r="AB225" s="2730"/>
      <c r="AC225" s="2720">
        <f t="shared" si="126"/>
        <v>0</v>
      </c>
      <c r="AD225" s="2740"/>
      <c r="AE225" s="2740"/>
      <c r="AF225" s="2740"/>
      <c r="AG225" s="2740"/>
      <c r="AH225" s="2740"/>
      <c r="AI225" s="2740"/>
      <c r="AJ225" s="2740"/>
      <c r="AK225" s="2740"/>
      <c r="AL225" s="2740"/>
      <c r="AM225" s="2740"/>
      <c r="AN225" s="2740"/>
      <c r="AO225" s="2740"/>
      <c r="AP225" s="2740"/>
      <c r="AQ225" s="2740"/>
      <c r="AR225" s="2740"/>
      <c r="AS225" s="2740"/>
      <c r="AT225" s="2750"/>
      <c r="AU225" s="2751"/>
      <c r="AV225" s="1092">
        <f t="shared" si="127"/>
        <v>0</v>
      </c>
      <c r="AW225" s="1092">
        <f t="shared" si="128"/>
        <v>0</v>
      </c>
      <c r="AX225" s="1092">
        <f t="shared" si="129"/>
        <v>0</v>
      </c>
      <c r="AY225" s="2765">
        <f t="shared" si="130"/>
        <v>0</v>
      </c>
      <c r="AZ225" s="2720">
        <f t="shared" si="131"/>
        <v>0</v>
      </c>
      <c r="BA225" s="2720">
        <f t="shared" si="132"/>
        <v>0</v>
      </c>
      <c r="BB225" s="2720">
        <f t="shared" si="133"/>
        <v>0</v>
      </c>
      <c r="BC225" s="2720">
        <f t="shared" si="134"/>
        <v>0</v>
      </c>
      <c r="BD225" s="2720">
        <f t="shared" si="135"/>
        <v>0</v>
      </c>
      <c r="BE225" s="2720">
        <f t="shared" si="136"/>
        <v>0</v>
      </c>
      <c r="BF225" s="2720">
        <f t="shared" si="137"/>
        <v>0</v>
      </c>
      <c r="BG225" s="2720">
        <f t="shared" si="138"/>
        <v>0</v>
      </c>
      <c r="BH225" s="2720">
        <f t="shared" si="139"/>
        <v>0</v>
      </c>
      <c r="BI225" s="2720">
        <f t="shared" si="140"/>
        <v>0</v>
      </c>
      <c r="BJ225" s="2720">
        <f t="shared" si="141"/>
        <v>0</v>
      </c>
      <c r="BK225" s="2720">
        <f t="shared" si="142"/>
        <v>0</v>
      </c>
      <c r="BL225" s="2720">
        <f t="shared" si="143"/>
        <v>0</v>
      </c>
      <c r="BM225" s="2720">
        <f t="shared" si="144"/>
        <v>0</v>
      </c>
      <c r="BN225" s="2720">
        <f t="shared" si="145"/>
        <v>0</v>
      </c>
      <c r="BO225" s="2720">
        <f t="shared" si="146"/>
        <v>0</v>
      </c>
      <c r="BP225" s="2720">
        <f t="shared" si="147"/>
        <v>0</v>
      </c>
      <c r="BQ225" s="2720">
        <f t="shared" si="148"/>
        <v>0</v>
      </c>
      <c r="BR225" s="2720">
        <f t="shared" si="149"/>
        <v>0</v>
      </c>
      <c r="BS225" s="2720">
        <f t="shared" si="150"/>
        <v>0</v>
      </c>
      <c r="BT225" s="2772">
        <f t="shared" si="151"/>
        <v>0</v>
      </c>
    </row>
    <row r="226" spans="1:72">
      <c r="A226" s="2717"/>
      <c r="B226" s="2718"/>
      <c r="C226" s="2718"/>
      <c r="D226" s="2719"/>
      <c r="E226" s="2720">
        <f t="shared" si="123"/>
        <v>0</v>
      </c>
      <c r="F226" s="2721"/>
      <c r="G226" s="2722">
        <f t="shared" si="124"/>
        <v>0</v>
      </c>
      <c r="H226" s="2723">
        <f t="shared" si="125"/>
        <v>0</v>
      </c>
      <c r="I226" s="2730"/>
      <c r="J226" s="2730"/>
      <c r="K226" s="2730"/>
      <c r="L226" s="2730"/>
      <c r="M226" s="2730"/>
      <c r="N226" s="2730"/>
      <c r="O226" s="2730"/>
      <c r="P226" s="2730"/>
      <c r="Q226" s="2730"/>
      <c r="R226" s="2730"/>
      <c r="S226" s="2730"/>
      <c r="T226" s="2730"/>
      <c r="U226" s="2730"/>
      <c r="V226" s="2730"/>
      <c r="W226" s="2730"/>
      <c r="X226" s="2730"/>
      <c r="Y226" s="2730"/>
      <c r="Z226" s="2730"/>
      <c r="AA226" s="2730"/>
      <c r="AB226" s="2730"/>
      <c r="AC226" s="2720">
        <f t="shared" si="126"/>
        <v>0</v>
      </c>
      <c r="AD226" s="2740"/>
      <c r="AE226" s="2740"/>
      <c r="AF226" s="2740"/>
      <c r="AG226" s="2740"/>
      <c r="AH226" s="2740"/>
      <c r="AI226" s="2740"/>
      <c r="AJ226" s="2740"/>
      <c r="AK226" s="2740"/>
      <c r="AL226" s="2740"/>
      <c r="AM226" s="2740"/>
      <c r="AN226" s="2740"/>
      <c r="AO226" s="2740"/>
      <c r="AP226" s="2740"/>
      <c r="AQ226" s="2740"/>
      <c r="AR226" s="2740"/>
      <c r="AS226" s="2740"/>
      <c r="AT226" s="2750"/>
      <c r="AU226" s="2751"/>
      <c r="AV226" s="1092">
        <f t="shared" si="127"/>
        <v>0</v>
      </c>
      <c r="AW226" s="1092">
        <f t="shared" si="128"/>
        <v>0</v>
      </c>
      <c r="AX226" s="1092">
        <f t="shared" si="129"/>
        <v>0</v>
      </c>
      <c r="AY226" s="2765">
        <f t="shared" si="130"/>
        <v>0</v>
      </c>
      <c r="AZ226" s="2720">
        <f t="shared" si="131"/>
        <v>0</v>
      </c>
      <c r="BA226" s="2720">
        <f t="shared" si="132"/>
        <v>0</v>
      </c>
      <c r="BB226" s="2720">
        <f t="shared" si="133"/>
        <v>0</v>
      </c>
      <c r="BC226" s="2720">
        <f t="shared" si="134"/>
        <v>0</v>
      </c>
      <c r="BD226" s="2720">
        <f t="shared" si="135"/>
        <v>0</v>
      </c>
      <c r="BE226" s="2720">
        <f t="shared" si="136"/>
        <v>0</v>
      </c>
      <c r="BF226" s="2720">
        <f t="shared" si="137"/>
        <v>0</v>
      </c>
      <c r="BG226" s="2720">
        <f t="shared" si="138"/>
        <v>0</v>
      </c>
      <c r="BH226" s="2720">
        <f t="shared" si="139"/>
        <v>0</v>
      </c>
      <c r="BI226" s="2720">
        <f t="shared" si="140"/>
        <v>0</v>
      </c>
      <c r="BJ226" s="2720">
        <f t="shared" si="141"/>
        <v>0</v>
      </c>
      <c r="BK226" s="2720">
        <f t="shared" si="142"/>
        <v>0</v>
      </c>
      <c r="BL226" s="2720">
        <f t="shared" si="143"/>
        <v>0</v>
      </c>
      <c r="BM226" s="2720">
        <f t="shared" si="144"/>
        <v>0</v>
      </c>
      <c r="BN226" s="2720">
        <f t="shared" si="145"/>
        <v>0</v>
      </c>
      <c r="BO226" s="2720">
        <f t="shared" si="146"/>
        <v>0</v>
      </c>
      <c r="BP226" s="2720">
        <f t="shared" si="147"/>
        <v>0</v>
      </c>
      <c r="BQ226" s="2720">
        <f t="shared" si="148"/>
        <v>0</v>
      </c>
      <c r="BR226" s="2720">
        <f t="shared" si="149"/>
        <v>0</v>
      </c>
      <c r="BS226" s="2720">
        <f t="shared" si="150"/>
        <v>0</v>
      </c>
      <c r="BT226" s="2772">
        <f t="shared" si="151"/>
        <v>0</v>
      </c>
    </row>
    <row r="227" spans="1:72">
      <c r="A227" s="2717"/>
      <c r="B227" s="2718"/>
      <c r="C227" s="2718"/>
      <c r="D227" s="2719"/>
      <c r="E227" s="2720">
        <f t="shared" si="123"/>
        <v>0</v>
      </c>
      <c r="F227" s="2721"/>
      <c r="G227" s="2722">
        <f t="shared" si="124"/>
        <v>0</v>
      </c>
      <c r="H227" s="2723">
        <f t="shared" si="125"/>
        <v>0</v>
      </c>
      <c r="I227" s="2730"/>
      <c r="J227" s="2730"/>
      <c r="K227" s="2730"/>
      <c r="L227" s="2730"/>
      <c r="M227" s="2730"/>
      <c r="N227" s="2730"/>
      <c r="O227" s="2730"/>
      <c r="P227" s="2730"/>
      <c r="Q227" s="2730"/>
      <c r="R227" s="2730"/>
      <c r="S227" s="2730"/>
      <c r="T227" s="2730"/>
      <c r="U227" s="2730"/>
      <c r="V227" s="2730"/>
      <c r="W227" s="2730"/>
      <c r="X227" s="2730"/>
      <c r="Y227" s="2730"/>
      <c r="Z227" s="2730"/>
      <c r="AA227" s="2730"/>
      <c r="AB227" s="2730"/>
      <c r="AC227" s="2720">
        <f t="shared" si="126"/>
        <v>0</v>
      </c>
      <c r="AD227" s="2740"/>
      <c r="AE227" s="2740"/>
      <c r="AF227" s="2740"/>
      <c r="AG227" s="2740"/>
      <c r="AH227" s="2740"/>
      <c r="AI227" s="2740"/>
      <c r="AJ227" s="2740"/>
      <c r="AK227" s="2740"/>
      <c r="AL227" s="2740"/>
      <c r="AM227" s="2740"/>
      <c r="AN227" s="2740"/>
      <c r="AO227" s="2740"/>
      <c r="AP227" s="2740"/>
      <c r="AQ227" s="2740"/>
      <c r="AR227" s="2740"/>
      <c r="AS227" s="2740"/>
      <c r="AT227" s="2750"/>
      <c r="AU227" s="2751"/>
      <c r="AV227" s="1092">
        <f t="shared" si="127"/>
        <v>0</v>
      </c>
      <c r="AW227" s="1092">
        <f t="shared" si="128"/>
        <v>0</v>
      </c>
      <c r="AX227" s="1092">
        <f t="shared" si="129"/>
        <v>0</v>
      </c>
      <c r="AY227" s="2765">
        <f t="shared" si="130"/>
        <v>0</v>
      </c>
      <c r="AZ227" s="2720">
        <f t="shared" si="131"/>
        <v>0</v>
      </c>
      <c r="BA227" s="2720">
        <f t="shared" si="132"/>
        <v>0</v>
      </c>
      <c r="BB227" s="2720">
        <f t="shared" si="133"/>
        <v>0</v>
      </c>
      <c r="BC227" s="2720">
        <f t="shared" si="134"/>
        <v>0</v>
      </c>
      <c r="BD227" s="2720">
        <f t="shared" si="135"/>
        <v>0</v>
      </c>
      <c r="BE227" s="2720">
        <f t="shared" si="136"/>
        <v>0</v>
      </c>
      <c r="BF227" s="2720">
        <f t="shared" si="137"/>
        <v>0</v>
      </c>
      <c r="BG227" s="2720">
        <f t="shared" si="138"/>
        <v>0</v>
      </c>
      <c r="BH227" s="2720">
        <f t="shared" si="139"/>
        <v>0</v>
      </c>
      <c r="BI227" s="2720">
        <f t="shared" si="140"/>
        <v>0</v>
      </c>
      <c r="BJ227" s="2720">
        <f t="shared" si="141"/>
        <v>0</v>
      </c>
      <c r="BK227" s="2720">
        <f t="shared" si="142"/>
        <v>0</v>
      </c>
      <c r="BL227" s="2720">
        <f t="shared" si="143"/>
        <v>0</v>
      </c>
      <c r="BM227" s="2720">
        <f t="shared" si="144"/>
        <v>0</v>
      </c>
      <c r="BN227" s="2720">
        <f t="shared" si="145"/>
        <v>0</v>
      </c>
      <c r="BO227" s="2720">
        <f t="shared" si="146"/>
        <v>0</v>
      </c>
      <c r="BP227" s="2720">
        <f t="shared" si="147"/>
        <v>0</v>
      </c>
      <c r="BQ227" s="2720">
        <f t="shared" si="148"/>
        <v>0</v>
      </c>
      <c r="BR227" s="2720">
        <f t="shared" si="149"/>
        <v>0</v>
      </c>
      <c r="BS227" s="2720">
        <f t="shared" si="150"/>
        <v>0</v>
      </c>
      <c r="BT227" s="2772">
        <f t="shared" si="151"/>
        <v>0</v>
      </c>
    </row>
    <row r="228" spans="1:72">
      <c r="A228" s="2717"/>
      <c r="B228" s="2718"/>
      <c r="C228" s="2718"/>
      <c r="D228" s="2719"/>
      <c r="E228" s="2720">
        <f t="shared" si="123"/>
        <v>0</v>
      </c>
      <c r="F228" s="2721"/>
      <c r="G228" s="2722">
        <f t="shared" si="124"/>
        <v>0</v>
      </c>
      <c r="H228" s="2723">
        <f t="shared" si="125"/>
        <v>0</v>
      </c>
      <c r="I228" s="2730"/>
      <c r="J228" s="2730"/>
      <c r="K228" s="2730"/>
      <c r="L228" s="2730"/>
      <c r="M228" s="2730"/>
      <c r="N228" s="2730"/>
      <c r="O228" s="2730"/>
      <c r="P228" s="2730"/>
      <c r="Q228" s="2730"/>
      <c r="R228" s="2730"/>
      <c r="S228" s="2730"/>
      <c r="T228" s="2730"/>
      <c r="U228" s="2730"/>
      <c r="V228" s="2730"/>
      <c r="W228" s="2730"/>
      <c r="X228" s="2730"/>
      <c r="Y228" s="2730"/>
      <c r="Z228" s="2730"/>
      <c r="AA228" s="2730"/>
      <c r="AB228" s="2730"/>
      <c r="AC228" s="2720">
        <f t="shared" si="126"/>
        <v>0</v>
      </c>
      <c r="AD228" s="2740"/>
      <c r="AE228" s="2740"/>
      <c r="AF228" s="2740"/>
      <c r="AG228" s="2740"/>
      <c r="AH228" s="2740"/>
      <c r="AI228" s="2740"/>
      <c r="AJ228" s="2740"/>
      <c r="AK228" s="2740"/>
      <c r="AL228" s="2740"/>
      <c r="AM228" s="2740"/>
      <c r="AN228" s="2740"/>
      <c r="AO228" s="2740"/>
      <c r="AP228" s="2740"/>
      <c r="AQ228" s="2740"/>
      <c r="AR228" s="2740"/>
      <c r="AS228" s="2740"/>
      <c r="AT228" s="2750"/>
      <c r="AU228" s="2751"/>
      <c r="AV228" s="1092">
        <f t="shared" si="127"/>
        <v>0</v>
      </c>
      <c r="AW228" s="1092">
        <f t="shared" si="128"/>
        <v>0</v>
      </c>
      <c r="AX228" s="1092">
        <f t="shared" si="129"/>
        <v>0</v>
      </c>
      <c r="AY228" s="2765">
        <f t="shared" si="130"/>
        <v>0</v>
      </c>
      <c r="AZ228" s="2720">
        <f t="shared" si="131"/>
        <v>0</v>
      </c>
      <c r="BA228" s="2720">
        <f t="shared" si="132"/>
        <v>0</v>
      </c>
      <c r="BB228" s="2720">
        <f t="shared" si="133"/>
        <v>0</v>
      </c>
      <c r="BC228" s="2720">
        <f t="shared" si="134"/>
        <v>0</v>
      </c>
      <c r="BD228" s="2720">
        <f t="shared" si="135"/>
        <v>0</v>
      </c>
      <c r="BE228" s="2720">
        <f t="shared" si="136"/>
        <v>0</v>
      </c>
      <c r="BF228" s="2720">
        <f t="shared" si="137"/>
        <v>0</v>
      </c>
      <c r="BG228" s="2720">
        <f t="shared" si="138"/>
        <v>0</v>
      </c>
      <c r="BH228" s="2720">
        <f t="shared" si="139"/>
        <v>0</v>
      </c>
      <c r="BI228" s="2720">
        <f t="shared" si="140"/>
        <v>0</v>
      </c>
      <c r="BJ228" s="2720">
        <f t="shared" si="141"/>
        <v>0</v>
      </c>
      <c r="BK228" s="2720">
        <f t="shared" si="142"/>
        <v>0</v>
      </c>
      <c r="BL228" s="2720">
        <f t="shared" si="143"/>
        <v>0</v>
      </c>
      <c r="BM228" s="2720">
        <f t="shared" si="144"/>
        <v>0</v>
      </c>
      <c r="BN228" s="2720">
        <f t="shared" si="145"/>
        <v>0</v>
      </c>
      <c r="BO228" s="2720">
        <f t="shared" si="146"/>
        <v>0</v>
      </c>
      <c r="BP228" s="2720">
        <f t="shared" si="147"/>
        <v>0</v>
      </c>
      <c r="BQ228" s="2720">
        <f t="shared" si="148"/>
        <v>0</v>
      </c>
      <c r="BR228" s="2720">
        <f t="shared" si="149"/>
        <v>0</v>
      </c>
      <c r="BS228" s="2720">
        <f t="shared" si="150"/>
        <v>0</v>
      </c>
      <c r="BT228" s="2772">
        <f t="shared" si="151"/>
        <v>0</v>
      </c>
    </row>
    <row r="229" spans="1:72">
      <c r="A229" s="2717"/>
      <c r="B229" s="2718"/>
      <c r="C229" s="2718"/>
      <c r="D229" s="2719"/>
      <c r="E229" s="2720">
        <f t="shared" si="123"/>
        <v>0</v>
      </c>
      <c r="F229" s="2721"/>
      <c r="G229" s="2722">
        <f t="shared" si="124"/>
        <v>0</v>
      </c>
      <c r="H229" s="2723">
        <f t="shared" si="125"/>
        <v>0</v>
      </c>
      <c r="I229" s="2730"/>
      <c r="J229" s="2730"/>
      <c r="K229" s="2730"/>
      <c r="L229" s="2730"/>
      <c r="M229" s="2730"/>
      <c r="N229" s="2730"/>
      <c r="O229" s="2730"/>
      <c r="P229" s="2730"/>
      <c r="Q229" s="2730"/>
      <c r="R229" s="2730"/>
      <c r="S229" s="2730"/>
      <c r="T229" s="2730"/>
      <c r="U229" s="2730"/>
      <c r="V229" s="2730"/>
      <c r="W229" s="2730"/>
      <c r="X229" s="2730"/>
      <c r="Y229" s="2730"/>
      <c r="Z229" s="2730"/>
      <c r="AA229" s="2730"/>
      <c r="AB229" s="2730"/>
      <c r="AC229" s="2720">
        <f t="shared" si="126"/>
        <v>0</v>
      </c>
      <c r="AD229" s="2740"/>
      <c r="AE229" s="2740"/>
      <c r="AF229" s="2740"/>
      <c r="AG229" s="2740"/>
      <c r="AH229" s="2740"/>
      <c r="AI229" s="2740"/>
      <c r="AJ229" s="2740"/>
      <c r="AK229" s="2740"/>
      <c r="AL229" s="2740"/>
      <c r="AM229" s="2740"/>
      <c r="AN229" s="2740"/>
      <c r="AO229" s="2740"/>
      <c r="AP229" s="2740"/>
      <c r="AQ229" s="2740"/>
      <c r="AR229" s="2740"/>
      <c r="AS229" s="2740"/>
      <c r="AT229" s="2750"/>
      <c r="AU229" s="2751"/>
      <c r="AV229" s="1092">
        <f t="shared" si="127"/>
        <v>0</v>
      </c>
      <c r="AW229" s="1092">
        <f t="shared" si="128"/>
        <v>0</v>
      </c>
      <c r="AX229" s="1092">
        <f t="shared" si="129"/>
        <v>0</v>
      </c>
      <c r="AY229" s="2765">
        <f t="shared" si="130"/>
        <v>0</v>
      </c>
      <c r="AZ229" s="2720">
        <f t="shared" si="131"/>
        <v>0</v>
      </c>
      <c r="BA229" s="2720">
        <f t="shared" si="132"/>
        <v>0</v>
      </c>
      <c r="BB229" s="2720">
        <f t="shared" si="133"/>
        <v>0</v>
      </c>
      <c r="BC229" s="2720">
        <f t="shared" si="134"/>
        <v>0</v>
      </c>
      <c r="BD229" s="2720">
        <f t="shared" si="135"/>
        <v>0</v>
      </c>
      <c r="BE229" s="2720">
        <f t="shared" si="136"/>
        <v>0</v>
      </c>
      <c r="BF229" s="2720">
        <f t="shared" si="137"/>
        <v>0</v>
      </c>
      <c r="BG229" s="2720">
        <f t="shared" si="138"/>
        <v>0</v>
      </c>
      <c r="BH229" s="2720">
        <f t="shared" si="139"/>
        <v>0</v>
      </c>
      <c r="BI229" s="2720">
        <f t="shared" si="140"/>
        <v>0</v>
      </c>
      <c r="BJ229" s="2720">
        <f t="shared" si="141"/>
        <v>0</v>
      </c>
      <c r="BK229" s="2720">
        <f t="shared" si="142"/>
        <v>0</v>
      </c>
      <c r="BL229" s="2720">
        <f t="shared" si="143"/>
        <v>0</v>
      </c>
      <c r="BM229" s="2720">
        <f t="shared" si="144"/>
        <v>0</v>
      </c>
      <c r="BN229" s="2720">
        <f t="shared" si="145"/>
        <v>0</v>
      </c>
      <c r="BO229" s="2720">
        <f t="shared" si="146"/>
        <v>0</v>
      </c>
      <c r="BP229" s="2720">
        <f t="shared" si="147"/>
        <v>0</v>
      </c>
      <c r="BQ229" s="2720">
        <f t="shared" si="148"/>
        <v>0</v>
      </c>
      <c r="BR229" s="2720">
        <f t="shared" si="149"/>
        <v>0</v>
      </c>
      <c r="BS229" s="2720">
        <f t="shared" si="150"/>
        <v>0</v>
      </c>
      <c r="BT229" s="2772">
        <f t="shared" si="151"/>
        <v>0</v>
      </c>
    </row>
    <row r="230" spans="1:72">
      <c r="A230" s="2717"/>
      <c r="B230" s="2718"/>
      <c r="C230" s="2718"/>
      <c r="D230" s="2719"/>
      <c r="E230" s="2720">
        <f t="shared" si="123"/>
        <v>0</v>
      </c>
      <c r="F230" s="2721"/>
      <c r="G230" s="2722">
        <f t="shared" si="124"/>
        <v>0</v>
      </c>
      <c r="H230" s="2723">
        <f t="shared" si="125"/>
        <v>0</v>
      </c>
      <c r="I230" s="2730"/>
      <c r="J230" s="2730"/>
      <c r="K230" s="2730"/>
      <c r="L230" s="2730"/>
      <c r="M230" s="2730"/>
      <c r="N230" s="2730"/>
      <c r="O230" s="2730"/>
      <c r="P230" s="2730"/>
      <c r="Q230" s="2730"/>
      <c r="R230" s="2730"/>
      <c r="S230" s="2730"/>
      <c r="T230" s="2730"/>
      <c r="U230" s="2730"/>
      <c r="V230" s="2730"/>
      <c r="W230" s="2730"/>
      <c r="X230" s="2730"/>
      <c r="Y230" s="2730"/>
      <c r="Z230" s="2730"/>
      <c r="AA230" s="2730"/>
      <c r="AB230" s="2730"/>
      <c r="AC230" s="2720">
        <f t="shared" si="126"/>
        <v>0</v>
      </c>
      <c r="AD230" s="2740"/>
      <c r="AE230" s="2740"/>
      <c r="AF230" s="2740"/>
      <c r="AG230" s="2740"/>
      <c r="AH230" s="2740"/>
      <c r="AI230" s="2740"/>
      <c r="AJ230" s="2740"/>
      <c r="AK230" s="2740"/>
      <c r="AL230" s="2740"/>
      <c r="AM230" s="2740"/>
      <c r="AN230" s="2740"/>
      <c r="AO230" s="2740"/>
      <c r="AP230" s="2740"/>
      <c r="AQ230" s="2740"/>
      <c r="AR230" s="2740"/>
      <c r="AS230" s="2740"/>
      <c r="AT230" s="2750"/>
      <c r="AU230" s="2751"/>
      <c r="AV230" s="1092">
        <f t="shared" si="127"/>
        <v>0</v>
      </c>
      <c r="AW230" s="1092">
        <f t="shared" si="128"/>
        <v>0</v>
      </c>
      <c r="AX230" s="1092">
        <f t="shared" si="129"/>
        <v>0</v>
      </c>
      <c r="AY230" s="2765">
        <f t="shared" si="130"/>
        <v>0</v>
      </c>
      <c r="AZ230" s="2720">
        <f t="shared" si="131"/>
        <v>0</v>
      </c>
      <c r="BA230" s="2720">
        <f t="shared" si="132"/>
        <v>0</v>
      </c>
      <c r="BB230" s="2720">
        <f t="shared" si="133"/>
        <v>0</v>
      </c>
      <c r="BC230" s="2720">
        <f t="shared" si="134"/>
        <v>0</v>
      </c>
      <c r="BD230" s="2720">
        <f t="shared" si="135"/>
        <v>0</v>
      </c>
      <c r="BE230" s="2720">
        <f t="shared" si="136"/>
        <v>0</v>
      </c>
      <c r="BF230" s="2720">
        <f t="shared" si="137"/>
        <v>0</v>
      </c>
      <c r="BG230" s="2720">
        <f t="shared" si="138"/>
        <v>0</v>
      </c>
      <c r="BH230" s="2720">
        <f t="shared" si="139"/>
        <v>0</v>
      </c>
      <c r="BI230" s="2720">
        <f t="shared" si="140"/>
        <v>0</v>
      </c>
      <c r="BJ230" s="2720">
        <f t="shared" si="141"/>
        <v>0</v>
      </c>
      <c r="BK230" s="2720">
        <f t="shared" si="142"/>
        <v>0</v>
      </c>
      <c r="BL230" s="2720">
        <f t="shared" si="143"/>
        <v>0</v>
      </c>
      <c r="BM230" s="2720">
        <f t="shared" si="144"/>
        <v>0</v>
      </c>
      <c r="BN230" s="2720">
        <f t="shared" si="145"/>
        <v>0</v>
      </c>
      <c r="BO230" s="2720">
        <f t="shared" si="146"/>
        <v>0</v>
      </c>
      <c r="BP230" s="2720">
        <f t="shared" si="147"/>
        <v>0</v>
      </c>
      <c r="BQ230" s="2720">
        <f t="shared" si="148"/>
        <v>0</v>
      </c>
      <c r="BR230" s="2720">
        <f t="shared" si="149"/>
        <v>0</v>
      </c>
      <c r="BS230" s="2720">
        <f t="shared" si="150"/>
        <v>0</v>
      </c>
      <c r="BT230" s="2772">
        <f t="shared" si="151"/>
        <v>0</v>
      </c>
    </row>
    <row r="231" spans="1:72">
      <c r="A231" s="2717"/>
      <c r="B231" s="2718"/>
      <c r="C231" s="2718"/>
      <c r="D231" s="2719"/>
      <c r="E231" s="2720">
        <f t="shared" si="123"/>
        <v>0</v>
      </c>
      <c r="F231" s="2721"/>
      <c r="G231" s="2722">
        <f t="shared" si="124"/>
        <v>0</v>
      </c>
      <c r="H231" s="2723">
        <f t="shared" si="125"/>
        <v>0</v>
      </c>
      <c r="I231" s="2730"/>
      <c r="J231" s="2730"/>
      <c r="K231" s="2730"/>
      <c r="L231" s="2730"/>
      <c r="M231" s="2730"/>
      <c r="N231" s="2730"/>
      <c r="O231" s="2730"/>
      <c r="P231" s="2730"/>
      <c r="Q231" s="2730"/>
      <c r="R231" s="2730"/>
      <c r="S231" s="2730"/>
      <c r="T231" s="2730"/>
      <c r="U231" s="2730"/>
      <c r="V231" s="2730"/>
      <c r="W231" s="2730"/>
      <c r="X231" s="2730"/>
      <c r="Y231" s="2730"/>
      <c r="Z231" s="2730"/>
      <c r="AA231" s="2730"/>
      <c r="AB231" s="2730"/>
      <c r="AC231" s="2720">
        <f t="shared" si="126"/>
        <v>0</v>
      </c>
      <c r="AD231" s="2740"/>
      <c r="AE231" s="2740"/>
      <c r="AF231" s="2740"/>
      <c r="AG231" s="2740"/>
      <c r="AH231" s="2740"/>
      <c r="AI231" s="2740"/>
      <c r="AJ231" s="2740"/>
      <c r="AK231" s="2740"/>
      <c r="AL231" s="2740"/>
      <c r="AM231" s="2740"/>
      <c r="AN231" s="2740"/>
      <c r="AO231" s="2740"/>
      <c r="AP231" s="2740"/>
      <c r="AQ231" s="2740"/>
      <c r="AR231" s="2740"/>
      <c r="AS231" s="2740"/>
      <c r="AT231" s="2750"/>
      <c r="AU231" s="2751"/>
      <c r="AV231" s="1092">
        <f t="shared" si="127"/>
        <v>0</v>
      </c>
      <c r="AW231" s="1092">
        <f t="shared" si="128"/>
        <v>0</v>
      </c>
      <c r="AX231" s="1092">
        <f t="shared" si="129"/>
        <v>0</v>
      </c>
      <c r="AY231" s="2765">
        <f t="shared" si="130"/>
        <v>0</v>
      </c>
      <c r="AZ231" s="2720">
        <f t="shared" si="131"/>
        <v>0</v>
      </c>
      <c r="BA231" s="2720">
        <f t="shared" si="132"/>
        <v>0</v>
      </c>
      <c r="BB231" s="2720">
        <f t="shared" si="133"/>
        <v>0</v>
      </c>
      <c r="BC231" s="2720">
        <f t="shared" si="134"/>
        <v>0</v>
      </c>
      <c r="BD231" s="2720">
        <f t="shared" si="135"/>
        <v>0</v>
      </c>
      <c r="BE231" s="2720">
        <f t="shared" si="136"/>
        <v>0</v>
      </c>
      <c r="BF231" s="2720">
        <f t="shared" si="137"/>
        <v>0</v>
      </c>
      <c r="BG231" s="2720">
        <f t="shared" si="138"/>
        <v>0</v>
      </c>
      <c r="BH231" s="2720">
        <f t="shared" si="139"/>
        <v>0</v>
      </c>
      <c r="BI231" s="2720">
        <f t="shared" si="140"/>
        <v>0</v>
      </c>
      <c r="BJ231" s="2720">
        <f t="shared" si="141"/>
        <v>0</v>
      </c>
      <c r="BK231" s="2720">
        <f t="shared" si="142"/>
        <v>0</v>
      </c>
      <c r="BL231" s="2720">
        <f t="shared" si="143"/>
        <v>0</v>
      </c>
      <c r="BM231" s="2720">
        <f t="shared" si="144"/>
        <v>0</v>
      </c>
      <c r="BN231" s="2720">
        <f t="shared" si="145"/>
        <v>0</v>
      </c>
      <c r="BO231" s="2720">
        <f t="shared" si="146"/>
        <v>0</v>
      </c>
      <c r="BP231" s="2720">
        <f t="shared" si="147"/>
        <v>0</v>
      </c>
      <c r="BQ231" s="2720">
        <f t="shared" si="148"/>
        <v>0</v>
      </c>
      <c r="BR231" s="2720">
        <f t="shared" si="149"/>
        <v>0</v>
      </c>
      <c r="BS231" s="2720">
        <f t="shared" si="150"/>
        <v>0</v>
      </c>
      <c r="BT231" s="2772">
        <f t="shared" si="151"/>
        <v>0</v>
      </c>
    </row>
    <row r="232" spans="1:72">
      <c r="A232" s="2717"/>
      <c r="B232" s="2718"/>
      <c r="C232" s="2718"/>
      <c r="D232" s="2719"/>
      <c r="E232" s="2720">
        <f t="shared" si="123"/>
        <v>0</v>
      </c>
      <c r="F232" s="2721"/>
      <c r="G232" s="2722">
        <f t="shared" si="124"/>
        <v>0</v>
      </c>
      <c r="H232" s="2723">
        <f t="shared" si="125"/>
        <v>0</v>
      </c>
      <c r="I232" s="2730"/>
      <c r="J232" s="2730"/>
      <c r="K232" s="2730"/>
      <c r="L232" s="2730"/>
      <c r="M232" s="2730"/>
      <c r="N232" s="2730"/>
      <c r="O232" s="2730"/>
      <c r="P232" s="2730"/>
      <c r="Q232" s="2730"/>
      <c r="R232" s="2730"/>
      <c r="S232" s="2730"/>
      <c r="T232" s="2730"/>
      <c r="U232" s="2730"/>
      <c r="V232" s="2730"/>
      <c r="W232" s="2730"/>
      <c r="X232" s="2730"/>
      <c r="Y232" s="2730"/>
      <c r="Z232" s="2730"/>
      <c r="AA232" s="2730"/>
      <c r="AB232" s="2730"/>
      <c r="AC232" s="2720">
        <f t="shared" si="126"/>
        <v>0</v>
      </c>
      <c r="AD232" s="2740"/>
      <c r="AE232" s="2740"/>
      <c r="AF232" s="2740"/>
      <c r="AG232" s="2740"/>
      <c r="AH232" s="2740"/>
      <c r="AI232" s="2740"/>
      <c r="AJ232" s="2740"/>
      <c r="AK232" s="2740"/>
      <c r="AL232" s="2740"/>
      <c r="AM232" s="2740"/>
      <c r="AN232" s="2740"/>
      <c r="AO232" s="2740"/>
      <c r="AP232" s="2740"/>
      <c r="AQ232" s="2740"/>
      <c r="AR232" s="2740"/>
      <c r="AS232" s="2740"/>
      <c r="AT232" s="2750"/>
      <c r="AU232" s="2751"/>
      <c r="AV232" s="1092">
        <f t="shared" si="127"/>
        <v>0</v>
      </c>
      <c r="AW232" s="1092">
        <f t="shared" si="128"/>
        <v>0</v>
      </c>
      <c r="AX232" s="1092">
        <f t="shared" si="129"/>
        <v>0</v>
      </c>
      <c r="AY232" s="2765">
        <f t="shared" si="130"/>
        <v>0</v>
      </c>
      <c r="AZ232" s="2720">
        <f t="shared" si="131"/>
        <v>0</v>
      </c>
      <c r="BA232" s="2720">
        <f t="shared" si="132"/>
        <v>0</v>
      </c>
      <c r="BB232" s="2720">
        <f t="shared" si="133"/>
        <v>0</v>
      </c>
      <c r="BC232" s="2720">
        <f t="shared" si="134"/>
        <v>0</v>
      </c>
      <c r="BD232" s="2720">
        <f t="shared" si="135"/>
        <v>0</v>
      </c>
      <c r="BE232" s="2720">
        <f t="shared" si="136"/>
        <v>0</v>
      </c>
      <c r="BF232" s="2720">
        <f t="shared" si="137"/>
        <v>0</v>
      </c>
      <c r="BG232" s="2720">
        <f t="shared" si="138"/>
        <v>0</v>
      </c>
      <c r="BH232" s="2720">
        <f t="shared" si="139"/>
        <v>0</v>
      </c>
      <c r="BI232" s="2720">
        <f t="shared" si="140"/>
        <v>0</v>
      </c>
      <c r="BJ232" s="2720">
        <f t="shared" si="141"/>
        <v>0</v>
      </c>
      <c r="BK232" s="2720">
        <f t="shared" si="142"/>
        <v>0</v>
      </c>
      <c r="BL232" s="2720">
        <f t="shared" si="143"/>
        <v>0</v>
      </c>
      <c r="BM232" s="2720">
        <f t="shared" si="144"/>
        <v>0</v>
      </c>
      <c r="BN232" s="2720">
        <f t="shared" si="145"/>
        <v>0</v>
      </c>
      <c r="BO232" s="2720">
        <f t="shared" si="146"/>
        <v>0</v>
      </c>
      <c r="BP232" s="2720">
        <f t="shared" si="147"/>
        <v>0</v>
      </c>
      <c r="BQ232" s="2720">
        <f t="shared" si="148"/>
        <v>0</v>
      </c>
      <c r="BR232" s="2720">
        <f t="shared" si="149"/>
        <v>0</v>
      </c>
      <c r="BS232" s="2720">
        <f t="shared" si="150"/>
        <v>0</v>
      </c>
      <c r="BT232" s="2772">
        <f t="shared" si="151"/>
        <v>0</v>
      </c>
    </row>
    <row r="233" spans="1:72">
      <c r="A233" s="2717"/>
      <c r="B233" s="2718"/>
      <c r="C233" s="2718"/>
      <c r="D233" s="2719"/>
      <c r="E233" s="2720">
        <f t="shared" si="123"/>
        <v>0</v>
      </c>
      <c r="F233" s="2721"/>
      <c r="G233" s="2722">
        <f t="shared" si="124"/>
        <v>0</v>
      </c>
      <c r="H233" s="2723">
        <f t="shared" si="125"/>
        <v>0</v>
      </c>
      <c r="I233" s="2730"/>
      <c r="J233" s="2730"/>
      <c r="K233" s="2730"/>
      <c r="L233" s="2730"/>
      <c r="M233" s="2730"/>
      <c r="N233" s="2730"/>
      <c r="O233" s="2730"/>
      <c r="P233" s="2730"/>
      <c r="Q233" s="2730"/>
      <c r="R233" s="2730"/>
      <c r="S233" s="2730"/>
      <c r="T233" s="2730"/>
      <c r="U233" s="2730"/>
      <c r="V233" s="2730"/>
      <c r="W233" s="2730"/>
      <c r="X233" s="2730"/>
      <c r="Y233" s="2730"/>
      <c r="Z233" s="2730"/>
      <c r="AA233" s="2730"/>
      <c r="AB233" s="2730"/>
      <c r="AC233" s="2720">
        <f t="shared" si="126"/>
        <v>0</v>
      </c>
      <c r="AD233" s="2740"/>
      <c r="AE233" s="2740"/>
      <c r="AF233" s="2740"/>
      <c r="AG233" s="2740"/>
      <c r="AH233" s="2740"/>
      <c r="AI233" s="2740"/>
      <c r="AJ233" s="2740"/>
      <c r="AK233" s="2740"/>
      <c r="AL233" s="2740"/>
      <c r="AM233" s="2740"/>
      <c r="AN233" s="2740"/>
      <c r="AO233" s="2740"/>
      <c r="AP233" s="2740"/>
      <c r="AQ233" s="2740"/>
      <c r="AR233" s="2740"/>
      <c r="AS233" s="2740"/>
      <c r="AT233" s="2750"/>
      <c r="AU233" s="2751"/>
      <c r="AV233" s="1092">
        <f t="shared" si="127"/>
        <v>0</v>
      </c>
      <c r="AW233" s="1092">
        <f t="shared" si="128"/>
        <v>0</v>
      </c>
      <c r="AX233" s="1092">
        <f t="shared" si="129"/>
        <v>0</v>
      </c>
      <c r="AY233" s="2765">
        <f t="shared" si="130"/>
        <v>0</v>
      </c>
      <c r="AZ233" s="2720">
        <f t="shared" si="131"/>
        <v>0</v>
      </c>
      <c r="BA233" s="2720">
        <f t="shared" si="132"/>
        <v>0</v>
      </c>
      <c r="BB233" s="2720">
        <f t="shared" si="133"/>
        <v>0</v>
      </c>
      <c r="BC233" s="2720">
        <f t="shared" si="134"/>
        <v>0</v>
      </c>
      <c r="BD233" s="2720">
        <f t="shared" si="135"/>
        <v>0</v>
      </c>
      <c r="BE233" s="2720">
        <f t="shared" si="136"/>
        <v>0</v>
      </c>
      <c r="BF233" s="2720">
        <f t="shared" si="137"/>
        <v>0</v>
      </c>
      <c r="BG233" s="2720">
        <f t="shared" si="138"/>
        <v>0</v>
      </c>
      <c r="BH233" s="2720">
        <f t="shared" si="139"/>
        <v>0</v>
      </c>
      <c r="BI233" s="2720">
        <f t="shared" si="140"/>
        <v>0</v>
      </c>
      <c r="BJ233" s="2720">
        <f t="shared" si="141"/>
        <v>0</v>
      </c>
      <c r="BK233" s="2720">
        <f t="shared" si="142"/>
        <v>0</v>
      </c>
      <c r="BL233" s="2720">
        <f t="shared" si="143"/>
        <v>0</v>
      </c>
      <c r="BM233" s="2720">
        <f t="shared" si="144"/>
        <v>0</v>
      </c>
      <c r="BN233" s="2720">
        <f t="shared" si="145"/>
        <v>0</v>
      </c>
      <c r="BO233" s="2720">
        <f t="shared" si="146"/>
        <v>0</v>
      </c>
      <c r="BP233" s="2720">
        <f t="shared" si="147"/>
        <v>0</v>
      </c>
      <c r="BQ233" s="2720">
        <f t="shared" si="148"/>
        <v>0</v>
      </c>
      <c r="BR233" s="2720">
        <f t="shared" si="149"/>
        <v>0</v>
      </c>
      <c r="BS233" s="2720">
        <f t="shared" si="150"/>
        <v>0</v>
      </c>
      <c r="BT233" s="2772">
        <f t="shared" si="151"/>
        <v>0</v>
      </c>
    </row>
    <row r="234" spans="1:72">
      <c r="A234" s="2717"/>
      <c r="B234" s="2718"/>
      <c r="C234" s="2718"/>
      <c r="D234" s="2719"/>
      <c r="E234" s="2720">
        <f t="shared" si="123"/>
        <v>0</v>
      </c>
      <c r="F234" s="2721"/>
      <c r="G234" s="2722">
        <f t="shared" si="124"/>
        <v>0</v>
      </c>
      <c r="H234" s="2723">
        <f t="shared" si="125"/>
        <v>0</v>
      </c>
      <c r="I234" s="2730"/>
      <c r="J234" s="2730"/>
      <c r="K234" s="2730"/>
      <c r="L234" s="2730"/>
      <c r="M234" s="2730"/>
      <c r="N234" s="2730"/>
      <c r="O234" s="2730"/>
      <c r="P234" s="2730"/>
      <c r="Q234" s="2730"/>
      <c r="R234" s="2730"/>
      <c r="S234" s="2730"/>
      <c r="T234" s="2730"/>
      <c r="U234" s="2730"/>
      <c r="V234" s="2730"/>
      <c r="W234" s="2730"/>
      <c r="X234" s="2730"/>
      <c r="Y234" s="2730"/>
      <c r="Z234" s="2730"/>
      <c r="AA234" s="2730"/>
      <c r="AB234" s="2730"/>
      <c r="AC234" s="2720">
        <f t="shared" si="126"/>
        <v>0</v>
      </c>
      <c r="AD234" s="2740"/>
      <c r="AE234" s="2740"/>
      <c r="AF234" s="2740"/>
      <c r="AG234" s="2740"/>
      <c r="AH234" s="2740"/>
      <c r="AI234" s="2740"/>
      <c r="AJ234" s="2740"/>
      <c r="AK234" s="2740"/>
      <c r="AL234" s="2740"/>
      <c r="AM234" s="2740"/>
      <c r="AN234" s="2740"/>
      <c r="AO234" s="2740"/>
      <c r="AP234" s="2740"/>
      <c r="AQ234" s="2740"/>
      <c r="AR234" s="2740"/>
      <c r="AS234" s="2740"/>
      <c r="AT234" s="2750"/>
      <c r="AU234" s="2751"/>
      <c r="AV234" s="1092">
        <f t="shared" si="127"/>
        <v>0</v>
      </c>
      <c r="AW234" s="1092">
        <f t="shared" si="128"/>
        <v>0</v>
      </c>
      <c r="AX234" s="1092">
        <f t="shared" si="129"/>
        <v>0</v>
      </c>
      <c r="AY234" s="2765">
        <f t="shared" si="130"/>
        <v>0</v>
      </c>
      <c r="AZ234" s="2720">
        <f t="shared" si="131"/>
        <v>0</v>
      </c>
      <c r="BA234" s="2720">
        <f t="shared" si="132"/>
        <v>0</v>
      </c>
      <c r="BB234" s="2720">
        <f t="shared" si="133"/>
        <v>0</v>
      </c>
      <c r="BC234" s="2720">
        <f t="shared" si="134"/>
        <v>0</v>
      </c>
      <c r="BD234" s="2720">
        <f t="shared" si="135"/>
        <v>0</v>
      </c>
      <c r="BE234" s="2720">
        <f t="shared" si="136"/>
        <v>0</v>
      </c>
      <c r="BF234" s="2720">
        <f t="shared" si="137"/>
        <v>0</v>
      </c>
      <c r="BG234" s="2720">
        <f t="shared" si="138"/>
        <v>0</v>
      </c>
      <c r="BH234" s="2720">
        <f t="shared" si="139"/>
        <v>0</v>
      </c>
      <c r="BI234" s="2720">
        <f t="shared" si="140"/>
        <v>0</v>
      </c>
      <c r="BJ234" s="2720">
        <f t="shared" si="141"/>
        <v>0</v>
      </c>
      <c r="BK234" s="2720">
        <f t="shared" si="142"/>
        <v>0</v>
      </c>
      <c r="BL234" s="2720">
        <f t="shared" si="143"/>
        <v>0</v>
      </c>
      <c r="BM234" s="2720">
        <f t="shared" si="144"/>
        <v>0</v>
      </c>
      <c r="BN234" s="2720">
        <f t="shared" si="145"/>
        <v>0</v>
      </c>
      <c r="BO234" s="2720">
        <f t="shared" si="146"/>
        <v>0</v>
      </c>
      <c r="BP234" s="2720">
        <f t="shared" si="147"/>
        <v>0</v>
      </c>
      <c r="BQ234" s="2720">
        <f t="shared" si="148"/>
        <v>0</v>
      </c>
      <c r="BR234" s="2720">
        <f t="shared" si="149"/>
        <v>0</v>
      </c>
      <c r="BS234" s="2720">
        <f t="shared" si="150"/>
        <v>0</v>
      </c>
      <c r="BT234" s="2772">
        <f t="shared" si="151"/>
        <v>0</v>
      </c>
    </row>
    <row r="235" spans="1:72">
      <c r="A235" s="2717"/>
      <c r="B235" s="2718"/>
      <c r="C235" s="2718"/>
      <c r="D235" s="2719"/>
      <c r="E235" s="2720">
        <f t="shared" si="123"/>
        <v>0</v>
      </c>
      <c r="F235" s="2721"/>
      <c r="G235" s="2722">
        <f t="shared" si="124"/>
        <v>0</v>
      </c>
      <c r="H235" s="2723">
        <f t="shared" si="125"/>
        <v>0</v>
      </c>
      <c r="I235" s="2730"/>
      <c r="J235" s="2730"/>
      <c r="K235" s="2730"/>
      <c r="L235" s="2730"/>
      <c r="M235" s="2730"/>
      <c r="N235" s="2730"/>
      <c r="O235" s="2730"/>
      <c r="P235" s="2730"/>
      <c r="Q235" s="2730"/>
      <c r="R235" s="2730"/>
      <c r="S235" s="2730"/>
      <c r="T235" s="2730"/>
      <c r="U235" s="2730"/>
      <c r="V235" s="2730"/>
      <c r="W235" s="2730"/>
      <c r="X235" s="2730"/>
      <c r="Y235" s="2730"/>
      <c r="Z235" s="2730"/>
      <c r="AA235" s="2730"/>
      <c r="AB235" s="2730"/>
      <c r="AC235" s="2720">
        <f t="shared" si="126"/>
        <v>0</v>
      </c>
      <c r="AD235" s="2740"/>
      <c r="AE235" s="2740"/>
      <c r="AF235" s="2740"/>
      <c r="AG235" s="2740"/>
      <c r="AH235" s="2740"/>
      <c r="AI235" s="2740"/>
      <c r="AJ235" s="2740"/>
      <c r="AK235" s="2740"/>
      <c r="AL235" s="2740"/>
      <c r="AM235" s="2740"/>
      <c r="AN235" s="2740"/>
      <c r="AO235" s="2740"/>
      <c r="AP235" s="2740"/>
      <c r="AQ235" s="2740"/>
      <c r="AR235" s="2740"/>
      <c r="AS235" s="2740"/>
      <c r="AT235" s="2750"/>
      <c r="AU235" s="2751"/>
      <c r="AV235" s="1092">
        <f t="shared" si="127"/>
        <v>0</v>
      </c>
      <c r="AW235" s="1092">
        <f t="shared" si="128"/>
        <v>0</v>
      </c>
      <c r="AX235" s="1092">
        <f t="shared" si="129"/>
        <v>0</v>
      </c>
      <c r="AY235" s="2765">
        <f t="shared" si="130"/>
        <v>0</v>
      </c>
      <c r="AZ235" s="2720">
        <f t="shared" si="131"/>
        <v>0</v>
      </c>
      <c r="BA235" s="2720">
        <f t="shared" si="132"/>
        <v>0</v>
      </c>
      <c r="BB235" s="2720">
        <f t="shared" si="133"/>
        <v>0</v>
      </c>
      <c r="BC235" s="2720">
        <f t="shared" si="134"/>
        <v>0</v>
      </c>
      <c r="BD235" s="2720">
        <f t="shared" si="135"/>
        <v>0</v>
      </c>
      <c r="BE235" s="2720">
        <f t="shared" si="136"/>
        <v>0</v>
      </c>
      <c r="BF235" s="2720">
        <f t="shared" si="137"/>
        <v>0</v>
      </c>
      <c r="BG235" s="2720">
        <f t="shared" si="138"/>
        <v>0</v>
      </c>
      <c r="BH235" s="2720">
        <f t="shared" si="139"/>
        <v>0</v>
      </c>
      <c r="BI235" s="2720">
        <f t="shared" si="140"/>
        <v>0</v>
      </c>
      <c r="BJ235" s="2720">
        <f t="shared" si="141"/>
        <v>0</v>
      </c>
      <c r="BK235" s="2720">
        <f t="shared" si="142"/>
        <v>0</v>
      </c>
      <c r="BL235" s="2720">
        <f t="shared" si="143"/>
        <v>0</v>
      </c>
      <c r="BM235" s="2720">
        <f t="shared" si="144"/>
        <v>0</v>
      </c>
      <c r="BN235" s="2720">
        <f t="shared" si="145"/>
        <v>0</v>
      </c>
      <c r="BO235" s="2720">
        <f t="shared" si="146"/>
        <v>0</v>
      </c>
      <c r="BP235" s="2720">
        <f t="shared" si="147"/>
        <v>0</v>
      </c>
      <c r="BQ235" s="2720">
        <f t="shared" si="148"/>
        <v>0</v>
      </c>
      <c r="BR235" s="2720">
        <f t="shared" si="149"/>
        <v>0</v>
      </c>
      <c r="BS235" s="2720">
        <f t="shared" si="150"/>
        <v>0</v>
      </c>
      <c r="BT235" s="2772">
        <f t="shared" si="151"/>
        <v>0</v>
      </c>
    </row>
    <row r="236" spans="1:72">
      <c r="A236" s="2717"/>
      <c r="B236" s="2718"/>
      <c r="C236" s="2718"/>
      <c r="D236" s="2719"/>
      <c r="E236" s="2720">
        <f t="shared" si="123"/>
        <v>0</v>
      </c>
      <c r="F236" s="2721"/>
      <c r="G236" s="2722">
        <f t="shared" si="124"/>
        <v>0</v>
      </c>
      <c r="H236" s="2723">
        <f t="shared" si="125"/>
        <v>0</v>
      </c>
      <c r="I236" s="2730"/>
      <c r="J236" s="2730"/>
      <c r="K236" s="2730"/>
      <c r="L236" s="2730"/>
      <c r="M236" s="2730"/>
      <c r="N236" s="2730"/>
      <c r="O236" s="2730"/>
      <c r="P236" s="2730"/>
      <c r="Q236" s="2730"/>
      <c r="R236" s="2730"/>
      <c r="S236" s="2730"/>
      <c r="T236" s="2730"/>
      <c r="U236" s="2730"/>
      <c r="V236" s="2730"/>
      <c r="W236" s="2730"/>
      <c r="X236" s="2730"/>
      <c r="Y236" s="2730"/>
      <c r="Z236" s="2730"/>
      <c r="AA236" s="2730"/>
      <c r="AB236" s="2730"/>
      <c r="AC236" s="2720">
        <f t="shared" si="126"/>
        <v>0</v>
      </c>
      <c r="AD236" s="2740"/>
      <c r="AE236" s="2740"/>
      <c r="AF236" s="2740"/>
      <c r="AG236" s="2740"/>
      <c r="AH236" s="2740"/>
      <c r="AI236" s="2740"/>
      <c r="AJ236" s="2740"/>
      <c r="AK236" s="2740"/>
      <c r="AL236" s="2740"/>
      <c r="AM236" s="2740"/>
      <c r="AN236" s="2740"/>
      <c r="AO236" s="2740"/>
      <c r="AP236" s="2740"/>
      <c r="AQ236" s="2740"/>
      <c r="AR236" s="2740"/>
      <c r="AS236" s="2740"/>
      <c r="AT236" s="2750"/>
      <c r="AU236" s="2751"/>
      <c r="AV236" s="1092">
        <f t="shared" si="127"/>
        <v>0</v>
      </c>
      <c r="AW236" s="1092">
        <f t="shared" si="128"/>
        <v>0</v>
      </c>
      <c r="AX236" s="1092">
        <f t="shared" si="129"/>
        <v>0</v>
      </c>
      <c r="AY236" s="2765">
        <f t="shared" si="130"/>
        <v>0</v>
      </c>
      <c r="AZ236" s="2720">
        <f t="shared" si="131"/>
        <v>0</v>
      </c>
      <c r="BA236" s="2720">
        <f t="shared" si="132"/>
        <v>0</v>
      </c>
      <c r="BB236" s="2720">
        <f t="shared" si="133"/>
        <v>0</v>
      </c>
      <c r="BC236" s="2720">
        <f t="shared" si="134"/>
        <v>0</v>
      </c>
      <c r="BD236" s="2720">
        <f t="shared" si="135"/>
        <v>0</v>
      </c>
      <c r="BE236" s="2720">
        <f t="shared" si="136"/>
        <v>0</v>
      </c>
      <c r="BF236" s="2720">
        <f t="shared" si="137"/>
        <v>0</v>
      </c>
      <c r="BG236" s="2720">
        <f t="shared" si="138"/>
        <v>0</v>
      </c>
      <c r="BH236" s="2720">
        <f t="shared" si="139"/>
        <v>0</v>
      </c>
      <c r="BI236" s="2720">
        <f t="shared" si="140"/>
        <v>0</v>
      </c>
      <c r="BJ236" s="2720">
        <f t="shared" si="141"/>
        <v>0</v>
      </c>
      <c r="BK236" s="2720">
        <f t="shared" si="142"/>
        <v>0</v>
      </c>
      <c r="BL236" s="2720">
        <f t="shared" si="143"/>
        <v>0</v>
      </c>
      <c r="BM236" s="2720">
        <f t="shared" si="144"/>
        <v>0</v>
      </c>
      <c r="BN236" s="2720">
        <f t="shared" si="145"/>
        <v>0</v>
      </c>
      <c r="BO236" s="2720">
        <f t="shared" si="146"/>
        <v>0</v>
      </c>
      <c r="BP236" s="2720">
        <f t="shared" si="147"/>
        <v>0</v>
      </c>
      <c r="BQ236" s="2720">
        <f t="shared" si="148"/>
        <v>0</v>
      </c>
      <c r="BR236" s="2720">
        <f t="shared" si="149"/>
        <v>0</v>
      </c>
      <c r="BS236" s="2720">
        <f t="shared" si="150"/>
        <v>0</v>
      </c>
      <c r="BT236" s="2772">
        <f t="shared" si="151"/>
        <v>0</v>
      </c>
    </row>
    <row r="237" spans="1:72">
      <c r="A237" s="2717"/>
      <c r="B237" s="2718"/>
      <c r="C237" s="2718"/>
      <c r="D237" s="2719"/>
      <c r="E237" s="2720">
        <f t="shared" si="123"/>
        <v>0</v>
      </c>
      <c r="F237" s="2721"/>
      <c r="G237" s="2722">
        <f t="shared" si="124"/>
        <v>0</v>
      </c>
      <c r="H237" s="2723">
        <f t="shared" si="125"/>
        <v>0</v>
      </c>
      <c r="I237" s="2730"/>
      <c r="J237" s="2730"/>
      <c r="K237" s="2730"/>
      <c r="L237" s="2730"/>
      <c r="M237" s="2730"/>
      <c r="N237" s="2730"/>
      <c r="O237" s="2730"/>
      <c r="P237" s="2730"/>
      <c r="Q237" s="2730"/>
      <c r="R237" s="2730"/>
      <c r="S237" s="2730"/>
      <c r="T237" s="2730"/>
      <c r="U237" s="2730"/>
      <c r="V237" s="2730"/>
      <c r="W237" s="2730"/>
      <c r="X237" s="2730"/>
      <c r="Y237" s="2730"/>
      <c r="Z237" s="2730"/>
      <c r="AA237" s="2730"/>
      <c r="AB237" s="2730"/>
      <c r="AC237" s="2720">
        <f t="shared" si="126"/>
        <v>0</v>
      </c>
      <c r="AD237" s="2740"/>
      <c r="AE237" s="2740"/>
      <c r="AF237" s="2740"/>
      <c r="AG237" s="2740"/>
      <c r="AH237" s="2740"/>
      <c r="AI237" s="2740"/>
      <c r="AJ237" s="2740"/>
      <c r="AK237" s="2740"/>
      <c r="AL237" s="2740"/>
      <c r="AM237" s="2740"/>
      <c r="AN237" s="2740"/>
      <c r="AO237" s="2740"/>
      <c r="AP237" s="2740"/>
      <c r="AQ237" s="2740"/>
      <c r="AR237" s="2740"/>
      <c r="AS237" s="2740"/>
      <c r="AT237" s="2750"/>
      <c r="AU237" s="2751"/>
      <c r="AV237" s="1092">
        <f t="shared" si="127"/>
        <v>0</v>
      </c>
      <c r="AW237" s="1092">
        <f t="shared" si="128"/>
        <v>0</v>
      </c>
      <c r="AX237" s="1092">
        <f t="shared" si="129"/>
        <v>0</v>
      </c>
      <c r="AY237" s="2765">
        <f t="shared" si="130"/>
        <v>0</v>
      </c>
      <c r="AZ237" s="2720">
        <f t="shared" si="131"/>
        <v>0</v>
      </c>
      <c r="BA237" s="2720">
        <f t="shared" si="132"/>
        <v>0</v>
      </c>
      <c r="BB237" s="2720">
        <f t="shared" si="133"/>
        <v>0</v>
      </c>
      <c r="BC237" s="2720">
        <f t="shared" si="134"/>
        <v>0</v>
      </c>
      <c r="BD237" s="2720">
        <f t="shared" si="135"/>
        <v>0</v>
      </c>
      <c r="BE237" s="2720">
        <f t="shared" si="136"/>
        <v>0</v>
      </c>
      <c r="BF237" s="2720">
        <f t="shared" si="137"/>
        <v>0</v>
      </c>
      <c r="BG237" s="2720">
        <f t="shared" si="138"/>
        <v>0</v>
      </c>
      <c r="BH237" s="2720">
        <f t="shared" si="139"/>
        <v>0</v>
      </c>
      <c r="BI237" s="2720">
        <f t="shared" si="140"/>
        <v>0</v>
      </c>
      <c r="BJ237" s="2720">
        <f t="shared" si="141"/>
        <v>0</v>
      </c>
      <c r="BK237" s="2720">
        <f t="shared" si="142"/>
        <v>0</v>
      </c>
      <c r="BL237" s="2720">
        <f t="shared" si="143"/>
        <v>0</v>
      </c>
      <c r="BM237" s="2720">
        <f t="shared" si="144"/>
        <v>0</v>
      </c>
      <c r="BN237" s="2720">
        <f t="shared" si="145"/>
        <v>0</v>
      </c>
      <c r="BO237" s="2720">
        <f t="shared" si="146"/>
        <v>0</v>
      </c>
      <c r="BP237" s="2720">
        <f t="shared" si="147"/>
        <v>0</v>
      </c>
      <c r="BQ237" s="2720">
        <f t="shared" si="148"/>
        <v>0</v>
      </c>
      <c r="BR237" s="2720">
        <f t="shared" si="149"/>
        <v>0</v>
      </c>
      <c r="BS237" s="2720">
        <f t="shared" si="150"/>
        <v>0</v>
      </c>
      <c r="BT237" s="2772">
        <f t="shared" si="151"/>
        <v>0</v>
      </c>
    </row>
    <row r="238" spans="1:72">
      <c r="A238" s="2717"/>
      <c r="B238" s="2718"/>
      <c r="C238" s="2718"/>
      <c r="D238" s="2719"/>
      <c r="E238" s="2720">
        <f t="shared" si="123"/>
        <v>0</v>
      </c>
      <c r="F238" s="2721"/>
      <c r="G238" s="2722">
        <f t="shared" si="124"/>
        <v>0</v>
      </c>
      <c r="H238" s="2723">
        <f t="shared" si="125"/>
        <v>0</v>
      </c>
      <c r="I238" s="2730"/>
      <c r="J238" s="2730"/>
      <c r="K238" s="2730"/>
      <c r="L238" s="2730"/>
      <c r="M238" s="2730"/>
      <c r="N238" s="2730"/>
      <c r="O238" s="2730"/>
      <c r="P238" s="2730"/>
      <c r="Q238" s="2730"/>
      <c r="R238" s="2730"/>
      <c r="S238" s="2730"/>
      <c r="T238" s="2730"/>
      <c r="U238" s="2730"/>
      <c r="V238" s="2730"/>
      <c r="W238" s="2730"/>
      <c r="X238" s="2730"/>
      <c r="Y238" s="2730"/>
      <c r="Z238" s="2730"/>
      <c r="AA238" s="2730"/>
      <c r="AB238" s="2730"/>
      <c r="AC238" s="2720">
        <f t="shared" si="126"/>
        <v>0</v>
      </c>
      <c r="AD238" s="2740"/>
      <c r="AE238" s="2740"/>
      <c r="AF238" s="2740"/>
      <c r="AG238" s="2740"/>
      <c r="AH238" s="2740"/>
      <c r="AI238" s="2740"/>
      <c r="AJ238" s="2740"/>
      <c r="AK238" s="2740"/>
      <c r="AL238" s="2740"/>
      <c r="AM238" s="2740"/>
      <c r="AN238" s="2740"/>
      <c r="AO238" s="2740"/>
      <c r="AP238" s="2740"/>
      <c r="AQ238" s="2740"/>
      <c r="AR238" s="2740"/>
      <c r="AS238" s="2740"/>
      <c r="AT238" s="2750"/>
      <c r="AU238" s="2751"/>
      <c r="AV238" s="1092">
        <f t="shared" si="127"/>
        <v>0</v>
      </c>
      <c r="AW238" s="1092">
        <f t="shared" si="128"/>
        <v>0</v>
      </c>
      <c r="AX238" s="1092">
        <f t="shared" si="129"/>
        <v>0</v>
      </c>
      <c r="AY238" s="2765">
        <f t="shared" si="130"/>
        <v>0</v>
      </c>
      <c r="AZ238" s="2720">
        <f t="shared" si="131"/>
        <v>0</v>
      </c>
      <c r="BA238" s="2720">
        <f t="shared" si="132"/>
        <v>0</v>
      </c>
      <c r="BB238" s="2720">
        <f t="shared" si="133"/>
        <v>0</v>
      </c>
      <c r="BC238" s="2720">
        <f t="shared" si="134"/>
        <v>0</v>
      </c>
      <c r="BD238" s="2720">
        <f t="shared" si="135"/>
        <v>0</v>
      </c>
      <c r="BE238" s="2720">
        <f t="shared" si="136"/>
        <v>0</v>
      </c>
      <c r="BF238" s="2720">
        <f t="shared" si="137"/>
        <v>0</v>
      </c>
      <c r="BG238" s="2720">
        <f t="shared" si="138"/>
        <v>0</v>
      </c>
      <c r="BH238" s="2720">
        <f t="shared" si="139"/>
        <v>0</v>
      </c>
      <c r="BI238" s="2720">
        <f t="shared" si="140"/>
        <v>0</v>
      </c>
      <c r="BJ238" s="2720">
        <f t="shared" si="141"/>
        <v>0</v>
      </c>
      <c r="BK238" s="2720">
        <f t="shared" si="142"/>
        <v>0</v>
      </c>
      <c r="BL238" s="2720">
        <f t="shared" si="143"/>
        <v>0</v>
      </c>
      <c r="BM238" s="2720">
        <f t="shared" si="144"/>
        <v>0</v>
      </c>
      <c r="BN238" s="2720">
        <f t="shared" si="145"/>
        <v>0</v>
      </c>
      <c r="BO238" s="2720">
        <f t="shared" si="146"/>
        <v>0</v>
      </c>
      <c r="BP238" s="2720">
        <f t="shared" si="147"/>
        <v>0</v>
      </c>
      <c r="BQ238" s="2720">
        <f t="shared" si="148"/>
        <v>0</v>
      </c>
      <c r="BR238" s="2720">
        <f t="shared" si="149"/>
        <v>0</v>
      </c>
      <c r="BS238" s="2720">
        <f t="shared" si="150"/>
        <v>0</v>
      </c>
      <c r="BT238" s="2772">
        <f t="shared" si="151"/>
        <v>0</v>
      </c>
    </row>
    <row r="239" spans="1:72">
      <c r="A239" s="2717"/>
      <c r="B239" s="2718"/>
      <c r="C239" s="2718"/>
      <c r="D239" s="2719"/>
      <c r="E239" s="2720">
        <f t="shared" si="123"/>
        <v>0</v>
      </c>
      <c r="F239" s="2721"/>
      <c r="G239" s="2722">
        <f t="shared" si="124"/>
        <v>0</v>
      </c>
      <c r="H239" s="2723">
        <f t="shared" si="125"/>
        <v>0</v>
      </c>
      <c r="I239" s="2730"/>
      <c r="J239" s="2730"/>
      <c r="K239" s="2730"/>
      <c r="L239" s="2730"/>
      <c r="M239" s="2730"/>
      <c r="N239" s="2730"/>
      <c r="O239" s="2730"/>
      <c r="P239" s="2730"/>
      <c r="Q239" s="2730"/>
      <c r="R239" s="2730"/>
      <c r="S239" s="2730"/>
      <c r="T239" s="2730"/>
      <c r="U239" s="2730"/>
      <c r="V239" s="2730"/>
      <c r="W239" s="2730"/>
      <c r="X239" s="2730"/>
      <c r="Y239" s="2730"/>
      <c r="Z239" s="2730"/>
      <c r="AA239" s="2730"/>
      <c r="AB239" s="2730"/>
      <c r="AC239" s="2720">
        <f t="shared" si="126"/>
        <v>0</v>
      </c>
      <c r="AD239" s="2740"/>
      <c r="AE239" s="2740"/>
      <c r="AF239" s="2740"/>
      <c r="AG239" s="2740"/>
      <c r="AH239" s="2740"/>
      <c r="AI239" s="2740"/>
      <c r="AJ239" s="2740"/>
      <c r="AK239" s="2740"/>
      <c r="AL239" s="2740"/>
      <c r="AM239" s="2740"/>
      <c r="AN239" s="2740"/>
      <c r="AO239" s="2740"/>
      <c r="AP239" s="2740"/>
      <c r="AQ239" s="2740"/>
      <c r="AR239" s="2740"/>
      <c r="AS239" s="2740"/>
      <c r="AT239" s="2750"/>
      <c r="AU239" s="2751"/>
      <c r="AV239" s="1092">
        <f t="shared" si="127"/>
        <v>0</v>
      </c>
      <c r="AW239" s="1092">
        <f t="shared" si="128"/>
        <v>0</v>
      </c>
      <c r="AX239" s="1092">
        <f t="shared" si="129"/>
        <v>0</v>
      </c>
      <c r="AY239" s="2765">
        <f t="shared" si="130"/>
        <v>0</v>
      </c>
      <c r="AZ239" s="2720">
        <f t="shared" si="131"/>
        <v>0</v>
      </c>
      <c r="BA239" s="2720">
        <f t="shared" si="132"/>
        <v>0</v>
      </c>
      <c r="BB239" s="2720">
        <f t="shared" si="133"/>
        <v>0</v>
      </c>
      <c r="BC239" s="2720">
        <f t="shared" si="134"/>
        <v>0</v>
      </c>
      <c r="BD239" s="2720">
        <f t="shared" si="135"/>
        <v>0</v>
      </c>
      <c r="BE239" s="2720">
        <f t="shared" si="136"/>
        <v>0</v>
      </c>
      <c r="BF239" s="2720">
        <f t="shared" si="137"/>
        <v>0</v>
      </c>
      <c r="BG239" s="2720">
        <f t="shared" si="138"/>
        <v>0</v>
      </c>
      <c r="BH239" s="2720">
        <f t="shared" si="139"/>
        <v>0</v>
      </c>
      <c r="BI239" s="2720">
        <f t="shared" si="140"/>
        <v>0</v>
      </c>
      <c r="BJ239" s="2720">
        <f t="shared" si="141"/>
        <v>0</v>
      </c>
      <c r="BK239" s="2720">
        <f t="shared" si="142"/>
        <v>0</v>
      </c>
      <c r="BL239" s="2720">
        <f t="shared" si="143"/>
        <v>0</v>
      </c>
      <c r="BM239" s="2720">
        <f t="shared" si="144"/>
        <v>0</v>
      </c>
      <c r="BN239" s="2720">
        <f t="shared" si="145"/>
        <v>0</v>
      </c>
      <c r="BO239" s="2720">
        <f t="shared" si="146"/>
        <v>0</v>
      </c>
      <c r="BP239" s="2720">
        <f t="shared" si="147"/>
        <v>0</v>
      </c>
      <c r="BQ239" s="2720">
        <f t="shared" si="148"/>
        <v>0</v>
      </c>
      <c r="BR239" s="2720">
        <f t="shared" si="149"/>
        <v>0</v>
      </c>
      <c r="BS239" s="2720">
        <f t="shared" si="150"/>
        <v>0</v>
      </c>
      <c r="BT239" s="2772">
        <f t="shared" si="151"/>
        <v>0</v>
      </c>
    </row>
    <row r="240" spans="1:72">
      <c r="A240" s="2717"/>
      <c r="B240" s="2718"/>
      <c r="C240" s="2718"/>
      <c r="D240" s="2719"/>
      <c r="E240" s="2720">
        <f t="shared" si="123"/>
        <v>0</v>
      </c>
      <c r="F240" s="2721"/>
      <c r="G240" s="2722">
        <f t="shared" si="124"/>
        <v>0</v>
      </c>
      <c r="H240" s="2723">
        <f t="shared" si="125"/>
        <v>0</v>
      </c>
      <c r="I240" s="2730"/>
      <c r="J240" s="2730"/>
      <c r="K240" s="2730"/>
      <c r="L240" s="2730"/>
      <c r="M240" s="2730"/>
      <c r="N240" s="2730"/>
      <c r="O240" s="2730"/>
      <c r="P240" s="2730"/>
      <c r="Q240" s="2730"/>
      <c r="R240" s="2730"/>
      <c r="S240" s="2730"/>
      <c r="T240" s="2730"/>
      <c r="U240" s="2730"/>
      <c r="V240" s="2730"/>
      <c r="W240" s="2730"/>
      <c r="X240" s="2730"/>
      <c r="Y240" s="2730"/>
      <c r="Z240" s="2730"/>
      <c r="AA240" s="2730"/>
      <c r="AB240" s="2730"/>
      <c r="AC240" s="2720">
        <f t="shared" si="126"/>
        <v>0</v>
      </c>
      <c r="AD240" s="2740"/>
      <c r="AE240" s="2740"/>
      <c r="AF240" s="2740"/>
      <c r="AG240" s="2740"/>
      <c r="AH240" s="2740"/>
      <c r="AI240" s="2740"/>
      <c r="AJ240" s="2740"/>
      <c r="AK240" s="2740"/>
      <c r="AL240" s="2740"/>
      <c r="AM240" s="2740"/>
      <c r="AN240" s="2740"/>
      <c r="AO240" s="2740"/>
      <c r="AP240" s="2740"/>
      <c r="AQ240" s="2740"/>
      <c r="AR240" s="2740"/>
      <c r="AS240" s="2740"/>
      <c r="AT240" s="2750"/>
      <c r="AU240" s="2751"/>
      <c r="AV240" s="1092">
        <f t="shared" si="127"/>
        <v>0</v>
      </c>
      <c r="AW240" s="1092">
        <f t="shared" si="128"/>
        <v>0</v>
      </c>
      <c r="AX240" s="1092">
        <f t="shared" si="129"/>
        <v>0</v>
      </c>
      <c r="AY240" s="2765">
        <f t="shared" si="130"/>
        <v>0</v>
      </c>
      <c r="AZ240" s="2720">
        <f t="shared" si="131"/>
        <v>0</v>
      </c>
      <c r="BA240" s="2720">
        <f t="shared" si="132"/>
        <v>0</v>
      </c>
      <c r="BB240" s="2720">
        <f t="shared" si="133"/>
        <v>0</v>
      </c>
      <c r="BC240" s="2720">
        <f t="shared" si="134"/>
        <v>0</v>
      </c>
      <c r="BD240" s="2720">
        <f t="shared" si="135"/>
        <v>0</v>
      </c>
      <c r="BE240" s="2720">
        <f t="shared" si="136"/>
        <v>0</v>
      </c>
      <c r="BF240" s="2720">
        <f t="shared" si="137"/>
        <v>0</v>
      </c>
      <c r="BG240" s="2720">
        <f t="shared" si="138"/>
        <v>0</v>
      </c>
      <c r="BH240" s="2720">
        <f t="shared" si="139"/>
        <v>0</v>
      </c>
      <c r="BI240" s="2720">
        <f t="shared" si="140"/>
        <v>0</v>
      </c>
      <c r="BJ240" s="2720">
        <f t="shared" si="141"/>
        <v>0</v>
      </c>
      <c r="BK240" s="2720">
        <f t="shared" si="142"/>
        <v>0</v>
      </c>
      <c r="BL240" s="2720">
        <f t="shared" si="143"/>
        <v>0</v>
      </c>
      <c r="BM240" s="2720">
        <f t="shared" si="144"/>
        <v>0</v>
      </c>
      <c r="BN240" s="2720">
        <f t="shared" si="145"/>
        <v>0</v>
      </c>
      <c r="BO240" s="2720">
        <f t="shared" si="146"/>
        <v>0</v>
      </c>
      <c r="BP240" s="2720">
        <f t="shared" si="147"/>
        <v>0</v>
      </c>
      <c r="BQ240" s="2720">
        <f t="shared" si="148"/>
        <v>0</v>
      </c>
      <c r="BR240" s="2720">
        <f t="shared" si="149"/>
        <v>0</v>
      </c>
      <c r="BS240" s="2720">
        <f t="shared" si="150"/>
        <v>0</v>
      </c>
      <c r="BT240" s="2772">
        <f t="shared" si="151"/>
        <v>0</v>
      </c>
    </row>
    <row r="241" spans="1:72">
      <c r="A241" s="2717"/>
      <c r="B241" s="2718"/>
      <c r="C241" s="2718"/>
      <c r="D241" s="2719"/>
      <c r="E241" s="2720">
        <f t="shared" si="123"/>
        <v>0</v>
      </c>
      <c r="F241" s="2721"/>
      <c r="G241" s="2722">
        <f t="shared" si="124"/>
        <v>0</v>
      </c>
      <c r="H241" s="2723">
        <f t="shared" si="125"/>
        <v>0</v>
      </c>
      <c r="I241" s="2730"/>
      <c r="J241" s="2730"/>
      <c r="K241" s="2730"/>
      <c r="L241" s="2730"/>
      <c r="M241" s="2730"/>
      <c r="N241" s="2730"/>
      <c r="O241" s="2730"/>
      <c r="P241" s="2730"/>
      <c r="Q241" s="2730"/>
      <c r="R241" s="2730"/>
      <c r="S241" s="2730"/>
      <c r="T241" s="2730"/>
      <c r="U241" s="2730"/>
      <c r="V241" s="2730"/>
      <c r="W241" s="2730"/>
      <c r="X241" s="2730"/>
      <c r="Y241" s="2730"/>
      <c r="Z241" s="2730"/>
      <c r="AA241" s="2730"/>
      <c r="AB241" s="2730"/>
      <c r="AC241" s="2720">
        <f t="shared" si="126"/>
        <v>0</v>
      </c>
      <c r="AD241" s="2740"/>
      <c r="AE241" s="2740"/>
      <c r="AF241" s="2740"/>
      <c r="AG241" s="2740"/>
      <c r="AH241" s="2740"/>
      <c r="AI241" s="2740"/>
      <c r="AJ241" s="2740"/>
      <c r="AK241" s="2740"/>
      <c r="AL241" s="2740"/>
      <c r="AM241" s="2740"/>
      <c r="AN241" s="2740"/>
      <c r="AO241" s="2740"/>
      <c r="AP241" s="2740"/>
      <c r="AQ241" s="2740"/>
      <c r="AR241" s="2740"/>
      <c r="AS241" s="2740"/>
      <c r="AT241" s="2750"/>
      <c r="AU241" s="2751"/>
      <c r="AV241" s="1092">
        <f t="shared" si="127"/>
        <v>0</v>
      </c>
      <c r="AW241" s="1092">
        <f t="shared" si="128"/>
        <v>0</v>
      </c>
      <c r="AX241" s="1092">
        <f t="shared" si="129"/>
        <v>0</v>
      </c>
      <c r="AY241" s="2765">
        <f t="shared" si="130"/>
        <v>0</v>
      </c>
      <c r="AZ241" s="2720">
        <f t="shared" si="131"/>
        <v>0</v>
      </c>
      <c r="BA241" s="2720">
        <f t="shared" si="132"/>
        <v>0</v>
      </c>
      <c r="BB241" s="2720">
        <f t="shared" si="133"/>
        <v>0</v>
      </c>
      <c r="BC241" s="2720">
        <f t="shared" si="134"/>
        <v>0</v>
      </c>
      <c r="BD241" s="2720">
        <f t="shared" si="135"/>
        <v>0</v>
      </c>
      <c r="BE241" s="2720">
        <f t="shared" si="136"/>
        <v>0</v>
      </c>
      <c r="BF241" s="2720">
        <f t="shared" si="137"/>
        <v>0</v>
      </c>
      <c r="BG241" s="2720">
        <f t="shared" si="138"/>
        <v>0</v>
      </c>
      <c r="BH241" s="2720">
        <f t="shared" si="139"/>
        <v>0</v>
      </c>
      <c r="BI241" s="2720">
        <f t="shared" si="140"/>
        <v>0</v>
      </c>
      <c r="BJ241" s="2720">
        <f t="shared" si="141"/>
        <v>0</v>
      </c>
      <c r="BK241" s="2720">
        <f t="shared" si="142"/>
        <v>0</v>
      </c>
      <c r="BL241" s="2720">
        <f t="shared" si="143"/>
        <v>0</v>
      </c>
      <c r="BM241" s="2720">
        <f t="shared" si="144"/>
        <v>0</v>
      </c>
      <c r="BN241" s="2720">
        <f t="shared" si="145"/>
        <v>0</v>
      </c>
      <c r="BO241" s="2720">
        <f t="shared" si="146"/>
        <v>0</v>
      </c>
      <c r="BP241" s="2720">
        <f t="shared" si="147"/>
        <v>0</v>
      </c>
      <c r="BQ241" s="2720">
        <f t="shared" si="148"/>
        <v>0</v>
      </c>
      <c r="BR241" s="2720">
        <f t="shared" si="149"/>
        <v>0</v>
      </c>
      <c r="BS241" s="2720">
        <f t="shared" si="150"/>
        <v>0</v>
      </c>
      <c r="BT241" s="2772">
        <f t="shared" si="151"/>
        <v>0</v>
      </c>
    </row>
    <row r="242" spans="1:72">
      <c r="A242" s="2717"/>
      <c r="B242" s="2718"/>
      <c r="C242" s="2718"/>
      <c r="D242" s="2719"/>
      <c r="E242" s="2720">
        <f t="shared" si="123"/>
        <v>0</v>
      </c>
      <c r="F242" s="2721"/>
      <c r="G242" s="2722">
        <f t="shared" si="124"/>
        <v>0</v>
      </c>
      <c r="H242" s="2723">
        <f t="shared" si="125"/>
        <v>0</v>
      </c>
      <c r="I242" s="2730"/>
      <c r="J242" s="2730"/>
      <c r="K242" s="2730"/>
      <c r="L242" s="2730"/>
      <c r="M242" s="2730"/>
      <c r="N242" s="2730"/>
      <c r="O242" s="2730"/>
      <c r="P242" s="2730"/>
      <c r="Q242" s="2730"/>
      <c r="R242" s="2730"/>
      <c r="S242" s="2730"/>
      <c r="T242" s="2730"/>
      <c r="U242" s="2730"/>
      <c r="V242" s="2730"/>
      <c r="W242" s="2730"/>
      <c r="X242" s="2730"/>
      <c r="Y242" s="2730"/>
      <c r="Z242" s="2730"/>
      <c r="AA242" s="2730"/>
      <c r="AB242" s="2730"/>
      <c r="AC242" s="2720">
        <f t="shared" si="126"/>
        <v>0</v>
      </c>
      <c r="AD242" s="2740"/>
      <c r="AE242" s="2740"/>
      <c r="AF242" s="2740"/>
      <c r="AG242" s="2740"/>
      <c r="AH242" s="2740"/>
      <c r="AI242" s="2740"/>
      <c r="AJ242" s="2740"/>
      <c r="AK242" s="2740"/>
      <c r="AL242" s="2740"/>
      <c r="AM242" s="2740"/>
      <c r="AN242" s="2740"/>
      <c r="AO242" s="2740"/>
      <c r="AP242" s="2740"/>
      <c r="AQ242" s="2740"/>
      <c r="AR242" s="2740"/>
      <c r="AS242" s="2740"/>
      <c r="AT242" s="2750"/>
      <c r="AU242" s="2751"/>
      <c r="AV242" s="1092">
        <f t="shared" si="127"/>
        <v>0</v>
      </c>
      <c r="AW242" s="1092">
        <f t="shared" si="128"/>
        <v>0</v>
      </c>
      <c r="AX242" s="1092">
        <f t="shared" si="129"/>
        <v>0</v>
      </c>
      <c r="AY242" s="2765">
        <f t="shared" si="130"/>
        <v>0</v>
      </c>
      <c r="AZ242" s="2720">
        <f t="shared" si="131"/>
        <v>0</v>
      </c>
      <c r="BA242" s="2720">
        <f t="shared" si="132"/>
        <v>0</v>
      </c>
      <c r="BB242" s="2720">
        <f t="shared" si="133"/>
        <v>0</v>
      </c>
      <c r="BC242" s="2720">
        <f t="shared" si="134"/>
        <v>0</v>
      </c>
      <c r="BD242" s="2720">
        <f t="shared" si="135"/>
        <v>0</v>
      </c>
      <c r="BE242" s="2720">
        <f t="shared" si="136"/>
        <v>0</v>
      </c>
      <c r="BF242" s="2720">
        <f t="shared" si="137"/>
        <v>0</v>
      </c>
      <c r="BG242" s="2720">
        <f t="shared" si="138"/>
        <v>0</v>
      </c>
      <c r="BH242" s="2720">
        <f t="shared" si="139"/>
        <v>0</v>
      </c>
      <c r="BI242" s="2720">
        <f t="shared" si="140"/>
        <v>0</v>
      </c>
      <c r="BJ242" s="2720">
        <f t="shared" si="141"/>
        <v>0</v>
      </c>
      <c r="BK242" s="2720">
        <f t="shared" si="142"/>
        <v>0</v>
      </c>
      <c r="BL242" s="2720">
        <f t="shared" si="143"/>
        <v>0</v>
      </c>
      <c r="BM242" s="2720">
        <f t="shared" si="144"/>
        <v>0</v>
      </c>
      <c r="BN242" s="2720">
        <f t="shared" si="145"/>
        <v>0</v>
      </c>
      <c r="BO242" s="2720">
        <f t="shared" si="146"/>
        <v>0</v>
      </c>
      <c r="BP242" s="2720">
        <f t="shared" si="147"/>
        <v>0</v>
      </c>
      <c r="BQ242" s="2720">
        <f t="shared" si="148"/>
        <v>0</v>
      </c>
      <c r="BR242" s="2720">
        <f t="shared" si="149"/>
        <v>0</v>
      </c>
      <c r="BS242" s="2720">
        <f t="shared" si="150"/>
        <v>0</v>
      </c>
      <c r="BT242" s="2772">
        <f t="shared" si="151"/>
        <v>0</v>
      </c>
    </row>
    <row r="243" spans="1:72">
      <c r="A243" s="2717"/>
      <c r="B243" s="2718"/>
      <c r="C243" s="2718"/>
      <c r="D243" s="2719"/>
      <c r="E243" s="2720">
        <f t="shared" si="123"/>
        <v>0</v>
      </c>
      <c r="F243" s="2721"/>
      <c r="G243" s="2722">
        <f t="shared" si="124"/>
        <v>0</v>
      </c>
      <c r="H243" s="2723">
        <f t="shared" si="125"/>
        <v>0</v>
      </c>
      <c r="I243" s="2730"/>
      <c r="J243" s="2730"/>
      <c r="K243" s="2730"/>
      <c r="L243" s="2730"/>
      <c r="M243" s="2730"/>
      <c r="N243" s="2730"/>
      <c r="O243" s="2730"/>
      <c r="P243" s="2730"/>
      <c r="Q243" s="2730"/>
      <c r="R243" s="2730"/>
      <c r="S243" s="2730"/>
      <c r="T243" s="2730"/>
      <c r="U243" s="2730"/>
      <c r="V243" s="2730"/>
      <c r="W243" s="2730"/>
      <c r="X243" s="2730"/>
      <c r="Y243" s="2730"/>
      <c r="Z243" s="2730"/>
      <c r="AA243" s="2730"/>
      <c r="AB243" s="2730"/>
      <c r="AC243" s="2720">
        <f t="shared" si="126"/>
        <v>0</v>
      </c>
      <c r="AD243" s="2740"/>
      <c r="AE243" s="2740"/>
      <c r="AF243" s="2740"/>
      <c r="AG243" s="2740"/>
      <c r="AH243" s="2740"/>
      <c r="AI243" s="2740"/>
      <c r="AJ243" s="2740"/>
      <c r="AK243" s="2740"/>
      <c r="AL243" s="2740"/>
      <c r="AM243" s="2740"/>
      <c r="AN243" s="2740"/>
      <c r="AO243" s="2740"/>
      <c r="AP243" s="2740"/>
      <c r="AQ243" s="2740"/>
      <c r="AR243" s="2740"/>
      <c r="AS243" s="2740"/>
      <c r="AT243" s="2750"/>
      <c r="AU243" s="2751"/>
      <c r="AV243" s="1092">
        <f t="shared" si="127"/>
        <v>0</v>
      </c>
      <c r="AW243" s="1092">
        <f t="shared" si="128"/>
        <v>0</v>
      </c>
      <c r="AX243" s="1092">
        <f t="shared" si="129"/>
        <v>0</v>
      </c>
      <c r="AY243" s="2765">
        <f t="shared" si="130"/>
        <v>0</v>
      </c>
      <c r="AZ243" s="2720">
        <f t="shared" si="131"/>
        <v>0</v>
      </c>
      <c r="BA243" s="2720">
        <f t="shared" si="132"/>
        <v>0</v>
      </c>
      <c r="BB243" s="2720">
        <f t="shared" si="133"/>
        <v>0</v>
      </c>
      <c r="BC243" s="2720">
        <f t="shared" si="134"/>
        <v>0</v>
      </c>
      <c r="BD243" s="2720">
        <f t="shared" si="135"/>
        <v>0</v>
      </c>
      <c r="BE243" s="2720">
        <f t="shared" si="136"/>
        <v>0</v>
      </c>
      <c r="BF243" s="2720">
        <f t="shared" si="137"/>
        <v>0</v>
      </c>
      <c r="BG243" s="2720">
        <f t="shared" si="138"/>
        <v>0</v>
      </c>
      <c r="BH243" s="2720">
        <f t="shared" si="139"/>
        <v>0</v>
      </c>
      <c r="BI243" s="2720">
        <f t="shared" si="140"/>
        <v>0</v>
      </c>
      <c r="BJ243" s="2720">
        <f t="shared" si="141"/>
        <v>0</v>
      </c>
      <c r="BK243" s="2720">
        <f t="shared" si="142"/>
        <v>0</v>
      </c>
      <c r="BL243" s="2720">
        <f t="shared" si="143"/>
        <v>0</v>
      </c>
      <c r="BM243" s="2720">
        <f t="shared" si="144"/>
        <v>0</v>
      </c>
      <c r="BN243" s="2720">
        <f t="shared" si="145"/>
        <v>0</v>
      </c>
      <c r="BO243" s="2720">
        <f t="shared" si="146"/>
        <v>0</v>
      </c>
      <c r="BP243" s="2720">
        <f t="shared" si="147"/>
        <v>0</v>
      </c>
      <c r="BQ243" s="2720">
        <f t="shared" si="148"/>
        <v>0</v>
      </c>
      <c r="BR243" s="2720">
        <f t="shared" si="149"/>
        <v>0</v>
      </c>
      <c r="BS243" s="2720">
        <f t="shared" si="150"/>
        <v>0</v>
      </c>
      <c r="BT243" s="2772">
        <f t="shared" si="151"/>
        <v>0</v>
      </c>
    </row>
    <row r="244" spans="1:72">
      <c r="A244" s="2717"/>
      <c r="B244" s="2718"/>
      <c r="C244" s="2718"/>
      <c r="D244" s="2719"/>
      <c r="E244" s="2720">
        <f t="shared" si="123"/>
        <v>0</v>
      </c>
      <c r="F244" s="2721"/>
      <c r="G244" s="2722">
        <f t="shared" si="124"/>
        <v>0</v>
      </c>
      <c r="H244" s="2723">
        <f t="shared" si="125"/>
        <v>0</v>
      </c>
      <c r="I244" s="2730"/>
      <c r="J244" s="2730"/>
      <c r="K244" s="2730"/>
      <c r="L244" s="2730"/>
      <c r="M244" s="2730"/>
      <c r="N244" s="2730"/>
      <c r="O244" s="2730"/>
      <c r="P244" s="2730"/>
      <c r="Q244" s="2730"/>
      <c r="R244" s="2730"/>
      <c r="S244" s="2730"/>
      <c r="T244" s="2730"/>
      <c r="U244" s="2730"/>
      <c r="V244" s="2730"/>
      <c r="W244" s="2730"/>
      <c r="X244" s="2730"/>
      <c r="Y244" s="2730"/>
      <c r="Z244" s="2730"/>
      <c r="AA244" s="2730"/>
      <c r="AB244" s="2730"/>
      <c r="AC244" s="2720">
        <f t="shared" si="126"/>
        <v>0</v>
      </c>
      <c r="AD244" s="2740"/>
      <c r="AE244" s="2740"/>
      <c r="AF244" s="2740"/>
      <c r="AG244" s="2740"/>
      <c r="AH244" s="2740"/>
      <c r="AI244" s="2740"/>
      <c r="AJ244" s="2740"/>
      <c r="AK244" s="2740"/>
      <c r="AL244" s="2740"/>
      <c r="AM244" s="2740"/>
      <c r="AN244" s="2740"/>
      <c r="AO244" s="2740"/>
      <c r="AP244" s="2740"/>
      <c r="AQ244" s="2740"/>
      <c r="AR244" s="2740"/>
      <c r="AS244" s="2740"/>
      <c r="AT244" s="2750"/>
      <c r="AU244" s="2751"/>
      <c r="AV244" s="1092">
        <f t="shared" si="127"/>
        <v>0</v>
      </c>
      <c r="AW244" s="1092">
        <f t="shared" si="128"/>
        <v>0</v>
      </c>
      <c r="AX244" s="1092">
        <f t="shared" si="129"/>
        <v>0</v>
      </c>
      <c r="AY244" s="2765">
        <f t="shared" si="130"/>
        <v>0</v>
      </c>
      <c r="AZ244" s="2720">
        <f t="shared" si="131"/>
        <v>0</v>
      </c>
      <c r="BA244" s="2720">
        <f t="shared" si="132"/>
        <v>0</v>
      </c>
      <c r="BB244" s="2720">
        <f t="shared" si="133"/>
        <v>0</v>
      </c>
      <c r="BC244" s="2720">
        <f t="shared" si="134"/>
        <v>0</v>
      </c>
      <c r="BD244" s="2720">
        <f t="shared" si="135"/>
        <v>0</v>
      </c>
      <c r="BE244" s="2720">
        <f t="shared" si="136"/>
        <v>0</v>
      </c>
      <c r="BF244" s="2720">
        <f t="shared" si="137"/>
        <v>0</v>
      </c>
      <c r="BG244" s="2720">
        <f t="shared" si="138"/>
        <v>0</v>
      </c>
      <c r="BH244" s="2720">
        <f t="shared" si="139"/>
        <v>0</v>
      </c>
      <c r="BI244" s="2720">
        <f t="shared" si="140"/>
        <v>0</v>
      </c>
      <c r="BJ244" s="2720">
        <f t="shared" si="141"/>
        <v>0</v>
      </c>
      <c r="BK244" s="2720">
        <f t="shared" si="142"/>
        <v>0</v>
      </c>
      <c r="BL244" s="2720">
        <f t="shared" si="143"/>
        <v>0</v>
      </c>
      <c r="BM244" s="2720">
        <f t="shared" si="144"/>
        <v>0</v>
      </c>
      <c r="BN244" s="2720">
        <f t="shared" si="145"/>
        <v>0</v>
      </c>
      <c r="BO244" s="2720">
        <f t="shared" si="146"/>
        <v>0</v>
      </c>
      <c r="BP244" s="2720">
        <f t="shared" si="147"/>
        <v>0</v>
      </c>
      <c r="BQ244" s="2720">
        <f t="shared" si="148"/>
        <v>0</v>
      </c>
      <c r="BR244" s="2720">
        <f t="shared" si="149"/>
        <v>0</v>
      </c>
      <c r="BS244" s="2720">
        <f t="shared" si="150"/>
        <v>0</v>
      </c>
      <c r="BT244" s="2772">
        <f t="shared" si="151"/>
        <v>0</v>
      </c>
    </row>
    <row r="245" spans="1:72">
      <c r="A245" s="2717"/>
      <c r="B245" s="2718"/>
      <c r="C245" s="2718"/>
      <c r="D245" s="2719"/>
      <c r="E245" s="2720">
        <f t="shared" si="123"/>
        <v>0</v>
      </c>
      <c r="F245" s="2721"/>
      <c r="G245" s="2722">
        <f t="shared" si="124"/>
        <v>0</v>
      </c>
      <c r="H245" s="2723">
        <f t="shared" si="125"/>
        <v>0</v>
      </c>
      <c r="I245" s="2730"/>
      <c r="J245" s="2730"/>
      <c r="K245" s="2730"/>
      <c r="L245" s="2730"/>
      <c r="M245" s="2730"/>
      <c r="N245" s="2730"/>
      <c r="O245" s="2730"/>
      <c r="P245" s="2730"/>
      <c r="Q245" s="2730"/>
      <c r="R245" s="2730"/>
      <c r="S245" s="2730"/>
      <c r="T245" s="2730"/>
      <c r="U245" s="2730"/>
      <c r="V245" s="2730"/>
      <c r="W245" s="2730"/>
      <c r="X245" s="2730"/>
      <c r="Y245" s="2730"/>
      <c r="Z245" s="2730"/>
      <c r="AA245" s="2730"/>
      <c r="AB245" s="2730"/>
      <c r="AC245" s="2720">
        <f t="shared" si="126"/>
        <v>0</v>
      </c>
      <c r="AD245" s="2740"/>
      <c r="AE245" s="2740"/>
      <c r="AF245" s="2740"/>
      <c r="AG245" s="2740"/>
      <c r="AH245" s="2740"/>
      <c r="AI245" s="2740"/>
      <c r="AJ245" s="2740"/>
      <c r="AK245" s="2740"/>
      <c r="AL245" s="2740"/>
      <c r="AM245" s="2740"/>
      <c r="AN245" s="2740"/>
      <c r="AO245" s="2740"/>
      <c r="AP245" s="2740"/>
      <c r="AQ245" s="2740"/>
      <c r="AR245" s="2740"/>
      <c r="AS245" s="2740"/>
      <c r="AT245" s="2750"/>
      <c r="AU245" s="2751"/>
      <c r="AV245" s="1092">
        <f t="shared" si="127"/>
        <v>0</v>
      </c>
      <c r="AW245" s="1092">
        <f t="shared" si="128"/>
        <v>0</v>
      </c>
      <c r="AX245" s="1092">
        <f t="shared" si="129"/>
        <v>0</v>
      </c>
      <c r="AY245" s="2765">
        <f t="shared" si="130"/>
        <v>0</v>
      </c>
      <c r="AZ245" s="2720">
        <f t="shared" si="131"/>
        <v>0</v>
      </c>
      <c r="BA245" s="2720">
        <f t="shared" si="132"/>
        <v>0</v>
      </c>
      <c r="BB245" s="2720">
        <f t="shared" si="133"/>
        <v>0</v>
      </c>
      <c r="BC245" s="2720">
        <f t="shared" si="134"/>
        <v>0</v>
      </c>
      <c r="BD245" s="2720">
        <f t="shared" si="135"/>
        <v>0</v>
      </c>
      <c r="BE245" s="2720">
        <f t="shared" si="136"/>
        <v>0</v>
      </c>
      <c r="BF245" s="2720">
        <f t="shared" si="137"/>
        <v>0</v>
      </c>
      <c r="BG245" s="2720">
        <f t="shared" si="138"/>
        <v>0</v>
      </c>
      <c r="BH245" s="2720">
        <f t="shared" si="139"/>
        <v>0</v>
      </c>
      <c r="BI245" s="2720">
        <f t="shared" si="140"/>
        <v>0</v>
      </c>
      <c r="BJ245" s="2720">
        <f t="shared" si="141"/>
        <v>0</v>
      </c>
      <c r="BK245" s="2720">
        <f t="shared" si="142"/>
        <v>0</v>
      </c>
      <c r="BL245" s="2720">
        <f t="shared" si="143"/>
        <v>0</v>
      </c>
      <c r="BM245" s="2720">
        <f t="shared" si="144"/>
        <v>0</v>
      </c>
      <c r="BN245" s="2720">
        <f t="shared" si="145"/>
        <v>0</v>
      </c>
      <c r="BO245" s="2720">
        <f t="shared" si="146"/>
        <v>0</v>
      </c>
      <c r="BP245" s="2720">
        <f t="shared" si="147"/>
        <v>0</v>
      </c>
      <c r="BQ245" s="2720">
        <f t="shared" si="148"/>
        <v>0</v>
      </c>
      <c r="BR245" s="2720">
        <f t="shared" si="149"/>
        <v>0</v>
      </c>
      <c r="BS245" s="2720">
        <f t="shared" si="150"/>
        <v>0</v>
      </c>
      <c r="BT245" s="2772">
        <f t="shared" si="151"/>
        <v>0</v>
      </c>
    </row>
    <row r="246" spans="1:72">
      <c r="A246" s="2717"/>
      <c r="B246" s="2718"/>
      <c r="C246" s="2718"/>
      <c r="D246" s="2719"/>
      <c r="E246" s="2720">
        <f t="shared" si="123"/>
        <v>0</v>
      </c>
      <c r="F246" s="2721"/>
      <c r="G246" s="2722">
        <f t="shared" si="124"/>
        <v>0</v>
      </c>
      <c r="H246" s="2723">
        <f t="shared" si="125"/>
        <v>0</v>
      </c>
      <c r="I246" s="2730"/>
      <c r="J246" s="2730"/>
      <c r="K246" s="2730"/>
      <c r="L246" s="2730"/>
      <c r="M246" s="2730"/>
      <c r="N246" s="2730"/>
      <c r="O246" s="2730"/>
      <c r="P246" s="2730"/>
      <c r="Q246" s="2730"/>
      <c r="R246" s="2730"/>
      <c r="S246" s="2730"/>
      <c r="T246" s="2730"/>
      <c r="U246" s="2730"/>
      <c r="V246" s="2730"/>
      <c r="W246" s="2730"/>
      <c r="X246" s="2730"/>
      <c r="Y246" s="2730"/>
      <c r="Z246" s="2730"/>
      <c r="AA246" s="2730"/>
      <c r="AB246" s="2730"/>
      <c r="AC246" s="2720">
        <f t="shared" si="126"/>
        <v>0</v>
      </c>
      <c r="AD246" s="2740"/>
      <c r="AE246" s="2740"/>
      <c r="AF246" s="2740"/>
      <c r="AG246" s="2740"/>
      <c r="AH246" s="2740"/>
      <c r="AI246" s="2740"/>
      <c r="AJ246" s="2740"/>
      <c r="AK246" s="2740"/>
      <c r="AL246" s="2740"/>
      <c r="AM246" s="2740"/>
      <c r="AN246" s="2740"/>
      <c r="AO246" s="2740"/>
      <c r="AP246" s="2740"/>
      <c r="AQ246" s="2740"/>
      <c r="AR246" s="2740"/>
      <c r="AS246" s="2740"/>
      <c r="AT246" s="2750"/>
      <c r="AU246" s="2751"/>
      <c r="AV246" s="1092">
        <f t="shared" si="127"/>
        <v>0</v>
      </c>
      <c r="AW246" s="1092">
        <f t="shared" si="128"/>
        <v>0</v>
      </c>
      <c r="AX246" s="1092">
        <f t="shared" si="129"/>
        <v>0</v>
      </c>
      <c r="AY246" s="2765">
        <f t="shared" si="130"/>
        <v>0</v>
      </c>
      <c r="AZ246" s="2720">
        <f t="shared" si="131"/>
        <v>0</v>
      </c>
      <c r="BA246" s="2720">
        <f t="shared" si="132"/>
        <v>0</v>
      </c>
      <c r="BB246" s="2720">
        <f t="shared" si="133"/>
        <v>0</v>
      </c>
      <c r="BC246" s="2720">
        <f t="shared" si="134"/>
        <v>0</v>
      </c>
      <c r="BD246" s="2720">
        <f t="shared" si="135"/>
        <v>0</v>
      </c>
      <c r="BE246" s="2720">
        <f t="shared" si="136"/>
        <v>0</v>
      </c>
      <c r="BF246" s="2720">
        <f t="shared" si="137"/>
        <v>0</v>
      </c>
      <c r="BG246" s="2720">
        <f t="shared" si="138"/>
        <v>0</v>
      </c>
      <c r="BH246" s="2720">
        <f t="shared" si="139"/>
        <v>0</v>
      </c>
      <c r="BI246" s="2720">
        <f t="shared" si="140"/>
        <v>0</v>
      </c>
      <c r="BJ246" s="2720">
        <f t="shared" si="141"/>
        <v>0</v>
      </c>
      <c r="BK246" s="2720">
        <f t="shared" si="142"/>
        <v>0</v>
      </c>
      <c r="BL246" s="2720">
        <f t="shared" si="143"/>
        <v>0</v>
      </c>
      <c r="BM246" s="2720">
        <f t="shared" si="144"/>
        <v>0</v>
      </c>
      <c r="BN246" s="2720">
        <f t="shared" si="145"/>
        <v>0</v>
      </c>
      <c r="BO246" s="2720">
        <f t="shared" si="146"/>
        <v>0</v>
      </c>
      <c r="BP246" s="2720">
        <f t="shared" si="147"/>
        <v>0</v>
      </c>
      <c r="BQ246" s="2720">
        <f t="shared" si="148"/>
        <v>0</v>
      </c>
      <c r="BR246" s="2720">
        <f t="shared" si="149"/>
        <v>0</v>
      </c>
      <c r="BS246" s="2720">
        <f t="shared" si="150"/>
        <v>0</v>
      </c>
      <c r="BT246" s="2772">
        <f t="shared" si="151"/>
        <v>0</v>
      </c>
    </row>
    <row r="247" spans="1:72">
      <c r="A247" s="2717"/>
      <c r="B247" s="2718"/>
      <c r="C247" s="2718"/>
      <c r="D247" s="2719"/>
      <c r="E247" s="2720">
        <f t="shared" si="123"/>
        <v>0</v>
      </c>
      <c r="F247" s="2721"/>
      <c r="G247" s="2722">
        <f t="shared" si="124"/>
        <v>0</v>
      </c>
      <c r="H247" s="2723">
        <f t="shared" si="125"/>
        <v>0</v>
      </c>
      <c r="I247" s="2730"/>
      <c r="J247" s="2730"/>
      <c r="K247" s="2730"/>
      <c r="L247" s="2730"/>
      <c r="M247" s="2730"/>
      <c r="N247" s="2730"/>
      <c r="O247" s="2730"/>
      <c r="P247" s="2730"/>
      <c r="Q247" s="2730"/>
      <c r="R247" s="2730"/>
      <c r="S247" s="2730"/>
      <c r="T247" s="2730"/>
      <c r="U247" s="2730"/>
      <c r="V247" s="2730"/>
      <c r="W247" s="2730"/>
      <c r="X247" s="2730"/>
      <c r="Y247" s="2730"/>
      <c r="Z247" s="2730"/>
      <c r="AA247" s="2730"/>
      <c r="AB247" s="2730"/>
      <c r="AC247" s="2720">
        <f t="shared" si="126"/>
        <v>0</v>
      </c>
      <c r="AD247" s="2740"/>
      <c r="AE247" s="2740"/>
      <c r="AF247" s="2740"/>
      <c r="AG247" s="2740"/>
      <c r="AH247" s="2740"/>
      <c r="AI247" s="2740"/>
      <c r="AJ247" s="2740"/>
      <c r="AK247" s="2740"/>
      <c r="AL247" s="2740"/>
      <c r="AM247" s="2740"/>
      <c r="AN247" s="2740"/>
      <c r="AO247" s="2740"/>
      <c r="AP247" s="2740"/>
      <c r="AQ247" s="2740"/>
      <c r="AR247" s="2740"/>
      <c r="AS247" s="2740"/>
      <c r="AT247" s="2750"/>
      <c r="AU247" s="2751"/>
      <c r="AV247" s="1092">
        <f t="shared" si="127"/>
        <v>0</v>
      </c>
      <c r="AW247" s="1092">
        <f t="shared" si="128"/>
        <v>0</v>
      </c>
      <c r="AX247" s="1092">
        <f t="shared" si="129"/>
        <v>0</v>
      </c>
      <c r="AY247" s="2765">
        <f t="shared" si="130"/>
        <v>0</v>
      </c>
      <c r="AZ247" s="2720">
        <f t="shared" si="131"/>
        <v>0</v>
      </c>
      <c r="BA247" s="2720">
        <f t="shared" si="132"/>
        <v>0</v>
      </c>
      <c r="BB247" s="2720">
        <f t="shared" si="133"/>
        <v>0</v>
      </c>
      <c r="BC247" s="2720">
        <f t="shared" si="134"/>
        <v>0</v>
      </c>
      <c r="BD247" s="2720">
        <f t="shared" si="135"/>
        <v>0</v>
      </c>
      <c r="BE247" s="2720">
        <f t="shared" si="136"/>
        <v>0</v>
      </c>
      <c r="BF247" s="2720">
        <f t="shared" si="137"/>
        <v>0</v>
      </c>
      <c r="BG247" s="2720">
        <f t="shared" si="138"/>
        <v>0</v>
      </c>
      <c r="BH247" s="2720">
        <f t="shared" si="139"/>
        <v>0</v>
      </c>
      <c r="BI247" s="2720">
        <f t="shared" si="140"/>
        <v>0</v>
      </c>
      <c r="BJ247" s="2720">
        <f t="shared" si="141"/>
        <v>0</v>
      </c>
      <c r="BK247" s="2720">
        <f t="shared" si="142"/>
        <v>0</v>
      </c>
      <c r="BL247" s="2720">
        <f t="shared" si="143"/>
        <v>0</v>
      </c>
      <c r="BM247" s="2720">
        <f t="shared" si="144"/>
        <v>0</v>
      </c>
      <c r="BN247" s="2720">
        <f t="shared" si="145"/>
        <v>0</v>
      </c>
      <c r="BO247" s="2720">
        <f t="shared" si="146"/>
        <v>0</v>
      </c>
      <c r="BP247" s="2720">
        <f t="shared" si="147"/>
        <v>0</v>
      </c>
      <c r="BQ247" s="2720">
        <f t="shared" si="148"/>
        <v>0</v>
      </c>
      <c r="BR247" s="2720">
        <f t="shared" si="149"/>
        <v>0</v>
      </c>
      <c r="BS247" s="2720">
        <f t="shared" si="150"/>
        <v>0</v>
      </c>
      <c r="BT247" s="2772">
        <f t="shared" si="151"/>
        <v>0</v>
      </c>
    </row>
    <row r="248" spans="1:72">
      <c r="A248" s="2717"/>
      <c r="B248" s="2718"/>
      <c r="C248" s="2718"/>
      <c r="D248" s="2719"/>
      <c r="E248" s="2720">
        <f t="shared" si="123"/>
        <v>0</v>
      </c>
      <c r="F248" s="2721"/>
      <c r="G248" s="2722">
        <f t="shared" si="124"/>
        <v>0</v>
      </c>
      <c r="H248" s="2723">
        <f t="shared" si="125"/>
        <v>0</v>
      </c>
      <c r="I248" s="2730"/>
      <c r="J248" s="2730"/>
      <c r="K248" s="2730"/>
      <c r="L248" s="2730"/>
      <c r="M248" s="2730"/>
      <c r="N248" s="2730"/>
      <c r="O248" s="2730"/>
      <c r="P248" s="2730"/>
      <c r="Q248" s="2730"/>
      <c r="R248" s="2730"/>
      <c r="S248" s="2730"/>
      <c r="T248" s="2730"/>
      <c r="U248" s="2730"/>
      <c r="V248" s="2730"/>
      <c r="W248" s="2730"/>
      <c r="X248" s="2730"/>
      <c r="Y248" s="2730"/>
      <c r="Z248" s="2730"/>
      <c r="AA248" s="2730"/>
      <c r="AB248" s="2730"/>
      <c r="AC248" s="2720">
        <f t="shared" si="126"/>
        <v>0</v>
      </c>
      <c r="AD248" s="2740"/>
      <c r="AE248" s="2740"/>
      <c r="AF248" s="2740"/>
      <c r="AG248" s="2740"/>
      <c r="AH248" s="2740"/>
      <c r="AI248" s="2740"/>
      <c r="AJ248" s="2740"/>
      <c r="AK248" s="2740"/>
      <c r="AL248" s="2740"/>
      <c r="AM248" s="2740"/>
      <c r="AN248" s="2740"/>
      <c r="AO248" s="2740"/>
      <c r="AP248" s="2740"/>
      <c r="AQ248" s="2740"/>
      <c r="AR248" s="2740"/>
      <c r="AS248" s="2740"/>
      <c r="AT248" s="2750"/>
      <c r="AU248" s="2751"/>
      <c r="AV248" s="1092">
        <f t="shared" si="127"/>
        <v>0</v>
      </c>
      <c r="AW248" s="1092">
        <f t="shared" si="128"/>
        <v>0</v>
      </c>
      <c r="AX248" s="1092">
        <f t="shared" si="129"/>
        <v>0</v>
      </c>
      <c r="AY248" s="2765">
        <f t="shared" si="130"/>
        <v>0</v>
      </c>
      <c r="AZ248" s="2720">
        <f t="shared" si="131"/>
        <v>0</v>
      </c>
      <c r="BA248" s="2720">
        <f t="shared" si="132"/>
        <v>0</v>
      </c>
      <c r="BB248" s="2720">
        <f t="shared" si="133"/>
        <v>0</v>
      </c>
      <c r="BC248" s="2720">
        <f t="shared" si="134"/>
        <v>0</v>
      </c>
      <c r="BD248" s="2720">
        <f t="shared" si="135"/>
        <v>0</v>
      </c>
      <c r="BE248" s="2720">
        <f t="shared" si="136"/>
        <v>0</v>
      </c>
      <c r="BF248" s="2720">
        <f t="shared" si="137"/>
        <v>0</v>
      </c>
      <c r="BG248" s="2720">
        <f t="shared" si="138"/>
        <v>0</v>
      </c>
      <c r="BH248" s="2720">
        <f t="shared" si="139"/>
        <v>0</v>
      </c>
      <c r="BI248" s="2720">
        <f t="shared" si="140"/>
        <v>0</v>
      </c>
      <c r="BJ248" s="2720">
        <f t="shared" si="141"/>
        <v>0</v>
      </c>
      <c r="BK248" s="2720">
        <f t="shared" si="142"/>
        <v>0</v>
      </c>
      <c r="BL248" s="2720">
        <f t="shared" si="143"/>
        <v>0</v>
      </c>
      <c r="BM248" s="2720">
        <f t="shared" si="144"/>
        <v>0</v>
      </c>
      <c r="BN248" s="2720">
        <f t="shared" si="145"/>
        <v>0</v>
      </c>
      <c r="BO248" s="2720">
        <f t="shared" si="146"/>
        <v>0</v>
      </c>
      <c r="BP248" s="2720">
        <f t="shared" si="147"/>
        <v>0</v>
      </c>
      <c r="BQ248" s="2720">
        <f t="shared" si="148"/>
        <v>0</v>
      </c>
      <c r="BR248" s="2720">
        <f t="shared" si="149"/>
        <v>0</v>
      </c>
      <c r="BS248" s="2720">
        <f t="shared" si="150"/>
        <v>0</v>
      </c>
      <c r="BT248" s="2772">
        <f t="shared" si="151"/>
        <v>0</v>
      </c>
    </row>
    <row r="249" spans="1:72">
      <c r="A249" s="2717"/>
      <c r="B249" s="2718"/>
      <c r="C249" s="2718"/>
      <c r="D249" s="2719"/>
      <c r="E249" s="2720">
        <f t="shared" si="123"/>
        <v>0</v>
      </c>
      <c r="F249" s="2721"/>
      <c r="G249" s="2722">
        <f t="shared" si="124"/>
        <v>0</v>
      </c>
      <c r="H249" s="2723">
        <f t="shared" si="125"/>
        <v>0</v>
      </c>
      <c r="I249" s="2730"/>
      <c r="J249" s="2730"/>
      <c r="K249" s="2730"/>
      <c r="L249" s="2730"/>
      <c r="M249" s="2730"/>
      <c r="N249" s="2730"/>
      <c r="O249" s="2730"/>
      <c r="P249" s="2730"/>
      <c r="Q249" s="2730"/>
      <c r="R249" s="2730"/>
      <c r="S249" s="2730"/>
      <c r="T249" s="2730"/>
      <c r="U249" s="2730"/>
      <c r="V249" s="2730"/>
      <c r="W249" s="2730"/>
      <c r="X249" s="2730"/>
      <c r="Y249" s="2730"/>
      <c r="Z249" s="2730"/>
      <c r="AA249" s="2730"/>
      <c r="AB249" s="2730"/>
      <c r="AC249" s="2720">
        <f t="shared" si="126"/>
        <v>0</v>
      </c>
      <c r="AD249" s="2740"/>
      <c r="AE249" s="2740"/>
      <c r="AF249" s="2740"/>
      <c r="AG249" s="2740"/>
      <c r="AH249" s="2740"/>
      <c r="AI249" s="2740"/>
      <c r="AJ249" s="2740"/>
      <c r="AK249" s="2740"/>
      <c r="AL249" s="2740"/>
      <c r="AM249" s="2740"/>
      <c r="AN249" s="2740"/>
      <c r="AO249" s="2740"/>
      <c r="AP249" s="2740"/>
      <c r="AQ249" s="2740"/>
      <c r="AR249" s="2740"/>
      <c r="AS249" s="2740"/>
      <c r="AT249" s="2750"/>
      <c r="AU249" s="2751"/>
      <c r="AV249" s="1092">
        <f t="shared" si="127"/>
        <v>0</v>
      </c>
      <c r="AW249" s="1092">
        <f t="shared" si="128"/>
        <v>0</v>
      </c>
      <c r="AX249" s="1092">
        <f t="shared" si="129"/>
        <v>0</v>
      </c>
      <c r="AY249" s="2765">
        <f t="shared" si="130"/>
        <v>0</v>
      </c>
      <c r="AZ249" s="2720">
        <f t="shared" si="131"/>
        <v>0</v>
      </c>
      <c r="BA249" s="2720">
        <f t="shared" si="132"/>
        <v>0</v>
      </c>
      <c r="BB249" s="2720">
        <f t="shared" si="133"/>
        <v>0</v>
      </c>
      <c r="BC249" s="2720">
        <f t="shared" si="134"/>
        <v>0</v>
      </c>
      <c r="BD249" s="2720">
        <f t="shared" si="135"/>
        <v>0</v>
      </c>
      <c r="BE249" s="2720">
        <f t="shared" si="136"/>
        <v>0</v>
      </c>
      <c r="BF249" s="2720">
        <f t="shared" si="137"/>
        <v>0</v>
      </c>
      <c r="BG249" s="2720">
        <f t="shared" si="138"/>
        <v>0</v>
      </c>
      <c r="BH249" s="2720">
        <f t="shared" si="139"/>
        <v>0</v>
      </c>
      <c r="BI249" s="2720">
        <f t="shared" si="140"/>
        <v>0</v>
      </c>
      <c r="BJ249" s="2720">
        <f t="shared" si="141"/>
        <v>0</v>
      </c>
      <c r="BK249" s="2720">
        <f t="shared" si="142"/>
        <v>0</v>
      </c>
      <c r="BL249" s="2720">
        <f t="shared" si="143"/>
        <v>0</v>
      </c>
      <c r="BM249" s="2720">
        <f t="shared" si="144"/>
        <v>0</v>
      </c>
      <c r="BN249" s="2720">
        <f t="shared" si="145"/>
        <v>0</v>
      </c>
      <c r="BO249" s="2720">
        <f t="shared" si="146"/>
        <v>0</v>
      </c>
      <c r="BP249" s="2720">
        <f t="shared" si="147"/>
        <v>0</v>
      </c>
      <c r="BQ249" s="2720">
        <f t="shared" si="148"/>
        <v>0</v>
      </c>
      <c r="BR249" s="2720">
        <f t="shared" si="149"/>
        <v>0</v>
      </c>
      <c r="BS249" s="2720">
        <f t="shared" si="150"/>
        <v>0</v>
      </c>
      <c r="BT249" s="2772">
        <f t="shared" si="151"/>
        <v>0</v>
      </c>
    </row>
    <row r="250" spans="1:72">
      <c r="A250" s="2717"/>
      <c r="B250" s="2718"/>
      <c r="C250" s="2718"/>
      <c r="D250" s="2719"/>
      <c r="E250" s="2720">
        <f t="shared" si="123"/>
        <v>0</v>
      </c>
      <c r="F250" s="2721"/>
      <c r="G250" s="2722">
        <f t="shared" si="124"/>
        <v>0</v>
      </c>
      <c r="H250" s="2723">
        <f t="shared" si="125"/>
        <v>0</v>
      </c>
      <c r="I250" s="2730"/>
      <c r="J250" s="2730"/>
      <c r="K250" s="2730"/>
      <c r="L250" s="2730"/>
      <c r="M250" s="2730"/>
      <c r="N250" s="2730"/>
      <c r="O250" s="2730"/>
      <c r="P250" s="2730"/>
      <c r="Q250" s="2730"/>
      <c r="R250" s="2730"/>
      <c r="S250" s="2730"/>
      <c r="T250" s="2730"/>
      <c r="U250" s="2730"/>
      <c r="V250" s="2730"/>
      <c r="W250" s="2730"/>
      <c r="X250" s="2730"/>
      <c r="Y250" s="2730"/>
      <c r="Z250" s="2730"/>
      <c r="AA250" s="2730"/>
      <c r="AB250" s="2730"/>
      <c r="AC250" s="2720">
        <f t="shared" si="126"/>
        <v>0</v>
      </c>
      <c r="AD250" s="2740"/>
      <c r="AE250" s="2740"/>
      <c r="AF250" s="2740"/>
      <c r="AG250" s="2740"/>
      <c r="AH250" s="2740"/>
      <c r="AI250" s="2740"/>
      <c r="AJ250" s="2740"/>
      <c r="AK250" s="2740"/>
      <c r="AL250" s="2740"/>
      <c r="AM250" s="2740"/>
      <c r="AN250" s="2740"/>
      <c r="AO250" s="2740"/>
      <c r="AP250" s="2740"/>
      <c r="AQ250" s="2740"/>
      <c r="AR250" s="2740"/>
      <c r="AS250" s="2740"/>
      <c r="AT250" s="2750"/>
      <c r="AU250" s="2751"/>
      <c r="AV250" s="1092">
        <f t="shared" si="127"/>
        <v>0</v>
      </c>
      <c r="AW250" s="1092">
        <f t="shared" si="128"/>
        <v>0</v>
      </c>
      <c r="AX250" s="1092">
        <f t="shared" si="129"/>
        <v>0</v>
      </c>
      <c r="AY250" s="2765">
        <f t="shared" si="130"/>
        <v>0</v>
      </c>
      <c r="AZ250" s="2720">
        <f t="shared" si="131"/>
        <v>0</v>
      </c>
      <c r="BA250" s="2720">
        <f t="shared" si="132"/>
        <v>0</v>
      </c>
      <c r="BB250" s="2720">
        <f t="shared" si="133"/>
        <v>0</v>
      </c>
      <c r="BC250" s="2720">
        <f t="shared" si="134"/>
        <v>0</v>
      </c>
      <c r="BD250" s="2720">
        <f t="shared" si="135"/>
        <v>0</v>
      </c>
      <c r="BE250" s="2720">
        <f t="shared" si="136"/>
        <v>0</v>
      </c>
      <c r="BF250" s="2720">
        <f t="shared" si="137"/>
        <v>0</v>
      </c>
      <c r="BG250" s="2720">
        <f t="shared" si="138"/>
        <v>0</v>
      </c>
      <c r="BH250" s="2720">
        <f t="shared" si="139"/>
        <v>0</v>
      </c>
      <c r="BI250" s="2720">
        <f t="shared" si="140"/>
        <v>0</v>
      </c>
      <c r="BJ250" s="2720">
        <f t="shared" si="141"/>
        <v>0</v>
      </c>
      <c r="BK250" s="2720">
        <f t="shared" si="142"/>
        <v>0</v>
      </c>
      <c r="BL250" s="2720">
        <f t="shared" si="143"/>
        <v>0</v>
      </c>
      <c r="BM250" s="2720">
        <f t="shared" si="144"/>
        <v>0</v>
      </c>
      <c r="BN250" s="2720">
        <f t="shared" si="145"/>
        <v>0</v>
      </c>
      <c r="BO250" s="2720">
        <f t="shared" si="146"/>
        <v>0</v>
      </c>
      <c r="BP250" s="2720">
        <f t="shared" si="147"/>
        <v>0</v>
      </c>
      <c r="BQ250" s="2720">
        <f t="shared" si="148"/>
        <v>0</v>
      </c>
      <c r="BR250" s="2720">
        <f t="shared" si="149"/>
        <v>0</v>
      </c>
      <c r="BS250" s="2720">
        <f t="shared" si="150"/>
        <v>0</v>
      </c>
      <c r="BT250" s="2772">
        <f t="shared" si="151"/>
        <v>0</v>
      </c>
    </row>
    <row r="251" spans="1:72">
      <c r="A251" s="2717"/>
      <c r="B251" s="2718"/>
      <c r="C251" s="2718"/>
      <c r="D251" s="2719"/>
      <c r="E251" s="2720">
        <f t="shared" si="123"/>
        <v>0</v>
      </c>
      <c r="F251" s="2721"/>
      <c r="G251" s="2722">
        <f t="shared" si="124"/>
        <v>0</v>
      </c>
      <c r="H251" s="2723">
        <f t="shared" si="125"/>
        <v>0</v>
      </c>
      <c r="I251" s="2730"/>
      <c r="J251" s="2730"/>
      <c r="K251" s="2730"/>
      <c r="L251" s="2730"/>
      <c r="M251" s="2730"/>
      <c r="N251" s="2730"/>
      <c r="O251" s="2730"/>
      <c r="P251" s="2730"/>
      <c r="Q251" s="2730"/>
      <c r="R251" s="2730"/>
      <c r="S251" s="2730"/>
      <c r="T251" s="2730"/>
      <c r="U251" s="2730"/>
      <c r="V251" s="2730"/>
      <c r="W251" s="2730"/>
      <c r="X251" s="2730"/>
      <c r="Y251" s="2730"/>
      <c r="Z251" s="2730"/>
      <c r="AA251" s="2730"/>
      <c r="AB251" s="2730"/>
      <c r="AC251" s="2720">
        <f t="shared" si="126"/>
        <v>0</v>
      </c>
      <c r="AD251" s="2740"/>
      <c r="AE251" s="2740"/>
      <c r="AF251" s="2740"/>
      <c r="AG251" s="2740"/>
      <c r="AH251" s="2740"/>
      <c r="AI251" s="2740"/>
      <c r="AJ251" s="2740"/>
      <c r="AK251" s="2740"/>
      <c r="AL251" s="2740"/>
      <c r="AM251" s="2740"/>
      <c r="AN251" s="2740"/>
      <c r="AO251" s="2740"/>
      <c r="AP251" s="2740"/>
      <c r="AQ251" s="2740"/>
      <c r="AR251" s="2740"/>
      <c r="AS251" s="2740"/>
      <c r="AT251" s="2750"/>
      <c r="AU251" s="2751"/>
      <c r="AV251" s="1092">
        <f t="shared" si="127"/>
        <v>0</v>
      </c>
      <c r="AW251" s="1092">
        <f t="shared" si="128"/>
        <v>0</v>
      </c>
      <c r="AX251" s="1092">
        <f t="shared" si="129"/>
        <v>0</v>
      </c>
      <c r="AY251" s="2765">
        <f t="shared" si="130"/>
        <v>0</v>
      </c>
      <c r="AZ251" s="2720">
        <f t="shared" si="131"/>
        <v>0</v>
      </c>
      <c r="BA251" s="2720">
        <f t="shared" si="132"/>
        <v>0</v>
      </c>
      <c r="BB251" s="2720">
        <f t="shared" si="133"/>
        <v>0</v>
      </c>
      <c r="BC251" s="2720">
        <f t="shared" si="134"/>
        <v>0</v>
      </c>
      <c r="BD251" s="2720">
        <f t="shared" si="135"/>
        <v>0</v>
      </c>
      <c r="BE251" s="2720">
        <f t="shared" si="136"/>
        <v>0</v>
      </c>
      <c r="BF251" s="2720">
        <f t="shared" si="137"/>
        <v>0</v>
      </c>
      <c r="BG251" s="2720">
        <f t="shared" si="138"/>
        <v>0</v>
      </c>
      <c r="BH251" s="2720">
        <f t="shared" si="139"/>
        <v>0</v>
      </c>
      <c r="BI251" s="2720">
        <f t="shared" si="140"/>
        <v>0</v>
      </c>
      <c r="BJ251" s="2720">
        <f t="shared" si="141"/>
        <v>0</v>
      </c>
      <c r="BK251" s="2720">
        <f t="shared" si="142"/>
        <v>0</v>
      </c>
      <c r="BL251" s="2720">
        <f t="shared" si="143"/>
        <v>0</v>
      </c>
      <c r="BM251" s="2720">
        <f t="shared" si="144"/>
        <v>0</v>
      </c>
      <c r="BN251" s="2720">
        <f t="shared" si="145"/>
        <v>0</v>
      </c>
      <c r="BO251" s="2720">
        <f t="shared" si="146"/>
        <v>0</v>
      </c>
      <c r="BP251" s="2720">
        <f t="shared" si="147"/>
        <v>0</v>
      </c>
      <c r="BQ251" s="2720">
        <f t="shared" si="148"/>
        <v>0</v>
      </c>
      <c r="BR251" s="2720">
        <f t="shared" si="149"/>
        <v>0</v>
      </c>
      <c r="BS251" s="2720">
        <f t="shared" si="150"/>
        <v>0</v>
      </c>
      <c r="BT251" s="2772">
        <f t="shared" si="151"/>
        <v>0</v>
      </c>
    </row>
    <row r="252" spans="1:72">
      <c r="A252" s="2717"/>
      <c r="B252" s="2718"/>
      <c r="C252" s="2718"/>
      <c r="D252" s="2719"/>
      <c r="E252" s="2720">
        <f t="shared" si="123"/>
        <v>0</v>
      </c>
      <c r="F252" s="2721"/>
      <c r="G252" s="2722">
        <f t="shared" si="124"/>
        <v>0</v>
      </c>
      <c r="H252" s="2723">
        <f t="shared" si="125"/>
        <v>0</v>
      </c>
      <c r="I252" s="2730"/>
      <c r="J252" s="2730"/>
      <c r="K252" s="2730"/>
      <c r="L252" s="2730"/>
      <c r="M252" s="2730"/>
      <c r="N252" s="2730"/>
      <c r="O252" s="2730"/>
      <c r="P252" s="2730"/>
      <c r="Q252" s="2730"/>
      <c r="R252" s="2730"/>
      <c r="S252" s="2730"/>
      <c r="T252" s="2730"/>
      <c r="U252" s="2730"/>
      <c r="V252" s="2730"/>
      <c r="W252" s="2730"/>
      <c r="X252" s="2730"/>
      <c r="Y252" s="2730"/>
      <c r="Z252" s="2730"/>
      <c r="AA252" s="2730"/>
      <c r="AB252" s="2730"/>
      <c r="AC252" s="2720">
        <f t="shared" si="126"/>
        <v>0</v>
      </c>
      <c r="AD252" s="2740"/>
      <c r="AE252" s="2740"/>
      <c r="AF252" s="2740"/>
      <c r="AG252" s="2740"/>
      <c r="AH252" s="2740"/>
      <c r="AI252" s="2740"/>
      <c r="AJ252" s="2740"/>
      <c r="AK252" s="2740"/>
      <c r="AL252" s="2740"/>
      <c r="AM252" s="2740"/>
      <c r="AN252" s="2740"/>
      <c r="AO252" s="2740"/>
      <c r="AP252" s="2740"/>
      <c r="AQ252" s="2740"/>
      <c r="AR252" s="2740"/>
      <c r="AS252" s="2740"/>
      <c r="AT252" s="2750"/>
      <c r="AU252" s="2751"/>
      <c r="AV252" s="1092">
        <f t="shared" si="127"/>
        <v>0</v>
      </c>
      <c r="AW252" s="1092">
        <f t="shared" si="128"/>
        <v>0</v>
      </c>
      <c r="AX252" s="1092">
        <f t="shared" si="129"/>
        <v>0</v>
      </c>
      <c r="AY252" s="2765">
        <f t="shared" si="130"/>
        <v>0</v>
      </c>
      <c r="AZ252" s="2720">
        <f t="shared" si="131"/>
        <v>0</v>
      </c>
      <c r="BA252" s="2720">
        <f t="shared" si="132"/>
        <v>0</v>
      </c>
      <c r="BB252" s="2720">
        <f t="shared" si="133"/>
        <v>0</v>
      </c>
      <c r="BC252" s="2720">
        <f t="shared" si="134"/>
        <v>0</v>
      </c>
      <c r="BD252" s="2720">
        <f t="shared" si="135"/>
        <v>0</v>
      </c>
      <c r="BE252" s="2720">
        <f t="shared" si="136"/>
        <v>0</v>
      </c>
      <c r="BF252" s="2720">
        <f t="shared" si="137"/>
        <v>0</v>
      </c>
      <c r="BG252" s="2720">
        <f t="shared" si="138"/>
        <v>0</v>
      </c>
      <c r="BH252" s="2720">
        <f t="shared" si="139"/>
        <v>0</v>
      </c>
      <c r="BI252" s="2720">
        <f t="shared" si="140"/>
        <v>0</v>
      </c>
      <c r="BJ252" s="2720">
        <f t="shared" si="141"/>
        <v>0</v>
      </c>
      <c r="BK252" s="2720">
        <f t="shared" si="142"/>
        <v>0</v>
      </c>
      <c r="BL252" s="2720">
        <f t="shared" si="143"/>
        <v>0</v>
      </c>
      <c r="BM252" s="2720">
        <f t="shared" si="144"/>
        <v>0</v>
      </c>
      <c r="BN252" s="2720">
        <f t="shared" si="145"/>
        <v>0</v>
      </c>
      <c r="BO252" s="2720">
        <f t="shared" si="146"/>
        <v>0</v>
      </c>
      <c r="BP252" s="2720">
        <f t="shared" si="147"/>
        <v>0</v>
      </c>
      <c r="BQ252" s="2720">
        <f t="shared" si="148"/>
        <v>0</v>
      </c>
      <c r="BR252" s="2720">
        <f t="shared" si="149"/>
        <v>0</v>
      </c>
      <c r="BS252" s="2720">
        <f t="shared" si="150"/>
        <v>0</v>
      </c>
      <c r="BT252" s="2772">
        <f t="shared" si="151"/>
        <v>0</v>
      </c>
    </row>
    <row r="253" spans="1:72">
      <c r="A253" s="2717"/>
      <c r="B253" s="2718"/>
      <c r="C253" s="2718"/>
      <c r="D253" s="2719"/>
      <c r="E253" s="2720">
        <f t="shared" si="123"/>
        <v>0</v>
      </c>
      <c r="F253" s="2721"/>
      <c r="G253" s="2722">
        <f t="shared" si="124"/>
        <v>0</v>
      </c>
      <c r="H253" s="2723">
        <f t="shared" si="125"/>
        <v>0</v>
      </c>
      <c r="I253" s="2730"/>
      <c r="J253" s="2730"/>
      <c r="K253" s="2730"/>
      <c r="L253" s="2730"/>
      <c r="M253" s="2730"/>
      <c r="N253" s="2730"/>
      <c r="O253" s="2730"/>
      <c r="P253" s="2730"/>
      <c r="Q253" s="2730"/>
      <c r="R253" s="2730"/>
      <c r="S253" s="2730"/>
      <c r="T253" s="2730"/>
      <c r="U253" s="2730"/>
      <c r="V253" s="2730"/>
      <c r="W253" s="2730"/>
      <c r="X253" s="2730"/>
      <c r="Y253" s="2730"/>
      <c r="Z253" s="2730"/>
      <c r="AA253" s="2730"/>
      <c r="AB253" s="2730"/>
      <c r="AC253" s="2720">
        <f t="shared" si="126"/>
        <v>0</v>
      </c>
      <c r="AD253" s="2740"/>
      <c r="AE253" s="2740"/>
      <c r="AF253" s="2740"/>
      <c r="AG253" s="2740"/>
      <c r="AH253" s="2740"/>
      <c r="AI253" s="2740"/>
      <c r="AJ253" s="2740"/>
      <c r="AK253" s="2740"/>
      <c r="AL253" s="2740"/>
      <c r="AM253" s="2740"/>
      <c r="AN253" s="2740"/>
      <c r="AO253" s="2740"/>
      <c r="AP253" s="2740"/>
      <c r="AQ253" s="2740"/>
      <c r="AR253" s="2740"/>
      <c r="AS253" s="2740"/>
      <c r="AT253" s="2750"/>
      <c r="AU253" s="2751"/>
      <c r="AV253" s="1092">
        <f t="shared" si="127"/>
        <v>0</v>
      </c>
      <c r="AW253" s="1092">
        <f t="shared" si="128"/>
        <v>0</v>
      </c>
      <c r="AX253" s="1092">
        <f t="shared" si="129"/>
        <v>0</v>
      </c>
      <c r="AY253" s="2765">
        <f t="shared" si="130"/>
        <v>0</v>
      </c>
      <c r="AZ253" s="2720">
        <f t="shared" si="131"/>
        <v>0</v>
      </c>
      <c r="BA253" s="2720">
        <f t="shared" si="132"/>
        <v>0</v>
      </c>
      <c r="BB253" s="2720">
        <f t="shared" si="133"/>
        <v>0</v>
      </c>
      <c r="BC253" s="2720">
        <f t="shared" si="134"/>
        <v>0</v>
      </c>
      <c r="BD253" s="2720">
        <f t="shared" si="135"/>
        <v>0</v>
      </c>
      <c r="BE253" s="2720">
        <f t="shared" si="136"/>
        <v>0</v>
      </c>
      <c r="BF253" s="2720">
        <f t="shared" si="137"/>
        <v>0</v>
      </c>
      <c r="BG253" s="2720">
        <f t="shared" si="138"/>
        <v>0</v>
      </c>
      <c r="BH253" s="2720">
        <f t="shared" si="139"/>
        <v>0</v>
      </c>
      <c r="BI253" s="2720">
        <f t="shared" si="140"/>
        <v>0</v>
      </c>
      <c r="BJ253" s="2720">
        <f t="shared" si="141"/>
        <v>0</v>
      </c>
      <c r="BK253" s="2720">
        <f t="shared" si="142"/>
        <v>0</v>
      </c>
      <c r="BL253" s="2720">
        <f t="shared" si="143"/>
        <v>0</v>
      </c>
      <c r="BM253" s="2720">
        <f t="shared" si="144"/>
        <v>0</v>
      </c>
      <c r="BN253" s="2720">
        <f t="shared" si="145"/>
        <v>0</v>
      </c>
      <c r="BO253" s="2720">
        <f t="shared" si="146"/>
        <v>0</v>
      </c>
      <c r="BP253" s="2720">
        <f t="shared" si="147"/>
        <v>0</v>
      </c>
      <c r="BQ253" s="2720">
        <f t="shared" si="148"/>
        <v>0</v>
      </c>
      <c r="BR253" s="2720">
        <f t="shared" si="149"/>
        <v>0</v>
      </c>
      <c r="BS253" s="2720">
        <f t="shared" si="150"/>
        <v>0</v>
      </c>
      <c r="BT253" s="2772">
        <f t="shared" si="151"/>
        <v>0</v>
      </c>
    </row>
    <row r="254" spans="1:72">
      <c r="A254" s="2717"/>
      <c r="B254" s="2718"/>
      <c r="C254" s="2718"/>
      <c r="D254" s="2719"/>
      <c r="E254" s="2720">
        <f t="shared" si="123"/>
        <v>0</v>
      </c>
      <c r="F254" s="2721"/>
      <c r="G254" s="2722">
        <f t="shared" si="124"/>
        <v>0</v>
      </c>
      <c r="H254" s="2723">
        <f t="shared" si="125"/>
        <v>0</v>
      </c>
      <c r="I254" s="2730"/>
      <c r="J254" s="2730"/>
      <c r="K254" s="2730"/>
      <c r="L254" s="2730"/>
      <c r="M254" s="2730"/>
      <c r="N254" s="2730"/>
      <c r="O254" s="2730"/>
      <c r="P254" s="2730"/>
      <c r="Q254" s="2730"/>
      <c r="R254" s="2730"/>
      <c r="S254" s="2730"/>
      <c r="T254" s="2730"/>
      <c r="U254" s="2730"/>
      <c r="V254" s="2730"/>
      <c r="W254" s="2730"/>
      <c r="X254" s="2730"/>
      <c r="Y254" s="2730"/>
      <c r="Z254" s="2730"/>
      <c r="AA254" s="2730"/>
      <c r="AB254" s="2730"/>
      <c r="AC254" s="2720">
        <f t="shared" si="126"/>
        <v>0</v>
      </c>
      <c r="AD254" s="2740"/>
      <c r="AE254" s="2740"/>
      <c r="AF254" s="2740"/>
      <c r="AG254" s="2740"/>
      <c r="AH254" s="2740"/>
      <c r="AI254" s="2740"/>
      <c r="AJ254" s="2740"/>
      <c r="AK254" s="2740"/>
      <c r="AL254" s="2740"/>
      <c r="AM254" s="2740"/>
      <c r="AN254" s="2740"/>
      <c r="AO254" s="2740"/>
      <c r="AP254" s="2740"/>
      <c r="AQ254" s="2740"/>
      <c r="AR254" s="2740"/>
      <c r="AS254" s="2740"/>
      <c r="AT254" s="2750"/>
      <c r="AU254" s="2751"/>
      <c r="AV254" s="1092">
        <f t="shared" si="127"/>
        <v>0</v>
      </c>
      <c r="AW254" s="1092">
        <f t="shared" si="128"/>
        <v>0</v>
      </c>
      <c r="AX254" s="1092">
        <f t="shared" si="129"/>
        <v>0</v>
      </c>
      <c r="AY254" s="2765">
        <f t="shared" si="130"/>
        <v>0</v>
      </c>
      <c r="AZ254" s="2720">
        <f t="shared" si="131"/>
        <v>0</v>
      </c>
      <c r="BA254" s="2720">
        <f t="shared" si="132"/>
        <v>0</v>
      </c>
      <c r="BB254" s="2720">
        <f t="shared" si="133"/>
        <v>0</v>
      </c>
      <c r="BC254" s="2720">
        <f t="shared" si="134"/>
        <v>0</v>
      </c>
      <c r="BD254" s="2720">
        <f t="shared" si="135"/>
        <v>0</v>
      </c>
      <c r="BE254" s="2720">
        <f t="shared" si="136"/>
        <v>0</v>
      </c>
      <c r="BF254" s="2720">
        <f t="shared" si="137"/>
        <v>0</v>
      </c>
      <c r="BG254" s="2720">
        <f t="shared" si="138"/>
        <v>0</v>
      </c>
      <c r="BH254" s="2720">
        <f t="shared" si="139"/>
        <v>0</v>
      </c>
      <c r="BI254" s="2720">
        <f t="shared" si="140"/>
        <v>0</v>
      </c>
      <c r="BJ254" s="2720">
        <f t="shared" si="141"/>
        <v>0</v>
      </c>
      <c r="BK254" s="2720">
        <f t="shared" si="142"/>
        <v>0</v>
      </c>
      <c r="BL254" s="2720">
        <f t="shared" si="143"/>
        <v>0</v>
      </c>
      <c r="BM254" s="2720">
        <f t="shared" si="144"/>
        <v>0</v>
      </c>
      <c r="BN254" s="2720">
        <f t="shared" si="145"/>
        <v>0</v>
      </c>
      <c r="BO254" s="2720">
        <f t="shared" si="146"/>
        <v>0</v>
      </c>
      <c r="BP254" s="2720">
        <f t="shared" si="147"/>
        <v>0</v>
      </c>
      <c r="BQ254" s="2720">
        <f t="shared" si="148"/>
        <v>0</v>
      </c>
      <c r="BR254" s="2720">
        <f t="shared" si="149"/>
        <v>0</v>
      </c>
      <c r="BS254" s="2720">
        <f t="shared" si="150"/>
        <v>0</v>
      </c>
      <c r="BT254" s="2772">
        <f t="shared" si="151"/>
        <v>0</v>
      </c>
    </row>
    <row r="255" spans="1:72">
      <c r="A255" s="2717"/>
      <c r="B255" s="2718"/>
      <c r="C255" s="2718"/>
      <c r="D255" s="2719"/>
      <c r="E255" s="2720">
        <f t="shared" si="123"/>
        <v>0</v>
      </c>
      <c r="F255" s="2721"/>
      <c r="G255" s="2722">
        <f t="shared" si="124"/>
        <v>0</v>
      </c>
      <c r="H255" s="2723">
        <f t="shared" si="125"/>
        <v>0</v>
      </c>
      <c r="I255" s="2730"/>
      <c r="J255" s="2730"/>
      <c r="K255" s="2730"/>
      <c r="L255" s="2730"/>
      <c r="M255" s="2730"/>
      <c r="N255" s="2730"/>
      <c r="O255" s="2730"/>
      <c r="P255" s="2730"/>
      <c r="Q255" s="2730"/>
      <c r="R255" s="2730"/>
      <c r="S255" s="2730"/>
      <c r="T255" s="2730"/>
      <c r="U255" s="2730"/>
      <c r="V255" s="2730"/>
      <c r="W255" s="2730"/>
      <c r="X255" s="2730"/>
      <c r="Y255" s="2730"/>
      <c r="Z255" s="2730"/>
      <c r="AA255" s="2730"/>
      <c r="AB255" s="2730"/>
      <c r="AC255" s="2720">
        <f t="shared" si="126"/>
        <v>0</v>
      </c>
      <c r="AD255" s="2740"/>
      <c r="AE255" s="2740"/>
      <c r="AF255" s="2740"/>
      <c r="AG255" s="2740"/>
      <c r="AH255" s="2740"/>
      <c r="AI255" s="2740"/>
      <c r="AJ255" s="2740"/>
      <c r="AK255" s="2740"/>
      <c r="AL255" s="2740"/>
      <c r="AM255" s="2740"/>
      <c r="AN255" s="2740"/>
      <c r="AO255" s="2740"/>
      <c r="AP255" s="2740"/>
      <c r="AQ255" s="2740"/>
      <c r="AR255" s="2740"/>
      <c r="AS255" s="2740"/>
      <c r="AT255" s="2750"/>
      <c r="AU255" s="2751"/>
      <c r="AV255" s="1092">
        <f t="shared" si="127"/>
        <v>0</v>
      </c>
      <c r="AW255" s="1092">
        <f t="shared" si="128"/>
        <v>0</v>
      </c>
      <c r="AX255" s="1092">
        <f t="shared" si="129"/>
        <v>0</v>
      </c>
      <c r="AY255" s="2765">
        <f t="shared" si="130"/>
        <v>0</v>
      </c>
      <c r="AZ255" s="2720">
        <f t="shared" si="131"/>
        <v>0</v>
      </c>
      <c r="BA255" s="2720">
        <f t="shared" si="132"/>
        <v>0</v>
      </c>
      <c r="BB255" s="2720">
        <f t="shared" si="133"/>
        <v>0</v>
      </c>
      <c r="BC255" s="2720">
        <f t="shared" si="134"/>
        <v>0</v>
      </c>
      <c r="BD255" s="2720">
        <f t="shared" si="135"/>
        <v>0</v>
      </c>
      <c r="BE255" s="2720">
        <f t="shared" si="136"/>
        <v>0</v>
      </c>
      <c r="BF255" s="2720">
        <f t="shared" si="137"/>
        <v>0</v>
      </c>
      <c r="BG255" s="2720">
        <f t="shared" si="138"/>
        <v>0</v>
      </c>
      <c r="BH255" s="2720">
        <f t="shared" si="139"/>
        <v>0</v>
      </c>
      <c r="BI255" s="2720">
        <f t="shared" si="140"/>
        <v>0</v>
      </c>
      <c r="BJ255" s="2720">
        <f t="shared" si="141"/>
        <v>0</v>
      </c>
      <c r="BK255" s="2720">
        <f t="shared" si="142"/>
        <v>0</v>
      </c>
      <c r="BL255" s="2720">
        <f t="shared" si="143"/>
        <v>0</v>
      </c>
      <c r="BM255" s="2720">
        <f t="shared" si="144"/>
        <v>0</v>
      </c>
      <c r="BN255" s="2720">
        <f t="shared" si="145"/>
        <v>0</v>
      </c>
      <c r="BO255" s="2720">
        <f t="shared" si="146"/>
        <v>0</v>
      </c>
      <c r="BP255" s="2720">
        <f t="shared" si="147"/>
        <v>0</v>
      </c>
      <c r="BQ255" s="2720">
        <f t="shared" si="148"/>
        <v>0</v>
      </c>
      <c r="BR255" s="2720">
        <f t="shared" si="149"/>
        <v>0</v>
      </c>
      <c r="BS255" s="2720">
        <f t="shared" si="150"/>
        <v>0</v>
      </c>
      <c r="BT255" s="2772">
        <f t="shared" si="151"/>
        <v>0</v>
      </c>
    </row>
    <row r="256" spans="1:72">
      <c r="A256" s="2717"/>
      <c r="B256" s="2718"/>
      <c r="C256" s="2718"/>
      <c r="D256" s="2719"/>
      <c r="E256" s="2720">
        <f t="shared" si="123"/>
        <v>0</v>
      </c>
      <c r="F256" s="2721"/>
      <c r="G256" s="2722">
        <f t="shared" si="124"/>
        <v>0</v>
      </c>
      <c r="H256" s="2723">
        <f t="shared" si="125"/>
        <v>0</v>
      </c>
      <c r="I256" s="2730"/>
      <c r="J256" s="2730"/>
      <c r="K256" s="2730"/>
      <c r="L256" s="2730"/>
      <c r="M256" s="2730"/>
      <c r="N256" s="2730"/>
      <c r="O256" s="2730"/>
      <c r="P256" s="2730"/>
      <c r="Q256" s="2730"/>
      <c r="R256" s="2730"/>
      <c r="S256" s="2730"/>
      <c r="T256" s="2730"/>
      <c r="U256" s="2730"/>
      <c r="V256" s="2730"/>
      <c r="W256" s="2730"/>
      <c r="X256" s="2730"/>
      <c r="Y256" s="2730"/>
      <c r="Z256" s="2730"/>
      <c r="AA256" s="2730"/>
      <c r="AB256" s="2730"/>
      <c r="AC256" s="2720">
        <f t="shared" si="126"/>
        <v>0</v>
      </c>
      <c r="AD256" s="2740"/>
      <c r="AE256" s="2740"/>
      <c r="AF256" s="2740"/>
      <c r="AG256" s="2740"/>
      <c r="AH256" s="2740"/>
      <c r="AI256" s="2740"/>
      <c r="AJ256" s="2740"/>
      <c r="AK256" s="2740"/>
      <c r="AL256" s="2740"/>
      <c r="AM256" s="2740"/>
      <c r="AN256" s="2740"/>
      <c r="AO256" s="2740"/>
      <c r="AP256" s="2740"/>
      <c r="AQ256" s="2740"/>
      <c r="AR256" s="2740"/>
      <c r="AS256" s="2740"/>
      <c r="AT256" s="2750"/>
      <c r="AU256" s="2751"/>
      <c r="AV256" s="1092">
        <f t="shared" si="127"/>
        <v>0</v>
      </c>
      <c r="AW256" s="1092">
        <f t="shared" si="128"/>
        <v>0</v>
      </c>
      <c r="AX256" s="1092">
        <f t="shared" si="129"/>
        <v>0</v>
      </c>
      <c r="AY256" s="2765">
        <f t="shared" si="130"/>
        <v>0</v>
      </c>
      <c r="AZ256" s="2720">
        <f t="shared" si="131"/>
        <v>0</v>
      </c>
      <c r="BA256" s="2720">
        <f t="shared" si="132"/>
        <v>0</v>
      </c>
      <c r="BB256" s="2720">
        <f t="shared" si="133"/>
        <v>0</v>
      </c>
      <c r="BC256" s="2720">
        <f t="shared" si="134"/>
        <v>0</v>
      </c>
      <c r="BD256" s="2720">
        <f t="shared" si="135"/>
        <v>0</v>
      </c>
      <c r="BE256" s="2720">
        <f t="shared" si="136"/>
        <v>0</v>
      </c>
      <c r="BF256" s="2720">
        <f t="shared" si="137"/>
        <v>0</v>
      </c>
      <c r="BG256" s="2720">
        <f t="shared" si="138"/>
        <v>0</v>
      </c>
      <c r="BH256" s="2720">
        <f t="shared" si="139"/>
        <v>0</v>
      </c>
      <c r="BI256" s="2720">
        <f t="shared" si="140"/>
        <v>0</v>
      </c>
      <c r="BJ256" s="2720">
        <f t="shared" si="141"/>
        <v>0</v>
      </c>
      <c r="BK256" s="2720">
        <f t="shared" si="142"/>
        <v>0</v>
      </c>
      <c r="BL256" s="2720">
        <f t="shared" si="143"/>
        <v>0</v>
      </c>
      <c r="BM256" s="2720">
        <f t="shared" si="144"/>
        <v>0</v>
      </c>
      <c r="BN256" s="2720">
        <f t="shared" si="145"/>
        <v>0</v>
      </c>
      <c r="BO256" s="2720">
        <f t="shared" si="146"/>
        <v>0</v>
      </c>
      <c r="BP256" s="2720">
        <f t="shared" si="147"/>
        <v>0</v>
      </c>
      <c r="BQ256" s="2720">
        <f t="shared" si="148"/>
        <v>0</v>
      </c>
      <c r="BR256" s="2720">
        <f t="shared" si="149"/>
        <v>0</v>
      </c>
      <c r="BS256" s="2720">
        <f t="shared" si="150"/>
        <v>0</v>
      </c>
      <c r="BT256" s="2772">
        <f t="shared" si="151"/>
        <v>0</v>
      </c>
    </row>
    <row r="257" spans="1:72">
      <c r="A257" s="2717"/>
      <c r="B257" s="2718"/>
      <c r="C257" s="2718"/>
      <c r="D257" s="2719"/>
      <c r="E257" s="2720">
        <f t="shared" si="123"/>
        <v>0</v>
      </c>
      <c r="F257" s="2721"/>
      <c r="G257" s="2722">
        <f t="shared" si="124"/>
        <v>0</v>
      </c>
      <c r="H257" s="2723">
        <f t="shared" si="125"/>
        <v>0</v>
      </c>
      <c r="I257" s="2730"/>
      <c r="J257" s="2730"/>
      <c r="K257" s="2730"/>
      <c r="L257" s="2730"/>
      <c r="M257" s="2730"/>
      <c r="N257" s="2730"/>
      <c r="O257" s="2730"/>
      <c r="P257" s="2730"/>
      <c r="Q257" s="2730"/>
      <c r="R257" s="2730"/>
      <c r="S257" s="2730"/>
      <c r="T257" s="2730"/>
      <c r="U257" s="2730"/>
      <c r="V257" s="2730"/>
      <c r="W257" s="2730"/>
      <c r="X257" s="2730"/>
      <c r="Y257" s="2730"/>
      <c r="Z257" s="2730"/>
      <c r="AA257" s="2730"/>
      <c r="AB257" s="2730"/>
      <c r="AC257" s="2720">
        <f t="shared" si="126"/>
        <v>0</v>
      </c>
      <c r="AD257" s="2740"/>
      <c r="AE257" s="2740"/>
      <c r="AF257" s="2740"/>
      <c r="AG257" s="2740"/>
      <c r="AH257" s="2740"/>
      <c r="AI257" s="2740"/>
      <c r="AJ257" s="2740"/>
      <c r="AK257" s="2740"/>
      <c r="AL257" s="2740"/>
      <c r="AM257" s="2740"/>
      <c r="AN257" s="2740"/>
      <c r="AO257" s="2740"/>
      <c r="AP257" s="2740"/>
      <c r="AQ257" s="2740"/>
      <c r="AR257" s="2740"/>
      <c r="AS257" s="2740"/>
      <c r="AT257" s="2750"/>
      <c r="AU257" s="2751"/>
      <c r="AV257" s="1092">
        <f t="shared" si="127"/>
        <v>0</v>
      </c>
      <c r="AW257" s="1092">
        <f t="shared" si="128"/>
        <v>0</v>
      </c>
      <c r="AX257" s="1092">
        <f t="shared" si="129"/>
        <v>0</v>
      </c>
      <c r="AY257" s="2765">
        <f t="shared" si="130"/>
        <v>0</v>
      </c>
      <c r="AZ257" s="2720">
        <f t="shared" si="131"/>
        <v>0</v>
      </c>
      <c r="BA257" s="2720">
        <f t="shared" si="132"/>
        <v>0</v>
      </c>
      <c r="BB257" s="2720">
        <f t="shared" si="133"/>
        <v>0</v>
      </c>
      <c r="BC257" s="2720">
        <f t="shared" si="134"/>
        <v>0</v>
      </c>
      <c r="BD257" s="2720">
        <f t="shared" si="135"/>
        <v>0</v>
      </c>
      <c r="BE257" s="2720">
        <f t="shared" si="136"/>
        <v>0</v>
      </c>
      <c r="BF257" s="2720">
        <f t="shared" si="137"/>
        <v>0</v>
      </c>
      <c r="BG257" s="2720">
        <f t="shared" si="138"/>
        <v>0</v>
      </c>
      <c r="BH257" s="2720">
        <f t="shared" si="139"/>
        <v>0</v>
      </c>
      <c r="BI257" s="2720">
        <f t="shared" si="140"/>
        <v>0</v>
      </c>
      <c r="BJ257" s="2720">
        <f t="shared" si="141"/>
        <v>0</v>
      </c>
      <c r="BK257" s="2720">
        <f t="shared" si="142"/>
        <v>0</v>
      </c>
      <c r="BL257" s="2720">
        <f t="shared" si="143"/>
        <v>0</v>
      </c>
      <c r="BM257" s="2720">
        <f t="shared" si="144"/>
        <v>0</v>
      </c>
      <c r="BN257" s="2720">
        <f t="shared" si="145"/>
        <v>0</v>
      </c>
      <c r="BO257" s="2720">
        <f t="shared" si="146"/>
        <v>0</v>
      </c>
      <c r="BP257" s="2720">
        <f t="shared" si="147"/>
        <v>0</v>
      </c>
      <c r="BQ257" s="2720">
        <f t="shared" si="148"/>
        <v>0</v>
      </c>
      <c r="BR257" s="2720">
        <f t="shared" si="149"/>
        <v>0</v>
      </c>
      <c r="BS257" s="2720">
        <f t="shared" si="150"/>
        <v>0</v>
      </c>
      <c r="BT257" s="2772">
        <f t="shared" si="151"/>
        <v>0</v>
      </c>
    </row>
    <row r="258" spans="1:72">
      <c r="A258" s="2717"/>
      <c r="B258" s="2718"/>
      <c r="C258" s="2718"/>
      <c r="D258" s="2719"/>
      <c r="E258" s="2720">
        <f t="shared" si="123"/>
        <v>0</v>
      </c>
      <c r="F258" s="2721"/>
      <c r="G258" s="2722">
        <f t="shared" si="124"/>
        <v>0</v>
      </c>
      <c r="H258" s="2723">
        <f t="shared" si="125"/>
        <v>0</v>
      </c>
      <c r="I258" s="2730"/>
      <c r="J258" s="2730"/>
      <c r="K258" s="2730"/>
      <c r="L258" s="2730"/>
      <c r="M258" s="2730"/>
      <c r="N258" s="2730"/>
      <c r="O258" s="2730"/>
      <c r="P258" s="2730"/>
      <c r="Q258" s="2730"/>
      <c r="R258" s="2730"/>
      <c r="S258" s="2730"/>
      <c r="T258" s="2730"/>
      <c r="U258" s="2730"/>
      <c r="V258" s="2730"/>
      <c r="W258" s="2730"/>
      <c r="X258" s="2730"/>
      <c r="Y258" s="2730"/>
      <c r="Z258" s="2730"/>
      <c r="AA258" s="2730"/>
      <c r="AB258" s="2730"/>
      <c r="AC258" s="2720">
        <f t="shared" si="126"/>
        <v>0</v>
      </c>
      <c r="AD258" s="2740"/>
      <c r="AE258" s="2740"/>
      <c r="AF258" s="2740"/>
      <c r="AG258" s="2740"/>
      <c r="AH258" s="2740"/>
      <c r="AI258" s="2740"/>
      <c r="AJ258" s="2740"/>
      <c r="AK258" s="2740"/>
      <c r="AL258" s="2740"/>
      <c r="AM258" s="2740"/>
      <c r="AN258" s="2740"/>
      <c r="AO258" s="2740"/>
      <c r="AP258" s="2740"/>
      <c r="AQ258" s="2740"/>
      <c r="AR258" s="2740"/>
      <c r="AS258" s="2740"/>
      <c r="AT258" s="2750"/>
      <c r="AU258" s="2751"/>
      <c r="AV258" s="1092">
        <f t="shared" si="127"/>
        <v>0</v>
      </c>
      <c r="AW258" s="1092">
        <f t="shared" si="128"/>
        <v>0</v>
      </c>
      <c r="AX258" s="1092">
        <f t="shared" si="129"/>
        <v>0</v>
      </c>
      <c r="AY258" s="2765">
        <f t="shared" si="130"/>
        <v>0</v>
      </c>
      <c r="AZ258" s="2720">
        <f t="shared" si="131"/>
        <v>0</v>
      </c>
      <c r="BA258" s="2720">
        <f t="shared" si="132"/>
        <v>0</v>
      </c>
      <c r="BB258" s="2720">
        <f t="shared" si="133"/>
        <v>0</v>
      </c>
      <c r="BC258" s="2720">
        <f t="shared" si="134"/>
        <v>0</v>
      </c>
      <c r="BD258" s="2720">
        <f t="shared" si="135"/>
        <v>0</v>
      </c>
      <c r="BE258" s="2720">
        <f t="shared" si="136"/>
        <v>0</v>
      </c>
      <c r="BF258" s="2720">
        <f t="shared" si="137"/>
        <v>0</v>
      </c>
      <c r="BG258" s="2720">
        <f t="shared" si="138"/>
        <v>0</v>
      </c>
      <c r="BH258" s="2720">
        <f t="shared" si="139"/>
        <v>0</v>
      </c>
      <c r="BI258" s="2720">
        <f t="shared" si="140"/>
        <v>0</v>
      </c>
      <c r="BJ258" s="2720">
        <f t="shared" si="141"/>
        <v>0</v>
      </c>
      <c r="BK258" s="2720">
        <f t="shared" si="142"/>
        <v>0</v>
      </c>
      <c r="BL258" s="2720">
        <f t="shared" si="143"/>
        <v>0</v>
      </c>
      <c r="BM258" s="2720">
        <f t="shared" si="144"/>
        <v>0</v>
      </c>
      <c r="BN258" s="2720">
        <f t="shared" si="145"/>
        <v>0</v>
      </c>
      <c r="BO258" s="2720">
        <f t="shared" si="146"/>
        <v>0</v>
      </c>
      <c r="BP258" s="2720">
        <f t="shared" si="147"/>
        <v>0</v>
      </c>
      <c r="BQ258" s="2720">
        <f t="shared" si="148"/>
        <v>0</v>
      </c>
      <c r="BR258" s="2720">
        <f t="shared" si="149"/>
        <v>0</v>
      </c>
      <c r="BS258" s="2720">
        <f t="shared" si="150"/>
        <v>0</v>
      </c>
      <c r="BT258" s="2772">
        <f t="shared" si="151"/>
        <v>0</v>
      </c>
    </row>
    <row r="259" spans="1:72">
      <c r="A259" s="2717"/>
      <c r="B259" s="2718"/>
      <c r="C259" s="2718"/>
      <c r="D259" s="2719"/>
      <c r="E259" s="2720">
        <f t="shared" si="123"/>
        <v>0</v>
      </c>
      <c r="F259" s="2721"/>
      <c r="G259" s="2722">
        <f t="shared" si="124"/>
        <v>0</v>
      </c>
      <c r="H259" s="2723">
        <f t="shared" si="125"/>
        <v>0</v>
      </c>
      <c r="I259" s="2730"/>
      <c r="J259" s="2730"/>
      <c r="K259" s="2730"/>
      <c r="L259" s="2730"/>
      <c r="M259" s="2730"/>
      <c r="N259" s="2730"/>
      <c r="O259" s="2730"/>
      <c r="P259" s="2730"/>
      <c r="Q259" s="2730"/>
      <c r="R259" s="2730"/>
      <c r="S259" s="2730"/>
      <c r="T259" s="2730"/>
      <c r="U259" s="2730"/>
      <c r="V259" s="2730"/>
      <c r="W259" s="2730"/>
      <c r="X259" s="2730"/>
      <c r="Y259" s="2730"/>
      <c r="Z259" s="2730"/>
      <c r="AA259" s="2730"/>
      <c r="AB259" s="2730"/>
      <c r="AC259" s="2720">
        <f t="shared" si="126"/>
        <v>0</v>
      </c>
      <c r="AD259" s="2740"/>
      <c r="AE259" s="2740"/>
      <c r="AF259" s="2740"/>
      <c r="AG259" s="2740"/>
      <c r="AH259" s="2740"/>
      <c r="AI259" s="2740"/>
      <c r="AJ259" s="2740"/>
      <c r="AK259" s="2740"/>
      <c r="AL259" s="2740"/>
      <c r="AM259" s="2740"/>
      <c r="AN259" s="2740"/>
      <c r="AO259" s="2740"/>
      <c r="AP259" s="2740"/>
      <c r="AQ259" s="2740"/>
      <c r="AR259" s="2740"/>
      <c r="AS259" s="2740"/>
      <c r="AT259" s="2750"/>
      <c r="AU259" s="2751"/>
      <c r="AV259" s="1092">
        <f t="shared" si="127"/>
        <v>0</v>
      </c>
      <c r="AW259" s="1092">
        <f t="shared" si="128"/>
        <v>0</v>
      </c>
      <c r="AX259" s="1092">
        <f t="shared" si="129"/>
        <v>0</v>
      </c>
      <c r="AY259" s="2765">
        <f t="shared" si="130"/>
        <v>0</v>
      </c>
      <c r="AZ259" s="2720">
        <f t="shared" si="131"/>
        <v>0</v>
      </c>
      <c r="BA259" s="2720">
        <f t="shared" si="132"/>
        <v>0</v>
      </c>
      <c r="BB259" s="2720">
        <f t="shared" si="133"/>
        <v>0</v>
      </c>
      <c r="BC259" s="2720">
        <f t="shared" si="134"/>
        <v>0</v>
      </c>
      <c r="BD259" s="2720">
        <f t="shared" si="135"/>
        <v>0</v>
      </c>
      <c r="BE259" s="2720">
        <f t="shared" si="136"/>
        <v>0</v>
      </c>
      <c r="BF259" s="2720">
        <f t="shared" si="137"/>
        <v>0</v>
      </c>
      <c r="BG259" s="2720">
        <f t="shared" si="138"/>
        <v>0</v>
      </c>
      <c r="BH259" s="2720">
        <f t="shared" si="139"/>
        <v>0</v>
      </c>
      <c r="BI259" s="2720">
        <f t="shared" si="140"/>
        <v>0</v>
      </c>
      <c r="BJ259" s="2720">
        <f t="shared" si="141"/>
        <v>0</v>
      </c>
      <c r="BK259" s="2720">
        <f t="shared" si="142"/>
        <v>0</v>
      </c>
      <c r="BL259" s="2720">
        <f t="shared" si="143"/>
        <v>0</v>
      </c>
      <c r="BM259" s="2720">
        <f t="shared" si="144"/>
        <v>0</v>
      </c>
      <c r="BN259" s="2720">
        <f t="shared" si="145"/>
        <v>0</v>
      </c>
      <c r="BO259" s="2720">
        <f t="shared" si="146"/>
        <v>0</v>
      </c>
      <c r="BP259" s="2720">
        <f t="shared" si="147"/>
        <v>0</v>
      </c>
      <c r="BQ259" s="2720">
        <f t="shared" si="148"/>
        <v>0</v>
      </c>
      <c r="BR259" s="2720">
        <f t="shared" si="149"/>
        <v>0</v>
      </c>
      <c r="BS259" s="2720">
        <f t="shared" si="150"/>
        <v>0</v>
      </c>
      <c r="BT259" s="2772">
        <f t="shared" si="151"/>
        <v>0</v>
      </c>
    </row>
    <row r="260" spans="1:72">
      <c r="A260" s="2717"/>
      <c r="B260" s="2718"/>
      <c r="C260" s="2718"/>
      <c r="D260" s="2719"/>
      <c r="E260" s="2720">
        <f t="shared" si="123"/>
        <v>0</v>
      </c>
      <c r="F260" s="2721"/>
      <c r="G260" s="2722">
        <f t="shared" si="124"/>
        <v>0</v>
      </c>
      <c r="H260" s="2723">
        <f t="shared" si="125"/>
        <v>0</v>
      </c>
      <c r="I260" s="2730"/>
      <c r="J260" s="2730"/>
      <c r="K260" s="2730"/>
      <c r="L260" s="2730"/>
      <c r="M260" s="2730"/>
      <c r="N260" s="2730"/>
      <c r="O260" s="2730"/>
      <c r="P260" s="2730"/>
      <c r="Q260" s="2730"/>
      <c r="R260" s="2730"/>
      <c r="S260" s="2730"/>
      <c r="T260" s="2730"/>
      <c r="U260" s="2730"/>
      <c r="V260" s="2730"/>
      <c r="W260" s="2730"/>
      <c r="X260" s="2730"/>
      <c r="Y260" s="2730"/>
      <c r="Z260" s="2730"/>
      <c r="AA260" s="2730"/>
      <c r="AB260" s="2730"/>
      <c r="AC260" s="2720">
        <f t="shared" si="126"/>
        <v>0</v>
      </c>
      <c r="AD260" s="2740"/>
      <c r="AE260" s="2740"/>
      <c r="AF260" s="2740"/>
      <c r="AG260" s="2740"/>
      <c r="AH260" s="2740"/>
      <c r="AI260" s="2740"/>
      <c r="AJ260" s="2740"/>
      <c r="AK260" s="2740"/>
      <c r="AL260" s="2740"/>
      <c r="AM260" s="2740"/>
      <c r="AN260" s="2740"/>
      <c r="AO260" s="2740"/>
      <c r="AP260" s="2740"/>
      <c r="AQ260" s="2740"/>
      <c r="AR260" s="2740"/>
      <c r="AS260" s="2740"/>
      <c r="AT260" s="2750"/>
      <c r="AU260" s="2751"/>
      <c r="AV260" s="1092">
        <f t="shared" si="127"/>
        <v>0</v>
      </c>
      <c r="AW260" s="1092">
        <f t="shared" si="128"/>
        <v>0</v>
      </c>
      <c r="AX260" s="1092">
        <f t="shared" si="129"/>
        <v>0</v>
      </c>
      <c r="AY260" s="2765">
        <f t="shared" si="130"/>
        <v>0</v>
      </c>
      <c r="AZ260" s="2720">
        <f t="shared" si="131"/>
        <v>0</v>
      </c>
      <c r="BA260" s="2720">
        <f t="shared" si="132"/>
        <v>0</v>
      </c>
      <c r="BB260" s="2720">
        <f t="shared" si="133"/>
        <v>0</v>
      </c>
      <c r="BC260" s="2720">
        <f t="shared" si="134"/>
        <v>0</v>
      </c>
      <c r="BD260" s="2720">
        <f t="shared" si="135"/>
        <v>0</v>
      </c>
      <c r="BE260" s="2720">
        <f t="shared" si="136"/>
        <v>0</v>
      </c>
      <c r="BF260" s="2720">
        <f t="shared" si="137"/>
        <v>0</v>
      </c>
      <c r="BG260" s="2720">
        <f t="shared" si="138"/>
        <v>0</v>
      </c>
      <c r="BH260" s="2720">
        <f t="shared" si="139"/>
        <v>0</v>
      </c>
      <c r="BI260" s="2720">
        <f t="shared" si="140"/>
        <v>0</v>
      </c>
      <c r="BJ260" s="2720">
        <f t="shared" si="141"/>
        <v>0</v>
      </c>
      <c r="BK260" s="2720">
        <f t="shared" si="142"/>
        <v>0</v>
      </c>
      <c r="BL260" s="2720">
        <f t="shared" si="143"/>
        <v>0</v>
      </c>
      <c r="BM260" s="2720">
        <f t="shared" si="144"/>
        <v>0</v>
      </c>
      <c r="BN260" s="2720">
        <f t="shared" si="145"/>
        <v>0</v>
      </c>
      <c r="BO260" s="2720">
        <f t="shared" si="146"/>
        <v>0</v>
      </c>
      <c r="BP260" s="2720">
        <f t="shared" si="147"/>
        <v>0</v>
      </c>
      <c r="BQ260" s="2720">
        <f t="shared" si="148"/>
        <v>0</v>
      </c>
      <c r="BR260" s="2720">
        <f t="shared" si="149"/>
        <v>0</v>
      </c>
      <c r="BS260" s="2720">
        <f t="shared" si="150"/>
        <v>0</v>
      </c>
      <c r="BT260" s="2772">
        <f t="shared" si="151"/>
        <v>0</v>
      </c>
    </row>
    <row r="261" spans="1:72">
      <c r="A261" s="2717"/>
      <c r="B261" s="2718"/>
      <c r="C261" s="2718"/>
      <c r="D261" s="2719"/>
      <c r="E261" s="2720">
        <f t="shared" si="123"/>
        <v>0</v>
      </c>
      <c r="F261" s="2721"/>
      <c r="G261" s="2722">
        <f t="shared" si="124"/>
        <v>0</v>
      </c>
      <c r="H261" s="2723">
        <f t="shared" si="125"/>
        <v>0</v>
      </c>
      <c r="I261" s="2730"/>
      <c r="J261" s="2730"/>
      <c r="K261" s="2730"/>
      <c r="L261" s="2730"/>
      <c r="M261" s="2730"/>
      <c r="N261" s="2730"/>
      <c r="O261" s="2730"/>
      <c r="P261" s="2730"/>
      <c r="Q261" s="2730"/>
      <c r="R261" s="2730"/>
      <c r="S261" s="2730"/>
      <c r="T261" s="2730"/>
      <c r="U261" s="2730"/>
      <c r="V261" s="2730"/>
      <c r="W261" s="2730"/>
      <c r="X261" s="2730"/>
      <c r="Y261" s="2730"/>
      <c r="Z261" s="2730"/>
      <c r="AA261" s="2730"/>
      <c r="AB261" s="2730"/>
      <c r="AC261" s="2720">
        <f t="shared" si="126"/>
        <v>0</v>
      </c>
      <c r="AD261" s="2740"/>
      <c r="AE261" s="2740"/>
      <c r="AF261" s="2740"/>
      <c r="AG261" s="2740"/>
      <c r="AH261" s="2740"/>
      <c r="AI261" s="2740"/>
      <c r="AJ261" s="2740"/>
      <c r="AK261" s="2740"/>
      <c r="AL261" s="2740"/>
      <c r="AM261" s="2740"/>
      <c r="AN261" s="2740"/>
      <c r="AO261" s="2740"/>
      <c r="AP261" s="2740"/>
      <c r="AQ261" s="2740"/>
      <c r="AR261" s="2740"/>
      <c r="AS261" s="2740"/>
      <c r="AT261" s="2750"/>
      <c r="AU261" s="2751"/>
      <c r="AV261" s="1092">
        <f t="shared" si="127"/>
        <v>0</v>
      </c>
      <c r="AW261" s="1092">
        <f t="shared" si="128"/>
        <v>0</v>
      </c>
      <c r="AX261" s="1092">
        <f t="shared" si="129"/>
        <v>0</v>
      </c>
      <c r="AY261" s="2765">
        <f t="shared" si="130"/>
        <v>0</v>
      </c>
      <c r="AZ261" s="2720">
        <f t="shared" si="131"/>
        <v>0</v>
      </c>
      <c r="BA261" s="2720">
        <f t="shared" si="132"/>
        <v>0</v>
      </c>
      <c r="BB261" s="2720">
        <f t="shared" si="133"/>
        <v>0</v>
      </c>
      <c r="BC261" s="2720">
        <f t="shared" si="134"/>
        <v>0</v>
      </c>
      <c r="BD261" s="2720">
        <f t="shared" si="135"/>
        <v>0</v>
      </c>
      <c r="BE261" s="2720">
        <f t="shared" si="136"/>
        <v>0</v>
      </c>
      <c r="BF261" s="2720">
        <f t="shared" si="137"/>
        <v>0</v>
      </c>
      <c r="BG261" s="2720">
        <f t="shared" si="138"/>
        <v>0</v>
      </c>
      <c r="BH261" s="2720">
        <f t="shared" si="139"/>
        <v>0</v>
      </c>
      <c r="BI261" s="2720">
        <f t="shared" si="140"/>
        <v>0</v>
      </c>
      <c r="BJ261" s="2720">
        <f t="shared" si="141"/>
        <v>0</v>
      </c>
      <c r="BK261" s="2720">
        <f t="shared" si="142"/>
        <v>0</v>
      </c>
      <c r="BL261" s="2720">
        <f t="shared" si="143"/>
        <v>0</v>
      </c>
      <c r="BM261" s="2720">
        <f t="shared" si="144"/>
        <v>0</v>
      </c>
      <c r="BN261" s="2720">
        <f t="shared" si="145"/>
        <v>0</v>
      </c>
      <c r="BO261" s="2720">
        <f t="shared" si="146"/>
        <v>0</v>
      </c>
      <c r="BP261" s="2720">
        <f t="shared" si="147"/>
        <v>0</v>
      </c>
      <c r="BQ261" s="2720">
        <f t="shared" si="148"/>
        <v>0</v>
      </c>
      <c r="BR261" s="2720">
        <f t="shared" si="149"/>
        <v>0</v>
      </c>
      <c r="BS261" s="2720">
        <f t="shared" si="150"/>
        <v>0</v>
      </c>
      <c r="BT261" s="2772">
        <f t="shared" si="151"/>
        <v>0</v>
      </c>
    </row>
    <row r="262" spans="1:72">
      <c r="A262" s="2717"/>
      <c r="B262" s="2718"/>
      <c r="C262" s="2718"/>
      <c r="D262" s="2719"/>
      <c r="E262" s="2720">
        <f t="shared" si="123"/>
        <v>0</v>
      </c>
      <c r="F262" s="2721"/>
      <c r="G262" s="2722">
        <f t="shared" si="124"/>
        <v>0</v>
      </c>
      <c r="H262" s="2723">
        <f t="shared" si="125"/>
        <v>0</v>
      </c>
      <c r="I262" s="2730"/>
      <c r="J262" s="2730"/>
      <c r="K262" s="2730"/>
      <c r="L262" s="2730"/>
      <c r="M262" s="2730"/>
      <c r="N262" s="2730"/>
      <c r="O262" s="2730"/>
      <c r="P262" s="2730"/>
      <c r="Q262" s="2730"/>
      <c r="R262" s="2730"/>
      <c r="S262" s="2730"/>
      <c r="T262" s="2730"/>
      <c r="U262" s="2730"/>
      <c r="V262" s="2730"/>
      <c r="W262" s="2730"/>
      <c r="X262" s="2730"/>
      <c r="Y262" s="2730"/>
      <c r="Z262" s="2730"/>
      <c r="AA262" s="2730"/>
      <c r="AB262" s="2730"/>
      <c r="AC262" s="2720">
        <f t="shared" si="126"/>
        <v>0</v>
      </c>
      <c r="AD262" s="2740"/>
      <c r="AE262" s="2740"/>
      <c r="AF262" s="2740"/>
      <c r="AG262" s="2740"/>
      <c r="AH262" s="2740"/>
      <c r="AI262" s="2740"/>
      <c r="AJ262" s="2740"/>
      <c r="AK262" s="2740"/>
      <c r="AL262" s="2740"/>
      <c r="AM262" s="2740"/>
      <c r="AN262" s="2740"/>
      <c r="AO262" s="2740"/>
      <c r="AP262" s="2740"/>
      <c r="AQ262" s="2740"/>
      <c r="AR262" s="2740"/>
      <c r="AS262" s="2740"/>
      <c r="AT262" s="2750"/>
      <c r="AU262" s="2751"/>
      <c r="AV262" s="1092">
        <f t="shared" si="127"/>
        <v>0</v>
      </c>
      <c r="AW262" s="1092">
        <f t="shared" si="128"/>
        <v>0</v>
      </c>
      <c r="AX262" s="1092">
        <f t="shared" si="129"/>
        <v>0</v>
      </c>
      <c r="AY262" s="2765">
        <f t="shared" si="130"/>
        <v>0</v>
      </c>
      <c r="AZ262" s="2720">
        <f t="shared" si="131"/>
        <v>0</v>
      </c>
      <c r="BA262" s="2720">
        <f t="shared" si="132"/>
        <v>0</v>
      </c>
      <c r="BB262" s="2720">
        <f t="shared" si="133"/>
        <v>0</v>
      </c>
      <c r="BC262" s="2720">
        <f t="shared" si="134"/>
        <v>0</v>
      </c>
      <c r="BD262" s="2720">
        <f t="shared" si="135"/>
        <v>0</v>
      </c>
      <c r="BE262" s="2720">
        <f t="shared" si="136"/>
        <v>0</v>
      </c>
      <c r="BF262" s="2720">
        <f t="shared" si="137"/>
        <v>0</v>
      </c>
      <c r="BG262" s="2720">
        <f t="shared" si="138"/>
        <v>0</v>
      </c>
      <c r="BH262" s="2720">
        <f t="shared" si="139"/>
        <v>0</v>
      </c>
      <c r="BI262" s="2720">
        <f t="shared" si="140"/>
        <v>0</v>
      </c>
      <c r="BJ262" s="2720">
        <f t="shared" si="141"/>
        <v>0</v>
      </c>
      <c r="BK262" s="2720">
        <f t="shared" si="142"/>
        <v>0</v>
      </c>
      <c r="BL262" s="2720">
        <f t="shared" si="143"/>
        <v>0</v>
      </c>
      <c r="BM262" s="2720">
        <f t="shared" si="144"/>
        <v>0</v>
      </c>
      <c r="BN262" s="2720">
        <f t="shared" si="145"/>
        <v>0</v>
      </c>
      <c r="BO262" s="2720">
        <f t="shared" si="146"/>
        <v>0</v>
      </c>
      <c r="BP262" s="2720">
        <f t="shared" si="147"/>
        <v>0</v>
      </c>
      <c r="BQ262" s="2720">
        <f t="shared" si="148"/>
        <v>0</v>
      </c>
      <c r="BR262" s="2720">
        <f t="shared" si="149"/>
        <v>0</v>
      </c>
      <c r="BS262" s="2720">
        <f t="shared" si="150"/>
        <v>0</v>
      </c>
      <c r="BT262" s="2772">
        <f t="shared" si="151"/>
        <v>0</v>
      </c>
    </row>
    <row r="263" spans="1:72">
      <c r="A263" s="2717"/>
      <c r="B263" s="2718"/>
      <c r="C263" s="2718"/>
      <c r="D263" s="2719"/>
      <c r="E263" s="2720">
        <f t="shared" si="123"/>
        <v>0</v>
      </c>
      <c r="F263" s="2721"/>
      <c r="G263" s="2722">
        <f t="shared" si="124"/>
        <v>0</v>
      </c>
      <c r="H263" s="2723">
        <f t="shared" si="125"/>
        <v>0</v>
      </c>
      <c r="I263" s="2730"/>
      <c r="J263" s="2730"/>
      <c r="K263" s="2730"/>
      <c r="L263" s="2730"/>
      <c r="M263" s="2730"/>
      <c r="N263" s="2730"/>
      <c r="O263" s="2730"/>
      <c r="P263" s="2730"/>
      <c r="Q263" s="2730"/>
      <c r="R263" s="2730"/>
      <c r="S263" s="2730"/>
      <c r="T263" s="2730"/>
      <c r="U263" s="2730"/>
      <c r="V263" s="2730"/>
      <c r="W263" s="2730"/>
      <c r="X263" s="2730"/>
      <c r="Y263" s="2730"/>
      <c r="Z263" s="2730"/>
      <c r="AA263" s="2730"/>
      <c r="AB263" s="2730"/>
      <c r="AC263" s="2720">
        <f t="shared" si="126"/>
        <v>0</v>
      </c>
      <c r="AD263" s="2740"/>
      <c r="AE263" s="2740"/>
      <c r="AF263" s="2740"/>
      <c r="AG263" s="2740"/>
      <c r="AH263" s="2740"/>
      <c r="AI263" s="2740"/>
      <c r="AJ263" s="2740"/>
      <c r="AK263" s="2740"/>
      <c r="AL263" s="2740"/>
      <c r="AM263" s="2740"/>
      <c r="AN263" s="2740"/>
      <c r="AO263" s="2740"/>
      <c r="AP263" s="2740"/>
      <c r="AQ263" s="2740"/>
      <c r="AR263" s="2740"/>
      <c r="AS263" s="2740"/>
      <c r="AT263" s="2750"/>
      <c r="AU263" s="2751"/>
      <c r="AV263" s="1092">
        <f t="shared" si="127"/>
        <v>0</v>
      </c>
      <c r="AW263" s="1092">
        <f t="shared" si="128"/>
        <v>0</v>
      </c>
      <c r="AX263" s="1092">
        <f t="shared" si="129"/>
        <v>0</v>
      </c>
      <c r="AY263" s="2765">
        <f t="shared" si="130"/>
        <v>0</v>
      </c>
      <c r="AZ263" s="2720">
        <f t="shared" si="131"/>
        <v>0</v>
      </c>
      <c r="BA263" s="2720">
        <f t="shared" si="132"/>
        <v>0</v>
      </c>
      <c r="BB263" s="2720">
        <f t="shared" si="133"/>
        <v>0</v>
      </c>
      <c r="BC263" s="2720">
        <f t="shared" si="134"/>
        <v>0</v>
      </c>
      <c r="BD263" s="2720">
        <f t="shared" si="135"/>
        <v>0</v>
      </c>
      <c r="BE263" s="2720">
        <f t="shared" si="136"/>
        <v>0</v>
      </c>
      <c r="BF263" s="2720">
        <f t="shared" si="137"/>
        <v>0</v>
      </c>
      <c r="BG263" s="2720">
        <f t="shared" si="138"/>
        <v>0</v>
      </c>
      <c r="BH263" s="2720">
        <f t="shared" si="139"/>
        <v>0</v>
      </c>
      <c r="BI263" s="2720">
        <f t="shared" si="140"/>
        <v>0</v>
      </c>
      <c r="BJ263" s="2720">
        <f t="shared" si="141"/>
        <v>0</v>
      </c>
      <c r="BK263" s="2720">
        <f t="shared" si="142"/>
        <v>0</v>
      </c>
      <c r="BL263" s="2720">
        <f t="shared" si="143"/>
        <v>0</v>
      </c>
      <c r="BM263" s="2720">
        <f t="shared" si="144"/>
        <v>0</v>
      </c>
      <c r="BN263" s="2720">
        <f t="shared" si="145"/>
        <v>0</v>
      </c>
      <c r="BO263" s="2720">
        <f t="shared" si="146"/>
        <v>0</v>
      </c>
      <c r="BP263" s="2720">
        <f t="shared" si="147"/>
        <v>0</v>
      </c>
      <c r="BQ263" s="2720">
        <f t="shared" si="148"/>
        <v>0</v>
      </c>
      <c r="BR263" s="2720">
        <f t="shared" si="149"/>
        <v>0</v>
      </c>
      <c r="BS263" s="2720">
        <f t="shared" si="150"/>
        <v>0</v>
      </c>
      <c r="BT263" s="2772">
        <f t="shared" si="151"/>
        <v>0</v>
      </c>
    </row>
    <row r="264" spans="1:72">
      <c r="A264" s="2717"/>
      <c r="B264" s="2718"/>
      <c r="C264" s="2718"/>
      <c r="D264" s="2719"/>
      <c r="E264" s="2720">
        <f t="shared" si="123"/>
        <v>0</v>
      </c>
      <c r="F264" s="2721"/>
      <c r="G264" s="2722">
        <f t="shared" si="124"/>
        <v>0</v>
      </c>
      <c r="H264" s="2723">
        <f t="shared" si="125"/>
        <v>0</v>
      </c>
      <c r="I264" s="2730"/>
      <c r="J264" s="2730"/>
      <c r="K264" s="2730"/>
      <c r="L264" s="2730"/>
      <c r="M264" s="2730"/>
      <c r="N264" s="2730"/>
      <c r="O264" s="2730"/>
      <c r="P264" s="2730"/>
      <c r="Q264" s="2730"/>
      <c r="R264" s="2730"/>
      <c r="S264" s="2730"/>
      <c r="T264" s="2730"/>
      <c r="U264" s="2730"/>
      <c r="V264" s="2730"/>
      <c r="W264" s="2730"/>
      <c r="X264" s="2730"/>
      <c r="Y264" s="2730"/>
      <c r="Z264" s="2730"/>
      <c r="AA264" s="2730"/>
      <c r="AB264" s="2730"/>
      <c r="AC264" s="2720">
        <f t="shared" si="126"/>
        <v>0</v>
      </c>
      <c r="AD264" s="2740"/>
      <c r="AE264" s="2740"/>
      <c r="AF264" s="2740"/>
      <c r="AG264" s="2740"/>
      <c r="AH264" s="2740"/>
      <c r="AI264" s="2740"/>
      <c r="AJ264" s="2740"/>
      <c r="AK264" s="2740"/>
      <c r="AL264" s="2740"/>
      <c r="AM264" s="2740"/>
      <c r="AN264" s="2740"/>
      <c r="AO264" s="2740"/>
      <c r="AP264" s="2740"/>
      <c r="AQ264" s="2740"/>
      <c r="AR264" s="2740"/>
      <c r="AS264" s="2740"/>
      <c r="AT264" s="2750"/>
      <c r="AU264" s="2751"/>
      <c r="AV264" s="1092">
        <f t="shared" si="127"/>
        <v>0</v>
      </c>
      <c r="AW264" s="1092">
        <f t="shared" si="128"/>
        <v>0</v>
      </c>
      <c r="AX264" s="1092">
        <f t="shared" si="129"/>
        <v>0</v>
      </c>
      <c r="AY264" s="2765">
        <f t="shared" si="130"/>
        <v>0</v>
      </c>
      <c r="AZ264" s="2720">
        <f t="shared" si="131"/>
        <v>0</v>
      </c>
      <c r="BA264" s="2720">
        <f t="shared" si="132"/>
        <v>0</v>
      </c>
      <c r="BB264" s="2720">
        <f t="shared" si="133"/>
        <v>0</v>
      </c>
      <c r="BC264" s="2720">
        <f t="shared" si="134"/>
        <v>0</v>
      </c>
      <c r="BD264" s="2720">
        <f t="shared" si="135"/>
        <v>0</v>
      </c>
      <c r="BE264" s="2720">
        <f t="shared" si="136"/>
        <v>0</v>
      </c>
      <c r="BF264" s="2720">
        <f t="shared" si="137"/>
        <v>0</v>
      </c>
      <c r="BG264" s="2720">
        <f t="shared" si="138"/>
        <v>0</v>
      </c>
      <c r="BH264" s="2720">
        <f t="shared" si="139"/>
        <v>0</v>
      </c>
      <c r="BI264" s="2720">
        <f t="shared" si="140"/>
        <v>0</v>
      </c>
      <c r="BJ264" s="2720">
        <f t="shared" si="141"/>
        <v>0</v>
      </c>
      <c r="BK264" s="2720">
        <f t="shared" si="142"/>
        <v>0</v>
      </c>
      <c r="BL264" s="2720">
        <f t="shared" si="143"/>
        <v>0</v>
      </c>
      <c r="BM264" s="2720">
        <f t="shared" si="144"/>
        <v>0</v>
      </c>
      <c r="BN264" s="2720">
        <f t="shared" si="145"/>
        <v>0</v>
      </c>
      <c r="BO264" s="2720">
        <f t="shared" si="146"/>
        <v>0</v>
      </c>
      <c r="BP264" s="2720">
        <f t="shared" si="147"/>
        <v>0</v>
      </c>
      <c r="BQ264" s="2720">
        <f t="shared" si="148"/>
        <v>0</v>
      </c>
      <c r="BR264" s="2720">
        <f t="shared" si="149"/>
        <v>0</v>
      </c>
      <c r="BS264" s="2720">
        <f t="shared" si="150"/>
        <v>0</v>
      </c>
      <c r="BT264" s="2772">
        <f t="shared" si="151"/>
        <v>0</v>
      </c>
    </row>
    <row r="265" spans="1:72">
      <c r="A265" s="2717"/>
      <c r="B265" s="2718"/>
      <c r="C265" s="2718"/>
      <c r="D265" s="2719"/>
      <c r="E265" s="2720">
        <f t="shared" si="123"/>
        <v>0</v>
      </c>
      <c r="F265" s="2721"/>
      <c r="G265" s="2722">
        <f t="shared" si="124"/>
        <v>0</v>
      </c>
      <c r="H265" s="2723">
        <f t="shared" si="125"/>
        <v>0</v>
      </c>
      <c r="I265" s="2730"/>
      <c r="J265" s="2730"/>
      <c r="K265" s="2730"/>
      <c r="L265" s="2730"/>
      <c r="M265" s="2730"/>
      <c r="N265" s="2730"/>
      <c r="O265" s="2730"/>
      <c r="P265" s="2730"/>
      <c r="Q265" s="2730"/>
      <c r="R265" s="2730"/>
      <c r="S265" s="2730"/>
      <c r="T265" s="2730"/>
      <c r="U265" s="2730"/>
      <c r="V265" s="2730"/>
      <c r="W265" s="2730"/>
      <c r="X265" s="2730"/>
      <c r="Y265" s="2730"/>
      <c r="Z265" s="2730"/>
      <c r="AA265" s="2730"/>
      <c r="AB265" s="2730"/>
      <c r="AC265" s="2720">
        <f t="shared" si="126"/>
        <v>0</v>
      </c>
      <c r="AD265" s="2740"/>
      <c r="AE265" s="2740"/>
      <c r="AF265" s="2740"/>
      <c r="AG265" s="2740"/>
      <c r="AH265" s="2740"/>
      <c r="AI265" s="2740"/>
      <c r="AJ265" s="2740"/>
      <c r="AK265" s="2740"/>
      <c r="AL265" s="2740"/>
      <c r="AM265" s="2740"/>
      <c r="AN265" s="2740"/>
      <c r="AO265" s="2740"/>
      <c r="AP265" s="2740"/>
      <c r="AQ265" s="2740"/>
      <c r="AR265" s="2740"/>
      <c r="AS265" s="2740"/>
      <c r="AT265" s="2750"/>
      <c r="AU265" s="2751"/>
      <c r="AV265" s="1092">
        <f t="shared" si="127"/>
        <v>0</v>
      </c>
      <c r="AW265" s="1092">
        <f t="shared" si="128"/>
        <v>0</v>
      </c>
      <c r="AX265" s="1092">
        <f t="shared" si="129"/>
        <v>0</v>
      </c>
      <c r="AY265" s="2765">
        <f t="shared" si="130"/>
        <v>0</v>
      </c>
      <c r="AZ265" s="2720">
        <f t="shared" si="131"/>
        <v>0</v>
      </c>
      <c r="BA265" s="2720">
        <f t="shared" si="132"/>
        <v>0</v>
      </c>
      <c r="BB265" s="2720">
        <f t="shared" si="133"/>
        <v>0</v>
      </c>
      <c r="BC265" s="2720">
        <f t="shared" si="134"/>
        <v>0</v>
      </c>
      <c r="BD265" s="2720">
        <f t="shared" si="135"/>
        <v>0</v>
      </c>
      <c r="BE265" s="2720">
        <f t="shared" si="136"/>
        <v>0</v>
      </c>
      <c r="BF265" s="2720">
        <f t="shared" si="137"/>
        <v>0</v>
      </c>
      <c r="BG265" s="2720">
        <f t="shared" si="138"/>
        <v>0</v>
      </c>
      <c r="BH265" s="2720">
        <f t="shared" si="139"/>
        <v>0</v>
      </c>
      <c r="BI265" s="2720">
        <f t="shared" si="140"/>
        <v>0</v>
      </c>
      <c r="BJ265" s="2720">
        <f t="shared" si="141"/>
        <v>0</v>
      </c>
      <c r="BK265" s="2720">
        <f t="shared" si="142"/>
        <v>0</v>
      </c>
      <c r="BL265" s="2720">
        <f t="shared" si="143"/>
        <v>0</v>
      </c>
      <c r="BM265" s="2720">
        <f t="shared" si="144"/>
        <v>0</v>
      </c>
      <c r="BN265" s="2720">
        <f t="shared" si="145"/>
        <v>0</v>
      </c>
      <c r="BO265" s="2720">
        <f t="shared" si="146"/>
        <v>0</v>
      </c>
      <c r="BP265" s="2720">
        <f t="shared" si="147"/>
        <v>0</v>
      </c>
      <c r="BQ265" s="2720">
        <f t="shared" si="148"/>
        <v>0</v>
      </c>
      <c r="BR265" s="2720">
        <f t="shared" si="149"/>
        <v>0</v>
      </c>
      <c r="BS265" s="2720">
        <f t="shared" si="150"/>
        <v>0</v>
      </c>
      <c r="BT265" s="2772">
        <f t="shared" si="151"/>
        <v>0</v>
      </c>
    </row>
    <row r="266" spans="1:72">
      <c r="A266" s="2717"/>
      <c r="B266" s="2718"/>
      <c r="C266" s="2718"/>
      <c r="D266" s="2719"/>
      <c r="E266" s="2720">
        <f t="shared" si="123"/>
        <v>0</v>
      </c>
      <c r="F266" s="2721"/>
      <c r="G266" s="2722">
        <f t="shared" si="124"/>
        <v>0</v>
      </c>
      <c r="H266" s="2723">
        <f t="shared" si="125"/>
        <v>0</v>
      </c>
      <c r="I266" s="2730"/>
      <c r="J266" s="2730"/>
      <c r="K266" s="2730"/>
      <c r="L266" s="2730"/>
      <c r="M266" s="2730"/>
      <c r="N266" s="2730"/>
      <c r="O266" s="2730"/>
      <c r="P266" s="2730"/>
      <c r="Q266" s="2730"/>
      <c r="R266" s="2730"/>
      <c r="S266" s="2730"/>
      <c r="T266" s="2730"/>
      <c r="U266" s="2730"/>
      <c r="V266" s="2730"/>
      <c r="W266" s="2730"/>
      <c r="X266" s="2730"/>
      <c r="Y266" s="2730"/>
      <c r="Z266" s="2730"/>
      <c r="AA266" s="2730"/>
      <c r="AB266" s="2730"/>
      <c r="AC266" s="2720">
        <f t="shared" si="126"/>
        <v>0</v>
      </c>
      <c r="AD266" s="2740"/>
      <c r="AE266" s="2740"/>
      <c r="AF266" s="2740"/>
      <c r="AG266" s="2740"/>
      <c r="AH266" s="2740"/>
      <c r="AI266" s="2740"/>
      <c r="AJ266" s="2740"/>
      <c r="AK266" s="2740"/>
      <c r="AL266" s="2740"/>
      <c r="AM266" s="2740"/>
      <c r="AN266" s="2740"/>
      <c r="AO266" s="2740"/>
      <c r="AP266" s="2740"/>
      <c r="AQ266" s="2740"/>
      <c r="AR266" s="2740"/>
      <c r="AS266" s="2740"/>
      <c r="AT266" s="2750"/>
      <c r="AU266" s="2751"/>
      <c r="AV266" s="1092">
        <f t="shared" si="127"/>
        <v>0</v>
      </c>
      <c r="AW266" s="1092">
        <f t="shared" si="128"/>
        <v>0</v>
      </c>
      <c r="AX266" s="1092">
        <f t="shared" si="129"/>
        <v>0</v>
      </c>
      <c r="AY266" s="2765">
        <f t="shared" si="130"/>
        <v>0</v>
      </c>
      <c r="AZ266" s="2720">
        <f t="shared" si="131"/>
        <v>0</v>
      </c>
      <c r="BA266" s="2720">
        <f t="shared" si="132"/>
        <v>0</v>
      </c>
      <c r="BB266" s="2720">
        <f t="shared" si="133"/>
        <v>0</v>
      </c>
      <c r="BC266" s="2720">
        <f t="shared" si="134"/>
        <v>0</v>
      </c>
      <c r="BD266" s="2720">
        <f t="shared" si="135"/>
        <v>0</v>
      </c>
      <c r="BE266" s="2720">
        <f t="shared" si="136"/>
        <v>0</v>
      </c>
      <c r="BF266" s="2720">
        <f t="shared" si="137"/>
        <v>0</v>
      </c>
      <c r="BG266" s="2720">
        <f t="shared" si="138"/>
        <v>0</v>
      </c>
      <c r="BH266" s="2720">
        <f t="shared" si="139"/>
        <v>0</v>
      </c>
      <c r="BI266" s="2720">
        <f t="shared" si="140"/>
        <v>0</v>
      </c>
      <c r="BJ266" s="2720">
        <f t="shared" si="141"/>
        <v>0</v>
      </c>
      <c r="BK266" s="2720">
        <f t="shared" si="142"/>
        <v>0</v>
      </c>
      <c r="BL266" s="2720">
        <f t="shared" si="143"/>
        <v>0</v>
      </c>
      <c r="BM266" s="2720">
        <f t="shared" si="144"/>
        <v>0</v>
      </c>
      <c r="BN266" s="2720">
        <f t="shared" si="145"/>
        <v>0</v>
      </c>
      <c r="BO266" s="2720">
        <f t="shared" si="146"/>
        <v>0</v>
      </c>
      <c r="BP266" s="2720">
        <f t="shared" si="147"/>
        <v>0</v>
      </c>
      <c r="BQ266" s="2720">
        <f t="shared" si="148"/>
        <v>0</v>
      </c>
      <c r="BR266" s="2720">
        <f t="shared" si="149"/>
        <v>0</v>
      </c>
      <c r="BS266" s="2720">
        <f t="shared" si="150"/>
        <v>0</v>
      </c>
      <c r="BT266" s="2772">
        <f t="shared" si="151"/>
        <v>0</v>
      </c>
    </row>
    <row r="267" spans="1:72">
      <c r="A267" s="2717"/>
      <c r="B267" s="2718"/>
      <c r="C267" s="2718"/>
      <c r="D267" s="2719"/>
      <c r="E267" s="2720">
        <f t="shared" si="123"/>
        <v>0</v>
      </c>
      <c r="F267" s="2721"/>
      <c r="G267" s="2722">
        <f t="shared" si="124"/>
        <v>0</v>
      </c>
      <c r="H267" s="2723">
        <f t="shared" si="125"/>
        <v>0</v>
      </c>
      <c r="I267" s="2730"/>
      <c r="J267" s="2730"/>
      <c r="K267" s="2730"/>
      <c r="L267" s="2730"/>
      <c r="M267" s="2730"/>
      <c r="N267" s="2730"/>
      <c r="O267" s="2730"/>
      <c r="P267" s="2730"/>
      <c r="Q267" s="2730"/>
      <c r="R267" s="2730"/>
      <c r="S267" s="2730"/>
      <c r="T267" s="2730"/>
      <c r="U267" s="2730"/>
      <c r="V267" s="2730"/>
      <c r="W267" s="2730"/>
      <c r="X267" s="2730"/>
      <c r="Y267" s="2730"/>
      <c r="Z267" s="2730"/>
      <c r="AA267" s="2730"/>
      <c r="AB267" s="2730"/>
      <c r="AC267" s="2720">
        <f t="shared" si="126"/>
        <v>0</v>
      </c>
      <c r="AD267" s="2740"/>
      <c r="AE267" s="2740"/>
      <c r="AF267" s="2740"/>
      <c r="AG267" s="2740"/>
      <c r="AH267" s="2740"/>
      <c r="AI267" s="2740"/>
      <c r="AJ267" s="2740"/>
      <c r="AK267" s="2740"/>
      <c r="AL267" s="2740"/>
      <c r="AM267" s="2740"/>
      <c r="AN267" s="2740"/>
      <c r="AO267" s="2740"/>
      <c r="AP267" s="2740"/>
      <c r="AQ267" s="2740"/>
      <c r="AR267" s="2740"/>
      <c r="AS267" s="2740"/>
      <c r="AT267" s="2750"/>
      <c r="AU267" s="2751"/>
      <c r="AV267" s="1092">
        <f t="shared" si="127"/>
        <v>0</v>
      </c>
      <c r="AW267" s="1092">
        <f t="shared" si="128"/>
        <v>0</v>
      </c>
      <c r="AX267" s="1092">
        <f t="shared" si="129"/>
        <v>0</v>
      </c>
      <c r="AY267" s="2765">
        <f t="shared" si="130"/>
        <v>0</v>
      </c>
      <c r="AZ267" s="2720">
        <f t="shared" si="131"/>
        <v>0</v>
      </c>
      <c r="BA267" s="2720">
        <f t="shared" si="132"/>
        <v>0</v>
      </c>
      <c r="BB267" s="2720">
        <f t="shared" si="133"/>
        <v>0</v>
      </c>
      <c r="BC267" s="2720">
        <f t="shared" si="134"/>
        <v>0</v>
      </c>
      <c r="BD267" s="2720">
        <f t="shared" si="135"/>
        <v>0</v>
      </c>
      <c r="BE267" s="2720">
        <f t="shared" si="136"/>
        <v>0</v>
      </c>
      <c r="BF267" s="2720">
        <f t="shared" si="137"/>
        <v>0</v>
      </c>
      <c r="BG267" s="2720">
        <f t="shared" si="138"/>
        <v>0</v>
      </c>
      <c r="BH267" s="2720">
        <f t="shared" si="139"/>
        <v>0</v>
      </c>
      <c r="BI267" s="2720">
        <f t="shared" si="140"/>
        <v>0</v>
      </c>
      <c r="BJ267" s="2720">
        <f t="shared" si="141"/>
        <v>0</v>
      </c>
      <c r="BK267" s="2720">
        <f t="shared" si="142"/>
        <v>0</v>
      </c>
      <c r="BL267" s="2720">
        <f t="shared" si="143"/>
        <v>0</v>
      </c>
      <c r="BM267" s="2720">
        <f t="shared" si="144"/>
        <v>0</v>
      </c>
      <c r="BN267" s="2720">
        <f t="shared" si="145"/>
        <v>0</v>
      </c>
      <c r="BO267" s="2720">
        <f t="shared" si="146"/>
        <v>0</v>
      </c>
      <c r="BP267" s="2720">
        <f t="shared" si="147"/>
        <v>0</v>
      </c>
      <c r="BQ267" s="2720">
        <f t="shared" si="148"/>
        <v>0</v>
      </c>
      <c r="BR267" s="2720">
        <f t="shared" si="149"/>
        <v>0</v>
      </c>
      <c r="BS267" s="2720">
        <f t="shared" si="150"/>
        <v>0</v>
      </c>
      <c r="BT267" s="2772">
        <f t="shared" si="151"/>
        <v>0</v>
      </c>
    </row>
    <row r="268" spans="1:72">
      <c r="A268" s="2717"/>
      <c r="B268" s="2718"/>
      <c r="C268" s="2718"/>
      <c r="D268" s="2719"/>
      <c r="E268" s="2720">
        <f t="shared" si="123"/>
        <v>0</v>
      </c>
      <c r="F268" s="2721"/>
      <c r="G268" s="2722">
        <f t="shared" si="124"/>
        <v>0</v>
      </c>
      <c r="H268" s="2723">
        <f t="shared" si="125"/>
        <v>0</v>
      </c>
      <c r="I268" s="2730"/>
      <c r="J268" s="2730"/>
      <c r="K268" s="2730"/>
      <c r="L268" s="2730"/>
      <c r="M268" s="2730"/>
      <c r="N268" s="2730"/>
      <c r="O268" s="2730"/>
      <c r="P268" s="2730"/>
      <c r="Q268" s="2730"/>
      <c r="R268" s="2730"/>
      <c r="S268" s="2730"/>
      <c r="T268" s="2730"/>
      <c r="U268" s="2730"/>
      <c r="V268" s="2730"/>
      <c r="W268" s="2730"/>
      <c r="X268" s="2730"/>
      <c r="Y268" s="2730"/>
      <c r="Z268" s="2730"/>
      <c r="AA268" s="2730"/>
      <c r="AB268" s="2730"/>
      <c r="AC268" s="2720">
        <f t="shared" si="126"/>
        <v>0</v>
      </c>
      <c r="AD268" s="2740"/>
      <c r="AE268" s="2740"/>
      <c r="AF268" s="2740"/>
      <c r="AG268" s="2740"/>
      <c r="AH268" s="2740"/>
      <c r="AI268" s="2740"/>
      <c r="AJ268" s="2740"/>
      <c r="AK268" s="2740"/>
      <c r="AL268" s="2740"/>
      <c r="AM268" s="2740"/>
      <c r="AN268" s="2740"/>
      <c r="AO268" s="2740"/>
      <c r="AP268" s="2740"/>
      <c r="AQ268" s="2740"/>
      <c r="AR268" s="2740"/>
      <c r="AS268" s="2740"/>
      <c r="AT268" s="2750"/>
      <c r="AU268" s="2751"/>
      <c r="AV268" s="1092">
        <f t="shared" si="127"/>
        <v>0</v>
      </c>
      <c r="AW268" s="1092">
        <f t="shared" si="128"/>
        <v>0</v>
      </c>
      <c r="AX268" s="1092">
        <f t="shared" si="129"/>
        <v>0</v>
      </c>
      <c r="AY268" s="2765">
        <f t="shared" si="130"/>
        <v>0</v>
      </c>
      <c r="AZ268" s="2720">
        <f t="shared" si="131"/>
        <v>0</v>
      </c>
      <c r="BA268" s="2720">
        <f t="shared" si="132"/>
        <v>0</v>
      </c>
      <c r="BB268" s="2720">
        <f t="shared" si="133"/>
        <v>0</v>
      </c>
      <c r="BC268" s="2720">
        <f t="shared" si="134"/>
        <v>0</v>
      </c>
      <c r="BD268" s="2720">
        <f t="shared" si="135"/>
        <v>0</v>
      </c>
      <c r="BE268" s="2720">
        <f t="shared" si="136"/>
        <v>0</v>
      </c>
      <c r="BF268" s="2720">
        <f t="shared" si="137"/>
        <v>0</v>
      </c>
      <c r="BG268" s="2720">
        <f t="shared" si="138"/>
        <v>0</v>
      </c>
      <c r="BH268" s="2720">
        <f t="shared" si="139"/>
        <v>0</v>
      </c>
      <c r="BI268" s="2720">
        <f t="shared" si="140"/>
        <v>0</v>
      </c>
      <c r="BJ268" s="2720">
        <f t="shared" si="141"/>
        <v>0</v>
      </c>
      <c r="BK268" s="2720">
        <f t="shared" si="142"/>
        <v>0</v>
      </c>
      <c r="BL268" s="2720">
        <f t="shared" si="143"/>
        <v>0</v>
      </c>
      <c r="BM268" s="2720">
        <f t="shared" si="144"/>
        <v>0</v>
      </c>
      <c r="BN268" s="2720">
        <f t="shared" si="145"/>
        <v>0</v>
      </c>
      <c r="BO268" s="2720">
        <f t="shared" si="146"/>
        <v>0</v>
      </c>
      <c r="BP268" s="2720">
        <f t="shared" si="147"/>
        <v>0</v>
      </c>
      <c r="BQ268" s="2720">
        <f t="shared" si="148"/>
        <v>0</v>
      </c>
      <c r="BR268" s="2720">
        <f t="shared" si="149"/>
        <v>0</v>
      </c>
      <c r="BS268" s="2720">
        <f t="shared" si="150"/>
        <v>0</v>
      </c>
      <c r="BT268" s="2772">
        <f t="shared" si="151"/>
        <v>0</v>
      </c>
    </row>
    <row r="269" spans="1:72">
      <c r="A269" s="2717"/>
      <c r="B269" s="2718"/>
      <c r="C269" s="2718"/>
      <c r="D269" s="2719"/>
      <c r="E269" s="2720">
        <f t="shared" si="123"/>
        <v>0</v>
      </c>
      <c r="F269" s="2721"/>
      <c r="G269" s="2722">
        <f t="shared" si="124"/>
        <v>0</v>
      </c>
      <c r="H269" s="2723">
        <f t="shared" si="125"/>
        <v>0</v>
      </c>
      <c r="I269" s="2730"/>
      <c r="J269" s="2730"/>
      <c r="K269" s="2730"/>
      <c r="L269" s="2730"/>
      <c r="M269" s="2730"/>
      <c r="N269" s="2730"/>
      <c r="O269" s="2730"/>
      <c r="P269" s="2730"/>
      <c r="Q269" s="2730"/>
      <c r="R269" s="2730"/>
      <c r="S269" s="2730"/>
      <c r="T269" s="2730"/>
      <c r="U269" s="2730"/>
      <c r="V269" s="2730"/>
      <c r="W269" s="2730"/>
      <c r="X269" s="2730"/>
      <c r="Y269" s="2730"/>
      <c r="Z269" s="2730"/>
      <c r="AA269" s="2730"/>
      <c r="AB269" s="2730"/>
      <c r="AC269" s="2720">
        <f t="shared" si="126"/>
        <v>0</v>
      </c>
      <c r="AD269" s="2740"/>
      <c r="AE269" s="2740"/>
      <c r="AF269" s="2740"/>
      <c r="AG269" s="2740"/>
      <c r="AH269" s="2740"/>
      <c r="AI269" s="2740"/>
      <c r="AJ269" s="2740"/>
      <c r="AK269" s="2740"/>
      <c r="AL269" s="2740"/>
      <c r="AM269" s="2740"/>
      <c r="AN269" s="2740"/>
      <c r="AO269" s="2740"/>
      <c r="AP269" s="2740"/>
      <c r="AQ269" s="2740"/>
      <c r="AR269" s="2740"/>
      <c r="AS269" s="2740"/>
      <c r="AT269" s="2750"/>
      <c r="AU269" s="2751"/>
      <c r="AV269" s="1092">
        <f t="shared" si="127"/>
        <v>0</v>
      </c>
      <c r="AW269" s="1092">
        <f t="shared" si="128"/>
        <v>0</v>
      </c>
      <c r="AX269" s="1092">
        <f t="shared" si="129"/>
        <v>0</v>
      </c>
      <c r="AY269" s="2765">
        <f t="shared" si="130"/>
        <v>0</v>
      </c>
      <c r="AZ269" s="2720">
        <f t="shared" si="131"/>
        <v>0</v>
      </c>
      <c r="BA269" s="2720">
        <f t="shared" si="132"/>
        <v>0</v>
      </c>
      <c r="BB269" s="2720">
        <f t="shared" si="133"/>
        <v>0</v>
      </c>
      <c r="BC269" s="2720">
        <f t="shared" si="134"/>
        <v>0</v>
      </c>
      <c r="BD269" s="2720">
        <f t="shared" si="135"/>
        <v>0</v>
      </c>
      <c r="BE269" s="2720">
        <f t="shared" si="136"/>
        <v>0</v>
      </c>
      <c r="BF269" s="2720">
        <f t="shared" si="137"/>
        <v>0</v>
      </c>
      <c r="BG269" s="2720">
        <f t="shared" si="138"/>
        <v>0</v>
      </c>
      <c r="BH269" s="2720">
        <f t="shared" si="139"/>
        <v>0</v>
      </c>
      <c r="BI269" s="2720">
        <f t="shared" si="140"/>
        <v>0</v>
      </c>
      <c r="BJ269" s="2720">
        <f t="shared" si="141"/>
        <v>0</v>
      </c>
      <c r="BK269" s="2720">
        <f t="shared" si="142"/>
        <v>0</v>
      </c>
      <c r="BL269" s="2720">
        <f t="shared" si="143"/>
        <v>0</v>
      </c>
      <c r="BM269" s="2720">
        <f t="shared" si="144"/>
        <v>0</v>
      </c>
      <c r="BN269" s="2720">
        <f t="shared" si="145"/>
        <v>0</v>
      </c>
      <c r="BO269" s="2720">
        <f t="shared" si="146"/>
        <v>0</v>
      </c>
      <c r="BP269" s="2720">
        <f t="shared" si="147"/>
        <v>0</v>
      </c>
      <c r="BQ269" s="2720">
        <f t="shared" si="148"/>
        <v>0</v>
      </c>
      <c r="BR269" s="2720">
        <f t="shared" si="149"/>
        <v>0</v>
      </c>
      <c r="BS269" s="2720">
        <f t="shared" si="150"/>
        <v>0</v>
      </c>
      <c r="BT269" s="2772">
        <f t="shared" si="151"/>
        <v>0</v>
      </c>
    </row>
    <row r="270" spans="1:72">
      <c r="A270" s="2717"/>
      <c r="B270" s="2718"/>
      <c r="C270" s="2718"/>
      <c r="D270" s="2719"/>
      <c r="E270" s="2720">
        <f t="shared" si="123"/>
        <v>0</v>
      </c>
      <c r="F270" s="2721"/>
      <c r="G270" s="2722">
        <f t="shared" si="124"/>
        <v>0</v>
      </c>
      <c r="H270" s="2723">
        <f t="shared" si="125"/>
        <v>0</v>
      </c>
      <c r="I270" s="2730"/>
      <c r="J270" s="2730"/>
      <c r="K270" s="2730"/>
      <c r="L270" s="2730"/>
      <c r="M270" s="2730"/>
      <c r="N270" s="2730"/>
      <c r="O270" s="2730"/>
      <c r="P270" s="2730"/>
      <c r="Q270" s="2730"/>
      <c r="R270" s="2730"/>
      <c r="S270" s="2730"/>
      <c r="T270" s="2730"/>
      <c r="U270" s="2730"/>
      <c r="V270" s="2730"/>
      <c r="W270" s="2730"/>
      <c r="X270" s="2730"/>
      <c r="Y270" s="2730"/>
      <c r="Z270" s="2730"/>
      <c r="AA270" s="2730"/>
      <c r="AB270" s="2730"/>
      <c r="AC270" s="2720">
        <f t="shared" si="126"/>
        <v>0</v>
      </c>
      <c r="AD270" s="2740"/>
      <c r="AE270" s="2740"/>
      <c r="AF270" s="2740"/>
      <c r="AG270" s="2740"/>
      <c r="AH270" s="2740"/>
      <c r="AI270" s="2740"/>
      <c r="AJ270" s="2740"/>
      <c r="AK270" s="2740"/>
      <c r="AL270" s="2740"/>
      <c r="AM270" s="2740"/>
      <c r="AN270" s="2740"/>
      <c r="AO270" s="2740"/>
      <c r="AP270" s="2740"/>
      <c r="AQ270" s="2740"/>
      <c r="AR270" s="2740"/>
      <c r="AS270" s="2740"/>
      <c r="AT270" s="2750"/>
      <c r="AU270" s="2751"/>
      <c r="AV270" s="1092">
        <f t="shared" si="127"/>
        <v>0</v>
      </c>
      <c r="AW270" s="1092">
        <f t="shared" si="128"/>
        <v>0</v>
      </c>
      <c r="AX270" s="1092">
        <f t="shared" si="129"/>
        <v>0</v>
      </c>
      <c r="AY270" s="2765">
        <f t="shared" si="130"/>
        <v>0</v>
      </c>
      <c r="AZ270" s="2720">
        <f t="shared" si="131"/>
        <v>0</v>
      </c>
      <c r="BA270" s="2720">
        <f t="shared" si="132"/>
        <v>0</v>
      </c>
      <c r="BB270" s="2720">
        <f t="shared" si="133"/>
        <v>0</v>
      </c>
      <c r="BC270" s="2720">
        <f t="shared" si="134"/>
        <v>0</v>
      </c>
      <c r="BD270" s="2720">
        <f t="shared" si="135"/>
        <v>0</v>
      </c>
      <c r="BE270" s="2720">
        <f t="shared" si="136"/>
        <v>0</v>
      </c>
      <c r="BF270" s="2720">
        <f t="shared" si="137"/>
        <v>0</v>
      </c>
      <c r="BG270" s="2720">
        <f t="shared" si="138"/>
        <v>0</v>
      </c>
      <c r="BH270" s="2720">
        <f t="shared" si="139"/>
        <v>0</v>
      </c>
      <c r="BI270" s="2720">
        <f t="shared" si="140"/>
        <v>0</v>
      </c>
      <c r="BJ270" s="2720">
        <f t="shared" si="141"/>
        <v>0</v>
      </c>
      <c r="BK270" s="2720">
        <f t="shared" si="142"/>
        <v>0</v>
      </c>
      <c r="BL270" s="2720">
        <f t="shared" si="143"/>
        <v>0</v>
      </c>
      <c r="BM270" s="2720">
        <f t="shared" si="144"/>
        <v>0</v>
      </c>
      <c r="BN270" s="2720">
        <f t="shared" si="145"/>
        <v>0</v>
      </c>
      <c r="BO270" s="2720">
        <f t="shared" si="146"/>
        <v>0</v>
      </c>
      <c r="BP270" s="2720">
        <f t="shared" si="147"/>
        <v>0</v>
      </c>
      <c r="BQ270" s="2720">
        <f t="shared" si="148"/>
        <v>0</v>
      </c>
      <c r="BR270" s="2720">
        <f t="shared" si="149"/>
        <v>0</v>
      </c>
      <c r="BS270" s="2720">
        <f t="shared" si="150"/>
        <v>0</v>
      </c>
      <c r="BT270" s="2772">
        <f t="shared" si="151"/>
        <v>0</v>
      </c>
    </row>
    <row r="271" spans="1:72">
      <c r="A271" s="2717"/>
      <c r="B271" s="2718"/>
      <c r="C271" s="2718"/>
      <c r="D271" s="2719"/>
      <c r="E271" s="2720">
        <f t="shared" si="123"/>
        <v>0</v>
      </c>
      <c r="F271" s="2721"/>
      <c r="G271" s="2722">
        <f t="shared" si="124"/>
        <v>0</v>
      </c>
      <c r="H271" s="2723">
        <f t="shared" si="125"/>
        <v>0</v>
      </c>
      <c r="I271" s="2730"/>
      <c r="J271" s="2730"/>
      <c r="K271" s="2730"/>
      <c r="L271" s="2730"/>
      <c r="M271" s="2730"/>
      <c r="N271" s="2730"/>
      <c r="O271" s="2730"/>
      <c r="P271" s="2730"/>
      <c r="Q271" s="2730"/>
      <c r="R271" s="2730"/>
      <c r="S271" s="2730"/>
      <c r="T271" s="2730"/>
      <c r="U271" s="2730"/>
      <c r="V271" s="2730"/>
      <c r="W271" s="2730"/>
      <c r="X271" s="2730"/>
      <c r="Y271" s="2730"/>
      <c r="Z271" s="2730"/>
      <c r="AA271" s="2730"/>
      <c r="AB271" s="2730"/>
      <c r="AC271" s="2720">
        <f t="shared" si="126"/>
        <v>0</v>
      </c>
      <c r="AD271" s="2740"/>
      <c r="AE271" s="2740"/>
      <c r="AF271" s="2740"/>
      <c r="AG271" s="2740"/>
      <c r="AH271" s="2740"/>
      <c r="AI271" s="2740"/>
      <c r="AJ271" s="2740"/>
      <c r="AK271" s="2740"/>
      <c r="AL271" s="2740"/>
      <c r="AM271" s="2740"/>
      <c r="AN271" s="2740"/>
      <c r="AO271" s="2740"/>
      <c r="AP271" s="2740"/>
      <c r="AQ271" s="2740"/>
      <c r="AR271" s="2740"/>
      <c r="AS271" s="2740"/>
      <c r="AT271" s="2750"/>
      <c r="AU271" s="2751"/>
      <c r="AV271" s="1092">
        <f t="shared" si="127"/>
        <v>0</v>
      </c>
      <c r="AW271" s="1092">
        <f t="shared" si="128"/>
        <v>0</v>
      </c>
      <c r="AX271" s="1092">
        <f t="shared" si="129"/>
        <v>0</v>
      </c>
      <c r="AY271" s="2765">
        <f t="shared" si="130"/>
        <v>0</v>
      </c>
      <c r="AZ271" s="2720">
        <f t="shared" si="131"/>
        <v>0</v>
      </c>
      <c r="BA271" s="2720">
        <f t="shared" si="132"/>
        <v>0</v>
      </c>
      <c r="BB271" s="2720">
        <f t="shared" si="133"/>
        <v>0</v>
      </c>
      <c r="BC271" s="2720">
        <f t="shared" si="134"/>
        <v>0</v>
      </c>
      <c r="BD271" s="2720">
        <f t="shared" si="135"/>
        <v>0</v>
      </c>
      <c r="BE271" s="2720">
        <f t="shared" si="136"/>
        <v>0</v>
      </c>
      <c r="BF271" s="2720">
        <f t="shared" si="137"/>
        <v>0</v>
      </c>
      <c r="BG271" s="2720">
        <f t="shared" si="138"/>
        <v>0</v>
      </c>
      <c r="BH271" s="2720">
        <f t="shared" si="139"/>
        <v>0</v>
      </c>
      <c r="BI271" s="2720">
        <f t="shared" si="140"/>
        <v>0</v>
      </c>
      <c r="BJ271" s="2720">
        <f t="shared" si="141"/>
        <v>0</v>
      </c>
      <c r="BK271" s="2720">
        <f t="shared" si="142"/>
        <v>0</v>
      </c>
      <c r="BL271" s="2720">
        <f t="shared" si="143"/>
        <v>0</v>
      </c>
      <c r="BM271" s="2720">
        <f t="shared" si="144"/>
        <v>0</v>
      </c>
      <c r="BN271" s="2720">
        <f t="shared" si="145"/>
        <v>0</v>
      </c>
      <c r="BO271" s="2720">
        <f t="shared" si="146"/>
        <v>0</v>
      </c>
      <c r="BP271" s="2720">
        <f t="shared" si="147"/>
        <v>0</v>
      </c>
      <c r="BQ271" s="2720">
        <f t="shared" si="148"/>
        <v>0</v>
      </c>
      <c r="BR271" s="2720">
        <f t="shared" si="149"/>
        <v>0</v>
      </c>
      <c r="BS271" s="2720">
        <f t="shared" si="150"/>
        <v>0</v>
      </c>
      <c r="BT271" s="2772">
        <f t="shared" si="151"/>
        <v>0</v>
      </c>
    </row>
    <row r="272" spans="1:72">
      <c r="A272" s="2717"/>
      <c r="B272" s="2718"/>
      <c r="C272" s="2718"/>
      <c r="D272" s="2719"/>
      <c r="E272" s="2720">
        <f t="shared" si="123"/>
        <v>0</v>
      </c>
      <c r="F272" s="2721"/>
      <c r="G272" s="2722">
        <f t="shared" si="124"/>
        <v>0</v>
      </c>
      <c r="H272" s="2723">
        <f t="shared" si="125"/>
        <v>0</v>
      </c>
      <c r="I272" s="2730"/>
      <c r="J272" s="2730"/>
      <c r="K272" s="2730"/>
      <c r="L272" s="2730"/>
      <c r="M272" s="2730"/>
      <c r="N272" s="2730"/>
      <c r="O272" s="2730"/>
      <c r="P272" s="2730"/>
      <c r="Q272" s="2730"/>
      <c r="R272" s="2730"/>
      <c r="S272" s="2730"/>
      <c r="T272" s="2730"/>
      <c r="U272" s="2730"/>
      <c r="V272" s="2730"/>
      <c r="W272" s="2730"/>
      <c r="X272" s="2730"/>
      <c r="Y272" s="2730"/>
      <c r="Z272" s="2730"/>
      <c r="AA272" s="2730"/>
      <c r="AB272" s="2730"/>
      <c r="AC272" s="2720">
        <f t="shared" si="126"/>
        <v>0</v>
      </c>
      <c r="AD272" s="2740"/>
      <c r="AE272" s="2740"/>
      <c r="AF272" s="2740"/>
      <c r="AG272" s="2740"/>
      <c r="AH272" s="2740"/>
      <c r="AI272" s="2740"/>
      <c r="AJ272" s="2740"/>
      <c r="AK272" s="2740"/>
      <c r="AL272" s="2740"/>
      <c r="AM272" s="2740"/>
      <c r="AN272" s="2740"/>
      <c r="AO272" s="2740"/>
      <c r="AP272" s="2740"/>
      <c r="AQ272" s="2740"/>
      <c r="AR272" s="2740"/>
      <c r="AS272" s="2740"/>
      <c r="AT272" s="2750"/>
      <c r="AU272" s="2751"/>
      <c r="AV272" s="1092">
        <f t="shared" si="127"/>
        <v>0</v>
      </c>
      <c r="AW272" s="1092">
        <f t="shared" si="128"/>
        <v>0</v>
      </c>
      <c r="AX272" s="1092">
        <f t="shared" si="129"/>
        <v>0</v>
      </c>
      <c r="AY272" s="2765">
        <f t="shared" si="130"/>
        <v>0</v>
      </c>
      <c r="AZ272" s="2720">
        <f t="shared" si="131"/>
        <v>0</v>
      </c>
      <c r="BA272" s="2720">
        <f t="shared" si="132"/>
        <v>0</v>
      </c>
      <c r="BB272" s="2720">
        <f t="shared" si="133"/>
        <v>0</v>
      </c>
      <c r="BC272" s="2720">
        <f t="shared" si="134"/>
        <v>0</v>
      </c>
      <c r="BD272" s="2720">
        <f t="shared" si="135"/>
        <v>0</v>
      </c>
      <c r="BE272" s="2720">
        <f t="shared" si="136"/>
        <v>0</v>
      </c>
      <c r="BF272" s="2720">
        <f t="shared" si="137"/>
        <v>0</v>
      </c>
      <c r="BG272" s="2720">
        <f t="shared" si="138"/>
        <v>0</v>
      </c>
      <c r="BH272" s="2720">
        <f t="shared" si="139"/>
        <v>0</v>
      </c>
      <c r="BI272" s="2720">
        <f t="shared" si="140"/>
        <v>0</v>
      </c>
      <c r="BJ272" s="2720">
        <f t="shared" si="141"/>
        <v>0</v>
      </c>
      <c r="BK272" s="2720">
        <f t="shared" si="142"/>
        <v>0</v>
      </c>
      <c r="BL272" s="2720">
        <f t="shared" si="143"/>
        <v>0</v>
      </c>
      <c r="BM272" s="2720">
        <f t="shared" si="144"/>
        <v>0</v>
      </c>
      <c r="BN272" s="2720">
        <f t="shared" si="145"/>
        <v>0</v>
      </c>
      <c r="BO272" s="2720">
        <f t="shared" si="146"/>
        <v>0</v>
      </c>
      <c r="BP272" s="2720">
        <f t="shared" si="147"/>
        <v>0</v>
      </c>
      <c r="BQ272" s="2720">
        <f t="shared" si="148"/>
        <v>0</v>
      </c>
      <c r="BR272" s="2720">
        <f t="shared" si="149"/>
        <v>0</v>
      </c>
      <c r="BS272" s="2720">
        <f t="shared" si="150"/>
        <v>0</v>
      </c>
      <c r="BT272" s="2772">
        <f t="shared" si="151"/>
        <v>0</v>
      </c>
    </row>
    <row r="273" spans="1:72">
      <c r="A273" s="2717"/>
      <c r="B273" s="2718"/>
      <c r="C273" s="2718"/>
      <c r="D273" s="2719"/>
      <c r="E273" s="2720">
        <f t="shared" si="123"/>
        <v>0</v>
      </c>
      <c r="F273" s="2721"/>
      <c r="G273" s="2722">
        <f t="shared" si="124"/>
        <v>0</v>
      </c>
      <c r="H273" s="2723">
        <f t="shared" si="125"/>
        <v>0</v>
      </c>
      <c r="I273" s="2730"/>
      <c r="J273" s="2730"/>
      <c r="K273" s="2730"/>
      <c r="L273" s="2730"/>
      <c r="M273" s="2730"/>
      <c r="N273" s="2730"/>
      <c r="O273" s="2730"/>
      <c r="P273" s="2730"/>
      <c r="Q273" s="2730"/>
      <c r="R273" s="2730"/>
      <c r="S273" s="2730"/>
      <c r="T273" s="2730"/>
      <c r="U273" s="2730"/>
      <c r="V273" s="2730"/>
      <c r="W273" s="2730"/>
      <c r="X273" s="2730"/>
      <c r="Y273" s="2730"/>
      <c r="Z273" s="2730"/>
      <c r="AA273" s="2730"/>
      <c r="AB273" s="2730"/>
      <c r="AC273" s="2720">
        <f t="shared" si="126"/>
        <v>0</v>
      </c>
      <c r="AD273" s="2740"/>
      <c r="AE273" s="2740"/>
      <c r="AF273" s="2740"/>
      <c r="AG273" s="2740"/>
      <c r="AH273" s="2740"/>
      <c r="AI273" s="2740"/>
      <c r="AJ273" s="2740"/>
      <c r="AK273" s="2740"/>
      <c r="AL273" s="2740"/>
      <c r="AM273" s="2740"/>
      <c r="AN273" s="2740"/>
      <c r="AO273" s="2740"/>
      <c r="AP273" s="2740"/>
      <c r="AQ273" s="2740"/>
      <c r="AR273" s="2740"/>
      <c r="AS273" s="2740"/>
      <c r="AT273" s="2750"/>
      <c r="AU273" s="2751"/>
      <c r="AV273" s="1092">
        <f t="shared" si="127"/>
        <v>0</v>
      </c>
      <c r="AW273" s="1092">
        <f t="shared" si="128"/>
        <v>0</v>
      </c>
      <c r="AX273" s="1092">
        <f t="shared" si="129"/>
        <v>0</v>
      </c>
      <c r="AY273" s="2765">
        <f t="shared" si="130"/>
        <v>0</v>
      </c>
      <c r="AZ273" s="2720">
        <f t="shared" si="131"/>
        <v>0</v>
      </c>
      <c r="BA273" s="2720">
        <f t="shared" si="132"/>
        <v>0</v>
      </c>
      <c r="BB273" s="2720">
        <f t="shared" si="133"/>
        <v>0</v>
      </c>
      <c r="BC273" s="2720">
        <f t="shared" si="134"/>
        <v>0</v>
      </c>
      <c r="BD273" s="2720">
        <f t="shared" si="135"/>
        <v>0</v>
      </c>
      <c r="BE273" s="2720">
        <f t="shared" si="136"/>
        <v>0</v>
      </c>
      <c r="BF273" s="2720">
        <f t="shared" si="137"/>
        <v>0</v>
      </c>
      <c r="BG273" s="2720">
        <f t="shared" si="138"/>
        <v>0</v>
      </c>
      <c r="BH273" s="2720">
        <f t="shared" si="139"/>
        <v>0</v>
      </c>
      <c r="BI273" s="2720">
        <f t="shared" si="140"/>
        <v>0</v>
      </c>
      <c r="BJ273" s="2720">
        <f t="shared" si="141"/>
        <v>0</v>
      </c>
      <c r="BK273" s="2720">
        <f t="shared" si="142"/>
        <v>0</v>
      </c>
      <c r="BL273" s="2720">
        <f t="shared" si="143"/>
        <v>0</v>
      </c>
      <c r="BM273" s="2720">
        <f t="shared" si="144"/>
        <v>0</v>
      </c>
      <c r="BN273" s="2720">
        <f t="shared" si="145"/>
        <v>0</v>
      </c>
      <c r="BO273" s="2720">
        <f t="shared" si="146"/>
        <v>0</v>
      </c>
      <c r="BP273" s="2720">
        <f t="shared" si="147"/>
        <v>0</v>
      </c>
      <c r="BQ273" s="2720">
        <f t="shared" si="148"/>
        <v>0</v>
      </c>
      <c r="BR273" s="2720">
        <f t="shared" si="149"/>
        <v>0</v>
      </c>
      <c r="BS273" s="2720">
        <f t="shared" si="150"/>
        <v>0</v>
      </c>
      <c r="BT273" s="2772">
        <f t="shared" si="151"/>
        <v>0</v>
      </c>
    </row>
    <row r="274" spans="1:72">
      <c r="A274" s="2717"/>
      <c r="B274" s="2718"/>
      <c r="C274" s="2718"/>
      <c r="D274" s="2719"/>
      <c r="E274" s="2720">
        <f t="shared" si="123"/>
        <v>0</v>
      </c>
      <c r="F274" s="2721"/>
      <c r="G274" s="2722">
        <f t="shared" si="124"/>
        <v>0</v>
      </c>
      <c r="H274" s="2723">
        <f t="shared" si="125"/>
        <v>0</v>
      </c>
      <c r="I274" s="2730"/>
      <c r="J274" s="2730"/>
      <c r="K274" s="2730"/>
      <c r="L274" s="2730"/>
      <c r="M274" s="2730"/>
      <c r="N274" s="2730"/>
      <c r="O274" s="2730"/>
      <c r="P274" s="2730"/>
      <c r="Q274" s="2730"/>
      <c r="R274" s="2730"/>
      <c r="S274" s="2730"/>
      <c r="T274" s="2730"/>
      <c r="U274" s="2730"/>
      <c r="V274" s="2730"/>
      <c r="W274" s="2730"/>
      <c r="X274" s="2730"/>
      <c r="Y274" s="2730"/>
      <c r="Z274" s="2730"/>
      <c r="AA274" s="2730"/>
      <c r="AB274" s="2730"/>
      <c r="AC274" s="2720">
        <f t="shared" si="126"/>
        <v>0</v>
      </c>
      <c r="AD274" s="2740"/>
      <c r="AE274" s="2740"/>
      <c r="AF274" s="2740"/>
      <c r="AG274" s="2740"/>
      <c r="AH274" s="2740"/>
      <c r="AI274" s="2740"/>
      <c r="AJ274" s="2740"/>
      <c r="AK274" s="2740"/>
      <c r="AL274" s="2740"/>
      <c r="AM274" s="2740"/>
      <c r="AN274" s="2740"/>
      <c r="AO274" s="2740"/>
      <c r="AP274" s="2740"/>
      <c r="AQ274" s="2740"/>
      <c r="AR274" s="2740"/>
      <c r="AS274" s="2740"/>
      <c r="AT274" s="2750"/>
      <c r="AU274" s="2751"/>
      <c r="AV274" s="1092">
        <f t="shared" si="127"/>
        <v>0</v>
      </c>
      <c r="AW274" s="1092">
        <f t="shared" si="128"/>
        <v>0</v>
      </c>
      <c r="AX274" s="1092">
        <f t="shared" si="129"/>
        <v>0</v>
      </c>
      <c r="AY274" s="2765">
        <f t="shared" si="130"/>
        <v>0</v>
      </c>
      <c r="AZ274" s="2720">
        <f t="shared" si="131"/>
        <v>0</v>
      </c>
      <c r="BA274" s="2720">
        <f t="shared" si="132"/>
        <v>0</v>
      </c>
      <c r="BB274" s="2720">
        <f t="shared" si="133"/>
        <v>0</v>
      </c>
      <c r="BC274" s="2720">
        <f t="shared" si="134"/>
        <v>0</v>
      </c>
      <c r="BD274" s="2720">
        <f t="shared" si="135"/>
        <v>0</v>
      </c>
      <c r="BE274" s="2720">
        <f t="shared" si="136"/>
        <v>0</v>
      </c>
      <c r="BF274" s="2720">
        <f t="shared" si="137"/>
        <v>0</v>
      </c>
      <c r="BG274" s="2720">
        <f t="shared" si="138"/>
        <v>0</v>
      </c>
      <c r="BH274" s="2720">
        <f t="shared" si="139"/>
        <v>0</v>
      </c>
      <c r="BI274" s="2720">
        <f t="shared" si="140"/>
        <v>0</v>
      </c>
      <c r="BJ274" s="2720">
        <f t="shared" si="141"/>
        <v>0</v>
      </c>
      <c r="BK274" s="2720">
        <f t="shared" si="142"/>
        <v>0</v>
      </c>
      <c r="BL274" s="2720">
        <f t="shared" si="143"/>
        <v>0</v>
      </c>
      <c r="BM274" s="2720">
        <f t="shared" si="144"/>
        <v>0</v>
      </c>
      <c r="BN274" s="2720">
        <f t="shared" si="145"/>
        <v>0</v>
      </c>
      <c r="BO274" s="2720">
        <f t="shared" si="146"/>
        <v>0</v>
      </c>
      <c r="BP274" s="2720">
        <f t="shared" si="147"/>
        <v>0</v>
      </c>
      <c r="BQ274" s="2720">
        <f t="shared" si="148"/>
        <v>0</v>
      </c>
      <c r="BR274" s="2720">
        <f t="shared" si="149"/>
        <v>0</v>
      </c>
      <c r="BS274" s="2720">
        <f t="shared" si="150"/>
        <v>0</v>
      </c>
      <c r="BT274" s="2772">
        <f t="shared" si="151"/>
        <v>0</v>
      </c>
    </row>
    <row r="275" spans="1:72">
      <c r="A275" s="2717"/>
      <c r="B275" s="2718"/>
      <c r="C275" s="2718"/>
      <c r="D275" s="2719"/>
      <c r="E275" s="2720">
        <f t="shared" si="123"/>
        <v>0</v>
      </c>
      <c r="F275" s="2721"/>
      <c r="G275" s="2722">
        <f t="shared" si="124"/>
        <v>0</v>
      </c>
      <c r="H275" s="2723">
        <f t="shared" si="125"/>
        <v>0</v>
      </c>
      <c r="I275" s="2730"/>
      <c r="J275" s="2730"/>
      <c r="K275" s="2730"/>
      <c r="L275" s="2730"/>
      <c r="M275" s="2730"/>
      <c r="N275" s="2730"/>
      <c r="O275" s="2730"/>
      <c r="P275" s="2730"/>
      <c r="Q275" s="2730"/>
      <c r="R275" s="2730"/>
      <c r="S275" s="2730"/>
      <c r="T275" s="2730"/>
      <c r="U275" s="2730"/>
      <c r="V275" s="2730"/>
      <c r="W275" s="2730"/>
      <c r="X275" s="2730"/>
      <c r="Y275" s="2730"/>
      <c r="Z275" s="2730"/>
      <c r="AA275" s="2730"/>
      <c r="AB275" s="2730"/>
      <c r="AC275" s="2720">
        <f t="shared" si="126"/>
        <v>0</v>
      </c>
      <c r="AD275" s="2740"/>
      <c r="AE275" s="2740"/>
      <c r="AF275" s="2740"/>
      <c r="AG275" s="2740"/>
      <c r="AH275" s="2740"/>
      <c r="AI275" s="2740"/>
      <c r="AJ275" s="2740"/>
      <c r="AK275" s="2740"/>
      <c r="AL275" s="2740"/>
      <c r="AM275" s="2740"/>
      <c r="AN275" s="2740"/>
      <c r="AO275" s="2740"/>
      <c r="AP275" s="2740"/>
      <c r="AQ275" s="2740"/>
      <c r="AR275" s="2740"/>
      <c r="AS275" s="2740"/>
      <c r="AT275" s="2750"/>
      <c r="AU275" s="2751"/>
      <c r="AV275" s="1092">
        <f t="shared" si="127"/>
        <v>0</v>
      </c>
      <c r="AW275" s="1092">
        <f t="shared" si="128"/>
        <v>0</v>
      </c>
      <c r="AX275" s="1092">
        <f t="shared" si="129"/>
        <v>0</v>
      </c>
      <c r="AY275" s="2765">
        <f t="shared" si="130"/>
        <v>0</v>
      </c>
      <c r="AZ275" s="2720">
        <f t="shared" si="131"/>
        <v>0</v>
      </c>
      <c r="BA275" s="2720">
        <f t="shared" si="132"/>
        <v>0</v>
      </c>
      <c r="BB275" s="2720">
        <f t="shared" si="133"/>
        <v>0</v>
      </c>
      <c r="BC275" s="2720">
        <f t="shared" si="134"/>
        <v>0</v>
      </c>
      <c r="BD275" s="2720">
        <f t="shared" si="135"/>
        <v>0</v>
      </c>
      <c r="BE275" s="2720">
        <f t="shared" si="136"/>
        <v>0</v>
      </c>
      <c r="BF275" s="2720">
        <f t="shared" si="137"/>
        <v>0</v>
      </c>
      <c r="BG275" s="2720">
        <f t="shared" si="138"/>
        <v>0</v>
      </c>
      <c r="BH275" s="2720">
        <f t="shared" si="139"/>
        <v>0</v>
      </c>
      <c r="BI275" s="2720">
        <f t="shared" si="140"/>
        <v>0</v>
      </c>
      <c r="BJ275" s="2720">
        <f t="shared" si="141"/>
        <v>0</v>
      </c>
      <c r="BK275" s="2720">
        <f t="shared" si="142"/>
        <v>0</v>
      </c>
      <c r="BL275" s="2720">
        <f t="shared" si="143"/>
        <v>0</v>
      </c>
      <c r="BM275" s="2720">
        <f t="shared" si="144"/>
        <v>0</v>
      </c>
      <c r="BN275" s="2720">
        <f t="shared" si="145"/>
        <v>0</v>
      </c>
      <c r="BO275" s="2720">
        <f t="shared" si="146"/>
        <v>0</v>
      </c>
      <c r="BP275" s="2720">
        <f t="shared" si="147"/>
        <v>0</v>
      </c>
      <c r="BQ275" s="2720">
        <f t="shared" si="148"/>
        <v>0</v>
      </c>
      <c r="BR275" s="2720">
        <f t="shared" si="149"/>
        <v>0</v>
      </c>
      <c r="BS275" s="2720">
        <f t="shared" si="150"/>
        <v>0</v>
      </c>
      <c r="BT275" s="2772">
        <f t="shared" si="151"/>
        <v>0</v>
      </c>
    </row>
    <row r="276" spans="1:72">
      <c r="A276" s="2717"/>
      <c r="B276" s="2718"/>
      <c r="C276" s="2718"/>
      <c r="D276" s="2719"/>
      <c r="E276" s="2720">
        <f t="shared" si="123"/>
        <v>0</v>
      </c>
      <c r="F276" s="2721"/>
      <c r="G276" s="2722">
        <f t="shared" si="124"/>
        <v>0</v>
      </c>
      <c r="H276" s="2723">
        <f t="shared" si="125"/>
        <v>0</v>
      </c>
      <c r="I276" s="2730"/>
      <c r="J276" s="2730"/>
      <c r="K276" s="2730"/>
      <c r="L276" s="2730"/>
      <c r="M276" s="2730"/>
      <c r="N276" s="2730"/>
      <c r="O276" s="2730"/>
      <c r="P276" s="2730"/>
      <c r="Q276" s="2730"/>
      <c r="R276" s="2730"/>
      <c r="S276" s="2730"/>
      <c r="T276" s="2730"/>
      <c r="U276" s="2730"/>
      <c r="V276" s="2730"/>
      <c r="W276" s="2730"/>
      <c r="X276" s="2730"/>
      <c r="Y276" s="2730"/>
      <c r="Z276" s="2730"/>
      <c r="AA276" s="2730"/>
      <c r="AB276" s="2730"/>
      <c r="AC276" s="2720">
        <f t="shared" si="126"/>
        <v>0</v>
      </c>
      <c r="AD276" s="2740"/>
      <c r="AE276" s="2740"/>
      <c r="AF276" s="2740"/>
      <c r="AG276" s="2740"/>
      <c r="AH276" s="2740"/>
      <c r="AI276" s="2740"/>
      <c r="AJ276" s="2740"/>
      <c r="AK276" s="2740"/>
      <c r="AL276" s="2740"/>
      <c r="AM276" s="2740"/>
      <c r="AN276" s="2740"/>
      <c r="AO276" s="2740"/>
      <c r="AP276" s="2740"/>
      <c r="AQ276" s="2740"/>
      <c r="AR276" s="2740"/>
      <c r="AS276" s="2740"/>
      <c r="AT276" s="2750"/>
      <c r="AU276" s="2751"/>
      <c r="AV276" s="1092">
        <f t="shared" si="127"/>
        <v>0</v>
      </c>
      <c r="AW276" s="1092">
        <f t="shared" si="128"/>
        <v>0</v>
      </c>
      <c r="AX276" s="1092">
        <f t="shared" si="129"/>
        <v>0</v>
      </c>
      <c r="AY276" s="2765">
        <f t="shared" si="130"/>
        <v>0</v>
      </c>
      <c r="AZ276" s="2720">
        <f t="shared" si="131"/>
        <v>0</v>
      </c>
      <c r="BA276" s="2720">
        <f t="shared" si="132"/>
        <v>0</v>
      </c>
      <c r="BB276" s="2720">
        <f t="shared" si="133"/>
        <v>0</v>
      </c>
      <c r="BC276" s="2720">
        <f t="shared" si="134"/>
        <v>0</v>
      </c>
      <c r="BD276" s="2720">
        <f t="shared" si="135"/>
        <v>0</v>
      </c>
      <c r="BE276" s="2720">
        <f t="shared" si="136"/>
        <v>0</v>
      </c>
      <c r="BF276" s="2720">
        <f t="shared" si="137"/>
        <v>0</v>
      </c>
      <c r="BG276" s="2720">
        <f t="shared" si="138"/>
        <v>0</v>
      </c>
      <c r="BH276" s="2720">
        <f t="shared" si="139"/>
        <v>0</v>
      </c>
      <c r="BI276" s="2720">
        <f t="shared" si="140"/>
        <v>0</v>
      </c>
      <c r="BJ276" s="2720">
        <f t="shared" si="141"/>
        <v>0</v>
      </c>
      <c r="BK276" s="2720">
        <f t="shared" si="142"/>
        <v>0</v>
      </c>
      <c r="BL276" s="2720">
        <f t="shared" si="143"/>
        <v>0</v>
      </c>
      <c r="BM276" s="2720">
        <f t="shared" si="144"/>
        <v>0</v>
      </c>
      <c r="BN276" s="2720">
        <f t="shared" si="145"/>
        <v>0</v>
      </c>
      <c r="BO276" s="2720">
        <f t="shared" si="146"/>
        <v>0</v>
      </c>
      <c r="BP276" s="2720">
        <f t="shared" si="147"/>
        <v>0</v>
      </c>
      <c r="BQ276" s="2720">
        <f t="shared" si="148"/>
        <v>0</v>
      </c>
      <c r="BR276" s="2720">
        <f t="shared" si="149"/>
        <v>0</v>
      </c>
      <c r="BS276" s="2720">
        <f t="shared" si="150"/>
        <v>0</v>
      </c>
      <c r="BT276" s="2772">
        <f t="shared" si="151"/>
        <v>0</v>
      </c>
    </row>
    <row r="277" spans="1:72">
      <c r="A277" s="2717"/>
      <c r="B277" s="2718"/>
      <c r="C277" s="2718"/>
      <c r="D277" s="2719"/>
      <c r="E277" s="2720">
        <f t="shared" si="123"/>
        <v>0</v>
      </c>
      <c r="F277" s="2721"/>
      <c r="G277" s="2722">
        <f t="shared" si="124"/>
        <v>0</v>
      </c>
      <c r="H277" s="2723">
        <f t="shared" si="125"/>
        <v>0</v>
      </c>
      <c r="I277" s="2730"/>
      <c r="J277" s="2730"/>
      <c r="K277" s="2730"/>
      <c r="L277" s="2730"/>
      <c r="M277" s="2730"/>
      <c r="N277" s="2730"/>
      <c r="O277" s="2730"/>
      <c r="P277" s="2730"/>
      <c r="Q277" s="2730"/>
      <c r="R277" s="2730"/>
      <c r="S277" s="2730"/>
      <c r="T277" s="2730"/>
      <c r="U277" s="2730"/>
      <c r="V277" s="2730"/>
      <c r="W277" s="2730"/>
      <c r="X277" s="2730"/>
      <c r="Y277" s="2730"/>
      <c r="Z277" s="2730"/>
      <c r="AA277" s="2730"/>
      <c r="AB277" s="2730"/>
      <c r="AC277" s="2720">
        <f t="shared" si="126"/>
        <v>0</v>
      </c>
      <c r="AD277" s="2740"/>
      <c r="AE277" s="2740"/>
      <c r="AF277" s="2740"/>
      <c r="AG277" s="2740"/>
      <c r="AH277" s="2740"/>
      <c r="AI277" s="2740"/>
      <c r="AJ277" s="2740"/>
      <c r="AK277" s="2740"/>
      <c r="AL277" s="2740"/>
      <c r="AM277" s="2740"/>
      <c r="AN277" s="2740"/>
      <c r="AO277" s="2740"/>
      <c r="AP277" s="2740"/>
      <c r="AQ277" s="2740"/>
      <c r="AR277" s="2740"/>
      <c r="AS277" s="2740"/>
      <c r="AT277" s="2750"/>
      <c r="AU277" s="2751"/>
      <c r="AV277" s="1092">
        <f t="shared" si="127"/>
        <v>0</v>
      </c>
      <c r="AW277" s="1092">
        <f t="shared" si="128"/>
        <v>0</v>
      </c>
      <c r="AX277" s="1092">
        <f t="shared" si="129"/>
        <v>0</v>
      </c>
      <c r="AY277" s="2765">
        <f t="shared" si="130"/>
        <v>0</v>
      </c>
      <c r="AZ277" s="2720">
        <f t="shared" si="131"/>
        <v>0</v>
      </c>
      <c r="BA277" s="2720">
        <f t="shared" si="132"/>
        <v>0</v>
      </c>
      <c r="BB277" s="2720">
        <f t="shared" si="133"/>
        <v>0</v>
      </c>
      <c r="BC277" s="2720">
        <f t="shared" si="134"/>
        <v>0</v>
      </c>
      <c r="BD277" s="2720">
        <f t="shared" si="135"/>
        <v>0</v>
      </c>
      <c r="BE277" s="2720">
        <f t="shared" si="136"/>
        <v>0</v>
      </c>
      <c r="BF277" s="2720">
        <f t="shared" si="137"/>
        <v>0</v>
      </c>
      <c r="BG277" s="2720">
        <f t="shared" si="138"/>
        <v>0</v>
      </c>
      <c r="BH277" s="2720">
        <f t="shared" si="139"/>
        <v>0</v>
      </c>
      <c r="BI277" s="2720">
        <f t="shared" si="140"/>
        <v>0</v>
      </c>
      <c r="BJ277" s="2720">
        <f t="shared" si="141"/>
        <v>0</v>
      </c>
      <c r="BK277" s="2720">
        <f t="shared" si="142"/>
        <v>0</v>
      </c>
      <c r="BL277" s="2720">
        <f t="shared" si="143"/>
        <v>0</v>
      </c>
      <c r="BM277" s="2720">
        <f t="shared" si="144"/>
        <v>0</v>
      </c>
      <c r="BN277" s="2720">
        <f t="shared" si="145"/>
        <v>0</v>
      </c>
      <c r="BO277" s="2720">
        <f t="shared" si="146"/>
        <v>0</v>
      </c>
      <c r="BP277" s="2720">
        <f t="shared" si="147"/>
        <v>0</v>
      </c>
      <c r="BQ277" s="2720">
        <f t="shared" si="148"/>
        <v>0</v>
      </c>
      <c r="BR277" s="2720">
        <f t="shared" si="149"/>
        <v>0</v>
      </c>
      <c r="BS277" s="2720">
        <f t="shared" si="150"/>
        <v>0</v>
      </c>
      <c r="BT277" s="2772">
        <f t="shared" si="151"/>
        <v>0</v>
      </c>
    </row>
    <row r="278" spans="1:72">
      <c r="A278" s="2717"/>
      <c r="B278" s="2718"/>
      <c r="C278" s="2718"/>
      <c r="D278" s="2719"/>
      <c r="E278" s="2720">
        <f t="shared" si="123"/>
        <v>0</v>
      </c>
      <c r="F278" s="2721"/>
      <c r="G278" s="2722">
        <f t="shared" si="124"/>
        <v>0</v>
      </c>
      <c r="H278" s="2723">
        <f t="shared" si="125"/>
        <v>0</v>
      </c>
      <c r="I278" s="2730"/>
      <c r="J278" s="2730"/>
      <c r="K278" s="2730"/>
      <c r="L278" s="2730"/>
      <c r="M278" s="2730"/>
      <c r="N278" s="2730"/>
      <c r="O278" s="2730"/>
      <c r="P278" s="2730"/>
      <c r="Q278" s="2730"/>
      <c r="R278" s="2730"/>
      <c r="S278" s="2730"/>
      <c r="T278" s="2730"/>
      <c r="U278" s="2730"/>
      <c r="V278" s="2730"/>
      <c r="W278" s="2730"/>
      <c r="X278" s="2730"/>
      <c r="Y278" s="2730"/>
      <c r="Z278" s="2730"/>
      <c r="AA278" s="2730"/>
      <c r="AB278" s="2730"/>
      <c r="AC278" s="2720">
        <f t="shared" si="126"/>
        <v>0</v>
      </c>
      <c r="AD278" s="2740"/>
      <c r="AE278" s="2740"/>
      <c r="AF278" s="2740"/>
      <c r="AG278" s="2740"/>
      <c r="AH278" s="2740"/>
      <c r="AI278" s="2740"/>
      <c r="AJ278" s="2740"/>
      <c r="AK278" s="2740"/>
      <c r="AL278" s="2740"/>
      <c r="AM278" s="2740"/>
      <c r="AN278" s="2740"/>
      <c r="AO278" s="2740"/>
      <c r="AP278" s="2740"/>
      <c r="AQ278" s="2740"/>
      <c r="AR278" s="2740"/>
      <c r="AS278" s="2740"/>
      <c r="AT278" s="2750"/>
      <c r="AU278" s="2751"/>
      <c r="AV278" s="1092">
        <f t="shared" si="127"/>
        <v>0</v>
      </c>
      <c r="AW278" s="1092">
        <f t="shared" si="128"/>
        <v>0</v>
      </c>
      <c r="AX278" s="1092">
        <f t="shared" si="129"/>
        <v>0</v>
      </c>
      <c r="AY278" s="2765">
        <f t="shared" si="130"/>
        <v>0</v>
      </c>
      <c r="AZ278" s="2720">
        <f t="shared" si="131"/>
        <v>0</v>
      </c>
      <c r="BA278" s="2720">
        <f t="shared" si="132"/>
        <v>0</v>
      </c>
      <c r="BB278" s="2720">
        <f t="shared" si="133"/>
        <v>0</v>
      </c>
      <c r="BC278" s="2720">
        <f t="shared" si="134"/>
        <v>0</v>
      </c>
      <c r="BD278" s="2720">
        <f t="shared" si="135"/>
        <v>0</v>
      </c>
      <c r="BE278" s="2720">
        <f t="shared" si="136"/>
        <v>0</v>
      </c>
      <c r="BF278" s="2720">
        <f t="shared" si="137"/>
        <v>0</v>
      </c>
      <c r="BG278" s="2720">
        <f t="shared" si="138"/>
        <v>0</v>
      </c>
      <c r="BH278" s="2720">
        <f t="shared" si="139"/>
        <v>0</v>
      </c>
      <c r="BI278" s="2720">
        <f t="shared" si="140"/>
        <v>0</v>
      </c>
      <c r="BJ278" s="2720">
        <f t="shared" si="141"/>
        <v>0</v>
      </c>
      <c r="BK278" s="2720">
        <f t="shared" si="142"/>
        <v>0</v>
      </c>
      <c r="BL278" s="2720">
        <f t="shared" si="143"/>
        <v>0</v>
      </c>
      <c r="BM278" s="2720">
        <f t="shared" si="144"/>
        <v>0</v>
      </c>
      <c r="BN278" s="2720">
        <f t="shared" si="145"/>
        <v>0</v>
      </c>
      <c r="BO278" s="2720">
        <f t="shared" si="146"/>
        <v>0</v>
      </c>
      <c r="BP278" s="2720">
        <f t="shared" si="147"/>
        <v>0</v>
      </c>
      <c r="BQ278" s="2720">
        <f t="shared" si="148"/>
        <v>0</v>
      </c>
      <c r="BR278" s="2720">
        <f t="shared" si="149"/>
        <v>0</v>
      </c>
      <c r="BS278" s="2720">
        <f t="shared" si="150"/>
        <v>0</v>
      </c>
      <c r="BT278" s="2772">
        <f t="shared" si="151"/>
        <v>0</v>
      </c>
    </row>
    <row r="279" spans="1:72">
      <c r="A279" s="2717"/>
      <c r="B279" s="2718"/>
      <c r="C279" s="2718"/>
      <c r="D279" s="2719"/>
      <c r="E279" s="2720">
        <f t="shared" si="123"/>
        <v>0</v>
      </c>
      <c r="F279" s="2721"/>
      <c r="G279" s="2722">
        <f t="shared" si="124"/>
        <v>0</v>
      </c>
      <c r="H279" s="2723">
        <f t="shared" si="125"/>
        <v>0</v>
      </c>
      <c r="I279" s="2730"/>
      <c r="J279" s="2730"/>
      <c r="K279" s="2730"/>
      <c r="L279" s="2730"/>
      <c r="M279" s="2730"/>
      <c r="N279" s="2730"/>
      <c r="O279" s="2730"/>
      <c r="P279" s="2730"/>
      <c r="Q279" s="2730"/>
      <c r="R279" s="2730"/>
      <c r="S279" s="2730"/>
      <c r="T279" s="2730"/>
      <c r="U279" s="2730"/>
      <c r="V279" s="2730"/>
      <c r="W279" s="2730"/>
      <c r="X279" s="2730"/>
      <c r="Y279" s="2730"/>
      <c r="Z279" s="2730"/>
      <c r="AA279" s="2730"/>
      <c r="AB279" s="2730"/>
      <c r="AC279" s="2720">
        <f t="shared" si="126"/>
        <v>0</v>
      </c>
      <c r="AD279" s="2740"/>
      <c r="AE279" s="2740"/>
      <c r="AF279" s="2740"/>
      <c r="AG279" s="2740"/>
      <c r="AH279" s="2740"/>
      <c r="AI279" s="2740"/>
      <c r="AJ279" s="2740"/>
      <c r="AK279" s="2740"/>
      <c r="AL279" s="2740"/>
      <c r="AM279" s="2740"/>
      <c r="AN279" s="2740"/>
      <c r="AO279" s="2740"/>
      <c r="AP279" s="2740"/>
      <c r="AQ279" s="2740"/>
      <c r="AR279" s="2740"/>
      <c r="AS279" s="2740"/>
      <c r="AT279" s="2750"/>
      <c r="AU279" s="2751"/>
      <c r="AV279" s="1092">
        <f t="shared" si="127"/>
        <v>0</v>
      </c>
      <c r="AW279" s="1092">
        <f t="shared" si="128"/>
        <v>0</v>
      </c>
      <c r="AX279" s="1092">
        <f t="shared" si="129"/>
        <v>0</v>
      </c>
      <c r="AY279" s="2765">
        <f t="shared" si="130"/>
        <v>0</v>
      </c>
      <c r="AZ279" s="2720">
        <f t="shared" si="131"/>
        <v>0</v>
      </c>
      <c r="BA279" s="2720">
        <f t="shared" si="132"/>
        <v>0</v>
      </c>
      <c r="BB279" s="2720">
        <f t="shared" si="133"/>
        <v>0</v>
      </c>
      <c r="BC279" s="2720">
        <f t="shared" si="134"/>
        <v>0</v>
      </c>
      <c r="BD279" s="2720">
        <f t="shared" si="135"/>
        <v>0</v>
      </c>
      <c r="BE279" s="2720">
        <f t="shared" si="136"/>
        <v>0</v>
      </c>
      <c r="BF279" s="2720">
        <f t="shared" si="137"/>
        <v>0</v>
      </c>
      <c r="BG279" s="2720">
        <f t="shared" si="138"/>
        <v>0</v>
      </c>
      <c r="BH279" s="2720">
        <f t="shared" si="139"/>
        <v>0</v>
      </c>
      <c r="BI279" s="2720">
        <f t="shared" si="140"/>
        <v>0</v>
      </c>
      <c r="BJ279" s="2720">
        <f t="shared" si="141"/>
        <v>0</v>
      </c>
      <c r="BK279" s="2720">
        <f t="shared" si="142"/>
        <v>0</v>
      </c>
      <c r="BL279" s="2720">
        <f t="shared" si="143"/>
        <v>0</v>
      </c>
      <c r="BM279" s="2720">
        <f t="shared" si="144"/>
        <v>0</v>
      </c>
      <c r="BN279" s="2720">
        <f t="shared" si="145"/>
        <v>0</v>
      </c>
      <c r="BO279" s="2720">
        <f t="shared" si="146"/>
        <v>0</v>
      </c>
      <c r="BP279" s="2720">
        <f t="shared" si="147"/>
        <v>0</v>
      </c>
      <c r="BQ279" s="2720">
        <f t="shared" si="148"/>
        <v>0</v>
      </c>
      <c r="BR279" s="2720">
        <f t="shared" si="149"/>
        <v>0</v>
      </c>
      <c r="BS279" s="2720">
        <f t="shared" si="150"/>
        <v>0</v>
      </c>
      <c r="BT279" s="2772">
        <f t="shared" si="151"/>
        <v>0</v>
      </c>
    </row>
    <row r="280" spans="1:72">
      <c r="A280" s="2717"/>
      <c r="B280" s="2718"/>
      <c r="C280" s="2718"/>
      <c r="D280" s="2719"/>
      <c r="E280" s="2720">
        <f t="shared" si="123"/>
        <v>0</v>
      </c>
      <c r="F280" s="2721"/>
      <c r="G280" s="2722">
        <f t="shared" si="124"/>
        <v>0</v>
      </c>
      <c r="H280" s="2723">
        <f t="shared" si="125"/>
        <v>0</v>
      </c>
      <c r="I280" s="2730"/>
      <c r="J280" s="2730"/>
      <c r="K280" s="2730"/>
      <c r="L280" s="2730"/>
      <c r="M280" s="2730"/>
      <c r="N280" s="2730"/>
      <c r="O280" s="2730"/>
      <c r="P280" s="2730"/>
      <c r="Q280" s="2730"/>
      <c r="R280" s="2730"/>
      <c r="S280" s="2730"/>
      <c r="T280" s="2730"/>
      <c r="U280" s="2730"/>
      <c r="V280" s="2730"/>
      <c r="W280" s="2730"/>
      <c r="X280" s="2730"/>
      <c r="Y280" s="2730"/>
      <c r="Z280" s="2730"/>
      <c r="AA280" s="2730"/>
      <c r="AB280" s="2730"/>
      <c r="AC280" s="2720">
        <f t="shared" si="126"/>
        <v>0</v>
      </c>
      <c r="AD280" s="2740"/>
      <c r="AE280" s="2740"/>
      <c r="AF280" s="2740"/>
      <c r="AG280" s="2740"/>
      <c r="AH280" s="2740"/>
      <c r="AI280" s="2740"/>
      <c r="AJ280" s="2740"/>
      <c r="AK280" s="2740"/>
      <c r="AL280" s="2740"/>
      <c r="AM280" s="2740"/>
      <c r="AN280" s="2740"/>
      <c r="AO280" s="2740"/>
      <c r="AP280" s="2740"/>
      <c r="AQ280" s="2740"/>
      <c r="AR280" s="2740"/>
      <c r="AS280" s="2740"/>
      <c r="AT280" s="2750"/>
      <c r="AU280" s="2751"/>
      <c r="AV280" s="1092">
        <f t="shared" si="127"/>
        <v>0</v>
      </c>
      <c r="AW280" s="1092">
        <f t="shared" si="128"/>
        <v>0</v>
      </c>
      <c r="AX280" s="1092">
        <f t="shared" si="129"/>
        <v>0</v>
      </c>
      <c r="AY280" s="2765">
        <f t="shared" si="130"/>
        <v>0</v>
      </c>
      <c r="AZ280" s="2720">
        <f t="shared" si="131"/>
        <v>0</v>
      </c>
      <c r="BA280" s="2720">
        <f t="shared" si="132"/>
        <v>0</v>
      </c>
      <c r="BB280" s="2720">
        <f t="shared" si="133"/>
        <v>0</v>
      </c>
      <c r="BC280" s="2720">
        <f t="shared" si="134"/>
        <v>0</v>
      </c>
      <c r="BD280" s="2720">
        <f t="shared" si="135"/>
        <v>0</v>
      </c>
      <c r="BE280" s="2720">
        <f t="shared" si="136"/>
        <v>0</v>
      </c>
      <c r="BF280" s="2720">
        <f t="shared" si="137"/>
        <v>0</v>
      </c>
      <c r="BG280" s="2720">
        <f t="shared" si="138"/>
        <v>0</v>
      </c>
      <c r="BH280" s="2720">
        <f t="shared" si="139"/>
        <v>0</v>
      </c>
      <c r="BI280" s="2720">
        <f t="shared" si="140"/>
        <v>0</v>
      </c>
      <c r="BJ280" s="2720">
        <f t="shared" si="141"/>
        <v>0</v>
      </c>
      <c r="BK280" s="2720">
        <f t="shared" si="142"/>
        <v>0</v>
      </c>
      <c r="BL280" s="2720">
        <f t="shared" si="143"/>
        <v>0</v>
      </c>
      <c r="BM280" s="2720">
        <f t="shared" si="144"/>
        <v>0</v>
      </c>
      <c r="BN280" s="2720">
        <f t="shared" si="145"/>
        <v>0</v>
      </c>
      <c r="BO280" s="2720">
        <f t="shared" si="146"/>
        <v>0</v>
      </c>
      <c r="BP280" s="2720">
        <f t="shared" si="147"/>
        <v>0</v>
      </c>
      <c r="BQ280" s="2720">
        <f t="shared" si="148"/>
        <v>0</v>
      </c>
      <c r="BR280" s="2720">
        <f t="shared" si="149"/>
        <v>0</v>
      </c>
      <c r="BS280" s="2720">
        <f t="shared" si="150"/>
        <v>0</v>
      </c>
      <c r="BT280" s="2772">
        <f t="shared" si="151"/>
        <v>0</v>
      </c>
    </row>
    <row r="281" spans="1:72">
      <c r="A281" s="2717"/>
      <c r="B281" s="2718"/>
      <c r="C281" s="2718"/>
      <c r="D281" s="2719"/>
      <c r="E281" s="2720">
        <f t="shared" si="123"/>
        <v>0</v>
      </c>
      <c r="F281" s="2721"/>
      <c r="G281" s="2722">
        <f t="shared" si="124"/>
        <v>0</v>
      </c>
      <c r="H281" s="2723">
        <f t="shared" si="125"/>
        <v>0</v>
      </c>
      <c r="I281" s="2730"/>
      <c r="J281" s="2730"/>
      <c r="K281" s="2730"/>
      <c r="L281" s="2730"/>
      <c r="M281" s="2730"/>
      <c r="N281" s="2730"/>
      <c r="O281" s="2730"/>
      <c r="P281" s="2730"/>
      <c r="Q281" s="2730"/>
      <c r="R281" s="2730"/>
      <c r="S281" s="2730"/>
      <c r="T281" s="2730"/>
      <c r="U281" s="2730"/>
      <c r="V281" s="2730"/>
      <c r="W281" s="2730"/>
      <c r="X281" s="2730"/>
      <c r="Y281" s="2730"/>
      <c r="Z281" s="2730"/>
      <c r="AA281" s="2730"/>
      <c r="AB281" s="2730"/>
      <c r="AC281" s="2720">
        <f t="shared" si="126"/>
        <v>0</v>
      </c>
      <c r="AD281" s="2740"/>
      <c r="AE281" s="2740"/>
      <c r="AF281" s="2740"/>
      <c r="AG281" s="2740"/>
      <c r="AH281" s="2740"/>
      <c r="AI281" s="2740"/>
      <c r="AJ281" s="2740"/>
      <c r="AK281" s="2740"/>
      <c r="AL281" s="2740"/>
      <c r="AM281" s="2740"/>
      <c r="AN281" s="2740"/>
      <c r="AO281" s="2740"/>
      <c r="AP281" s="2740"/>
      <c r="AQ281" s="2740"/>
      <c r="AR281" s="2740"/>
      <c r="AS281" s="2740"/>
      <c r="AT281" s="2750"/>
      <c r="AU281" s="2751"/>
      <c r="AV281" s="1092">
        <f t="shared" si="127"/>
        <v>0</v>
      </c>
      <c r="AW281" s="1092">
        <f t="shared" si="128"/>
        <v>0</v>
      </c>
      <c r="AX281" s="1092">
        <f t="shared" si="129"/>
        <v>0</v>
      </c>
      <c r="AY281" s="2765">
        <f t="shared" si="130"/>
        <v>0</v>
      </c>
      <c r="AZ281" s="2720">
        <f t="shared" si="131"/>
        <v>0</v>
      </c>
      <c r="BA281" s="2720">
        <f t="shared" si="132"/>
        <v>0</v>
      </c>
      <c r="BB281" s="2720">
        <f t="shared" si="133"/>
        <v>0</v>
      </c>
      <c r="BC281" s="2720">
        <f t="shared" si="134"/>
        <v>0</v>
      </c>
      <c r="BD281" s="2720">
        <f t="shared" si="135"/>
        <v>0</v>
      </c>
      <c r="BE281" s="2720">
        <f t="shared" si="136"/>
        <v>0</v>
      </c>
      <c r="BF281" s="2720">
        <f t="shared" si="137"/>
        <v>0</v>
      </c>
      <c r="BG281" s="2720">
        <f t="shared" si="138"/>
        <v>0</v>
      </c>
      <c r="BH281" s="2720">
        <f t="shared" si="139"/>
        <v>0</v>
      </c>
      <c r="BI281" s="2720">
        <f t="shared" si="140"/>
        <v>0</v>
      </c>
      <c r="BJ281" s="2720">
        <f t="shared" si="141"/>
        <v>0</v>
      </c>
      <c r="BK281" s="2720">
        <f t="shared" si="142"/>
        <v>0</v>
      </c>
      <c r="BL281" s="2720">
        <f t="shared" si="143"/>
        <v>0</v>
      </c>
      <c r="BM281" s="2720">
        <f t="shared" si="144"/>
        <v>0</v>
      </c>
      <c r="BN281" s="2720">
        <f t="shared" si="145"/>
        <v>0</v>
      </c>
      <c r="BO281" s="2720">
        <f t="shared" si="146"/>
        <v>0</v>
      </c>
      <c r="BP281" s="2720">
        <f t="shared" si="147"/>
        <v>0</v>
      </c>
      <c r="BQ281" s="2720">
        <f t="shared" si="148"/>
        <v>0</v>
      </c>
      <c r="BR281" s="2720">
        <f t="shared" si="149"/>
        <v>0</v>
      </c>
      <c r="BS281" s="2720">
        <f t="shared" si="150"/>
        <v>0</v>
      </c>
      <c r="BT281" s="2772">
        <f t="shared" si="151"/>
        <v>0</v>
      </c>
    </row>
    <row r="282" spans="1:72">
      <c r="A282" s="2717"/>
      <c r="B282" s="2718"/>
      <c r="C282" s="2718"/>
      <c r="D282" s="2719"/>
      <c r="E282" s="2720">
        <f t="shared" si="123"/>
        <v>0</v>
      </c>
      <c r="F282" s="2721"/>
      <c r="G282" s="2722">
        <f t="shared" si="124"/>
        <v>0</v>
      </c>
      <c r="H282" s="2723">
        <f t="shared" si="125"/>
        <v>0</v>
      </c>
      <c r="I282" s="2730"/>
      <c r="J282" s="2730"/>
      <c r="K282" s="2730"/>
      <c r="L282" s="2730"/>
      <c r="M282" s="2730"/>
      <c r="N282" s="2730"/>
      <c r="O282" s="2730"/>
      <c r="P282" s="2730"/>
      <c r="Q282" s="2730"/>
      <c r="R282" s="2730"/>
      <c r="S282" s="2730"/>
      <c r="T282" s="2730"/>
      <c r="U282" s="2730"/>
      <c r="V282" s="2730"/>
      <c r="W282" s="2730"/>
      <c r="X282" s="2730"/>
      <c r="Y282" s="2730"/>
      <c r="Z282" s="2730"/>
      <c r="AA282" s="2730"/>
      <c r="AB282" s="2730"/>
      <c r="AC282" s="2720">
        <f t="shared" si="126"/>
        <v>0</v>
      </c>
      <c r="AD282" s="2740"/>
      <c r="AE282" s="2740"/>
      <c r="AF282" s="2740"/>
      <c r="AG282" s="2740"/>
      <c r="AH282" s="2740"/>
      <c r="AI282" s="2740"/>
      <c r="AJ282" s="2740"/>
      <c r="AK282" s="2740"/>
      <c r="AL282" s="2740"/>
      <c r="AM282" s="2740"/>
      <c r="AN282" s="2740"/>
      <c r="AO282" s="2740"/>
      <c r="AP282" s="2740"/>
      <c r="AQ282" s="2740"/>
      <c r="AR282" s="2740"/>
      <c r="AS282" s="2740"/>
      <c r="AT282" s="2750"/>
      <c r="AU282" s="2751"/>
      <c r="AV282" s="1092">
        <f t="shared" si="127"/>
        <v>0</v>
      </c>
      <c r="AW282" s="1092">
        <f t="shared" si="128"/>
        <v>0</v>
      </c>
      <c r="AX282" s="1092">
        <f t="shared" si="129"/>
        <v>0</v>
      </c>
      <c r="AY282" s="2765">
        <f t="shared" si="130"/>
        <v>0</v>
      </c>
      <c r="AZ282" s="2720">
        <f t="shared" si="131"/>
        <v>0</v>
      </c>
      <c r="BA282" s="2720">
        <f t="shared" si="132"/>
        <v>0</v>
      </c>
      <c r="BB282" s="2720">
        <f t="shared" si="133"/>
        <v>0</v>
      </c>
      <c r="BC282" s="2720">
        <f t="shared" si="134"/>
        <v>0</v>
      </c>
      <c r="BD282" s="2720">
        <f t="shared" si="135"/>
        <v>0</v>
      </c>
      <c r="BE282" s="2720">
        <f t="shared" si="136"/>
        <v>0</v>
      </c>
      <c r="BF282" s="2720">
        <f t="shared" si="137"/>
        <v>0</v>
      </c>
      <c r="BG282" s="2720">
        <f t="shared" si="138"/>
        <v>0</v>
      </c>
      <c r="BH282" s="2720">
        <f t="shared" si="139"/>
        <v>0</v>
      </c>
      <c r="BI282" s="2720">
        <f t="shared" si="140"/>
        <v>0</v>
      </c>
      <c r="BJ282" s="2720">
        <f t="shared" si="141"/>
        <v>0</v>
      </c>
      <c r="BK282" s="2720">
        <f t="shared" si="142"/>
        <v>0</v>
      </c>
      <c r="BL282" s="2720">
        <f t="shared" si="143"/>
        <v>0</v>
      </c>
      <c r="BM282" s="2720">
        <f t="shared" si="144"/>
        <v>0</v>
      </c>
      <c r="BN282" s="2720">
        <f t="shared" si="145"/>
        <v>0</v>
      </c>
      <c r="BO282" s="2720">
        <f t="shared" si="146"/>
        <v>0</v>
      </c>
      <c r="BP282" s="2720">
        <f t="shared" si="147"/>
        <v>0</v>
      </c>
      <c r="BQ282" s="2720">
        <f t="shared" si="148"/>
        <v>0</v>
      </c>
      <c r="BR282" s="2720">
        <f t="shared" si="149"/>
        <v>0</v>
      </c>
      <c r="BS282" s="2720">
        <f t="shared" si="150"/>
        <v>0</v>
      </c>
      <c r="BT282" s="2772">
        <f t="shared" si="151"/>
        <v>0</v>
      </c>
    </row>
    <row r="283" spans="1:72">
      <c r="A283" s="2717"/>
      <c r="B283" s="2718"/>
      <c r="C283" s="2718"/>
      <c r="D283" s="2719"/>
      <c r="E283" s="2720">
        <f t="shared" si="123"/>
        <v>0</v>
      </c>
      <c r="F283" s="2721"/>
      <c r="G283" s="2722">
        <f t="shared" si="124"/>
        <v>0</v>
      </c>
      <c r="H283" s="2723">
        <f t="shared" si="125"/>
        <v>0</v>
      </c>
      <c r="I283" s="2730"/>
      <c r="J283" s="2730"/>
      <c r="K283" s="2730"/>
      <c r="L283" s="2730"/>
      <c r="M283" s="2730"/>
      <c r="N283" s="2730"/>
      <c r="O283" s="2730"/>
      <c r="P283" s="2730"/>
      <c r="Q283" s="2730"/>
      <c r="R283" s="2730"/>
      <c r="S283" s="2730"/>
      <c r="T283" s="2730"/>
      <c r="U283" s="2730"/>
      <c r="V283" s="2730"/>
      <c r="W283" s="2730"/>
      <c r="X283" s="2730"/>
      <c r="Y283" s="2730"/>
      <c r="Z283" s="2730"/>
      <c r="AA283" s="2730"/>
      <c r="AB283" s="2730"/>
      <c r="AC283" s="2720">
        <f t="shared" si="126"/>
        <v>0</v>
      </c>
      <c r="AD283" s="2740"/>
      <c r="AE283" s="2740"/>
      <c r="AF283" s="2740"/>
      <c r="AG283" s="2740"/>
      <c r="AH283" s="2740"/>
      <c r="AI283" s="2740"/>
      <c r="AJ283" s="2740"/>
      <c r="AK283" s="2740"/>
      <c r="AL283" s="2740"/>
      <c r="AM283" s="2740"/>
      <c r="AN283" s="2740"/>
      <c r="AO283" s="2740"/>
      <c r="AP283" s="2740"/>
      <c r="AQ283" s="2740"/>
      <c r="AR283" s="2740"/>
      <c r="AS283" s="2740"/>
      <c r="AT283" s="2750"/>
      <c r="AU283" s="2751"/>
      <c r="AV283" s="1092">
        <f t="shared" si="127"/>
        <v>0</v>
      </c>
      <c r="AW283" s="1092">
        <f t="shared" si="128"/>
        <v>0</v>
      </c>
      <c r="AX283" s="1092">
        <f t="shared" si="129"/>
        <v>0</v>
      </c>
      <c r="AY283" s="2765">
        <f t="shared" si="130"/>
        <v>0</v>
      </c>
      <c r="AZ283" s="2720">
        <f t="shared" si="131"/>
        <v>0</v>
      </c>
      <c r="BA283" s="2720">
        <f t="shared" si="132"/>
        <v>0</v>
      </c>
      <c r="BB283" s="2720">
        <f t="shared" si="133"/>
        <v>0</v>
      </c>
      <c r="BC283" s="2720">
        <f t="shared" si="134"/>
        <v>0</v>
      </c>
      <c r="BD283" s="2720">
        <f t="shared" si="135"/>
        <v>0</v>
      </c>
      <c r="BE283" s="2720">
        <f t="shared" si="136"/>
        <v>0</v>
      </c>
      <c r="BF283" s="2720">
        <f t="shared" si="137"/>
        <v>0</v>
      </c>
      <c r="BG283" s="2720">
        <f t="shared" si="138"/>
        <v>0</v>
      </c>
      <c r="BH283" s="2720">
        <f t="shared" si="139"/>
        <v>0</v>
      </c>
      <c r="BI283" s="2720">
        <f t="shared" si="140"/>
        <v>0</v>
      </c>
      <c r="BJ283" s="2720">
        <f t="shared" si="141"/>
        <v>0</v>
      </c>
      <c r="BK283" s="2720">
        <f t="shared" si="142"/>
        <v>0</v>
      </c>
      <c r="BL283" s="2720">
        <f t="shared" si="143"/>
        <v>0</v>
      </c>
      <c r="BM283" s="2720">
        <f t="shared" si="144"/>
        <v>0</v>
      </c>
      <c r="BN283" s="2720">
        <f t="shared" si="145"/>
        <v>0</v>
      </c>
      <c r="BO283" s="2720">
        <f t="shared" si="146"/>
        <v>0</v>
      </c>
      <c r="BP283" s="2720">
        <f t="shared" si="147"/>
        <v>0</v>
      </c>
      <c r="BQ283" s="2720">
        <f t="shared" si="148"/>
        <v>0</v>
      </c>
      <c r="BR283" s="2720">
        <f t="shared" si="149"/>
        <v>0</v>
      </c>
      <c r="BS283" s="2720">
        <f t="shared" si="150"/>
        <v>0</v>
      </c>
      <c r="BT283" s="2772">
        <f t="shared" si="151"/>
        <v>0</v>
      </c>
    </row>
    <row r="284" spans="1:72">
      <c r="A284" s="2717"/>
      <c r="B284" s="2718"/>
      <c r="C284" s="2718"/>
      <c r="D284" s="2719"/>
      <c r="E284" s="2720">
        <f t="shared" si="123"/>
        <v>0</v>
      </c>
      <c r="F284" s="2721"/>
      <c r="G284" s="2722">
        <f t="shared" si="124"/>
        <v>0</v>
      </c>
      <c r="H284" s="2723">
        <f t="shared" si="125"/>
        <v>0</v>
      </c>
      <c r="I284" s="2730"/>
      <c r="J284" s="2730"/>
      <c r="K284" s="2730"/>
      <c r="L284" s="2730"/>
      <c r="M284" s="2730"/>
      <c r="N284" s="2730"/>
      <c r="O284" s="2730"/>
      <c r="P284" s="2730"/>
      <c r="Q284" s="2730"/>
      <c r="R284" s="2730"/>
      <c r="S284" s="2730"/>
      <c r="T284" s="2730"/>
      <c r="U284" s="2730"/>
      <c r="V284" s="2730"/>
      <c r="W284" s="2730"/>
      <c r="X284" s="2730"/>
      <c r="Y284" s="2730"/>
      <c r="Z284" s="2730"/>
      <c r="AA284" s="2730"/>
      <c r="AB284" s="2730"/>
      <c r="AC284" s="2720">
        <f t="shared" si="126"/>
        <v>0</v>
      </c>
      <c r="AD284" s="2740"/>
      <c r="AE284" s="2740"/>
      <c r="AF284" s="2740"/>
      <c r="AG284" s="2740"/>
      <c r="AH284" s="2740"/>
      <c r="AI284" s="2740"/>
      <c r="AJ284" s="2740"/>
      <c r="AK284" s="2740"/>
      <c r="AL284" s="2740"/>
      <c r="AM284" s="2740"/>
      <c r="AN284" s="2740"/>
      <c r="AO284" s="2740"/>
      <c r="AP284" s="2740"/>
      <c r="AQ284" s="2740"/>
      <c r="AR284" s="2740"/>
      <c r="AS284" s="2740"/>
      <c r="AT284" s="2750"/>
      <c r="AU284" s="2751"/>
      <c r="AV284" s="1092">
        <f t="shared" si="127"/>
        <v>0</v>
      </c>
      <c r="AW284" s="1092">
        <f t="shared" si="128"/>
        <v>0</v>
      </c>
      <c r="AX284" s="1092">
        <f t="shared" si="129"/>
        <v>0</v>
      </c>
      <c r="AY284" s="2765">
        <f t="shared" si="130"/>
        <v>0</v>
      </c>
      <c r="AZ284" s="2720">
        <f t="shared" si="131"/>
        <v>0</v>
      </c>
      <c r="BA284" s="2720">
        <f t="shared" si="132"/>
        <v>0</v>
      </c>
      <c r="BB284" s="2720">
        <f t="shared" si="133"/>
        <v>0</v>
      </c>
      <c r="BC284" s="2720">
        <f t="shared" si="134"/>
        <v>0</v>
      </c>
      <c r="BD284" s="2720">
        <f t="shared" si="135"/>
        <v>0</v>
      </c>
      <c r="BE284" s="2720">
        <f t="shared" si="136"/>
        <v>0</v>
      </c>
      <c r="BF284" s="2720">
        <f t="shared" si="137"/>
        <v>0</v>
      </c>
      <c r="BG284" s="2720">
        <f t="shared" si="138"/>
        <v>0</v>
      </c>
      <c r="BH284" s="2720">
        <f t="shared" si="139"/>
        <v>0</v>
      </c>
      <c r="BI284" s="2720">
        <f t="shared" si="140"/>
        <v>0</v>
      </c>
      <c r="BJ284" s="2720">
        <f t="shared" si="141"/>
        <v>0</v>
      </c>
      <c r="BK284" s="2720">
        <f t="shared" si="142"/>
        <v>0</v>
      </c>
      <c r="BL284" s="2720">
        <f t="shared" si="143"/>
        <v>0</v>
      </c>
      <c r="BM284" s="2720">
        <f t="shared" si="144"/>
        <v>0</v>
      </c>
      <c r="BN284" s="2720">
        <f t="shared" si="145"/>
        <v>0</v>
      </c>
      <c r="BO284" s="2720">
        <f t="shared" si="146"/>
        <v>0</v>
      </c>
      <c r="BP284" s="2720">
        <f t="shared" si="147"/>
        <v>0</v>
      </c>
      <c r="BQ284" s="2720">
        <f t="shared" si="148"/>
        <v>0</v>
      </c>
      <c r="BR284" s="2720">
        <f t="shared" si="149"/>
        <v>0</v>
      </c>
      <c r="BS284" s="2720">
        <f t="shared" si="150"/>
        <v>0</v>
      </c>
      <c r="BT284" s="2772">
        <f t="shared" si="151"/>
        <v>0</v>
      </c>
    </row>
    <row r="285" spans="1:72">
      <c r="A285" s="2717"/>
      <c r="B285" s="2718"/>
      <c r="C285" s="2718"/>
      <c r="D285" s="2719"/>
      <c r="E285" s="2720">
        <f t="shared" si="123"/>
        <v>0</v>
      </c>
      <c r="F285" s="2721"/>
      <c r="G285" s="2722">
        <f t="shared" si="124"/>
        <v>0</v>
      </c>
      <c r="H285" s="2723">
        <f t="shared" si="125"/>
        <v>0</v>
      </c>
      <c r="I285" s="2730"/>
      <c r="J285" s="2730"/>
      <c r="K285" s="2730"/>
      <c r="L285" s="2730"/>
      <c r="M285" s="2730"/>
      <c r="N285" s="2730"/>
      <c r="O285" s="2730"/>
      <c r="P285" s="2730"/>
      <c r="Q285" s="2730"/>
      <c r="R285" s="2730"/>
      <c r="S285" s="2730"/>
      <c r="T285" s="2730"/>
      <c r="U285" s="2730"/>
      <c r="V285" s="2730"/>
      <c r="W285" s="2730"/>
      <c r="X285" s="2730"/>
      <c r="Y285" s="2730"/>
      <c r="Z285" s="2730"/>
      <c r="AA285" s="2730"/>
      <c r="AB285" s="2730"/>
      <c r="AC285" s="2720">
        <f t="shared" si="126"/>
        <v>0</v>
      </c>
      <c r="AD285" s="2740"/>
      <c r="AE285" s="2740"/>
      <c r="AF285" s="2740"/>
      <c r="AG285" s="2740"/>
      <c r="AH285" s="2740"/>
      <c r="AI285" s="2740"/>
      <c r="AJ285" s="2740"/>
      <c r="AK285" s="2740"/>
      <c r="AL285" s="2740"/>
      <c r="AM285" s="2740"/>
      <c r="AN285" s="2740"/>
      <c r="AO285" s="2740"/>
      <c r="AP285" s="2740"/>
      <c r="AQ285" s="2740"/>
      <c r="AR285" s="2740"/>
      <c r="AS285" s="2740"/>
      <c r="AT285" s="2750"/>
      <c r="AU285" s="2751"/>
      <c r="AV285" s="1092">
        <f t="shared" si="127"/>
        <v>0</v>
      </c>
      <c r="AW285" s="1092">
        <f t="shared" si="128"/>
        <v>0</v>
      </c>
      <c r="AX285" s="1092">
        <f t="shared" si="129"/>
        <v>0</v>
      </c>
      <c r="AY285" s="2765">
        <f t="shared" si="130"/>
        <v>0</v>
      </c>
      <c r="AZ285" s="2720">
        <f t="shared" si="131"/>
        <v>0</v>
      </c>
      <c r="BA285" s="2720">
        <f t="shared" si="132"/>
        <v>0</v>
      </c>
      <c r="BB285" s="2720">
        <f t="shared" si="133"/>
        <v>0</v>
      </c>
      <c r="BC285" s="2720">
        <f t="shared" si="134"/>
        <v>0</v>
      </c>
      <c r="BD285" s="2720">
        <f t="shared" si="135"/>
        <v>0</v>
      </c>
      <c r="BE285" s="2720">
        <f t="shared" si="136"/>
        <v>0</v>
      </c>
      <c r="BF285" s="2720">
        <f t="shared" si="137"/>
        <v>0</v>
      </c>
      <c r="BG285" s="2720">
        <f t="shared" si="138"/>
        <v>0</v>
      </c>
      <c r="BH285" s="2720">
        <f t="shared" si="139"/>
        <v>0</v>
      </c>
      <c r="BI285" s="2720">
        <f t="shared" si="140"/>
        <v>0</v>
      </c>
      <c r="BJ285" s="2720">
        <f t="shared" si="141"/>
        <v>0</v>
      </c>
      <c r="BK285" s="2720">
        <f t="shared" si="142"/>
        <v>0</v>
      </c>
      <c r="BL285" s="2720">
        <f t="shared" si="143"/>
        <v>0</v>
      </c>
      <c r="BM285" s="2720">
        <f t="shared" si="144"/>
        <v>0</v>
      </c>
      <c r="BN285" s="2720">
        <f t="shared" si="145"/>
        <v>0</v>
      </c>
      <c r="BO285" s="2720">
        <f t="shared" si="146"/>
        <v>0</v>
      </c>
      <c r="BP285" s="2720">
        <f t="shared" si="147"/>
        <v>0</v>
      </c>
      <c r="BQ285" s="2720">
        <f t="shared" si="148"/>
        <v>0</v>
      </c>
      <c r="BR285" s="2720">
        <f t="shared" si="149"/>
        <v>0</v>
      </c>
      <c r="BS285" s="2720">
        <f t="shared" si="150"/>
        <v>0</v>
      </c>
      <c r="BT285" s="2772">
        <f t="shared" si="151"/>
        <v>0</v>
      </c>
    </row>
    <row r="286" spans="1:72">
      <c r="A286" s="2717"/>
      <c r="B286" s="2718"/>
      <c r="C286" s="2718"/>
      <c r="D286" s="2719"/>
      <c r="E286" s="2720">
        <f t="shared" si="123"/>
        <v>0</v>
      </c>
      <c r="F286" s="2721"/>
      <c r="G286" s="2722">
        <f t="shared" si="124"/>
        <v>0</v>
      </c>
      <c r="H286" s="2723">
        <f t="shared" si="125"/>
        <v>0</v>
      </c>
      <c r="I286" s="2730"/>
      <c r="J286" s="2730"/>
      <c r="K286" s="2730"/>
      <c r="L286" s="2730"/>
      <c r="M286" s="2730"/>
      <c r="N286" s="2730"/>
      <c r="O286" s="2730"/>
      <c r="P286" s="2730"/>
      <c r="Q286" s="2730"/>
      <c r="R286" s="2730"/>
      <c r="S286" s="2730"/>
      <c r="T286" s="2730"/>
      <c r="U286" s="2730"/>
      <c r="V286" s="2730"/>
      <c r="W286" s="2730"/>
      <c r="X286" s="2730"/>
      <c r="Y286" s="2730"/>
      <c r="Z286" s="2730"/>
      <c r="AA286" s="2730"/>
      <c r="AB286" s="2730"/>
      <c r="AC286" s="2720">
        <f t="shared" si="126"/>
        <v>0</v>
      </c>
      <c r="AD286" s="2740"/>
      <c r="AE286" s="2740"/>
      <c r="AF286" s="2740"/>
      <c r="AG286" s="2740"/>
      <c r="AH286" s="2740"/>
      <c r="AI286" s="2740"/>
      <c r="AJ286" s="2740"/>
      <c r="AK286" s="2740"/>
      <c r="AL286" s="2740"/>
      <c r="AM286" s="2740"/>
      <c r="AN286" s="2740"/>
      <c r="AO286" s="2740"/>
      <c r="AP286" s="2740"/>
      <c r="AQ286" s="2740"/>
      <c r="AR286" s="2740"/>
      <c r="AS286" s="2740"/>
      <c r="AT286" s="2750"/>
      <c r="AU286" s="2751"/>
      <c r="AV286" s="1092">
        <f t="shared" si="127"/>
        <v>0</v>
      </c>
      <c r="AW286" s="1092">
        <f t="shared" si="128"/>
        <v>0</v>
      </c>
      <c r="AX286" s="1092">
        <f t="shared" si="129"/>
        <v>0</v>
      </c>
      <c r="AY286" s="2765">
        <f t="shared" si="130"/>
        <v>0</v>
      </c>
      <c r="AZ286" s="2720">
        <f t="shared" si="131"/>
        <v>0</v>
      </c>
      <c r="BA286" s="2720">
        <f t="shared" si="132"/>
        <v>0</v>
      </c>
      <c r="BB286" s="2720">
        <f t="shared" si="133"/>
        <v>0</v>
      </c>
      <c r="BC286" s="2720">
        <f t="shared" si="134"/>
        <v>0</v>
      </c>
      <c r="BD286" s="2720">
        <f t="shared" si="135"/>
        <v>0</v>
      </c>
      <c r="BE286" s="2720">
        <f t="shared" si="136"/>
        <v>0</v>
      </c>
      <c r="BF286" s="2720">
        <f t="shared" si="137"/>
        <v>0</v>
      </c>
      <c r="BG286" s="2720">
        <f t="shared" si="138"/>
        <v>0</v>
      </c>
      <c r="BH286" s="2720">
        <f t="shared" si="139"/>
        <v>0</v>
      </c>
      <c r="BI286" s="2720">
        <f t="shared" si="140"/>
        <v>0</v>
      </c>
      <c r="BJ286" s="2720">
        <f t="shared" si="141"/>
        <v>0</v>
      </c>
      <c r="BK286" s="2720">
        <f t="shared" si="142"/>
        <v>0</v>
      </c>
      <c r="BL286" s="2720">
        <f t="shared" si="143"/>
        <v>0</v>
      </c>
      <c r="BM286" s="2720">
        <f t="shared" si="144"/>
        <v>0</v>
      </c>
      <c r="BN286" s="2720">
        <f t="shared" si="145"/>
        <v>0</v>
      </c>
      <c r="BO286" s="2720">
        <f t="shared" si="146"/>
        <v>0</v>
      </c>
      <c r="BP286" s="2720">
        <f t="shared" si="147"/>
        <v>0</v>
      </c>
      <c r="BQ286" s="2720">
        <f t="shared" si="148"/>
        <v>0</v>
      </c>
      <c r="BR286" s="2720">
        <f t="shared" si="149"/>
        <v>0</v>
      </c>
      <c r="BS286" s="2720">
        <f t="shared" si="150"/>
        <v>0</v>
      </c>
      <c r="BT286" s="2772">
        <f t="shared" si="151"/>
        <v>0</v>
      </c>
    </row>
    <row r="287" spans="1:72">
      <c r="A287" s="2717"/>
      <c r="B287" s="2718"/>
      <c r="C287" s="2718"/>
      <c r="D287" s="2719"/>
      <c r="E287" s="2720">
        <f t="shared" si="123"/>
        <v>0</v>
      </c>
      <c r="F287" s="2721"/>
      <c r="G287" s="2722">
        <f t="shared" si="124"/>
        <v>0</v>
      </c>
      <c r="H287" s="2723">
        <f t="shared" si="125"/>
        <v>0</v>
      </c>
      <c r="I287" s="2730"/>
      <c r="J287" s="2730"/>
      <c r="K287" s="2730"/>
      <c r="L287" s="2730"/>
      <c r="M287" s="2730"/>
      <c r="N287" s="2730"/>
      <c r="O287" s="2730"/>
      <c r="P287" s="2730"/>
      <c r="Q287" s="2730"/>
      <c r="R287" s="2730"/>
      <c r="S287" s="2730"/>
      <c r="T287" s="2730"/>
      <c r="U287" s="2730"/>
      <c r="V287" s="2730"/>
      <c r="W287" s="2730"/>
      <c r="X287" s="2730"/>
      <c r="Y287" s="2730"/>
      <c r="Z287" s="2730"/>
      <c r="AA287" s="2730"/>
      <c r="AB287" s="2730"/>
      <c r="AC287" s="2720">
        <f t="shared" si="126"/>
        <v>0</v>
      </c>
      <c r="AD287" s="2740"/>
      <c r="AE287" s="2740"/>
      <c r="AF287" s="2740"/>
      <c r="AG287" s="2740"/>
      <c r="AH287" s="2740"/>
      <c r="AI287" s="2740"/>
      <c r="AJ287" s="2740"/>
      <c r="AK287" s="2740"/>
      <c r="AL287" s="2740"/>
      <c r="AM287" s="2740"/>
      <c r="AN287" s="2740"/>
      <c r="AO287" s="2740"/>
      <c r="AP287" s="2740"/>
      <c r="AQ287" s="2740"/>
      <c r="AR287" s="2740"/>
      <c r="AS287" s="2740"/>
      <c r="AT287" s="2750"/>
      <c r="AU287" s="2751"/>
      <c r="AV287" s="1092">
        <f t="shared" si="127"/>
        <v>0</v>
      </c>
      <c r="AW287" s="1092">
        <f t="shared" si="128"/>
        <v>0</v>
      </c>
      <c r="AX287" s="1092">
        <f t="shared" si="129"/>
        <v>0</v>
      </c>
      <c r="AY287" s="2765">
        <f t="shared" si="130"/>
        <v>0</v>
      </c>
      <c r="AZ287" s="2720">
        <f t="shared" si="131"/>
        <v>0</v>
      </c>
      <c r="BA287" s="2720">
        <f t="shared" si="132"/>
        <v>0</v>
      </c>
      <c r="BB287" s="2720">
        <f t="shared" si="133"/>
        <v>0</v>
      </c>
      <c r="BC287" s="2720">
        <f t="shared" si="134"/>
        <v>0</v>
      </c>
      <c r="BD287" s="2720">
        <f t="shared" si="135"/>
        <v>0</v>
      </c>
      <c r="BE287" s="2720">
        <f t="shared" si="136"/>
        <v>0</v>
      </c>
      <c r="BF287" s="2720">
        <f t="shared" si="137"/>
        <v>0</v>
      </c>
      <c r="BG287" s="2720">
        <f t="shared" si="138"/>
        <v>0</v>
      </c>
      <c r="BH287" s="2720">
        <f t="shared" si="139"/>
        <v>0</v>
      </c>
      <c r="BI287" s="2720">
        <f t="shared" si="140"/>
        <v>0</v>
      </c>
      <c r="BJ287" s="2720">
        <f t="shared" si="141"/>
        <v>0</v>
      </c>
      <c r="BK287" s="2720">
        <f t="shared" si="142"/>
        <v>0</v>
      </c>
      <c r="BL287" s="2720">
        <f t="shared" si="143"/>
        <v>0</v>
      </c>
      <c r="BM287" s="2720">
        <f t="shared" si="144"/>
        <v>0</v>
      </c>
      <c r="BN287" s="2720">
        <f t="shared" si="145"/>
        <v>0</v>
      </c>
      <c r="BO287" s="2720">
        <f t="shared" si="146"/>
        <v>0</v>
      </c>
      <c r="BP287" s="2720">
        <f t="shared" si="147"/>
        <v>0</v>
      </c>
      <c r="BQ287" s="2720">
        <f t="shared" si="148"/>
        <v>0</v>
      </c>
      <c r="BR287" s="2720">
        <f t="shared" si="149"/>
        <v>0</v>
      </c>
      <c r="BS287" s="2720">
        <f t="shared" si="150"/>
        <v>0</v>
      </c>
      <c r="BT287" s="2772">
        <f t="shared" si="151"/>
        <v>0</v>
      </c>
    </row>
    <row r="288" spans="1:72">
      <c r="A288" s="2717"/>
      <c r="B288" s="2718"/>
      <c r="C288" s="2718"/>
      <c r="D288" s="2719"/>
      <c r="E288" s="2720">
        <f t="shared" si="123"/>
        <v>0</v>
      </c>
      <c r="F288" s="2721"/>
      <c r="G288" s="2722">
        <f t="shared" si="124"/>
        <v>0</v>
      </c>
      <c r="H288" s="2723">
        <f t="shared" si="125"/>
        <v>0</v>
      </c>
      <c r="I288" s="2730"/>
      <c r="J288" s="2730"/>
      <c r="K288" s="2730"/>
      <c r="L288" s="2730"/>
      <c r="M288" s="2730"/>
      <c r="N288" s="2730"/>
      <c r="O288" s="2730"/>
      <c r="P288" s="2730"/>
      <c r="Q288" s="2730"/>
      <c r="R288" s="2730"/>
      <c r="S288" s="2730"/>
      <c r="T288" s="2730"/>
      <c r="U288" s="2730"/>
      <c r="V288" s="2730"/>
      <c r="W288" s="2730"/>
      <c r="X288" s="2730"/>
      <c r="Y288" s="2730"/>
      <c r="Z288" s="2730"/>
      <c r="AA288" s="2730"/>
      <c r="AB288" s="2730"/>
      <c r="AC288" s="2720">
        <f t="shared" si="126"/>
        <v>0</v>
      </c>
      <c r="AD288" s="2740"/>
      <c r="AE288" s="2740"/>
      <c r="AF288" s="2740"/>
      <c r="AG288" s="2740"/>
      <c r="AH288" s="2740"/>
      <c r="AI288" s="2740"/>
      <c r="AJ288" s="2740"/>
      <c r="AK288" s="2740"/>
      <c r="AL288" s="2740"/>
      <c r="AM288" s="2740"/>
      <c r="AN288" s="2740"/>
      <c r="AO288" s="2740"/>
      <c r="AP288" s="2740"/>
      <c r="AQ288" s="2740"/>
      <c r="AR288" s="2740"/>
      <c r="AS288" s="2740"/>
      <c r="AT288" s="2750"/>
      <c r="AU288" s="2751"/>
      <c r="AV288" s="1092">
        <f t="shared" si="127"/>
        <v>0</v>
      </c>
      <c r="AW288" s="1092">
        <f t="shared" si="128"/>
        <v>0</v>
      </c>
      <c r="AX288" s="1092">
        <f t="shared" si="129"/>
        <v>0</v>
      </c>
      <c r="AY288" s="2765">
        <f t="shared" si="130"/>
        <v>0</v>
      </c>
      <c r="AZ288" s="2720">
        <f t="shared" si="131"/>
        <v>0</v>
      </c>
      <c r="BA288" s="2720">
        <f t="shared" si="132"/>
        <v>0</v>
      </c>
      <c r="BB288" s="2720">
        <f t="shared" si="133"/>
        <v>0</v>
      </c>
      <c r="BC288" s="2720">
        <f t="shared" si="134"/>
        <v>0</v>
      </c>
      <c r="BD288" s="2720">
        <f t="shared" si="135"/>
        <v>0</v>
      </c>
      <c r="BE288" s="2720">
        <f t="shared" si="136"/>
        <v>0</v>
      </c>
      <c r="BF288" s="2720">
        <f t="shared" si="137"/>
        <v>0</v>
      </c>
      <c r="BG288" s="2720">
        <f t="shared" si="138"/>
        <v>0</v>
      </c>
      <c r="BH288" s="2720">
        <f t="shared" si="139"/>
        <v>0</v>
      </c>
      <c r="BI288" s="2720">
        <f t="shared" si="140"/>
        <v>0</v>
      </c>
      <c r="BJ288" s="2720">
        <f t="shared" si="141"/>
        <v>0</v>
      </c>
      <c r="BK288" s="2720">
        <f t="shared" si="142"/>
        <v>0</v>
      </c>
      <c r="BL288" s="2720">
        <f t="shared" si="143"/>
        <v>0</v>
      </c>
      <c r="BM288" s="2720">
        <f t="shared" si="144"/>
        <v>0</v>
      </c>
      <c r="BN288" s="2720">
        <f t="shared" si="145"/>
        <v>0</v>
      </c>
      <c r="BO288" s="2720">
        <f t="shared" si="146"/>
        <v>0</v>
      </c>
      <c r="BP288" s="2720">
        <f t="shared" si="147"/>
        <v>0</v>
      </c>
      <c r="BQ288" s="2720">
        <f t="shared" si="148"/>
        <v>0</v>
      </c>
      <c r="BR288" s="2720">
        <f t="shared" si="149"/>
        <v>0</v>
      </c>
      <c r="BS288" s="2720">
        <f t="shared" si="150"/>
        <v>0</v>
      </c>
      <c r="BT288" s="2772">
        <f t="shared" si="151"/>
        <v>0</v>
      </c>
    </row>
    <row r="289" spans="1:72">
      <c r="A289" s="2717"/>
      <c r="B289" s="2718"/>
      <c r="C289" s="2718"/>
      <c r="D289" s="2719"/>
      <c r="E289" s="2720">
        <f t="shared" si="123"/>
        <v>0</v>
      </c>
      <c r="F289" s="2721"/>
      <c r="G289" s="2722">
        <f t="shared" si="124"/>
        <v>0</v>
      </c>
      <c r="H289" s="2723">
        <f t="shared" si="125"/>
        <v>0</v>
      </c>
      <c r="I289" s="2730"/>
      <c r="J289" s="2730"/>
      <c r="K289" s="2730"/>
      <c r="L289" s="2730"/>
      <c r="M289" s="2730"/>
      <c r="N289" s="2730"/>
      <c r="O289" s="2730"/>
      <c r="P289" s="2730"/>
      <c r="Q289" s="2730"/>
      <c r="R289" s="2730"/>
      <c r="S289" s="2730"/>
      <c r="T289" s="2730"/>
      <c r="U289" s="2730"/>
      <c r="V289" s="2730"/>
      <c r="W289" s="2730"/>
      <c r="X289" s="2730"/>
      <c r="Y289" s="2730"/>
      <c r="Z289" s="2730"/>
      <c r="AA289" s="2730"/>
      <c r="AB289" s="2730"/>
      <c r="AC289" s="2720">
        <f t="shared" si="126"/>
        <v>0</v>
      </c>
      <c r="AD289" s="2740"/>
      <c r="AE289" s="2740"/>
      <c r="AF289" s="2740"/>
      <c r="AG289" s="2740"/>
      <c r="AH289" s="2740"/>
      <c r="AI289" s="2740"/>
      <c r="AJ289" s="2740"/>
      <c r="AK289" s="2740"/>
      <c r="AL289" s="2740"/>
      <c r="AM289" s="2740"/>
      <c r="AN289" s="2740"/>
      <c r="AO289" s="2740"/>
      <c r="AP289" s="2740"/>
      <c r="AQ289" s="2740"/>
      <c r="AR289" s="2740"/>
      <c r="AS289" s="2740"/>
      <c r="AT289" s="2750"/>
      <c r="AU289" s="2751"/>
      <c r="AV289" s="1092">
        <f t="shared" si="127"/>
        <v>0</v>
      </c>
      <c r="AW289" s="1092">
        <f t="shared" si="128"/>
        <v>0</v>
      </c>
      <c r="AX289" s="1092">
        <f t="shared" si="129"/>
        <v>0</v>
      </c>
      <c r="AY289" s="2765">
        <f t="shared" si="130"/>
        <v>0</v>
      </c>
      <c r="AZ289" s="2720">
        <f t="shared" si="131"/>
        <v>0</v>
      </c>
      <c r="BA289" s="2720">
        <f t="shared" si="132"/>
        <v>0</v>
      </c>
      <c r="BB289" s="2720">
        <f t="shared" si="133"/>
        <v>0</v>
      </c>
      <c r="BC289" s="2720">
        <f t="shared" si="134"/>
        <v>0</v>
      </c>
      <c r="BD289" s="2720">
        <f t="shared" si="135"/>
        <v>0</v>
      </c>
      <c r="BE289" s="2720">
        <f t="shared" si="136"/>
        <v>0</v>
      </c>
      <c r="BF289" s="2720">
        <f t="shared" si="137"/>
        <v>0</v>
      </c>
      <c r="BG289" s="2720">
        <f t="shared" si="138"/>
        <v>0</v>
      </c>
      <c r="BH289" s="2720">
        <f t="shared" si="139"/>
        <v>0</v>
      </c>
      <c r="BI289" s="2720">
        <f t="shared" si="140"/>
        <v>0</v>
      </c>
      <c r="BJ289" s="2720">
        <f t="shared" si="141"/>
        <v>0</v>
      </c>
      <c r="BK289" s="2720">
        <f t="shared" si="142"/>
        <v>0</v>
      </c>
      <c r="BL289" s="2720">
        <f t="shared" si="143"/>
        <v>0</v>
      </c>
      <c r="BM289" s="2720">
        <f t="shared" si="144"/>
        <v>0</v>
      </c>
      <c r="BN289" s="2720">
        <f t="shared" si="145"/>
        <v>0</v>
      </c>
      <c r="BO289" s="2720">
        <f t="shared" si="146"/>
        <v>0</v>
      </c>
      <c r="BP289" s="2720">
        <f t="shared" si="147"/>
        <v>0</v>
      </c>
      <c r="BQ289" s="2720">
        <f t="shared" si="148"/>
        <v>0</v>
      </c>
      <c r="BR289" s="2720">
        <f t="shared" si="149"/>
        <v>0</v>
      </c>
      <c r="BS289" s="2720">
        <f t="shared" si="150"/>
        <v>0</v>
      </c>
      <c r="BT289" s="2772">
        <f t="shared" si="151"/>
        <v>0</v>
      </c>
    </row>
    <row r="290" spans="1:72">
      <c r="A290" s="2717"/>
      <c r="B290" s="2718"/>
      <c r="C290" s="2718"/>
      <c r="D290" s="2719"/>
      <c r="E290" s="2720">
        <f t="shared" si="123"/>
        <v>0</v>
      </c>
      <c r="F290" s="2721"/>
      <c r="G290" s="2722">
        <f t="shared" si="124"/>
        <v>0</v>
      </c>
      <c r="H290" s="2723">
        <f t="shared" si="125"/>
        <v>0</v>
      </c>
      <c r="I290" s="2730"/>
      <c r="J290" s="2730"/>
      <c r="K290" s="2730"/>
      <c r="L290" s="2730"/>
      <c r="M290" s="2730"/>
      <c r="N290" s="2730"/>
      <c r="O290" s="2730"/>
      <c r="P290" s="2730"/>
      <c r="Q290" s="2730"/>
      <c r="R290" s="2730"/>
      <c r="S290" s="2730"/>
      <c r="T290" s="2730"/>
      <c r="U290" s="2730"/>
      <c r="V290" s="2730"/>
      <c r="W290" s="2730"/>
      <c r="X290" s="2730"/>
      <c r="Y290" s="2730"/>
      <c r="Z290" s="2730"/>
      <c r="AA290" s="2730"/>
      <c r="AB290" s="2730"/>
      <c r="AC290" s="2720">
        <f t="shared" si="126"/>
        <v>0</v>
      </c>
      <c r="AD290" s="2740"/>
      <c r="AE290" s="2740"/>
      <c r="AF290" s="2740"/>
      <c r="AG290" s="2740"/>
      <c r="AH290" s="2740"/>
      <c r="AI290" s="2740"/>
      <c r="AJ290" s="2740"/>
      <c r="AK290" s="2740"/>
      <c r="AL290" s="2740"/>
      <c r="AM290" s="2740"/>
      <c r="AN290" s="2740"/>
      <c r="AO290" s="2740"/>
      <c r="AP290" s="2740"/>
      <c r="AQ290" s="2740"/>
      <c r="AR290" s="2740"/>
      <c r="AS290" s="2740"/>
      <c r="AT290" s="2750"/>
      <c r="AU290" s="2751"/>
      <c r="AV290" s="1092">
        <f t="shared" si="127"/>
        <v>0</v>
      </c>
      <c r="AW290" s="1092">
        <f t="shared" si="128"/>
        <v>0</v>
      </c>
      <c r="AX290" s="1092">
        <f t="shared" si="129"/>
        <v>0</v>
      </c>
      <c r="AY290" s="2765">
        <f t="shared" si="130"/>
        <v>0</v>
      </c>
      <c r="AZ290" s="2720">
        <f t="shared" si="131"/>
        <v>0</v>
      </c>
      <c r="BA290" s="2720">
        <f t="shared" si="132"/>
        <v>0</v>
      </c>
      <c r="BB290" s="2720">
        <f t="shared" si="133"/>
        <v>0</v>
      </c>
      <c r="BC290" s="2720">
        <f t="shared" si="134"/>
        <v>0</v>
      </c>
      <c r="BD290" s="2720">
        <f t="shared" si="135"/>
        <v>0</v>
      </c>
      <c r="BE290" s="2720">
        <f t="shared" si="136"/>
        <v>0</v>
      </c>
      <c r="BF290" s="2720">
        <f t="shared" si="137"/>
        <v>0</v>
      </c>
      <c r="BG290" s="2720">
        <f t="shared" si="138"/>
        <v>0</v>
      </c>
      <c r="BH290" s="2720">
        <f t="shared" si="139"/>
        <v>0</v>
      </c>
      <c r="BI290" s="2720">
        <f t="shared" si="140"/>
        <v>0</v>
      </c>
      <c r="BJ290" s="2720">
        <f t="shared" si="141"/>
        <v>0</v>
      </c>
      <c r="BK290" s="2720">
        <f t="shared" si="142"/>
        <v>0</v>
      </c>
      <c r="BL290" s="2720">
        <f t="shared" si="143"/>
        <v>0</v>
      </c>
      <c r="BM290" s="2720">
        <f t="shared" si="144"/>
        <v>0</v>
      </c>
      <c r="BN290" s="2720">
        <f t="shared" si="145"/>
        <v>0</v>
      </c>
      <c r="BO290" s="2720">
        <f t="shared" si="146"/>
        <v>0</v>
      </c>
      <c r="BP290" s="2720">
        <f t="shared" si="147"/>
        <v>0</v>
      </c>
      <c r="BQ290" s="2720">
        <f t="shared" si="148"/>
        <v>0</v>
      </c>
      <c r="BR290" s="2720">
        <f t="shared" si="149"/>
        <v>0</v>
      </c>
      <c r="BS290" s="2720">
        <f t="shared" si="150"/>
        <v>0</v>
      </c>
      <c r="BT290" s="2772">
        <f t="shared" si="151"/>
        <v>0</v>
      </c>
    </row>
    <row r="291" spans="1:72">
      <c r="A291" s="2717"/>
      <c r="B291" s="2718"/>
      <c r="C291" s="2718"/>
      <c r="D291" s="2719"/>
      <c r="E291" s="2720">
        <f t="shared" si="123"/>
        <v>0</v>
      </c>
      <c r="F291" s="2721"/>
      <c r="G291" s="2722">
        <f t="shared" si="124"/>
        <v>0</v>
      </c>
      <c r="H291" s="2723">
        <f t="shared" si="125"/>
        <v>0</v>
      </c>
      <c r="I291" s="2730"/>
      <c r="J291" s="2730"/>
      <c r="K291" s="2730"/>
      <c r="L291" s="2730"/>
      <c r="M291" s="2730"/>
      <c r="N291" s="2730"/>
      <c r="O291" s="2730"/>
      <c r="P291" s="2730"/>
      <c r="Q291" s="2730"/>
      <c r="R291" s="2730"/>
      <c r="S291" s="2730"/>
      <c r="T291" s="2730"/>
      <c r="U291" s="2730"/>
      <c r="V291" s="2730"/>
      <c r="W291" s="2730"/>
      <c r="X291" s="2730"/>
      <c r="Y291" s="2730"/>
      <c r="Z291" s="2730"/>
      <c r="AA291" s="2730"/>
      <c r="AB291" s="2730"/>
      <c r="AC291" s="2720">
        <f t="shared" si="126"/>
        <v>0</v>
      </c>
      <c r="AD291" s="2740"/>
      <c r="AE291" s="2740"/>
      <c r="AF291" s="2740"/>
      <c r="AG291" s="2740"/>
      <c r="AH291" s="2740"/>
      <c r="AI291" s="2740"/>
      <c r="AJ291" s="2740"/>
      <c r="AK291" s="2740"/>
      <c r="AL291" s="2740"/>
      <c r="AM291" s="2740"/>
      <c r="AN291" s="2740"/>
      <c r="AO291" s="2740"/>
      <c r="AP291" s="2740"/>
      <c r="AQ291" s="2740"/>
      <c r="AR291" s="2740"/>
      <c r="AS291" s="2740"/>
      <c r="AT291" s="2750"/>
      <c r="AU291" s="2751"/>
      <c r="AV291" s="1092">
        <f t="shared" si="127"/>
        <v>0</v>
      </c>
      <c r="AW291" s="1092">
        <f t="shared" si="128"/>
        <v>0</v>
      </c>
      <c r="AX291" s="1092">
        <f t="shared" si="129"/>
        <v>0</v>
      </c>
      <c r="AY291" s="2765">
        <f t="shared" si="130"/>
        <v>0</v>
      </c>
      <c r="AZ291" s="2720">
        <f t="shared" si="131"/>
        <v>0</v>
      </c>
      <c r="BA291" s="2720">
        <f t="shared" si="132"/>
        <v>0</v>
      </c>
      <c r="BB291" s="2720">
        <f t="shared" si="133"/>
        <v>0</v>
      </c>
      <c r="BC291" s="2720">
        <f t="shared" si="134"/>
        <v>0</v>
      </c>
      <c r="BD291" s="2720">
        <f t="shared" si="135"/>
        <v>0</v>
      </c>
      <c r="BE291" s="2720">
        <f t="shared" si="136"/>
        <v>0</v>
      </c>
      <c r="BF291" s="2720">
        <f t="shared" si="137"/>
        <v>0</v>
      </c>
      <c r="BG291" s="2720">
        <f t="shared" si="138"/>
        <v>0</v>
      </c>
      <c r="BH291" s="2720">
        <f t="shared" si="139"/>
        <v>0</v>
      </c>
      <c r="BI291" s="2720">
        <f t="shared" si="140"/>
        <v>0</v>
      </c>
      <c r="BJ291" s="2720">
        <f t="shared" si="141"/>
        <v>0</v>
      </c>
      <c r="BK291" s="2720">
        <f t="shared" si="142"/>
        <v>0</v>
      </c>
      <c r="BL291" s="2720">
        <f t="shared" si="143"/>
        <v>0</v>
      </c>
      <c r="BM291" s="2720">
        <f t="shared" si="144"/>
        <v>0</v>
      </c>
      <c r="BN291" s="2720">
        <f t="shared" si="145"/>
        <v>0</v>
      </c>
      <c r="BO291" s="2720">
        <f t="shared" si="146"/>
        <v>0</v>
      </c>
      <c r="BP291" s="2720">
        <f t="shared" si="147"/>
        <v>0</v>
      </c>
      <c r="BQ291" s="2720">
        <f t="shared" si="148"/>
        <v>0</v>
      </c>
      <c r="BR291" s="2720">
        <f t="shared" si="149"/>
        <v>0</v>
      </c>
      <c r="BS291" s="2720">
        <f t="shared" si="150"/>
        <v>0</v>
      </c>
      <c r="BT291" s="2772">
        <f t="shared" si="151"/>
        <v>0</v>
      </c>
    </row>
    <row r="292" spans="1:72">
      <c r="A292" s="2717"/>
      <c r="B292" s="2718"/>
      <c r="C292" s="2718"/>
      <c r="D292" s="2719"/>
      <c r="E292" s="2720">
        <f t="shared" si="123"/>
        <v>0</v>
      </c>
      <c r="F292" s="2721"/>
      <c r="G292" s="2722">
        <f t="shared" si="124"/>
        <v>0</v>
      </c>
      <c r="H292" s="2723">
        <f t="shared" si="125"/>
        <v>0</v>
      </c>
      <c r="I292" s="2730"/>
      <c r="J292" s="2730"/>
      <c r="K292" s="2730"/>
      <c r="L292" s="2730"/>
      <c r="M292" s="2730"/>
      <c r="N292" s="2730"/>
      <c r="O292" s="2730"/>
      <c r="P292" s="2730"/>
      <c r="Q292" s="2730"/>
      <c r="R292" s="2730"/>
      <c r="S292" s="2730"/>
      <c r="T292" s="2730"/>
      <c r="U292" s="2730"/>
      <c r="V292" s="2730"/>
      <c r="W292" s="2730"/>
      <c r="X292" s="2730"/>
      <c r="Y292" s="2730"/>
      <c r="Z292" s="2730"/>
      <c r="AA292" s="2730"/>
      <c r="AB292" s="2730"/>
      <c r="AC292" s="2720">
        <f t="shared" si="126"/>
        <v>0</v>
      </c>
      <c r="AD292" s="2740"/>
      <c r="AE292" s="2740"/>
      <c r="AF292" s="2740"/>
      <c r="AG292" s="2740"/>
      <c r="AH292" s="2740"/>
      <c r="AI292" s="2740"/>
      <c r="AJ292" s="2740"/>
      <c r="AK292" s="2740"/>
      <c r="AL292" s="2740"/>
      <c r="AM292" s="2740"/>
      <c r="AN292" s="2740"/>
      <c r="AO292" s="2740"/>
      <c r="AP292" s="2740"/>
      <c r="AQ292" s="2740"/>
      <c r="AR292" s="2740"/>
      <c r="AS292" s="2740"/>
      <c r="AT292" s="2750"/>
      <c r="AU292" s="2751"/>
      <c r="AV292" s="1092">
        <f t="shared" si="127"/>
        <v>0</v>
      </c>
      <c r="AW292" s="1092">
        <f t="shared" si="128"/>
        <v>0</v>
      </c>
      <c r="AX292" s="1092">
        <f t="shared" si="129"/>
        <v>0</v>
      </c>
      <c r="AY292" s="2765">
        <f t="shared" si="130"/>
        <v>0</v>
      </c>
      <c r="AZ292" s="2720">
        <f t="shared" si="131"/>
        <v>0</v>
      </c>
      <c r="BA292" s="2720">
        <f t="shared" si="132"/>
        <v>0</v>
      </c>
      <c r="BB292" s="2720">
        <f t="shared" si="133"/>
        <v>0</v>
      </c>
      <c r="BC292" s="2720">
        <f t="shared" si="134"/>
        <v>0</v>
      </c>
      <c r="BD292" s="2720">
        <f t="shared" si="135"/>
        <v>0</v>
      </c>
      <c r="BE292" s="2720">
        <f t="shared" si="136"/>
        <v>0</v>
      </c>
      <c r="BF292" s="2720">
        <f t="shared" si="137"/>
        <v>0</v>
      </c>
      <c r="BG292" s="2720">
        <f t="shared" si="138"/>
        <v>0</v>
      </c>
      <c r="BH292" s="2720">
        <f t="shared" si="139"/>
        <v>0</v>
      </c>
      <c r="BI292" s="2720">
        <f t="shared" si="140"/>
        <v>0</v>
      </c>
      <c r="BJ292" s="2720">
        <f t="shared" si="141"/>
        <v>0</v>
      </c>
      <c r="BK292" s="2720">
        <f t="shared" si="142"/>
        <v>0</v>
      </c>
      <c r="BL292" s="2720">
        <f t="shared" si="143"/>
        <v>0</v>
      </c>
      <c r="BM292" s="2720">
        <f t="shared" si="144"/>
        <v>0</v>
      </c>
      <c r="BN292" s="2720">
        <f t="shared" si="145"/>
        <v>0</v>
      </c>
      <c r="BO292" s="2720">
        <f t="shared" si="146"/>
        <v>0</v>
      </c>
      <c r="BP292" s="2720">
        <f t="shared" si="147"/>
        <v>0</v>
      </c>
      <c r="BQ292" s="2720">
        <f t="shared" si="148"/>
        <v>0</v>
      </c>
      <c r="BR292" s="2720">
        <f t="shared" si="149"/>
        <v>0</v>
      </c>
      <c r="BS292" s="2720">
        <f t="shared" si="150"/>
        <v>0</v>
      </c>
      <c r="BT292" s="2772">
        <f t="shared" si="151"/>
        <v>0</v>
      </c>
    </row>
    <row r="293" spans="1:72">
      <c r="A293" s="2717"/>
      <c r="B293" s="2718"/>
      <c r="C293" s="2718"/>
      <c r="D293" s="2719"/>
      <c r="E293" s="2720">
        <f t="shared" si="123"/>
        <v>0</v>
      </c>
      <c r="F293" s="2721"/>
      <c r="G293" s="2722">
        <f t="shared" si="124"/>
        <v>0</v>
      </c>
      <c r="H293" s="2723">
        <f t="shared" si="125"/>
        <v>0</v>
      </c>
      <c r="I293" s="2730"/>
      <c r="J293" s="2730"/>
      <c r="K293" s="2730"/>
      <c r="L293" s="2730"/>
      <c r="M293" s="2730"/>
      <c r="N293" s="2730"/>
      <c r="O293" s="2730"/>
      <c r="P293" s="2730"/>
      <c r="Q293" s="2730"/>
      <c r="R293" s="2730"/>
      <c r="S293" s="2730"/>
      <c r="T293" s="2730"/>
      <c r="U293" s="2730"/>
      <c r="V293" s="2730"/>
      <c r="W293" s="2730"/>
      <c r="X293" s="2730"/>
      <c r="Y293" s="2730"/>
      <c r="Z293" s="2730"/>
      <c r="AA293" s="2730"/>
      <c r="AB293" s="2730"/>
      <c r="AC293" s="2720">
        <f t="shared" si="126"/>
        <v>0</v>
      </c>
      <c r="AD293" s="2740"/>
      <c r="AE293" s="2740"/>
      <c r="AF293" s="2740"/>
      <c r="AG293" s="2740"/>
      <c r="AH293" s="2740"/>
      <c r="AI293" s="2740"/>
      <c r="AJ293" s="2740"/>
      <c r="AK293" s="2740"/>
      <c r="AL293" s="2740"/>
      <c r="AM293" s="2740"/>
      <c r="AN293" s="2740"/>
      <c r="AO293" s="2740"/>
      <c r="AP293" s="2740"/>
      <c r="AQ293" s="2740"/>
      <c r="AR293" s="2740"/>
      <c r="AS293" s="2740"/>
      <c r="AT293" s="2750"/>
      <c r="AU293" s="2751"/>
      <c r="AV293" s="1092">
        <f t="shared" si="127"/>
        <v>0</v>
      </c>
      <c r="AW293" s="1092">
        <f t="shared" si="128"/>
        <v>0</v>
      </c>
      <c r="AX293" s="1092">
        <f t="shared" si="129"/>
        <v>0</v>
      </c>
      <c r="AY293" s="2765">
        <f t="shared" si="130"/>
        <v>0</v>
      </c>
      <c r="AZ293" s="2720">
        <f t="shared" si="131"/>
        <v>0</v>
      </c>
      <c r="BA293" s="2720">
        <f t="shared" si="132"/>
        <v>0</v>
      </c>
      <c r="BB293" s="2720">
        <f t="shared" si="133"/>
        <v>0</v>
      </c>
      <c r="BC293" s="2720">
        <f t="shared" si="134"/>
        <v>0</v>
      </c>
      <c r="BD293" s="2720">
        <f t="shared" si="135"/>
        <v>0</v>
      </c>
      <c r="BE293" s="2720">
        <f t="shared" si="136"/>
        <v>0</v>
      </c>
      <c r="BF293" s="2720">
        <f t="shared" si="137"/>
        <v>0</v>
      </c>
      <c r="BG293" s="2720">
        <f t="shared" si="138"/>
        <v>0</v>
      </c>
      <c r="BH293" s="2720">
        <f t="shared" si="139"/>
        <v>0</v>
      </c>
      <c r="BI293" s="2720">
        <f t="shared" si="140"/>
        <v>0</v>
      </c>
      <c r="BJ293" s="2720">
        <f t="shared" si="141"/>
        <v>0</v>
      </c>
      <c r="BK293" s="2720">
        <f t="shared" si="142"/>
        <v>0</v>
      </c>
      <c r="BL293" s="2720">
        <f t="shared" si="143"/>
        <v>0</v>
      </c>
      <c r="BM293" s="2720">
        <f t="shared" si="144"/>
        <v>0</v>
      </c>
      <c r="BN293" s="2720">
        <f t="shared" si="145"/>
        <v>0</v>
      </c>
      <c r="BO293" s="2720">
        <f t="shared" si="146"/>
        <v>0</v>
      </c>
      <c r="BP293" s="2720">
        <f t="shared" si="147"/>
        <v>0</v>
      </c>
      <c r="BQ293" s="2720">
        <f t="shared" si="148"/>
        <v>0</v>
      </c>
      <c r="BR293" s="2720">
        <f t="shared" si="149"/>
        <v>0</v>
      </c>
      <c r="BS293" s="2720">
        <f t="shared" si="150"/>
        <v>0</v>
      </c>
      <c r="BT293" s="2772">
        <f t="shared" si="151"/>
        <v>0</v>
      </c>
    </row>
    <row r="294" spans="1:72">
      <c r="A294" s="2717"/>
      <c r="B294" s="2718"/>
      <c r="C294" s="2718"/>
      <c r="D294" s="2719"/>
      <c r="E294" s="2720">
        <f t="shared" si="123"/>
        <v>0</v>
      </c>
      <c r="F294" s="2721"/>
      <c r="G294" s="2722">
        <f t="shared" si="124"/>
        <v>0</v>
      </c>
      <c r="H294" s="2723">
        <f t="shared" si="125"/>
        <v>0</v>
      </c>
      <c r="I294" s="2730"/>
      <c r="J294" s="2730"/>
      <c r="K294" s="2730"/>
      <c r="L294" s="2730"/>
      <c r="M294" s="2730"/>
      <c r="N294" s="2730"/>
      <c r="O294" s="2730"/>
      <c r="P294" s="2730"/>
      <c r="Q294" s="2730"/>
      <c r="R294" s="2730"/>
      <c r="S294" s="2730"/>
      <c r="T294" s="2730"/>
      <c r="U294" s="2730"/>
      <c r="V294" s="2730"/>
      <c r="W294" s="2730"/>
      <c r="X294" s="2730"/>
      <c r="Y294" s="2730"/>
      <c r="Z294" s="2730"/>
      <c r="AA294" s="2730"/>
      <c r="AB294" s="2730"/>
      <c r="AC294" s="2720">
        <f t="shared" si="126"/>
        <v>0</v>
      </c>
      <c r="AD294" s="2740"/>
      <c r="AE294" s="2740"/>
      <c r="AF294" s="2740"/>
      <c r="AG294" s="2740"/>
      <c r="AH294" s="2740"/>
      <c r="AI294" s="2740"/>
      <c r="AJ294" s="2740"/>
      <c r="AK294" s="2740"/>
      <c r="AL294" s="2740"/>
      <c r="AM294" s="2740"/>
      <c r="AN294" s="2740"/>
      <c r="AO294" s="2740"/>
      <c r="AP294" s="2740"/>
      <c r="AQ294" s="2740"/>
      <c r="AR294" s="2740"/>
      <c r="AS294" s="2740"/>
      <c r="AT294" s="2750"/>
      <c r="AU294" s="2751"/>
      <c r="AV294" s="1092">
        <f t="shared" si="127"/>
        <v>0</v>
      </c>
      <c r="AW294" s="1092">
        <f t="shared" si="128"/>
        <v>0</v>
      </c>
      <c r="AX294" s="1092">
        <f t="shared" si="129"/>
        <v>0</v>
      </c>
      <c r="AY294" s="2765">
        <f t="shared" si="130"/>
        <v>0</v>
      </c>
      <c r="AZ294" s="2720">
        <f t="shared" si="131"/>
        <v>0</v>
      </c>
      <c r="BA294" s="2720">
        <f t="shared" si="132"/>
        <v>0</v>
      </c>
      <c r="BB294" s="2720">
        <f t="shared" si="133"/>
        <v>0</v>
      </c>
      <c r="BC294" s="2720">
        <f t="shared" si="134"/>
        <v>0</v>
      </c>
      <c r="BD294" s="2720">
        <f t="shared" si="135"/>
        <v>0</v>
      </c>
      <c r="BE294" s="2720">
        <f t="shared" si="136"/>
        <v>0</v>
      </c>
      <c r="BF294" s="2720">
        <f t="shared" si="137"/>
        <v>0</v>
      </c>
      <c r="BG294" s="2720">
        <f t="shared" si="138"/>
        <v>0</v>
      </c>
      <c r="BH294" s="2720">
        <f t="shared" si="139"/>
        <v>0</v>
      </c>
      <c r="BI294" s="2720">
        <f t="shared" si="140"/>
        <v>0</v>
      </c>
      <c r="BJ294" s="2720">
        <f t="shared" si="141"/>
        <v>0</v>
      </c>
      <c r="BK294" s="2720">
        <f t="shared" si="142"/>
        <v>0</v>
      </c>
      <c r="BL294" s="2720">
        <f t="shared" si="143"/>
        <v>0</v>
      </c>
      <c r="BM294" s="2720">
        <f t="shared" si="144"/>
        <v>0</v>
      </c>
      <c r="BN294" s="2720">
        <f t="shared" si="145"/>
        <v>0</v>
      </c>
      <c r="BO294" s="2720">
        <f t="shared" si="146"/>
        <v>0</v>
      </c>
      <c r="BP294" s="2720">
        <f t="shared" si="147"/>
        <v>0</v>
      </c>
      <c r="BQ294" s="2720">
        <f t="shared" si="148"/>
        <v>0</v>
      </c>
      <c r="BR294" s="2720">
        <f t="shared" si="149"/>
        <v>0</v>
      </c>
      <c r="BS294" s="2720">
        <f t="shared" si="150"/>
        <v>0</v>
      </c>
      <c r="BT294" s="2772">
        <f t="shared" si="151"/>
        <v>0</v>
      </c>
    </row>
    <row r="295" spans="1:72">
      <c r="A295" s="2717"/>
      <c r="B295" s="2718"/>
      <c r="C295" s="2718"/>
      <c r="D295" s="2719"/>
      <c r="E295" s="2720">
        <f t="shared" si="123"/>
        <v>0</v>
      </c>
      <c r="F295" s="2721"/>
      <c r="G295" s="2722">
        <f t="shared" si="124"/>
        <v>0</v>
      </c>
      <c r="H295" s="2723">
        <f t="shared" si="125"/>
        <v>0</v>
      </c>
      <c r="I295" s="2730"/>
      <c r="J295" s="2730"/>
      <c r="K295" s="2730"/>
      <c r="L295" s="2730"/>
      <c r="M295" s="2730"/>
      <c r="N295" s="2730"/>
      <c r="O295" s="2730"/>
      <c r="P295" s="2730"/>
      <c r="Q295" s="2730"/>
      <c r="R295" s="2730"/>
      <c r="S295" s="2730"/>
      <c r="T295" s="2730"/>
      <c r="U295" s="2730"/>
      <c r="V295" s="2730"/>
      <c r="W295" s="2730"/>
      <c r="X295" s="2730"/>
      <c r="Y295" s="2730"/>
      <c r="Z295" s="2730"/>
      <c r="AA295" s="2730"/>
      <c r="AB295" s="2730"/>
      <c r="AC295" s="2720">
        <f t="shared" si="126"/>
        <v>0</v>
      </c>
      <c r="AD295" s="2740"/>
      <c r="AE295" s="2740"/>
      <c r="AF295" s="2740"/>
      <c r="AG295" s="2740"/>
      <c r="AH295" s="2740"/>
      <c r="AI295" s="2740"/>
      <c r="AJ295" s="2740"/>
      <c r="AK295" s="2740"/>
      <c r="AL295" s="2740"/>
      <c r="AM295" s="2740"/>
      <c r="AN295" s="2740"/>
      <c r="AO295" s="2740"/>
      <c r="AP295" s="2740"/>
      <c r="AQ295" s="2740"/>
      <c r="AR295" s="2740"/>
      <c r="AS295" s="2740"/>
      <c r="AT295" s="2750"/>
      <c r="AU295" s="2751"/>
      <c r="AV295" s="1092">
        <f t="shared" si="127"/>
        <v>0</v>
      </c>
      <c r="AW295" s="1092">
        <f t="shared" si="128"/>
        <v>0</v>
      </c>
      <c r="AX295" s="1092">
        <f t="shared" si="129"/>
        <v>0</v>
      </c>
      <c r="AY295" s="2765">
        <f t="shared" si="130"/>
        <v>0</v>
      </c>
      <c r="AZ295" s="2720">
        <f t="shared" si="131"/>
        <v>0</v>
      </c>
      <c r="BA295" s="2720">
        <f t="shared" si="132"/>
        <v>0</v>
      </c>
      <c r="BB295" s="2720">
        <f t="shared" si="133"/>
        <v>0</v>
      </c>
      <c r="BC295" s="2720">
        <f t="shared" si="134"/>
        <v>0</v>
      </c>
      <c r="BD295" s="2720">
        <f t="shared" si="135"/>
        <v>0</v>
      </c>
      <c r="BE295" s="2720">
        <f t="shared" si="136"/>
        <v>0</v>
      </c>
      <c r="BF295" s="2720">
        <f t="shared" si="137"/>
        <v>0</v>
      </c>
      <c r="BG295" s="2720">
        <f t="shared" si="138"/>
        <v>0</v>
      </c>
      <c r="BH295" s="2720">
        <f t="shared" si="139"/>
        <v>0</v>
      </c>
      <c r="BI295" s="2720">
        <f t="shared" si="140"/>
        <v>0</v>
      </c>
      <c r="BJ295" s="2720">
        <f t="shared" si="141"/>
        <v>0</v>
      </c>
      <c r="BK295" s="2720">
        <f t="shared" si="142"/>
        <v>0</v>
      </c>
      <c r="BL295" s="2720">
        <f t="shared" si="143"/>
        <v>0</v>
      </c>
      <c r="BM295" s="2720">
        <f t="shared" si="144"/>
        <v>0</v>
      </c>
      <c r="BN295" s="2720">
        <f t="shared" si="145"/>
        <v>0</v>
      </c>
      <c r="BO295" s="2720">
        <f t="shared" si="146"/>
        <v>0</v>
      </c>
      <c r="BP295" s="2720">
        <f t="shared" si="147"/>
        <v>0</v>
      </c>
      <c r="BQ295" s="2720">
        <f t="shared" si="148"/>
        <v>0</v>
      </c>
      <c r="BR295" s="2720">
        <f t="shared" si="149"/>
        <v>0</v>
      </c>
      <c r="BS295" s="2720">
        <f t="shared" si="150"/>
        <v>0</v>
      </c>
      <c r="BT295" s="2772">
        <f t="shared" si="151"/>
        <v>0</v>
      </c>
    </row>
    <row r="296" spans="1:72">
      <c r="A296" s="2717"/>
      <c r="B296" s="2718"/>
      <c r="C296" s="2718"/>
      <c r="D296" s="2719"/>
      <c r="E296" s="2720">
        <f t="shared" si="123"/>
        <v>0</v>
      </c>
      <c r="F296" s="2721"/>
      <c r="G296" s="2722">
        <f t="shared" si="124"/>
        <v>0</v>
      </c>
      <c r="H296" s="2723">
        <f t="shared" si="125"/>
        <v>0</v>
      </c>
      <c r="I296" s="2730"/>
      <c r="J296" s="2730"/>
      <c r="K296" s="2730"/>
      <c r="L296" s="2730"/>
      <c r="M296" s="2730"/>
      <c r="N296" s="2730"/>
      <c r="O296" s="2730"/>
      <c r="P296" s="2730"/>
      <c r="Q296" s="2730"/>
      <c r="R296" s="2730"/>
      <c r="S296" s="2730"/>
      <c r="T296" s="2730"/>
      <c r="U296" s="2730"/>
      <c r="V296" s="2730"/>
      <c r="W296" s="2730"/>
      <c r="X296" s="2730"/>
      <c r="Y296" s="2730"/>
      <c r="Z296" s="2730"/>
      <c r="AA296" s="2730"/>
      <c r="AB296" s="2730"/>
      <c r="AC296" s="2720">
        <f t="shared" si="126"/>
        <v>0</v>
      </c>
      <c r="AD296" s="2740"/>
      <c r="AE296" s="2740"/>
      <c r="AF296" s="2740"/>
      <c r="AG296" s="2740"/>
      <c r="AH296" s="2740"/>
      <c r="AI296" s="2740"/>
      <c r="AJ296" s="2740"/>
      <c r="AK296" s="2740"/>
      <c r="AL296" s="2740"/>
      <c r="AM296" s="2740"/>
      <c r="AN296" s="2740"/>
      <c r="AO296" s="2740"/>
      <c r="AP296" s="2740"/>
      <c r="AQ296" s="2740"/>
      <c r="AR296" s="2740"/>
      <c r="AS296" s="2740"/>
      <c r="AT296" s="2750"/>
      <c r="AU296" s="2751"/>
      <c r="AV296" s="1092">
        <f t="shared" si="127"/>
        <v>0</v>
      </c>
      <c r="AW296" s="1092">
        <f t="shared" si="128"/>
        <v>0</v>
      </c>
      <c r="AX296" s="1092">
        <f t="shared" si="129"/>
        <v>0</v>
      </c>
      <c r="AY296" s="2765">
        <f t="shared" si="130"/>
        <v>0</v>
      </c>
      <c r="AZ296" s="2720">
        <f t="shared" si="131"/>
        <v>0</v>
      </c>
      <c r="BA296" s="2720">
        <f t="shared" si="132"/>
        <v>0</v>
      </c>
      <c r="BB296" s="2720">
        <f t="shared" si="133"/>
        <v>0</v>
      </c>
      <c r="BC296" s="2720">
        <f t="shared" si="134"/>
        <v>0</v>
      </c>
      <c r="BD296" s="2720">
        <f t="shared" si="135"/>
        <v>0</v>
      </c>
      <c r="BE296" s="2720">
        <f t="shared" si="136"/>
        <v>0</v>
      </c>
      <c r="BF296" s="2720">
        <f t="shared" si="137"/>
        <v>0</v>
      </c>
      <c r="BG296" s="2720">
        <f t="shared" si="138"/>
        <v>0</v>
      </c>
      <c r="BH296" s="2720">
        <f t="shared" si="139"/>
        <v>0</v>
      </c>
      <c r="BI296" s="2720">
        <f t="shared" si="140"/>
        <v>0</v>
      </c>
      <c r="BJ296" s="2720">
        <f t="shared" si="141"/>
        <v>0</v>
      </c>
      <c r="BK296" s="2720">
        <f t="shared" si="142"/>
        <v>0</v>
      </c>
      <c r="BL296" s="2720">
        <f t="shared" si="143"/>
        <v>0</v>
      </c>
      <c r="BM296" s="2720">
        <f t="shared" si="144"/>
        <v>0</v>
      </c>
      <c r="BN296" s="2720">
        <f t="shared" si="145"/>
        <v>0</v>
      </c>
      <c r="BO296" s="2720">
        <f t="shared" si="146"/>
        <v>0</v>
      </c>
      <c r="BP296" s="2720">
        <f t="shared" si="147"/>
        <v>0</v>
      </c>
      <c r="BQ296" s="2720">
        <f t="shared" si="148"/>
        <v>0</v>
      </c>
      <c r="BR296" s="2720">
        <f t="shared" si="149"/>
        <v>0</v>
      </c>
      <c r="BS296" s="2720">
        <f t="shared" si="150"/>
        <v>0</v>
      </c>
      <c r="BT296" s="2772">
        <f t="shared" si="151"/>
        <v>0</v>
      </c>
    </row>
    <row r="297" spans="1:72">
      <c r="A297" s="2717"/>
      <c r="B297" s="2718"/>
      <c r="C297" s="2718"/>
      <c r="D297" s="2719"/>
      <c r="E297" s="2720">
        <f t="shared" si="123"/>
        <v>0</v>
      </c>
      <c r="F297" s="2721"/>
      <c r="G297" s="2722">
        <f t="shared" si="124"/>
        <v>0</v>
      </c>
      <c r="H297" s="2723">
        <f t="shared" si="125"/>
        <v>0</v>
      </c>
      <c r="I297" s="2730"/>
      <c r="J297" s="2730"/>
      <c r="K297" s="2730"/>
      <c r="L297" s="2730"/>
      <c r="M297" s="2730"/>
      <c r="N297" s="2730"/>
      <c r="O297" s="2730"/>
      <c r="P297" s="2730"/>
      <c r="Q297" s="2730"/>
      <c r="R297" s="2730"/>
      <c r="S297" s="2730"/>
      <c r="T297" s="2730"/>
      <c r="U297" s="2730"/>
      <c r="V297" s="2730"/>
      <c r="W297" s="2730"/>
      <c r="X297" s="2730"/>
      <c r="Y297" s="2730"/>
      <c r="Z297" s="2730"/>
      <c r="AA297" s="2730"/>
      <c r="AB297" s="2730"/>
      <c r="AC297" s="2720">
        <f t="shared" si="126"/>
        <v>0</v>
      </c>
      <c r="AD297" s="2740"/>
      <c r="AE297" s="2740"/>
      <c r="AF297" s="2740"/>
      <c r="AG297" s="2740"/>
      <c r="AH297" s="2740"/>
      <c r="AI297" s="2740"/>
      <c r="AJ297" s="2740"/>
      <c r="AK297" s="2740"/>
      <c r="AL297" s="2740"/>
      <c r="AM297" s="2740"/>
      <c r="AN297" s="2740"/>
      <c r="AO297" s="2740"/>
      <c r="AP297" s="2740"/>
      <c r="AQ297" s="2740"/>
      <c r="AR297" s="2740"/>
      <c r="AS297" s="2740"/>
      <c r="AT297" s="2750"/>
      <c r="AU297" s="2751"/>
      <c r="AV297" s="1092">
        <f t="shared" si="127"/>
        <v>0</v>
      </c>
      <c r="AW297" s="1092">
        <f t="shared" si="128"/>
        <v>0</v>
      </c>
      <c r="AX297" s="1092">
        <f t="shared" si="129"/>
        <v>0</v>
      </c>
      <c r="AY297" s="2765">
        <f t="shared" si="130"/>
        <v>0</v>
      </c>
      <c r="AZ297" s="2720">
        <f t="shared" si="131"/>
        <v>0</v>
      </c>
      <c r="BA297" s="2720">
        <f t="shared" si="132"/>
        <v>0</v>
      </c>
      <c r="BB297" s="2720">
        <f t="shared" si="133"/>
        <v>0</v>
      </c>
      <c r="BC297" s="2720">
        <f t="shared" si="134"/>
        <v>0</v>
      </c>
      <c r="BD297" s="2720">
        <f t="shared" si="135"/>
        <v>0</v>
      </c>
      <c r="BE297" s="2720">
        <f t="shared" si="136"/>
        <v>0</v>
      </c>
      <c r="BF297" s="2720">
        <f t="shared" si="137"/>
        <v>0</v>
      </c>
      <c r="BG297" s="2720">
        <f t="shared" si="138"/>
        <v>0</v>
      </c>
      <c r="BH297" s="2720">
        <f t="shared" si="139"/>
        <v>0</v>
      </c>
      <c r="BI297" s="2720">
        <f t="shared" si="140"/>
        <v>0</v>
      </c>
      <c r="BJ297" s="2720">
        <f t="shared" si="141"/>
        <v>0</v>
      </c>
      <c r="BK297" s="2720">
        <f t="shared" si="142"/>
        <v>0</v>
      </c>
      <c r="BL297" s="2720">
        <f t="shared" si="143"/>
        <v>0</v>
      </c>
      <c r="BM297" s="2720">
        <f t="shared" si="144"/>
        <v>0</v>
      </c>
      <c r="BN297" s="2720">
        <f t="shared" si="145"/>
        <v>0</v>
      </c>
      <c r="BO297" s="2720">
        <f t="shared" si="146"/>
        <v>0</v>
      </c>
      <c r="BP297" s="2720">
        <f t="shared" si="147"/>
        <v>0</v>
      </c>
      <c r="BQ297" s="2720">
        <f t="shared" si="148"/>
        <v>0</v>
      </c>
      <c r="BR297" s="2720">
        <f t="shared" si="149"/>
        <v>0</v>
      </c>
      <c r="BS297" s="2720">
        <f t="shared" si="150"/>
        <v>0</v>
      </c>
      <c r="BT297" s="2772">
        <f t="shared" si="151"/>
        <v>0</v>
      </c>
    </row>
    <row r="298" spans="1:72">
      <c r="A298" s="2717"/>
      <c r="B298" s="2718"/>
      <c r="C298" s="2718"/>
      <c r="D298" s="2719"/>
      <c r="E298" s="2720">
        <f t="shared" si="123"/>
        <v>0</v>
      </c>
      <c r="F298" s="2721"/>
      <c r="G298" s="2722">
        <f t="shared" si="124"/>
        <v>0</v>
      </c>
      <c r="H298" s="2723">
        <f t="shared" si="125"/>
        <v>0</v>
      </c>
      <c r="I298" s="2730"/>
      <c r="J298" s="2730"/>
      <c r="K298" s="2730"/>
      <c r="L298" s="2730"/>
      <c r="M298" s="2730"/>
      <c r="N298" s="2730"/>
      <c r="O298" s="2730"/>
      <c r="P298" s="2730"/>
      <c r="Q298" s="2730"/>
      <c r="R298" s="2730"/>
      <c r="S298" s="2730"/>
      <c r="T298" s="2730"/>
      <c r="U298" s="2730"/>
      <c r="V298" s="2730"/>
      <c r="W298" s="2730"/>
      <c r="X298" s="2730"/>
      <c r="Y298" s="2730"/>
      <c r="Z298" s="2730"/>
      <c r="AA298" s="2730"/>
      <c r="AB298" s="2730"/>
      <c r="AC298" s="2720">
        <f t="shared" si="126"/>
        <v>0</v>
      </c>
      <c r="AD298" s="2740"/>
      <c r="AE298" s="2740"/>
      <c r="AF298" s="2740"/>
      <c r="AG298" s="2740"/>
      <c r="AH298" s="2740"/>
      <c r="AI298" s="2740"/>
      <c r="AJ298" s="2740"/>
      <c r="AK298" s="2740"/>
      <c r="AL298" s="2740"/>
      <c r="AM298" s="2740"/>
      <c r="AN298" s="2740"/>
      <c r="AO298" s="2740"/>
      <c r="AP298" s="2740"/>
      <c r="AQ298" s="2740"/>
      <c r="AR298" s="2740"/>
      <c r="AS298" s="2740"/>
      <c r="AT298" s="2750"/>
      <c r="AU298" s="2751"/>
      <c r="AV298" s="1092">
        <f t="shared" si="127"/>
        <v>0</v>
      </c>
      <c r="AW298" s="1092">
        <f t="shared" si="128"/>
        <v>0</v>
      </c>
      <c r="AX298" s="1092">
        <f t="shared" si="129"/>
        <v>0</v>
      </c>
      <c r="AY298" s="2765">
        <f t="shared" si="130"/>
        <v>0</v>
      </c>
      <c r="AZ298" s="2720">
        <f t="shared" si="131"/>
        <v>0</v>
      </c>
      <c r="BA298" s="2720">
        <f t="shared" si="132"/>
        <v>0</v>
      </c>
      <c r="BB298" s="2720">
        <f t="shared" si="133"/>
        <v>0</v>
      </c>
      <c r="BC298" s="2720">
        <f t="shared" si="134"/>
        <v>0</v>
      </c>
      <c r="BD298" s="2720">
        <f t="shared" si="135"/>
        <v>0</v>
      </c>
      <c r="BE298" s="2720">
        <f t="shared" si="136"/>
        <v>0</v>
      </c>
      <c r="BF298" s="2720">
        <f t="shared" si="137"/>
        <v>0</v>
      </c>
      <c r="BG298" s="2720">
        <f t="shared" si="138"/>
        <v>0</v>
      </c>
      <c r="BH298" s="2720">
        <f t="shared" si="139"/>
        <v>0</v>
      </c>
      <c r="BI298" s="2720">
        <f t="shared" si="140"/>
        <v>0</v>
      </c>
      <c r="BJ298" s="2720">
        <f t="shared" si="141"/>
        <v>0</v>
      </c>
      <c r="BK298" s="2720">
        <f t="shared" si="142"/>
        <v>0</v>
      </c>
      <c r="BL298" s="2720">
        <f t="shared" si="143"/>
        <v>0</v>
      </c>
      <c r="BM298" s="2720">
        <f t="shared" si="144"/>
        <v>0</v>
      </c>
      <c r="BN298" s="2720">
        <f t="shared" si="145"/>
        <v>0</v>
      </c>
      <c r="BO298" s="2720">
        <f t="shared" si="146"/>
        <v>0</v>
      </c>
      <c r="BP298" s="2720">
        <f t="shared" si="147"/>
        <v>0</v>
      </c>
      <c r="BQ298" s="2720">
        <f t="shared" si="148"/>
        <v>0</v>
      </c>
      <c r="BR298" s="2720">
        <f t="shared" si="149"/>
        <v>0</v>
      </c>
      <c r="BS298" s="2720">
        <f t="shared" si="150"/>
        <v>0</v>
      </c>
      <c r="BT298" s="2772">
        <f t="shared" si="151"/>
        <v>0</v>
      </c>
    </row>
    <row r="299" spans="1:72">
      <c r="A299" s="2717"/>
      <c r="B299" s="2718"/>
      <c r="C299" s="2718"/>
      <c r="D299" s="2719"/>
      <c r="E299" s="2720">
        <f t="shared" si="123"/>
        <v>0</v>
      </c>
      <c r="F299" s="2721"/>
      <c r="G299" s="2722">
        <f t="shared" si="124"/>
        <v>0</v>
      </c>
      <c r="H299" s="2723">
        <f t="shared" si="125"/>
        <v>0</v>
      </c>
      <c r="I299" s="2730"/>
      <c r="J299" s="2730"/>
      <c r="K299" s="2730"/>
      <c r="L299" s="2730"/>
      <c r="M299" s="2730"/>
      <c r="N299" s="2730"/>
      <c r="O299" s="2730"/>
      <c r="P299" s="2730"/>
      <c r="Q299" s="2730"/>
      <c r="R299" s="2730"/>
      <c r="S299" s="2730"/>
      <c r="T299" s="2730"/>
      <c r="U299" s="2730"/>
      <c r="V299" s="2730"/>
      <c r="W299" s="2730"/>
      <c r="X299" s="2730"/>
      <c r="Y299" s="2730"/>
      <c r="Z299" s="2730"/>
      <c r="AA299" s="2730"/>
      <c r="AB299" s="2730"/>
      <c r="AC299" s="2720">
        <f t="shared" si="126"/>
        <v>0</v>
      </c>
      <c r="AD299" s="2740"/>
      <c r="AE299" s="2740"/>
      <c r="AF299" s="2740"/>
      <c r="AG299" s="2740"/>
      <c r="AH299" s="2740"/>
      <c r="AI299" s="2740"/>
      <c r="AJ299" s="2740"/>
      <c r="AK299" s="2740"/>
      <c r="AL299" s="2740"/>
      <c r="AM299" s="2740"/>
      <c r="AN299" s="2740"/>
      <c r="AO299" s="2740"/>
      <c r="AP299" s="2740"/>
      <c r="AQ299" s="2740"/>
      <c r="AR299" s="2740"/>
      <c r="AS299" s="2740"/>
      <c r="AT299" s="2750"/>
      <c r="AU299" s="2751"/>
      <c r="AV299" s="1092">
        <f t="shared" si="127"/>
        <v>0</v>
      </c>
      <c r="AW299" s="1092">
        <f t="shared" si="128"/>
        <v>0</v>
      </c>
      <c r="AX299" s="1092">
        <f t="shared" si="129"/>
        <v>0</v>
      </c>
      <c r="AY299" s="2765">
        <f t="shared" si="130"/>
        <v>0</v>
      </c>
      <c r="AZ299" s="2720">
        <f t="shared" si="131"/>
        <v>0</v>
      </c>
      <c r="BA299" s="2720">
        <f t="shared" si="132"/>
        <v>0</v>
      </c>
      <c r="BB299" s="2720">
        <f t="shared" si="133"/>
        <v>0</v>
      </c>
      <c r="BC299" s="2720">
        <f t="shared" si="134"/>
        <v>0</v>
      </c>
      <c r="BD299" s="2720">
        <f t="shared" si="135"/>
        <v>0</v>
      </c>
      <c r="BE299" s="2720">
        <f t="shared" si="136"/>
        <v>0</v>
      </c>
      <c r="BF299" s="2720">
        <f t="shared" si="137"/>
        <v>0</v>
      </c>
      <c r="BG299" s="2720">
        <f t="shared" si="138"/>
        <v>0</v>
      </c>
      <c r="BH299" s="2720">
        <f t="shared" si="139"/>
        <v>0</v>
      </c>
      <c r="BI299" s="2720">
        <f t="shared" si="140"/>
        <v>0</v>
      </c>
      <c r="BJ299" s="2720">
        <f t="shared" si="141"/>
        <v>0</v>
      </c>
      <c r="BK299" s="2720">
        <f t="shared" si="142"/>
        <v>0</v>
      </c>
      <c r="BL299" s="2720">
        <f t="shared" si="143"/>
        <v>0</v>
      </c>
      <c r="BM299" s="2720">
        <f t="shared" si="144"/>
        <v>0</v>
      </c>
      <c r="BN299" s="2720">
        <f t="shared" si="145"/>
        <v>0</v>
      </c>
      <c r="BO299" s="2720">
        <f t="shared" si="146"/>
        <v>0</v>
      </c>
      <c r="BP299" s="2720">
        <f t="shared" si="147"/>
        <v>0</v>
      </c>
      <c r="BQ299" s="2720">
        <f t="shared" si="148"/>
        <v>0</v>
      </c>
      <c r="BR299" s="2720">
        <f t="shared" si="149"/>
        <v>0</v>
      </c>
      <c r="BS299" s="2720">
        <f t="shared" si="150"/>
        <v>0</v>
      </c>
      <c r="BT299" s="2772">
        <f t="shared" si="151"/>
        <v>0</v>
      </c>
    </row>
    <row r="300" spans="1:72">
      <c r="A300" s="2717"/>
      <c r="B300" s="2717"/>
      <c r="C300" s="2717"/>
      <c r="D300" s="2719"/>
      <c r="E300" s="2720">
        <f t="shared" si="123"/>
        <v>0</v>
      </c>
      <c r="F300" s="2773"/>
      <c r="G300" s="2722">
        <f t="shared" ref="G300:G331" si="152">H300+AC300+AT300</f>
        <v>0</v>
      </c>
      <c r="H300" s="2723">
        <f t="shared" ref="H300:H331" si="153">SUMIF(I$12:AB$12,"总值",I300:AB300)</f>
        <v>0</v>
      </c>
      <c r="I300" s="2774"/>
      <c r="J300" s="2774"/>
      <c r="K300" s="2730"/>
      <c r="L300" s="2730"/>
      <c r="M300" s="2730"/>
      <c r="N300" s="2730"/>
      <c r="O300" s="2730"/>
      <c r="P300" s="2730"/>
      <c r="Q300" s="2730"/>
      <c r="R300" s="2730"/>
      <c r="S300" s="2730"/>
      <c r="T300" s="2730"/>
      <c r="U300" s="2730"/>
      <c r="V300" s="2730"/>
      <c r="W300" s="2730"/>
      <c r="X300" s="2730"/>
      <c r="Y300" s="2730"/>
      <c r="Z300" s="2730"/>
      <c r="AA300" s="2730"/>
      <c r="AB300" s="2730"/>
      <c r="AC300" s="2720">
        <f t="shared" ref="AC300:AC331" si="154">SUMIF(AD$12:AS$12,"总值",AD300:AS300)</f>
        <v>0</v>
      </c>
      <c r="AD300" s="2740"/>
      <c r="AE300" s="2740"/>
      <c r="AF300" s="2740"/>
      <c r="AG300" s="2740"/>
      <c r="AH300" s="2740"/>
      <c r="AI300" s="2740"/>
      <c r="AJ300" s="2740"/>
      <c r="AK300" s="2740"/>
      <c r="AL300" s="2740"/>
      <c r="AM300" s="2740"/>
      <c r="AN300" s="2740"/>
      <c r="AO300" s="2740"/>
      <c r="AP300" s="2740"/>
      <c r="AQ300" s="2740"/>
      <c r="AR300" s="2740"/>
      <c r="AS300" s="2740"/>
      <c r="AT300" s="2740"/>
      <c r="AU300" s="2775"/>
      <c r="AV300" s="1092">
        <f t="shared" si="127"/>
        <v>0</v>
      </c>
      <c r="AW300" s="1092">
        <f t="shared" si="128"/>
        <v>0</v>
      </c>
      <c r="AX300" s="1092">
        <f t="shared" si="129"/>
        <v>0</v>
      </c>
      <c r="AY300" s="2765">
        <f t="shared" ref="AY300:AY331" si="155">ROUND($AY$6*AZ300/$AZ$5,2)</f>
        <v>0</v>
      </c>
      <c r="AZ300" s="2720">
        <f t="shared" ref="AZ300:AZ331" si="156">BA300+BL300</f>
        <v>0</v>
      </c>
      <c r="BA300" s="2720">
        <f t="shared" ref="BA300:BA331" si="157">SUM(BB300:BK300)</f>
        <v>0</v>
      </c>
      <c r="BB300" s="2720">
        <f t="shared" ref="BB300:BB331" si="158">IF($D300="是",I300-J300,0)</f>
        <v>0</v>
      </c>
      <c r="BC300" s="2720">
        <f t="shared" ref="BC300:BC331" si="159">IF($D300="是",K300-L300,0)</f>
        <v>0</v>
      </c>
      <c r="BD300" s="2720">
        <f t="shared" ref="BD300:BD331" si="160">IF($D300="是",M300-N300,0)</f>
        <v>0</v>
      </c>
      <c r="BE300" s="2720">
        <f t="shared" ref="BE300:BE331" si="161">IF($D300="是",O300-P300,0)</f>
        <v>0</v>
      </c>
      <c r="BF300" s="2720">
        <f t="shared" ref="BF300:BF331" si="162">IF($D300="是",Q300-R300,0)</f>
        <v>0</v>
      </c>
      <c r="BG300" s="2720">
        <f t="shared" ref="BG300:BG331" si="163">IF($D300="是",S300-T300,0)</f>
        <v>0</v>
      </c>
      <c r="BH300" s="2720">
        <f t="shared" ref="BH300:BH331" si="164">IF($D300="是",U300-V300,0)</f>
        <v>0</v>
      </c>
      <c r="BI300" s="2720">
        <f t="shared" ref="BI300:BI331" si="165">IF($D300="是",W300-X300,0)</f>
        <v>0</v>
      </c>
      <c r="BJ300" s="2720">
        <f t="shared" ref="BJ300:BJ331" si="166">IF($D300="是",Y300-Z300,0)</f>
        <v>0</v>
      </c>
      <c r="BK300" s="2720">
        <f t="shared" ref="BK300:BK331" si="167">IF($D300="是",AA300-AB300,0)</f>
        <v>0</v>
      </c>
      <c r="BL300" s="2720">
        <f t="shared" ref="BL300:BL331" si="168">SUM(BM300:BT300)</f>
        <v>0</v>
      </c>
      <c r="BM300" s="2720">
        <f t="shared" ref="BM300:BM331" si="169">IF($D300="是",AD300-AE300,0)</f>
        <v>0</v>
      </c>
      <c r="BN300" s="2720">
        <f t="shared" ref="BN300:BN331" si="170">IF($D300="是",AF300-AG300,0)</f>
        <v>0</v>
      </c>
      <c r="BO300" s="2720">
        <f t="shared" ref="BO300:BO331" si="171">IF($D300="是",AH300-AI300,0)</f>
        <v>0</v>
      </c>
      <c r="BP300" s="2720">
        <f t="shared" ref="BP300:BP331" si="172">IF($D300="是",AJ300-AK300,0)</f>
        <v>0</v>
      </c>
      <c r="BQ300" s="2720">
        <f t="shared" ref="BQ300:BQ331" si="173">IF($D300="是",AL300-AM300,0)</f>
        <v>0</v>
      </c>
      <c r="BR300" s="2720">
        <f t="shared" ref="BR300:BR331" si="174">IF($D300="是",AN300-AO300,0)</f>
        <v>0</v>
      </c>
      <c r="BS300" s="2720">
        <f t="shared" ref="BS300:BS331" si="175">IF($D300="是",AP300-AQ300,0)</f>
        <v>0</v>
      </c>
      <c r="BT300" s="2772">
        <f t="shared" ref="BT300:BT331" si="176">IF($D300="是",AR300-AS300,0)</f>
        <v>0</v>
      </c>
    </row>
    <row r="301" spans="1:72">
      <c r="A301" s="2717"/>
      <c r="B301" s="2717"/>
      <c r="C301" s="2717"/>
      <c r="D301" s="2719"/>
      <c r="E301" s="2720">
        <f t="shared" si="123"/>
        <v>0</v>
      </c>
      <c r="F301" s="2773"/>
      <c r="G301" s="2722">
        <f t="shared" si="152"/>
        <v>0</v>
      </c>
      <c r="H301" s="2723">
        <f t="shared" si="153"/>
        <v>0</v>
      </c>
      <c r="I301" s="2730"/>
      <c r="J301" s="2730"/>
      <c r="K301" s="2730"/>
      <c r="L301" s="2730"/>
      <c r="M301" s="2730"/>
      <c r="N301" s="2730"/>
      <c r="O301" s="2730"/>
      <c r="P301" s="2730"/>
      <c r="Q301" s="2730"/>
      <c r="R301" s="2730"/>
      <c r="S301" s="2730"/>
      <c r="T301" s="2730"/>
      <c r="U301" s="2730"/>
      <c r="V301" s="2730"/>
      <c r="W301" s="2730"/>
      <c r="X301" s="2730"/>
      <c r="Y301" s="2730"/>
      <c r="Z301" s="2730"/>
      <c r="AA301" s="2730"/>
      <c r="AB301" s="2730"/>
      <c r="AC301" s="2720">
        <f t="shared" si="154"/>
        <v>0</v>
      </c>
      <c r="AD301" s="2740"/>
      <c r="AE301" s="2740"/>
      <c r="AF301" s="2740"/>
      <c r="AG301" s="2740"/>
      <c r="AH301" s="2740"/>
      <c r="AI301" s="2740"/>
      <c r="AJ301" s="2740"/>
      <c r="AK301" s="2740"/>
      <c r="AL301" s="2740"/>
      <c r="AM301" s="2740"/>
      <c r="AN301" s="2740"/>
      <c r="AO301" s="2740"/>
      <c r="AP301" s="2740"/>
      <c r="AQ301" s="2740"/>
      <c r="AR301" s="2740"/>
      <c r="AS301" s="2740"/>
      <c r="AT301" s="2740"/>
      <c r="AU301" s="2775"/>
      <c r="AV301" s="1092">
        <f t="shared" si="127"/>
        <v>0</v>
      </c>
      <c r="AW301" s="1092">
        <f t="shared" si="128"/>
        <v>0</v>
      </c>
      <c r="AX301" s="1092">
        <f t="shared" si="129"/>
        <v>0</v>
      </c>
      <c r="AY301" s="2765">
        <f t="shared" si="155"/>
        <v>0</v>
      </c>
      <c r="AZ301" s="2720">
        <f t="shared" si="156"/>
        <v>0</v>
      </c>
      <c r="BA301" s="2720">
        <f t="shared" si="157"/>
        <v>0</v>
      </c>
      <c r="BB301" s="2720">
        <f t="shared" si="158"/>
        <v>0</v>
      </c>
      <c r="BC301" s="2720">
        <f t="shared" si="159"/>
        <v>0</v>
      </c>
      <c r="BD301" s="2720">
        <f t="shared" si="160"/>
        <v>0</v>
      </c>
      <c r="BE301" s="2720">
        <f t="shared" si="161"/>
        <v>0</v>
      </c>
      <c r="BF301" s="2720">
        <f t="shared" si="162"/>
        <v>0</v>
      </c>
      <c r="BG301" s="2720">
        <f t="shared" si="163"/>
        <v>0</v>
      </c>
      <c r="BH301" s="2720">
        <f t="shared" si="164"/>
        <v>0</v>
      </c>
      <c r="BI301" s="2720">
        <f t="shared" si="165"/>
        <v>0</v>
      </c>
      <c r="BJ301" s="2720">
        <f t="shared" si="166"/>
        <v>0</v>
      </c>
      <c r="BK301" s="2720">
        <f t="shared" si="167"/>
        <v>0</v>
      </c>
      <c r="BL301" s="2720">
        <f t="shared" si="168"/>
        <v>0</v>
      </c>
      <c r="BM301" s="2720">
        <f t="shared" si="169"/>
        <v>0</v>
      </c>
      <c r="BN301" s="2720">
        <f t="shared" si="170"/>
        <v>0</v>
      </c>
      <c r="BO301" s="2720">
        <f t="shared" si="171"/>
        <v>0</v>
      </c>
      <c r="BP301" s="2720">
        <f t="shared" si="172"/>
        <v>0</v>
      </c>
      <c r="BQ301" s="2720">
        <f t="shared" si="173"/>
        <v>0</v>
      </c>
      <c r="BR301" s="2720">
        <f t="shared" si="174"/>
        <v>0</v>
      </c>
      <c r="BS301" s="2720">
        <f t="shared" si="175"/>
        <v>0</v>
      </c>
      <c r="BT301" s="2772">
        <f t="shared" si="176"/>
        <v>0</v>
      </c>
    </row>
    <row r="302" spans="1:72">
      <c r="A302" s="2717"/>
      <c r="B302" s="2717"/>
      <c r="C302" s="2717"/>
      <c r="D302" s="2719"/>
      <c r="E302" s="2720">
        <f t="shared" si="123"/>
        <v>0</v>
      </c>
      <c r="F302" s="2773"/>
      <c r="G302" s="2722">
        <f t="shared" si="152"/>
        <v>0</v>
      </c>
      <c r="H302" s="2723">
        <f t="shared" si="153"/>
        <v>0</v>
      </c>
      <c r="I302" s="2730"/>
      <c r="J302" s="2730"/>
      <c r="K302" s="2730"/>
      <c r="L302" s="2730"/>
      <c r="M302" s="2730"/>
      <c r="N302" s="2730"/>
      <c r="O302" s="2730"/>
      <c r="P302" s="2730"/>
      <c r="Q302" s="2730"/>
      <c r="R302" s="2730"/>
      <c r="S302" s="2730"/>
      <c r="T302" s="2730"/>
      <c r="U302" s="2730"/>
      <c r="V302" s="2730"/>
      <c r="W302" s="2730"/>
      <c r="X302" s="2730"/>
      <c r="Y302" s="2730"/>
      <c r="Z302" s="2730"/>
      <c r="AA302" s="2730"/>
      <c r="AB302" s="2730"/>
      <c r="AC302" s="2720">
        <f t="shared" si="154"/>
        <v>0</v>
      </c>
      <c r="AD302" s="2740"/>
      <c r="AE302" s="2740"/>
      <c r="AF302" s="2740"/>
      <c r="AG302" s="2740"/>
      <c r="AH302" s="2740"/>
      <c r="AI302" s="2740"/>
      <c r="AJ302" s="2740"/>
      <c r="AK302" s="2740"/>
      <c r="AL302" s="2740"/>
      <c r="AM302" s="2740"/>
      <c r="AN302" s="2740"/>
      <c r="AO302" s="2740"/>
      <c r="AP302" s="2740"/>
      <c r="AQ302" s="2740"/>
      <c r="AR302" s="2740"/>
      <c r="AS302" s="2740"/>
      <c r="AT302" s="2740"/>
      <c r="AU302" s="2775"/>
      <c r="AV302" s="1092">
        <f t="shared" si="127"/>
        <v>0</v>
      </c>
      <c r="AW302" s="1092">
        <f t="shared" si="128"/>
        <v>0</v>
      </c>
      <c r="AX302" s="1092">
        <f t="shared" si="129"/>
        <v>0</v>
      </c>
      <c r="AY302" s="2765">
        <f t="shared" si="155"/>
        <v>0</v>
      </c>
      <c r="AZ302" s="2720">
        <f t="shared" si="156"/>
        <v>0</v>
      </c>
      <c r="BA302" s="2720">
        <f t="shared" si="157"/>
        <v>0</v>
      </c>
      <c r="BB302" s="2720">
        <f t="shared" si="158"/>
        <v>0</v>
      </c>
      <c r="BC302" s="2720">
        <f t="shared" si="159"/>
        <v>0</v>
      </c>
      <c r="BD302" s="2720">
        <f t="shared" si="160"/>
        <v>0</v>
      </c>
      <c r="BE302" s="2720">
        <f t="shared" si="161"/>
        <v>0</v>
      </c>
      <c r="BF302" s="2720">
        <f t="shared" si="162"/>
        <v>0</v>
      </c>
      <c r="BG302" s="2720">
        <f t="shared" si="163"/>
        <v>0</v>
      </c>
      <c r="BH302" s="2720">
        <f t="shared" si="164"/>
        <v>0</v>
      </c>
      <c r="BI302" s="2720">
        <f t="shared" si="165"/>
        <v>0</v>
      </c>
      <c r="BJ302" s="2720">
        <f t="shared" si="166"/>
        <v>0</v>
      </c>
      <c r="BK302" s="2720">
        <f t="shared" si="167"/>
        <v>0</v>
      </c>
      <c r="BL302" s="2720">
        <f t="shared" si="168"/>
        <v>0</v>
      </c>
      <c r="BM302" s="2720">
        <f t="shared" si="169"/>
        <v>0</v>
      </c>
      <c r="BN302" s="2720">
        <f t="shared" si="170"/>
        <v>0</v>
      </c>
      <c r="BO302" s="2720">
        <f t="shared" si="171"/>
        <v>0</v>
      </c>
      <c r="BP302" s="2720">
        <f t="shared" si="172"/>
        <v>0</v>
      </c>
      <c r="BQ302" s="2720">
        <f t="shared" si="173"/>
        <v>0</v>
      </c>
      <c r="BR302" s="2720">
        <f t="shared" si="174"/>
        <v>0</v>
      </c>
      <c r="BS302" s="2720">
        <f t="shared" si="175"/>
        <v>0</v>
      </c>
      <c r="BT302" s="2772">
        <f t="shared" si="176"/>
        <v>0</v>
      </c>
    </row>
    <row r="303" spans="1:72">
      <c r="A303" s="2717"/>
      <c r="B303" s="2718"/>
      <c r="C303" s="2718"/>
      <c r="D303" s="2719"/>
      <c r="E303" s="2720">
        <f t="shared" ref="E303:E334" si="177">IF($C$3="是",ROUND($A$3*G303/$B$3,2),ROUND($A$3*(G303-AT303)/$B$3,2))</f>
        <v>0</v>
      </c>
      <c r="F303" s="2721"/>
      <c r="G303" s="2722">
        <f t="shared" si="152"/>
        <v>0</v>
      </c>
      <c r="H303" s="2723">
        <f t="shared" si="153"/>
        <v>0</v>
      </c>
      <c r="I303" s="2730"/>
      <c r="J303" s="2730"/>
      <c r="K303" s="2730"/>
      <c r="L303" s="2730"/>
      <c r="M303" s="2730"/>
      <c r="N303" s="2730"/>
      <c r="O303" s="2730"/>
      <c r="P303" s="2730"/>
      <c r="Q303" s="2730"/>
      <c r="R303" s="2730"/>
      <c r="S303" s="2730"/>
      <c r="T303" s="2730"/>
      <c r="U303" s="2730"/>
      <c r="V303" s="2730"/>
      <c r="W303" s="2730"/>
      <c r="X303" s="2730"/>
      <c r="Y303" s="2730"/>
      <c r="Z303" s="2730"/>
      <c r="AA303" s="2730"/>
      <c r="AB303" s="2730"/>
      <c r="AC303" s="2720">
        <f t="shared" si="154"/>
        <v>0</v>
      </c>
      <c r="AD303" s="2740"/>
      <c r="AE303" s="2740"/>
      <c r="AF303" s="2740"/>
      <c r="AG303" s="2740"/>
      <c r="AH303" s="2740"/>
      <c r="AI303" s="2740"/>
      <c r="AJ303" s="2740"/>
      <c r="AK303" s="2740"/>
      <c r="AL303" s="2740"/>
      <c r="AM303" s="2740"/>
      <c r="AN303" s="2740"/>
      <c r="AO303" s="2740"/>
      <c r="AP303" s="2740"/>
      <c r="AQ303" s="2740"/>
      <c r="AR303" s="2740"/>
      <c r="AS303" s="2740"/>
      <c r="AT303" s="2750"/>
      <c r="AU303" s="2751"/>
      <c r="AV303" s="1092">
        <f t="shared" ref="AV303:AV334" si="178">A303</f>
        <v>0</v>
      </c>
      <c r="AW303" s="1092">
        <f t="shared" ref="AW303:AW334" si="179">B303</f>
        <v>0</v>
      </c>
      <c r="AX303" s="1092">
        <f t="shared" ref="AX303:AX334" si="180">C303</f>
        <v>0</v>
      </c>
      <c r="AY303" s="2765">
        <f t="shared" si="155"/>
        <v>0</v>
      </c>
      <c r="AZ303" s="2720">
        <f t="shared" si="156"/>
        <v>0</v>
      </c>
      <c r="BA303" s="2720">
        <f t="shared" si="157"/>
        <v>0</v>
      </c>
      <c r="BB303" s="2720">
        <f t="shared" si="158"/>
        <v>0</v>
      </c>
      <c r="BC303" s="2720">
        <f t="shared" si="159"/>
        <v>0</v>
      </c>
      <c r="BD303" s="2720">
        <f t="shared" si="160"/>
        <v>0</v>
      </c>
      <c r="BE303" s="2720">
        <f t="shared" si="161"/>
        <v>0</v>
      </c>
      <c r="BF303" s="2720">
        <f t="shared" si="162"/>
        <v>0</v>
      </c>
      <c r="BG303" s="2720">
        <f t="shared" si="163"/>
        <v>0</v>
      </c>
      <c r="BH303" s="2720">
        <f t="shared" si="164"/>
        <v>0</v>
      </c>
      <c r="BI303" s="2720">
        <f t="shared" si="165"/>
        <v>0</v>
      </c>
      <c r="BJ303" s="2720">
        <f t="shared" si="166"/>
        <v>0</v>
      </c>
      <c r="BK303" s="2720">
        <f t="shared" si="167"/>
        <v>0</v>
      </c>
      <c r="BL303" s="2720">
        <f t="shared" si="168"/>
        <v>0</v>
      </c>
      <c r="BM303" s="2720">
        <f t="shared" si="169"/>
        <v>0</v>
      </c>
      <c r="BN303" s="2720">
        <f t="shared" si="170"/>
        <v>0</v>
      </c>
      <c r="BO303" s="2720">
        <f t="shared" si="171"/>
        <v>0</v>
      </c>
      <c r="BP303" s="2720">
        <f t="shared" si="172"/>
        <v>0</v>
      </c>
      <c r="BQ303" s="2720">
        <f t="shared" si="173"/>
        <v>0</v>
      </c>
      <c r="BR303" s="2720">
        <f t="shared" si="174"/>
        <v>0</v>
      </c>
      <c r="BS303" s="2720">
        <f t="shared" si="175"/>
        <v>0</v>
      </c>
      <c r="BT303" s="2772">
        <f t="shared" si="176"/>
        <v>0</v>
      </c>
    </row>
    <row r="304" spans="1:72">
      <c r="A304" s="2717"/>
      <c r="B304" s="2718"/>
      <c r="C304" s="2718"/>
      <c r="D304" s="2719"/>
      <c r="E304" s="2720">
        <f t="shared" si="177"/>
        <v>0</v>
      </c>
      <c r="F304" s="2721"/>
      <c r="G304" s="2722">
        <f t="shared" si="152"/>
        <v>0</v>
      </c>
      <c r="H304" s="2723">
        <f t="shared" si="153"/>
        <v>0</v>
      </c>
      <c r="I304" s="2730"/>
      <c r="J304" s="2730"/>
      <c r="K304" s="2730"/>
      <c r="L304" s="2730"/>
      <c r="M304" s="2730"/>
      <c r="N304" s="2730"/>
      <c r="O304" s="2730"/>
      <c r="P304" s="2730"/>
      <c r="Q304" s="2730"/>
      <c r="R304" s="2730"/>
      <c r="S304" s="2730"/>
      <c r="T304" s="2730"/>
      <c r="U304" s="2730"/>
      <c r="V304" s="2730"/>
      <c r="W304" s="2730"/>
      <c r="X304" s="2730"/>
      <c r="Y304" s="2730"/>
      <c r="Z304" s="2730"/>
      <c r="AA304" s="2730"/>
      <c r="AB304" s="2730"/>
      <c r="AC304" s="2720">
        <f t="shared" si="154"/>
        <v>0</v>
      </c>
      <c r="AD304" s="2740"/>
      <c r="AE304" s="2740"/>
      <c r="AF304" s="2740"/>
      <c r="AG304" s="2740"/>
      <c r="AH304" s="2740"/>
      <c r="AI304" s="2740"/>
      <c r="AJ304" s="2740"/>
      <c r="AK304" s="2740"/>
      <c r="AL304" s="2740"/>
      <c r="AM304" s="2740"/>
      <c r="AN304" s="2740"/>
      <c r="AO304" s="2740"/>
      <c r="AP304" s="2740"/>
      <c r="AQ304" s="2740"/>
      <c r="AR304" s="2740"/>
      <c r="AS304" s="2740"/>
      <c r="AT304" s="2750"/>
      <c r="AU304" s="2751"/>
      <c r="AV304" s="1092">
        <f t="shared" si="178"/>
        <v>0</v>
      </c>
      <c r="AW304" s="1092">
        <f t="shared" si="179"/>
        <v>0</v>
      </c>
      <c r="AX304" s="1092">
        <f t="shared" si="180"/>
        <v>0</v>
      </c>
      <c r="AY304" s="2765">
        <f t="shared" si="155"/>
        <v>0</v>
      </c>
      <c r="AZ304" s="2720">
        <f t="shared" si="156"/>
        <v>0</v>
      </c>
      <c r="BA304" s="2720">
        <f t="shared" si="157"/>
        <v>0</v>
      </c>
      <c r="BB304" s="2720">
        <f t="shared" si="158"/>
        <v>0</v>
      </c>
      <c r="BC304" s="2720">
        <f t="shared" si="159"/>
        <v>0</v>
      </c>
      <c r="BD304" s="2720">
        <f t="shared" si="160"/>
        <v>0</v>
      </c>
      <c r="BE304" s="2720">
        <f t="shared" si="161"/>
        <v>0</v>
      </c>
      <c r="BF304" s="2720">
        <f t="shared" si="162"/>
        <v>0</v>
      </c>
      <c r="BG304" s="2720">
        <f t="shared" si="163"/>
        <v>0</v>
      </c>
      <c r="BH304" s="2720">
        <f t="shared" si="164"/>
        <v>0</v>
      </c>
      <c r="BI304" s="2720">
        <f t="shared" si="165"/>
        <v>0</v>
      </c>
      <c r="BJ304" s="2720">
        <f t="shared" si="166"/>
        <v>0</v>
      </c>
      <c r="BK304" s="2720">
        <f t="shared" si="167"/>
        <v>0</v>
      </c>
      <c r="BL304" s="2720">
        <f t="shared" si="168"/>
        <v>0</v>
      </c>
      <c r="BM304" s="2720">
        <f t="shared" si="169"/>
        <v>0</v>
      </c>
      <c r="BN304" s="2720">
        <f t="shared" si="170"/>
        <v>0</v>
      </c>
      <c r="BO304" s="2720">
        <f t="shared" si="171"/>
        <v>0</v>
      </c>
      <c r="BP304" s="2720">
        <f t="shared" si="172"/>
        <v>0</v>
      </c>
      <c r="BQ304" s="2720">
        <f t="shared" si="173"/>
        <v>0</v>
      </c>
      <c r="BR304" s="2720">
        <f t="shared" si="174"/>
        <v>0</v>
      </c>
      <c r="BS304" s="2720">
        <f t="shared" si="175"/>
        <v>0</v>
      </c>
      <c r="BT304" s="2772">
        <f t="shared" si="176"/>
        <v>0</v>
      </c>
    </row>
    <row r="305" spans="1:72">
      <c r="A305" s="2717"/>
      <c r="B305" s="2718"/>
      <c r="C305" s="2718"/>
      <c r="D305" s="2719"/>
      <c r="E305" s="2720">
        <f t="shared" si="177"/>
        <v>0</v>
      </c>
      <c r="F305" s="2721"/>
      <c r="G305" s="2722">
        <f t="shared" si="152"/>
        <v>0</v>
      </c>
      <c r="H305" s="2723">
        <f t="shared" si="153"/>
        <v>0</v>
      </c>
      <c r="I305" s="2730"/>
      <c r="J305" s="2730"/>
      <c r="K305" s="2730"/>
      <c r="L305" s="2730"/>
      <c r="M305" s="2730"/>
      <c r="N305" s="2730"/>
      <c r="O305" s="2730"/>
      <c r="P305" s="2730"/>
      <c r="Q305" s="2730"/>
      <c r="R305" s="2730"/>
      <c r="S305" s="2730"/>
      <c r="T305" s="2730"/>
      <c r="U305" s="2730"/>
      <c r="V305" s="2730"/>
      <c r="W305" s="2730"/>
      <c r="X305" s="2730"/>
      <c r="Y305" s="2730"/>
      <c r="Z305" s="2730"/>
      <c r="AA305" s="2730"/>
      <c r="AB305" s="2730"/>
      <c r="AC305" s="2720">
        <f t="shared" si="154"/>
        <v>0</v>
      </c>
      <c r="AD305" s="2740"/>
      <c r="AE305" s="2740"/>
      <c r="AF305" s="2740"/>
      <c r="AG305" s="2740"/>
      <c r="AH305" s="2740"/>
      <c r="AI305" s="2740"/>
      <c r="AJ305" s="2740"/>
      <c r="AK305" s="2740"/>
      <c r="AL305" s="2740"/>
      <c r="AM305" s="2740"/>
      <c r="AN305" s="2740"/>
      <c r="AO305" s="2740"/>
      <c r="AP305" s="2740"/>
      <c r="AQ305" s="2740"/>
      <c r="AR305" s="2740"/>
      <c r="AS305" s="2740"/>
      <c r="AT305" s="2750"/>
      <c r="AU305" s="2751"/>
      <c r="AV305" s="1092">
        <f t="shared" si="178"/>
        <v>0</v>
      </c>
      <c r="AW305" s="1092">
        <f t="shared" si="179"/>
        <v>0</v>
      </c>
      <c r="AX305" s="1092">
        <f t="shared" si="180"/>
        <v>0</v>
      </c>
      <c r="AY305" s="2765">
        <f t="shared" si="155"/>
        <v>0</v>
      </c>
      <c r="AZ305" s="2720">
        <f t="shared" si="156"/>
        <v>0</v>
      </c>
      <c r="BA305" s="2720">
        <f t="shared" si="157"/>
        <v>0</v>
      </c>
      <c r="BB305" s="2720">
        <f t="shared" si="158"/>
        <v>0</v>
      </c>
      <c r="BC305" s="2720">
        <f t="shared" si="159"/>
        <v>0</v>
      </c>
      <c r="BD305" s="2720">
        <f t="shared" si="160"/>
        <v>0</v>
      </c>
      <c r="BE305" s="2720">
        <f t="shared" si="161"/>
        <v>0</v>
      </c>
      <c r="BF305" s="2720">
        <f t="shared" si="162"/>
        <v>0</v>
      </c>
      <c r="BG305" s="2720">
        <f t="shared" si="163"/>
        <v>0</v>
      </c>
      <c r="BH305" s="2720">
        <f t="shared" si="164"/>
        <v>0</v>
      </c>
      <c r="BI305" s="2720">
        <f t="shared" si="165"/>
        <v>0</v>
      </c>
      <c r="BJ305" s="2720">
        <f t="shared" si="166"/>
        <v>0</v>
      </c>
      <c r="BK305" s="2720">
        <f t="shared" si="167"/>
        <v>0</v>
      </c>
      <c r="BL305" s="2720">
        <f t="shared" si="168"/>
        <v>0</v>
      </c>
      <c r="BM305" s="2720">
        <f t="shared" si="169"/>
        <v>0</v>
      </c>
      <c r="BN305" s="2720">
        <f t="shared" si="170"/>
        <v>0</v>
      </c>
      <c r="BO305" s="2720">
        <f t="shared" si="171"/>
        <v>0</v>
      </c>
      <c r="BP305" s="2720">
        <f t="shared" si="172"/>
        <v>0</v>
      </c>
      <c r="BQ305" s="2720">
        <f t="shared" si="173"/>
        <v>0</v>
      </c>
      <c r="BR305" s="2720">
        <f t="shared" si="174"/>
        <v>0</v>
      </c>
      <c r="BS305" s="2720">
        <f t="shared" si="175"/>
        <v>0</v>
      </c>
      <c r="BT305" s="2772">
        <f t="shared" si="176"/>
        <v>0</v>
      </c>
    </row>
    <row r="306" spans="1:72">
      <c r="A306" s="2717"/>
      <c r="B306" s="2718"/>
      <c r="C306" s="2718"/>
      <c r="D306" s="2719"/>
      <c r="E306" s="2720">
        <f t="shared" si="177"/>
        <v>0</v>
      </c>
      <c r="F306" s="2721"/>
      <c r="G306" s="2722">
        <f t="shared" si="152"/>
        <v>0</v>
      </c>
      <c r="H306" s="2723">
        <f t="shared" si="153"/>
        <v>0</v>
      </c>
      <c r="I306" s="2730"/>
      <c r="J306" s="2730"/>
      <c r="K306" s="2730"/>
      <c r="L306" s="2730"/>
      <c r="M306" s="2730"/>
      <c r="N306" s="2730"/>
      <c r="O306" s="2730"/>
      <c r="P306" s="2730"/>
      <c r="Q306" s="2730"/>
      <c r="R306" s="2730"/>
      <c r="S306" s="2730"/>
      <c r="T306" s="2730"/>
      <c r="U306" s="2730"/>
      <c r="V306" s="2730"/>
      <c r="W306" s="2730"/>
      <c r="X306" s="2730"/>
      <c r="Y306" s="2730"/>
      <c r="Z306" s="2730"/>
      <c r="AA306" s="2730"/>
      <c r="AB306" s="2730"/>
      <c r="AC306" s="2720">
        <f t="shared" si="154"/>
        <v>0</v>
      </c>
      <c r="AD306" s="2740"/>
      <c r="AE306" s="2740"/>
      <c r="AF306" s="2740"/>
      <c r="AG306" s="2740"/>
      <c r="AH306" s="2740"/>
      <c r="AI306" s="2740"/>
      <c r="AJ306" s="2740"/>
      <c r="AK306" s="2740"/>
      <c r="AL306" s="2740"/>
      <c r="AM306" s="2740"/>
      <c r="AN306" s="2740"/>
      <c r="AO306" s="2740"/>
      <c r="AP306" s="2740"/>
      <c r="AQ306" s="2740"/>
      <c r="AR306" s="2740"/>
      <c r="AS306" s="2740"/>
      <c r="AT306" s="2750"/>
      <c r="AU306" s="2751"/>
      <c r="AV306" s="1092">
        <f t="shared" si="178"/>
        <v>0</v>
      </c>
      <c r="AW306" s="1092">
        <f t="shared" si="179"/>
        <v>0</v>
      </c>
      <c r="AX306" s="1092">
        <f t="shared" si="180"/>
        <v>0</v>
      </c>
      <c r="AY306" s="2765">
        <f t="shared" si="155"/>
        <v>0</v>
      </c>
      <c r="AZ306" s="2720">
        <f t="shared" si="156"/>
        <v>0</v>
      </c>
      <c r="BA306" s="2720">
        <f t="shared" si="157"/>
        <v>0</v>
      </c>
      <c r="BB306" s="2720">
        <f t="shared" si="158"/>
        <v>0</v>
      </c>
      <c r="BC306" s="2720">
        <f t="shared" si="159"/>
        <v>0</v>
      </c>
      <c r="BD306" s="2720">
        <f t="shared" si="160"/>
        <v>0</v>
      </c>
      <c r="BE306" s="2720">
        <f t="shared" si="161"/>
        <v>0</v>
      </c>
      <c r="BF306" s="2720">
        <f t="shared" si="162"/>
        <v>0</v>
      </c>
      <c r="BG306" s="2720">
        <f t="shared" si="163"/>
        <v>0</v>
      </c>
      <c r="BH306" s="2720">
        <f t="shared" si="164"/>
        <v>0</v>
      </c>
      <c r="BI306" s="2720">
        <f t="shared" si="165"/>
        <v>0</v>
      </c>
      <c r="BJ306" s="2720">
        <f t="shared" si="166"/>
        <v>0</v>
      </c>
      <c r="BK306" s="2720">
        <f t="shared" si="167"/>
        <v>0</v>
      </c>
      <c r="BL306" s="2720">
        <f t="shared" si="168"/>
        <v>0</v>
      </c>
      <c r="BM306" s="2720">
        <f t="shared" si="169"/>
        <v>0</v>
      </c>
      <c r="BN306" s="2720">
        <f t="shared" si="170"/>
        <v>0</v>
      </c>
      <c r="BO306" s="2720">
        <f t="shared" si="171"/>
        <v>0</v>
      </c>
      <c r="BP306" s="2720">
        <f t="shared" si="172"/>
        <v>0</v>
      </c>
      <c r="BQ306" s="2720">
        <f t="shared" si="173"/>
        <v>0</v>
      </c>
      <c r="BR306" s="2720">
        <f t="shared" si="174"/>
        <v>0</v>
      </c>
      <c r="BS306" s="2720">
        <f t="shared" si="175"/>
        <v>0</v>
      </c>
      <c r="BT306" s="2772">
        <f t="shared" si="176"/>
        <v>0</v>
      </c>
    </row>
    <row r="307" spans="1:72">
      <c r="A307" s="2717"/>
      <c r="B307" s="2718"/>
      <c r="C307" s="2718"/>
      <c r="D307" s="2719"/>
      <c r="E307" s="2720">
        <f t="shared" si="177"/>
        <v>0</v>
      </c>
      <c r="F307" s="2721"/>
      <c r="G307" s="2722">
        <f t="shared" si="152"/>
        <v>0</v>
      </c>
      <c r="H307" s="2723">
        <f t="shared" si="153"/>
        <v>0</v>
      </c>
      <c r="I307" s="2730"/>
      <c r="J307" s="2730"/>
      <c r="K307" s="2730"/>
      <c r="L307" s="2730"/>
      <c r="M307" s="2730"/>
      <c r="N307" s="2730"/>
      <c r="O307" s="2730"/>
      <c r="P307" s="2730"/>
      <c r="Q307" s="2730"/>
      <c r="R307" s="2730"/>
      <c r="S307" s="2730"/>
      <c r="T307" s="2730"/>
      <c r="U307" s="2730"/>
      <c r="V307" s="2730"/>
      <c r="W307" s="2730"/>
      <c r="X307" s="2730"/>
      <c r="Y307" s="2730"/>
      <c r="Z307" s="2730"/>
      <c r="AA307" s="2730"/>
      <c r="AB307" s="2730"/>
      <c r="AC307" s="2720">
        <f t="shared" si="154"/>
        <v>0</v>
      </c>
      <c r="AD307" s="2740"/>
      <c r="AE307" s="2740"/>
      <c r="AF307" s="2740"/>
      <c r="AG307" s="2740"/>
      <c r="AH307" s="2740"/>
      <c r="AI307" s="2740"/>
      <c r="AJ307" s="2740"/>
      <c r="AK307" s="2740"/>
      <c r="AL307" s="2740"/>
      <c r="AM307" s="2740"/>
      <c r="AN307" s="2740"/>
      <c r="AO307" s="2740"/>
      <c r="AP307" s="2740"/>
      <c r="AQ307" s="2740"/>
      <c r="AR307" s="2740"/>
      <c r="AS307" s="2740"/>
      <c r="AT307" s="2750"/>
      <c r="AU307" s="2751"/>
      <c r="AV307" s="1092">
        <f t="shared" si="178"/>
        <v>0</v>
      </c>
      <c r="AW307" s="1092">
        <f t="shared" si="179"/>
        <v>0</v>
      </c>
      <c r="AX307" s="1092">
        <f t="shared" si="180"/>
        <v>0</v>
      </c>
      <c r="AY307" s="2765">
        <f t="shared" si="155"/>
        <v>0</v>
      </c>
      <c r="AZ307" s="2720">
        <f t="shared" si="156"/>
        <v>0</v>
      </c>
      <c r="BA307" s="2720">
        <f t="shared" si="157"/>
        <v>0</v>
      </c>
      <c r="BB307" s="2720">
        <f t="shared" si="158"/>
        <v>0</v>
      </c>
      <c r="BC307" s="2720">
        <f t="shared" si="159"/>
        <v>0</v>
      </c>
      <c r="BD307" s="2720">
        <f t="shared" si="160"/>
        <v>0</v>
      </c>
      <c r="BE307" s="2720">
        <f t="shared" si="161"/>
        <v>0</v>
      </c>
      <c r="BF307" s="2720">
        <f t="shared" si="162"/>
        <v>0</v>
      </c>
      <c r="BG307" s="2720">
        <f t="shared" si="163"/>
        <v>0</v>
      </c>
      <c r="BH307" s="2720">
        <f t="shared" si="164"/>
        <v>0</v>
      </c>
      <c r="BI307" s="2720">
        <f t="shared" si="165"/>
        <v>0</v>
      </c>
      <c r="BJ307" s="2720">
        <f t="shared" si="166"/>
        <v>0</v>
      </c>
      <c r="BK307" s="2720">
        <f t="shared" si="167"/>
        <v>0</v>
      </c>
      <c r="BL307" s="2720">
        <f t="shared" si="168"/>
        <v>0</v>
      </c>
      <c r="BM307" s="2720">
        <f t="shared" si="169"/>
        <v>0</v>
      </c>
      <c r="BN307" s="2720">
        <f t="shared" si="170"/>
        <v>0</v>
      </c>
      <c r="BO307" s="2720">
        <f t="shared" si="171"/>
        <v>0</v>
      </c>
      <c r="BP307" s="2720">
        <f t="shared" si="172"/>
        <v>0</v>
      </c>
      <c r="BQ307" s="2720">
        <f t="shared" si="173"/>
        <v>0</v>
      </c>
      <c r="BR307" s="2720">
        <f t="shared" si="174"/>
        <v>0</v>
      </c>
      <c r="BS307" s="2720">
        <f t="shared" si="175"/>
        <v>0</v>
      </c>
      <c r="BT307" s="2772">
        <f t="shared" si="176"/>
        <v>0</v>
      </c>
    </row>
    <row r="308" spans="1:72">
      <c r="A308" s="2717"/>
      <c r="B308" s="2718"/>
      <c r="C308" s="2718"/>
      <c r="D308" s="2719"/>
      <c r="E308" s="2720">
        <f t="shared" si="177"/>
        <v>0</v>
      </c>
      <c r="F308" s="2721"/>
      <c r="G308" s="2722">
        <f t="shared" si="152"/>
        <v>0</v>
      </c>
      <c r="H308" s="2723">
        <f t="shared" si="153"/>
        <v>0</v>
      </c>
      <c r="I308" s="2730"/>
      <c r="J308" s="2730"/>
      <c r="K308" s="2730"/>
      <c r="L308" s="2730"/>
      <c r="M308" s="2730"/>
      <c r="N308" s="2730"/>
      <c r="O308" s="2730"/>
      <c r="P308" s="2730"/>
      <c r="Q308" s="2730"/>
      <c r="R308" s="2730"/>
      <c r="S308" s="2730"/>
      <c r="T308" s="2730"/>
      <c r="U308" s="2730"/>
      <c r="V308" s="2730"/>
      <c r="W308" s="2730"/>
      <c r="X308" s="2730"/>
      <c r="Y308" s="2730"/>
      <c r="Z308" s="2730"/>
      <c r="AA308" s="2730"/>
      <c r="AB308" s="2730"/>
      <c r="AC308" s="2720">
        <f t="shared" si="154"/>
        <v>0</v>
      </c>
      <c r="AD308" s="2740"/>
      <c r="AE308" s="2740"/>
      <c r="AF308" s="2740"/>
      <c r="AG308" s="2740"/>
      <c r="AH308" s="2740"/>
      <c r="AI308" s="2740"/>
      <c r="AJ308" s="2740"/>
      <c r="AK308" s="2740"/>
      <c r="AL308" s="2740"/>
      <c r="AM308" s="2740"/>
      <c r="AN308" s="2740"/>
      <c r="AO308" s="2740"/>
      <c r="AP308" s="2740"/>
      <c r="AQ308" s="2740"/>
      <c r="AR308" s="2740"/>
      <c r="AS308" s="2740"/>
      <c r="AT308" s="2750"/>
      <c r="AU308" s="2751"/>
      <c r="AV308" s="1092">
        <f t="shared" si="178"/>
        <v>0</v>
      </c>
      <c r="AW308" s="1092">
        <f t="shared" si="179"/>
        <v>0</v>
      </c>
      <c r="AX308" s="1092">
        <f t="shared" si="180"/>
        <v>0</v>
      </c>
      <c r="AY308" s="2765">
        <f t="shared" si="155"/>
        <v>0</v>
      </c>
      <c r="AZ308" s="2720">
        <f t="shared" si="156"/>
        <v>0</v>
      </c>
      <c r="BA308" s="2720">
        <f t="shared" si="157"/>
        <v>0</v>
      </c>
      <c r="BB308" s="2720">
        <f t="shared" si="158"/>
        <v>0</v>
      </c>
      <c r="BC308" s="2720">
        <f t="shared" si="159"/>
        <v>0</v>
      </c>
      <c r="BD308" s="2720">
        <f t="shared" si="160"/>
        <v>0</v>
      </c>
      <c r="BE308" s="2720">
        <f t="shared" si="161"/>
        <v>0</v>
      </c>
      <c r="BF308" s="2720">
        <f t="shared" si="162"/>
        <v>0</v>
      </c>
      <c r="BG308" s="2720">
        <f t="shared" si="163"/>
        <v>0</v>
      </c>
      <c r="BH308" s="2720">
        <f t="shared" si="164"/>
        <v>0</v>
      </c>
      <c r="BI308" s="2720">
        <f t="shared" si="165"/>
        <v>0</v>
      </c>
      <c r="BJ308" s="2720">
        <f t="shared" si="166"/>
        <v>0</v>
      </c>
      <c r="BK308" s="2720">
        <f t="shared" si="167"/>
        <v>0</v>
      </c>
      <c r="BL308" s="2720">
        <f t="shared" si="168"/>
        <v>0</v>
      </c>
      <c r="BM308" s="2720">
        <f t="shared" si="169"/>
        <v>0</v>
      </c>
      <c r="BN308" s="2720">
        <f t="shared" si="170"/>
        <v>0</v>
      </c>
      <c r="BO308" s="2720">
        <f t="shared" si="171"/>
        <v>0</v>
      </c>
      <c r="BP308" s="2720">
        <f t="shared" si="172"/>
        <v>0</v>
      </c>
      <c r="BQ308" s="2720">
        <f t="shared" si="173"/>
        <v>0</v>
      </c>
      <c r="BR308" s="2720">
        <f t="shared" si="174"/>
        <v>0</v>
      </c>
      <c r="BS308" s="2720">
        <f t="shared" si="175"/>
        <v>0</v>
      </c>
      <c r="BT308" s="2772">
        <f t="shared" si="176"/>
        <v>0</v>
      </c>
    </row>
    <row r="309" spans="1:72">
      <c r="A309" s="2717"/>
      <c r="B309" s="2718"/>
      <c r="C309" s="2718"/>
      <c r="D309" s="2719"/>
      <c r="E309" s="2720">
        <f t="shared" si="177"/>
        <v>0</v>
      </c>
      <c r="F309" s="2721"/>
      <c r="G309" s="2722">
        <f t="shared" si="152"/>
        <v>0</v>
      </c>
      <c r="H309" s="2723">
        <f t="shared" si="153"/>
        <v>0</v>
      </c>
      <c r="I309" s="2730"/>
      <c r="J309" s="2730"/>
      <c r="K309" s="2730"/>
      <c r="L309" s="2730"/>
      <c r="M309" s="2730"/>
      <c r="N309" s="2730"/>
      <c r="O309" s="2730"/>
      <c r="P309" s="2730"/>
      <c r="Q309" s="2730"/>
      <c r="R309" s="2730"/>
      <c r="S309" s="2730"/>
      <c r="T309" s="2730"/>
      <c r="U309" s="2730"/>
      <c r="V309" s="2730"/>
      <c r="W309" s="2730"/>
      <c r="X309" s="2730"/>
      <c r="Y309" s="2730"/>
      <c r="Z309" s="2730"/>
      <c r="AA309" s="2730"/>
      <c r="AB309" s="2730"/>
      <c r="AC309" s="2720">
        <f t="shared" si="154"/>
        <v>0</v>
      </c>
      <c r="AD309" s="2740"/>
      <c r="AE309" s="2740"/>
      <c r="AF309" s="2740"/>
      <c r="AG309" s="2740"/>
      <c r="AH309" s="2740"/>
      <c r="AI309" s="2740"/>
      <c r="AJ309" s="2740"/>
      <c r="AK309" s="2740"/>
      <c r="AL309" s="2740"/>
      <c r="AM309" s="2740"/>
      <c r="AN309" s="2740"/>
      <c r="AO309" s="2740"/>
      <c r="AP309" s="2740"/>
      <c r="AQ309" s="2740"/>
      <c r="AR309" s="2740"/>
      <c r="AS309" s="2740"/>
      <c r="AT309" s="2750"/>
      <c r="AU309" s="2751"/>
      <c r="AV309" s="1092">
        <f t="shared" si="178"/>
        <v>0</v>
      </c>
      <c r="AW309" s="1092">
        <f t="shared" si="179"/>
        <v>0</v>
      </c>
      <c r="AX309" s="1092">
        <f t="shared" si="180"/>
        <v>0</v>
      </c>
      <c r="AY309" s="2765">
        <f t="shared" si="155"/>
        <v>0</v>
      </c>
      <c r="AZ309" s="2720">
        <f t="shared" si="156"/>
        <v>0</v>
      </c>
      <c r="BA309" s="2720">
        <f t="shared" si="157"/>
        <v>0</v>
      </c>
      <c r="BB309" s="2720">
        <f t="shared" si="158"/>
        <v>0</v>
      </c>
      <c r="BC309" s="2720">
        <f t="shared" si="159"/>
        <v>0</v>
      </c>
      <c r="BD309" s="2720">
        <f t="shared" si="160"/>
        <v>0</v>
      </c>
      <c r="BE309" s="2720">
        <f t="shared" si="161"/>
        <v>0</v>
      </c>
      <c r="BF309" s="2720">
        <f t="shared" si="162"/>
        <v>0</v>
      </c>
      <c r="BG309" s="2720">
        <f t="shared" si="163"/>
        <v>0</v>
      </c>
      <c r="BH309" s="2720">
        <f t="shared" si="164"/>
        <v>0</v>
      </c>
      <c r="BI309" s="2720">
        <f t="shared" si="165"/>
        <v>0</v>
      </c>
      <c r="BJ309" s="2720">
        <f t="shared" si="166"/>
        <v>0</v>
      </c>
      <c r="BK309" s="2720">
        <f t="shared" si="167"/>
        <v>0</v>
      </c>
      <c r="BL309" s="2720">
        <f t="shared" si="168"/>
        <v>0</v>
      </c>
      <c r="BM309" s="2720">
        <f t="shared" si="169"/>
        <v>0</v>
      </c>
      <c r="BN309" s="2720">
        <f t="shared" si="170"/>
        <v>0</v>
      </c>
      <c r="BO309" s="2720">
        <f t="shared" si="171"/>
        <v>0</v>
      </c>
      <c r="BP309" s="2720">
        <f t="shared" si="172"/>
        <v>0</v>
      </c>
      <c r="BQ309" s="2720">
        <f t="shared" si="173"/>
        <v>0</v>
      </c>
      <c r="BR309" s="2720">
        <f t="shared" si="174"/>
        <v>0</v>
      </c>
      <c r="BS309" s="2720">
        <f t="shared" si="175"/>
        <v>0</v>
      </c>
      <c r="BT309" s="2772">
        <f t="shared" si="176"/>
        <v>0</v>
      </c>
    </row>
    <row r="310" spans="1:72">
      <c r="A310" s="2717"/>
      <c r="B310" s="2718"/>
      <c r="C310" s="2718"/>
      <c r="D310" s="2719"/>
      <c r="E310" s="2720">
        <f t="shared" si="177"/>
        <v>0</v>
      </c>
      <c r="F310" s="2721"/>
      <c r="G310" s="2722">
        <f t="shared" si="152"/>
        <v>0</v>
      </c>
      <c r="H310" s="2723">
        <f t="shared" si="153"/>
        <v>0</v>
      </c>
      <c r="I310" s="2730"/>
      <c r="J310" s="2730"/>
      <c r="K310" s="2730"/>
      <c r="L310" s="2730"/>
      <c r="M310" s="2730"/>
      <c r="N310" s="2730"/>
      <c r="O310" s="2730"/>
      <c r="P310" s="2730"/>
      <c r="Q310" s="2730"/>
      <c r="R310" s="2730"/>
      <c r="S310" s="2730"/>
      <c r="T310" s="2730"/>
      <c r="U310" s="2730"/>
      <c r="V310" s="2730"/>
      <c r="W310" s="2730"/>
      <c r="X310" s="2730"/>
      <c r="Y310" s="2730"/>
      <c r="Z310" s="2730"/>
      <c r="AA310" s="2730"/>
      <c r="AB310" s="2730"/>
      <c r="AC310" s="2720">
        <f t="shared" si="154"/>
        <v>0</v>
      </c>
      <c r="AD310" s="2740"/>
      <c r="AE310" s="2740"/>
      <c r="AF310" s="2740"/>
      <c r="AG310" s="2740"/>
      <c r="AH310" s="2740"/>
      <c r="AI310" s="2740"/>
      <c r="AJ310" s="2740"/>
      <c r="AK310" s="2740"/>
      <c r="AL310" s="2740"/>
      <c r="AM310" s="2740"/>
      <c r="AN310" s="2740"/>
      <c r="AO310" s="2740"/>
      <c r="AP310" s="2740"/>
      <c r="AQ310" s="2740"/>
      <c r="AR310" s="2740"/>
      <c r="AS310" s="2740"/>
      <c r="AT310" s="2750"/>
      <c r="AU310" s="2751"/>
      <c r="AV310" s="1092">
        <f t="shared" si="178"/>
        <v>0</v>
      </c>
      <c r="AW310" s="1092">
        <f t="shared" si="179"/>
        <v>0</v>
      </c>
      <c r="AX310" s="1092">
        <f t="shared" si="180"/>
        <v>0</v>
      </c>
      <c r="AY310" s="2765">
        <f t="shared" si="155"/>
        <v>0</v>
      </c>
      <c r="AZ310" s="2720">
        <f t="shared" si="156"/>
        <v>0</v>
      </c>
      <c r="BA310" s="2720">
        <f t="shared" si="157"/>
        <v>0</v>
      </c>
      <c r="BB310" s="2720">
        <f t="shared" si="158"/>
        <v>0</v>
      </c>
      <c r="BC310" s="2720">
        <f t="shared" si="159"/>
        <v>0</v>
      </c>
      <c r="BD310" s="2720">
        <f t="shared" si="160"/>
        <v>0</v>
      </c>
      <c r="BE310" s="2720">
        <f t="shared" si="161"/>
        <v>0</v>
      </c>
      <c r="BF310" s="2720">
        <f t="shared" si="162"/>
        <v>0</v>
      </c>
      <c r="BG310" s="2720">
        <f t="shared" si="163"/>
        <v>0</v>
      </c>
      <c r="BH310" s="2720">
        <f t="shared" si="164"/>
        <v>0</v>
      </c>
      <c r="BI310" s="2720">
        <f t="shared" si="165"/>
        <v>0</v>
      </c>
      <c r="BJ310" s="2720">
        <f t="shared" si="166"/>
        <v>0</v>
      </c>
      <c r="BK310" s="2720">
        <f t="shared" si="167"/>
        <v>0</v>
      </c>
      <c r="BL310" s="2720">
        <f t="shared" si="168"/>
        <v>0</v>
      </c>
      <c r="BM310" s="2720">
        <f t="shared" si="169"/>
        <v>0</v>
      </c>
      <c r="BN310" s="2720">
        <f t="shared" si="170"/>
        <v>0</v>
      </c>
      <c r="BO310" s="2720">
        <f t="shared" si="171"/>
        <v>0</v>
      </c>
      <c r="BP310" s="2720">
        <f t="shared" si="172"/>
        <v>0</v>
      </c>
      <c r="BQ310" s="2720">
        <f t="shared" si="173"/>
        <v>0</v>
      </c>
      <c r="BR310" s="2720">
        <f t="shared" si="174"/>
        <v>0</v>
      </c>
      <c r="BS310" s="2720">
        <f t="shared" si="175"/>
        <v>0</v>
      </c>
      <c r="BT310" s="2772">
        <f t="shared" si="176"/>
        <v>0</v>
      </c>
    </row>
    <row r="311" spans="1:72">
      <c r="A311" s="2717"/>
      <c r="B311" s="2718"/>
      <c r="C311" s="2718"/>
      <c r="D311" s="2719"/>
      <c r="E311" s="2720">
        <f t="shared" si="177"/>
        <v>0</v>
      </c>
      <c r="F311" s="2721"/>
      <c r="G311" s="2722">
        <f t="shared" si="152"/>
        <v>0</v>
      </c>
      <c r="H311" s="2723">
        <f t="shared" si="153"/>
        <v>0</v>
      </c>
      <c r="I311" s="2730"/>
      <c r="J311" s="2730"/>
      <c r="K311" s="2730"/>
      <c r="L311" s="2730"/>
      <c r="M311" s="2730"/>
      <c r="N311" s="2730"/>
      <c r="O311" s="2730"/>
      <c r="P311" s="2730"/>
      <c r="Q311" s="2730"/>
      <c r="R311" s="2730"/>
      <c r="S311" s="2730"/>
      <c r="T311" s="2730"/>
      <c r="U311" s="2730"/>
      <c r="V311" s="2730"/>
      <c r="W311" s="2730"/>
      <c r="X311" s="2730"/>
      <c r="Y311" s="2730"/>
      <c r="Z311" s="2730"/>
      <c r="AA311" s="2730"/>
      <c r="AB311" s="2730"/>
      <c r="AC311" s="2720">
        <f t="shared" si="154"/>
        <v>0</v>
      </c>
      <c r="AD311" s="2740"/>
      <c r="AE311" s="2740"/>
      <c r="AF311" s="2740"/>
      <c r="AG311" s="2740"/>
      <c r="AH311" s="2740"/>
      <c r="AI311" s="2740"/>
      <c r="AJ311" s="2740"/>
      <c r="AK311" s="2740"/>
      <c r="AL311" s="2740"/>
      <c r="AM311" s="2740"/>
      <c r="AN311" s="2740"/>
      <c r="AO311" s="2740"/>
      <c r="AP311" s="2740"/>
      <c r="AQ311" s="2740"/>
      <c r="AR311" s="2740"/>
      <c r="AS311" s="2740"/>
      <c r="AT311" s="2750"/>
      <c r="AU311" s="2751"/>
      <c r="AV311" s="1092">
        <f t="shared" si="178"/>
        <v>0</v>
      </c>
      <c r="AW311" s="1092">
        <f t="shared" si="179"/>
        <v>0</v>
      </c>
      <c r="AX311" s="1092">
        <f t="shared" si="180"/>
        <v>0</v>
      </c>
      <c r="AY311" s="2765">
        <f t="shared" si="155"/>
        <v>0</v>
      </c>
      <c r="AZ311" s="2720">
        <f t="shared" si="156"/>
        <v>0</v>
      </c>
      <c r="BA311" s="2720">
        <f t="shared" si="157"/>
        <v>0</v>
      </c>
      <c r="BB311" s="2720">
        <f t="shared" si="158"/>
        <v>0</v>
      </c>
      <c r="BC311" s="2720">
        <f t="shared" si="159"/>
        <v>0</v>
      </c>
      <c r="BD311" s="2720">
        <f t="shared" si="160"/>
        <v>0</v>
      </c>
      <c r="BE311" s="2720">
        <f t="shared" si="161"/>
        <v>0</v>
      </c>
      <c r="BF311" s="2720">
        <f t="shared" si="162"/>
        <v>0</v>
      </c>
      <c r="BG311" s="2720">
        <f t="shared" si="163"/>
        <v>0</v>
      </c>
      <c r="BH311" s="2720">
        <f t="shared" si="164"/>
        <v>0</v>
      </c>
      <c r="BI311" s="2720">
        <f t="shared" si="165"/>
        <v>0</v>
      </c>
      <c r="BJ311" s="2720">
        <f t="shared" si="166"/>
        <v>0</v>
      </c>
      <c r="BK311" s="2720">
        <f t="shared" si="167"/>
        <v>0</v>
      </c>
      <c r="BL311" s="2720">
        <f t="shared" si="168"/>
        <v>0</v>
      </c>
      <c r="BM311" s="2720">
        <f t="shared" si="169"/>
        <v>0</v>
      </c>
      <c r="BN311" s="2720">
        <f t="shared" si="170"/>
        <v>0</v>
      </c>
      <c r="BO311" s="2720">
        <f t="shared" si="171"/>
        <v>0</v>
      </c>
      <c r="BP311" s="2720">
        <f t="shared" si="172"/>
        <v>0</v>
      </c>
      <c r="BQ311" s="2720">
        <f t="shared" si="173"/>
        <v>0</v>
      </c>
      <c r="BR311" s="2720">
        <f t="shared" si="174"/>
        <v>0</v>
      </c>
      <c r="BS311" s="2720">
        <f t="shared" si="175"/>
        <v>0</v>
      </c>
      <c r="BT311" s="2772">
        <f t="shared" si="176"/>
        <v>0</v>
      </c>
    </row>
    <row r="312" spans="1:72">
      <c r="A312" s="2717"/>
      <c r="B312" s="2718"/>
      <c r="C312" s="2718"/>
      <c r="D312" s="2719"/>
      <c r="E312" s="2720">
        <f t="shared" si="177"/>
        <v>0</v>
      </c>
      <c r="F312" s="2721"/>
      <c r="G312" s="2722">
        <f t="shared" si="152"/>
        <v>0</v>
      </c>
      <c r="H312" s="2723">
        <f t="shared" si="153"/>
        <v>0</v>
      </c>
      <c r="I312" s="2730"/>
      <c r="J312" s="2730"/>
      <c r="K312" s="2730"/>
      <c r="L312" s="2730"/>
      <c r="M312" s="2730"/>
      <c r="N312" s="2730"/>
      <c r="O312" s="2730"/>
      <c r="P312" s="2730"/>
      <c r="Q312" s="2730"/>
      <c r="R312" s="2730"/>
      <c r="S312" s="2730"/>
      <c r="T312" s="2730"/>
      <c r="U312" s="2730"/>
      <c r="V312" s="2730"/>
      <c r="W312" s="2730"/>
      <c r="X312" s="2730"/>
      <c r="Y312" s="2730"/>
      <c r="Z312" s="2730"/>
      <c r="AA312" s="2730"/>
      <c r="AB312" s="2730"/>
      <c r="AC312" s="2720">
        <f t="shared" si="154"/>
        <v>0</v>
      </c>
      <c r="AD312" s="2740"/>
      <c r="AE312" s="2740"/>
      <c r="AF312" s="2740"/>
      <c r="AG312" s="2740"/>
      <c r="AH312" s="2740"/>
      <c r="AI312" s="2740"/>
      <c r="AJ312" s="2740"/>
      <c r="AK312" s="2740"/>
      <c r="AL312" s="2740"/>
      <c r="AM312" s="2740"/>
      <c r="AN312" s="2740"/>
      <c r="AO312" s="2740"/>
      <c r="AP312" s="2740"/>
      <c r="AQ312" s="2740"/>
      <c r="AR312" s="2740"/>
      <c r="AS312" s="2740"/>
      <c r="AT312" s="2750"/>
      <c r="AU312" s="2751"/>
      <c r="AV312" s="1092">
        <f t="shared" si="178"/>
        <v>0</v>
      </c>
      <c r="AW312" s="1092">
        <f t="shared" si="179"/>
        <v>0</v>
      </c>
      <c r="AX312" s="1092">
        <f t="shared" si="180"/>
        <v>0</v>
      </c>
      <c r="AY312" s="2765">
        <f t="shared" si="155"/>
        <v>0</v>
      </c>
      <c r="AZ312" s="2720">
        <f t="shared" si="156"/>
        <v>0</v>
      </c>
      <c r="BA312" s="2720">
        <f t="shared" si="157"/>
        <v>0</v>
      </c>
      <c r="BB312" s="2720">
        <f t="shared" si="158"/>
        <v>0</v>
      </c>
      <c r="BC312" s="2720">
        <f t="shared" si="159"/>
        <v>0</v>
      </c>
      <c r="BD312" s="2720">
        <f t="shared" si="160"/>
        <v>0</v>
      </c>
      <c r="BE312" s="2720">
        <f t="shared" si="161"/>
        <v>0</v>
      </c>
      <c r="BF312" s="2720">
        <f t="shared" si="162"/>
        <v>0</v>
      </c>
      <c r="BG312" s="2720">
        <f t="shared" si="163"/>
        <v>0</v>
      </c>
      <c r="BH312" s="2720">
        <f t="shared" si="164"/>
        <v>0</v>
      </c>
      <c r="BI312" s="2720">
        <f t="shared" si="165"/>
        <v>0</v>
      </c>
      <c r="BJ312" s="2720">
        <f t="shared" si="166"/>
        <v>0</v>
      </c>
      <c r="BK312" s="2720">
        <f t="shared" si="167"/>
        <v>0</v>
      </c>
      <c r="BL312" s="2720">
        <f t="shared" si="168"/>
        <v>0</v>
      </c>
      <c r="BM312" s="2720">
        <f t="shared" si="169"/>
        <v>0</v>
      </c>
      <c r="BN312" s="2720">
        <f t="shared" si="170"/>
        <v>0</v>
      </c>
      <c r="BO312" s="2720">
        <f t="shared" si="171"/>
        <v>0</v>
      </c>
      <c r="BP312" s="2720">
        <f t="shared" si="172"/>
        <v>0</v>
      </c>
      <c r="BQ312" s="2720">
        <f t="shared" si="173"/>
        <v>0</v>
      </c>
      <c r="BR312" s="2720">
        <f t="shared" si="174"/>
        <v>0</v>
      </c>
      <c r="BS312" s="2720">
        <f t="shared" si="175"/>
        <v>0</v>
      </c>
      <c r="BT312" s="2772">
        <f t="shared" si="176"/>
        <v>0</v>
      </c>
    </row>
    <row r="313" spans="1:72">
      <c r="A313" s="2717"/>
      <c r="B313" s="2718"/>
      <c r="C313" s="2718"/>
      <c r="D313" s="2719"/>
      <c r="E313" s="2720">
        <f t="shared" si="177"/>
        <v>0</v>
      </c>
      <c r="F313" s="2721"/>
      <c r="G313" s="2722">
        <f t="shared" si="152"/>
        <v>0</v>
      </c>
      <c r="H313" s="2723">
        <f t="shared" si="153"/>
        <v>0</v>
      </c>
      <c r="I313" s="2730"/>
      <c r="J313" s="2730"/>
      <c r="K313" s="2730"/>
      <c r="L313" s="2730"/>
      <c r="M313" s="2730"/>
      <c r="N313" s="2730"/>
      <c r="O313" s="2730"/>
      <c r="P313" s="2730"/>
      <c r="Q313" s="2730"/>
      <c r="R313" s="2730"/>
      <c r="S313" s="2730"/>
      <c r="T313" s="2730"/>
      <c r="U313" s="2730"/>
      <c r="V313" s="2730"/>
      <c r="W313" s="2730"/>
      <c r="X313" s="2730"/>
      <c r="Y313" s="2730"/>
      <c r="Z313" s="2730"/>
      <c r="AA313" s="2730"/>
      <c r="AB313" s="2730"/>
      <c r="AC313" s="2720">
        <f t="shared" si="154"/>
        <v>0</v>
      </c>
      <c r="AD313" s="2740"/>
      <c r="AE313" s="2740"/>
      <c r="AF313" s="2740"/>
      <c r="AG313" s="2740"/>
      <c r="AH313" s="2740"/>
      <c r="AI313" s="2740"/>
      <c r="AJ313" s="2740"/>
      <c r="AK313" s="2740"/>
      <c r="AL313" s="2740"/>
      <c r="AM313" s="2740"/>
      <c r="AN313" s="2740"/>
      <c r="AO313" s="2740"/>
      <c r="AP313" s="2740"/>
      <c r="AQ313" s="2740"/>
      <c r="AR313" s="2740"/>
      <c r="AS313" s="2740"/>
      <c r="AT313" s="2750"/>
      <c r="AU313" s="2751"/>
      <c r="AV313" s="1092">
        <f t="shared" si="178"/>
        <v>0</v>
      </c>
      <c r="AW313" s="1092">
        <f t="shared" si="179"/>
        <v>0</v>
      </c>
      <c r="AX313" s="1092">
        <f t="shared" si="180"/>
        <v>0</v>
      </c>
      <c r="AY313" s="2765">
        <f t="shared" si="155"/>
        <v>0</v>
      </c>
      <c r="AZ313" s="2720">
        <f t="shared" si="156"/>
        <v>0</v>
      </c>
      <c r="BA313" s="2720">
        <f t="shared" si="157"/>
        <v>0</v>
      </c>
      <c r="BB313" s="2720">
        <f t="shared" si="158"/>
        <v>0</v>
      </c>
      <c r="BC313" s="2720">
        <f t="shared" si="159"/>
        <v>0</v>
      </c>
      <c r="BD313" s="2720">
        <f t="shared" si="160"/>
        <v>0</v>
      </c>
      <c r="BE313" s="2720">
        <f t="shared" si="161"/>
        <v>0</v>
      </c>
      <c r="BF313" s="2720">
        <f t="shared" si="162"/>
        <v>0</v>
      </c>
      <c r="BG313" s="2720">
        <f t="shared" si="163"/>
        <v>0</v>
      </c>
      <c r="BH313" s="2720">
        <f t="shared" si="164"/>
        <v>0</v>
      </c>
      <c r="BI313" s="2720">
        <f t="shared" si="165"/>
        <v>0</v>
      </c>
      <c r="BJ313" s="2720">
        <f t="shared" si="166"/>
        <v>0</v>
      </c>
      <c r="BK313" s="2720">
        <f t="shared" si="167"/>
        <v>0</v>
      </c>
      <c r="BL313" s="2720">
        <f t="shared" si="168"/>
        <v>0</v>
      </c>
      <c r="BM313" s="2720">
        <f t="shared" si="169"/>
        <v>0</v>
      </c>
      <c r="BN313" s="2720">
        <f t="shared" si="170"/>
        <v>0</v>
      </c>
      <c r="BO313" s="2720">
        <f t="shared" si="171"/>
        <v>0</v>
      </c>
      <c r="BP313" s="2720">
        <f t="shared" si="172"/>
        <v>0</v>
      </c>
      <c r="BQ313" s="2720">
        <f t="shared" si="173"/>
        <v>0</v>
      </c>
      <c r="BR313" s="2720">
        <f t="shared" si="174"/>
        <v>0</v>
      </c>
      <c r="BS313" s="2720">
        <f t="shared" si="175"/>
        <v>0</v>
      </c>
      <c r="BT313" s="2772">
        <f t="shared" si="176"/>
        <v>0</v>
      </c>
    </row>
    <row r="314" spans="1:72">
      <c r="A314" s="2717"/>
      <c r="B314" s="2718"/>
      <c r="C314" s="2718"/>
      <c r="D314" s="2719"/>
      <c r="E314" s="2720">
        <f t="shared" si="177"/>
        <v>0</v>
      </c>
      <c r="F314" s="2721"/>
      <c r="G314" s="2722">
        <f t="shared" si="152"/>
        <v>0</v>
      </c>
      <c r="H314" s="2723">
        <f t="shared" si="153"/>
        <v>0</v>
      </c>
      <c r="I314" s="2730"/>
      <c r="J314" s="2730"/>
      <c r="K314" s="2730"/>
      <c r="L314" s="2730"/>
      <c r="M314" s="2730"/>
      <c r="N314" s="2730"/>
      <c r="O314" s="2730"/>
      <c r="P314" s="2730"/>
      <c r="Q314" s="2730"/>
      <c r="R314" s="2730"/>
      <c r="S314" s="2730"/>
      <c r="T314" s="2730"/>
      <c r="U314" s="2730"/>
      <c r="V314" s="2730"/>
      <c r="W314" s="2730"/>
      <c r="X314" s="2730"/>
      <c r="Y314" s="2730"/>
      <c r="Z314" s="2730"/>
      <c r="AA314" s="2730"/>
      <c r="AB314" s="2730"/>
      <c r="AC314" s="2720">
        <f t="shared" si="154"/>
        <v>0</v>
      </c>
      <c r="AD314" s="2740"/>
      <c r="AE314" s="2740"/>
      <c r="AF314" s="2740"/>
      <c r="AG314" s="2740"/>
      <c r="AH314" s="2740"/>
      <c r="AI314" s="2740"/>
      <c r="AJ314" s="2740"/>
      <c r="AK314" s="2740"/>
      <c r="AL314" s="2740"/>
      <c r="AM314" s="2740"/>
      <c r="AN314" s="2740"/>
      <c r="AO314" s="2740"/>
      <c r="AP314" s="2740"/>
      <c r="AQ314" s="2740"/>
      <c r="AR314" s="2740"/>
      <c r="AS314" s="2740"/>
      <c r="AT314" s="2750"/>
      <c r="AU314" s="2751"/>
      <c r="AV314" s="1092">
        <f t="shared" si="178"/>
        <v>0</v>
      </c>
      <c r="AW314" s="1092">
        <f t="shared" si="179"/>
        <v>0</v>
      </c>
      <c r="AX314" s="1092">
        <f t="shared" si="180"/>
        <v>0</v>
      </c>
      <c r="AY314" s="2765">
        <f t="shared" si="155"/>
        <v>0</v>
      </c>
      <c r="AZ314" s="2720">
        <f t="shared" si="156"/>
        <v>0</v>
      </c>
      <c r="BA314" s="2720">
        <f t="shared" si="157"/>
        <v>0</v>
      </c>
      <c r="BB314" s="2720">
        <f t="shared" si="158"/>
        <v>0</v>
      </c>
      <c r="BC314" s="2720">
        <f t="shared" si="159"/>
        <v>0</v>
      </c>
      <c r="BD314" s="2720">
        <f t="shared" si="160"/>
        <v>0</v>
      </c>
      <c r="BE314" s="2720">
        <f t="shared" si="161"/>
        <v>0</v>
      </c>
      <c r="BF314" s="2720">
        <f t="shared" si="162"/>
        <v>0</v>
      </c>
      <c r="BG314" s="2720">
        <f t="shared" si="163"/>
        <v>0</v>
      </c>
      <c r="BH314" s="2720">
        <f t="shared" si="164"/>
        <v>0</v>
      </c>
      <c r="BI314" s="2720">
        <f t="shared" si="165"/>
        <v>0</v>
      </c>
      <c r="BJ314" s="2720">
        <f t="shared" si="166"/>
        <v>0</v>
      </c>
      <c r="BK314" s="2720">
        <f t="shared" si="167"/>
        <v>0</v>
      </c>
      <c r="BL314" s="2720">
        <f t="shared" si="168"/>
        <v>0</v>
      </c>
      <c r="BM314" s="2720">
        <f t="shared" si="169"/>
        <v>0</v>
      </c>
      <c r="BN314" s="2720">
        <f t="shared" si="170"/>
        <v>0</v>
      </c>
      <c r="BO314" s="2720">
        <f t="shared" si="171"/>
        <v>0</v>
      </c>
      <c r="BP314" s="2720">
        <f t="shared" si="172"/>
        <v>0</v>
      </c>
      <c r="BQ314" s="2720">
        <f t="shared" si="173"/>
        <v>0</v>
      </c>
      <c r="BR314" s="2720">
        <f t="shared" si="174"/>
        <v>0</v>
      </c>
      <c r="BS314" s="2720">
        <f t="shared" si="175"/>
        <v>0</v>
      </c>
      <c r="BT314" s="2772">
        <f t="shared" si="176"/>
        <v>0</v>
      </c>
    </row>
    <row r="315" spans="1:72">
      <c r="A315" s="2717"/>
      <c r="B315" s="2718"/>
      <c r="C315" s="2718"/>
      <c r="D315" s="2719"/>
      <c r="E315" s="2720">
        <f t="shared" si="177"/>
        <v>0</v>
      </c>
      <c r="F315" s="2721"/>
      <c r="G315" s="2722">
        <f t="shared" si="152"/>
        <v>0</v>
      </c>
      <c r="H315" s="2723">
        <f t="shared" si="153"/>
        <v>0</v>
      </c>
      <c r="I315" s="2730"/>
      <c r="J315" s="2730"/>
      <c r="K315" s="2730"/>
      <c r="L315" s="2730"/>
      <c r="M315" s="2730"/>
      <c r="N315" s="2730"/>
      <c r="O315" s="2730"/>
      <c r="P315" s="2730"/>
      <c r="Q315" s="2730"/>
      <c r="R315" s="2730"/>
      <c r="S315" s="2730"/>
      <c r="T315" s="2730"/>
      <c r="U315" s="2730"/>
      <c r="V315" s="2730"/>
      <c r="W315" s="2730"/>
      <c r="X315" s="2730"/>
      <c r="Y315" s="2730"/>
      <c r="Z315" s="2730"/>
      <c r="AA315" s="2730"/>
      <c r="AB315" s="2730"/>
      <c r="AC315" s="2720">
        <f t="shared" si="154"/>
        <v>0</v>
      </c>
      <c r="AD315" s="2740"/>
      <c r="AE315" s="2740"/>
      <c r="AF315" s="2740"/>
      <c r="AG315" s="2740"/>
      <c r="AH315" s="2740"/>
      <c r="AI315" s="2740"/>
      <c r="AJ315" s="2740"/>
      <c r="AK315" s="2740"/>
      <c r="AL315" s="2740"/>
      <c r="AM315" s="2740"/>
      <c r="AN315" s="2740"/>
      <c r="AO315" s="2740"/>
      <c r="AP315" s="2740"/>
      <c r="AQ315" s="2740"/>
      <c r="AR315" s="2740"/>
      <c r="AS315" s="2740"/>
      <c r="AT315" s="2750"/>
      <c r="AU315" s="2751"/>
      <c r="AV315" s="1092">
        <f t="shared" si="178"/>
        <v>0</v>
      </c>
      <c r="AW315" s="1092">
        <f t="shared" si="179"/>
        <v>0</v>
      </c>
      <c r="AX315" s="1092">
        <f t="shared" si="180"/>
        <v>0</v>
      </c>
      <c r="AY315" s="2765">
        <f t="shared" si="155"/>
        <v>0</v>
      </c>
      <c r="AZ315" s="2720">
        <f t="shared" si="156"/>
        <v>0</v>
      </c>
      <c r="BA315" s="2720">
        <f t="shared" si="157"/>
        <v>0</v>
      </c>
      <c r="BB315" s="2720">
        <f t="shared" si="158"/>
        <v>0</v>
      </c>
      <c r="BC315" s="2720">
        <f t="shared" si="159"/>
        <v>0</v>
      </c>
      <c r="BD315" s="2720">
        <f t="shared" si="160"/>
        <v>0</v>
      </c>
      <c r="BE315" s="2720">
        <f t="shared" si="161"/>
        <v>0</v>
      </c>
      <c r="BF315" s="2720">
        <f t="shared" si="162"/>
        <v>0</v>
      </c>
      <c r="BG315" s="2720">
        <f t="shared" si="163"/>
        <v>0</v>
      </c>
      <c r="BH315" s="2720">
        <f t="shared" si="164"/>
        <v>0</v>
      </c>
      <c r="BI315" s="2720">
        <f t="shared" si="165"/>
        <v>0</v>
      </c>
      <c r="BJ315" s="2720">
        <f t="shared" si="166"/>
        <v>0</v>
      </c>
      <c r="BK315" s="2720">
        <f t="shared" si="167"/>
        <v>0</v>
      </c>
      <c r="BL315" s="2720">
        <f t="shared" si="168"/>
        <v>0</v>
      </c>
      <c r="BM315" s="2720">
        <f t="shared" si="169"/>
        <v>0</v>
      </c>
      <c r="BN315" s="2720">
        <f t="shared" si="170"/>
        <v>0</v>
      </c>
      <c r="BO315" s="2720">
        <f t="shared" si="171"/>
        <v>0</v>
      </c>
      <c r="BP315" s="2720">
        <f t="shared" si="172"/>
        <v>0</v>
      </c>
      <c r="BQ315" s="2720">
        <f t="shared" si="173"/>
        <v>0</v>
      </c>
      <c r="BR315" s="2720">
        <f t="shared" si="174"/>
        <v>0</v>
      </c>
      <c r="BS315" s="2720">
        <f t="shared" si="175"/>
        <v>0</v>
      </c>
      <c r="BT315" s="2772">
        <f t="shared" si="176"/>
        <v>0</v>
      </c>
    </row>
    <row r="316" spans="1:72">
      <c r="A316" s="2717"/>
      <c r="B316" s="2718"/>
      <c r="C316" s="2718"/>
      <c r="D316" s="2719"/>
      <c r="E316" s="2720">
        <f t="shared" si="177"/>
        <v>0</v>
      </c>
      <c r="F316" s="2721"/>
      <c r="G316" s="2722">
        <f t="shared" si="152"/>
        <v>0</v>
      </c>
      <c r="H316" s="2723">
        <f t="shared" si="153"/>
        <v>0</v>
      </c>
      <c r="I316" s="2730"/>
      <c r="J316" s="2730"/>
      <c r="K316" s="2730"/>
      <c r="L316" s="2730"/>
      <c r="M316" s="2730"/>
      <c r="N316" s="2730"/>
      <c r="O316" s="2730"/>
      <c r="P316" s="2730"/>
      <c r="Q316" s="2730"/>
      <c r="R316" s="2730"/>
      <c r="S316" s="2730"/>
      <c r="T316" s="2730"/>
      <c r="U316" s="2730"/>
      <c r="V316" s="2730"/>
      <c r="W316" s="2730"/>
      <c r="X316" s="2730"/>
      <c r="Y316" s="2730"/>
      <c r="Z316" s="2730"/>
      <c r="AA316" s="2730"/>
      <c r="AB316" s="2730"/>
      <c r="AC316" s="2720">
        <f t="shared" si="154"/>
        <v>0</v>
      </c>
      <c r="AD316" s="2740"/>
      <c r="AE316" s="2740"/>
      <c r="AF316" s="2740"/>
      <c r="AG316" s="2740"/>
      <c r="AH316" s="2740"/>
      <c r="AI316" s="2740"/>
      <c r="AJ316" s="2740"/>
      <c r="AK316" s="2740"/>
      <c r="AL316" s="2740"/>
      <c r="AM316" s="2740"/>
      <c r="AN316" s="2740"/>
      <c r="AO316" s="2740"/>
      <c r="AP316" s="2740"/>
      <c r="AQ316" s="2740"/>
      <c r="AR316" s="2740"/>
      <c r="AS316" s="2740"/>
      <c r="AT316" s="2750"/>
      <c r="AU316" s="2751"/>
      <c r="AV316" s="1092">
        <f t="shared" si="178"/>
        <v>0</v>
      </c>
      <c r="AW316" s="1092">
        <f t="shared" si="179"/>
        <v>0</v>
      </c>
      <c r="AX316" s="1092">
        <f t="shared" si="180"/>
        <v>0</v>
      </c>
      <c r="AY316" s="2765">
        <f t="shared" si="155"/>
        <v>0</v>
      </c>
      <c r="AZ316" s="2720">
        <f t="shared" si="156"/>
        <v>0</v>
      </c>
      <c r="BA316" s="2720">
        <f t="shared" si="157"/>
        <v>0</v>
      </c>
      <c r="BB316" s="2720">
        <f t="shared" si="158"/>
        <v>0</v>
      </c>
      <c r="BC316" s="2720">
        <f t="shared" si="159"/>
        <v>0</v>
      </c>
      <c r="BD316" s="2720">
        <f t="shared" si="160"/>
        <v>0</v>
      </c>
      <c r="BE316" s="2720">
        <f t="shared" si="161"/>
        <v>0</v>
      </c>
      <c r="BF316" s="2720">
        <f t="shared" si="162"/>
        <v>0</v>
      </c>
      <c r="BG316" s="2720">
        <f t="shared" si="163"/>
        <v>0</v>
      </c>
      <c r="BH316" s="2720">
        <f t="shared" si="164"/>
        <v>0</v>
      </c>
      <c r="BI316" s="2720">
        <f t="shared" si="165"/>
        <v>0</v>
      </c>
      <c r="BJ316" s="2720">
        <f t="shared" si="166"/>
        <v>0</v>
      </c>
      <c r="BK316" s="2720">
        <f t="shared" si="167"/>
        <v>0</v>
      </c>
      <c r="BL316" s="2720">
        <f t="shared" si="168"/>
        <v>0</v>
      </c>
      <c r="BM316" s="2720">
        <f t="shared" si="169"/>
        <v>0</v>
      </c>
      <c r="BN316" s="2720">
        <f t="shared" si="170"/>
        <v>0</v>
      </c>
      <c r="BO316" s="2720">
        <f t="shared" si="171"/>
        <v>0</v>
      </c>
      <c r="BP316" s="2720">
        <f t="shared" si="172"/>
        <v>0</v>
      </c>
      <c r="BQ316" s="2720">
        <f t="shared" si="173"/>
        <v>0</v>
      </c>
      <c r="BR316" s="2720">
        <f t="shared" si="174"/>
        <v>0</v>
      </c>
      <c r="BS316" s="2720">
        <f t="shared" si="175"/>
        <v>0</v>
      </c>
      <c r="BT316" s="2772">
        <f t="shared" si="176"/>
        <v>0</v>
      </c>
    </row>
    <row r="317" spans="1:72">
      <c r="A317" s="2717"/>
      <c r="B317" s="2718"/>
      <c r="C317" s="2718"/>
      <c r="D317" s="2719"/>
      <c r="E317" s="2720">
        <f t="shared" si="177"/>
        <v>0</v>
      </c>
      <c r="F317" s="2721"/>
      <c r="G317" s="2722">
        <f t="shared" si="152"/>
        <v>0</v>
      </c>
      <c r="H317" s="2723">
        <f t="shared" si="153"/>
        <v>0</v>
      </c>
      <c r="I317" s="2730"/>
      <c r="J317" s="2730"/>
      <c r="K317" s="2730"/>
      <c r="L317" s="2730"/>
      <c r="M317" s="2730"/>
      <c r="N317" s="2730"/>
      <c r="O317" s="2730"/>
      <c r="P317" s="2730"/>
      <c r="Q317" s="2730"/>
      <c r="R317" s="2730"/>
      <c r="S317" s="2730"/>
      <c r="T317" s="2730"/>
      <c r="U317" s="2730"/>
      <c r="V317" s="2730"/>
      <c r="W317" s="2730"/>
      <c r="X317" s="2730"/>
      <c r="Y317" s="2730"/>
      <c r="Z317" s="2730"/>
      <c r="AA317" s="2730"/>
      <c r="AB317" s="2730"/>
      <c r="AC317" s="2720">
        <f t="shared" si="154"/>
        <v>0</v>
      </c>
      <c r="AD317" s="2740"/>
      <c r="AE317" s="2740"/>
      <c r="AF317" s="2740"/>
      <c r="AG317" s="2740"/>
      <c r="AH317" s="2740"/>
      <c r="AI317" s="2740"/>
      <c r="AJ317" s="2740"/>
      <c r="AK317" s="2740"/>
      <c r="AL317" s="2740"/>
      <c r="AM317" s="2740"/>
      <c r="AN317" s="2740"/>
      <c r="AO317" s="2740"/>
      <c r="AP317" s="2740"/>
      <c r="AQ317" s="2740"/>
      <c r="AR317" s="2740"/>
      <c r="AS317" s="2740"/>
      <c r="AT317" s="2750"/>
      <c r="AU317" s="2751"/>
      <c r="AV317" s="1092">
        <f t="shared" si="178"/>
        <v>0</v>
      </c>
      <c r="AW317" s="1092">
        <f t="shared" si="179"/>
        <v>0</v>
      </c>
      <c r="AX317" s="1092">
        <f t="shared" si="180"/>
        <v>0</v>
      </c>
      <c r="AY317" s="2765">
        <f t="shared" si="155"/>
        <v>0</v>
      </c>
      <c r="AZ317" s="2720">
        <f t="shared" si="156"/>
        <v>0</v>
      </c>
      <c r="BA317" s="2720">
        <f t="shared" si="157"/>
        <v>0</v>
      </c>
      <c r="BB317" s="2720">
        <f t="shared" si="158"/>
        <v>0</v>
      </c>
      <c r="BC317" s="2720">
        <f t="shared" si="159"/>
        <v>0</v>
      </c>
      <c r="BD317" s="2720">
        <f t="shared" si="160"/>
        <v>0</v>
      </c>
      <c r="BE317" s="2720">
        <f t="shared" si="161"/>
        <v>0</v>
      </c>
      <c r="BF317" s="2720">
        <f t="shared" si="162"/>
        <v>0</v>
      </c>
      <c r="BG317" s="2720">
        <f t="shared" si="163"/>
        <v>0</v>
      </c>
      <c r="BH317" s="2720">
        <f t="shared" si="164"/>
        <v>0</v>
      </c>
      <c r="BI317" s="2720">
        <f t="shared" si="165"/>
        <v>0</v>
      </c>
      <c r="BJ317" s="2720">
        <f t="shared" si="166"/>
        <v>0</v>
      </c>
      <c r="BK317" s="2720">
        <f t="shared" si="167"/>
        <v>0</v>
      </c>
      <c r="BL317" s="2720">
        <f t="shared" si="168"/>
        <v>0</v>
      </c>
      <c r="BM317" s="2720">
        <f t="shared" si="169"/>
        <v>0</v>
      </c>
      <c r="BN317" s="2720">
        <f t="shared" si="170"/>
        <v>0</v>
      </c>
      <c r="BO317" s="2720">
        <f t="shared" si="171"/>
        <v>0</v>
      </c>
      <c r="BP317" s="2720">
        <f t="shared" si="172"/>
        <v>0</v>
      </c>
      <c r="BQ317" s="2720">
        <f t="shared" si="173"/>
        <v>0</v>
      </c>
      <c r="BR317" s="2720">
        <f t="shared" si="174"/>
        <v>0</v>
      </c>
      <c r="BS317" s="2720">
        <f t="shared" si="175"/>
        <v>0</v>
      </c>
      <c r="BT317" s="2772">
        <f t="shared" si="176"/>
        <v>0</v>
      </c>
    </row>
    <row r="318" spans="1:72">
      <c r="A318" s="2717"/>
      <c r="B318" s="2718"/>
      <c r="C318" s="2718"/>
      <c r="D318" s="2719"/>
      <c r="E318" s="2720">
        <f t="shared" si="177"/>
        <v>0</v>
      </c>
      <c r="F318" s="2721"/>
      <c r="G318" s="2722">
        <f t="shared" si="152"/>
        <v>0</v>
      </c>
      <c r="H318" s="2723">
        <f t="shared" si="153"/>
        <v>0</v>
      </c>
      <c r="I318" s="2730"/>
      <c r="J318" s="2730"/>
      <c r="K318" s="2730"/>
      <c r="L318" s="2730"/>
      <c r="M318" s="2730"/>
      <c r="N318" s="2730"/>
      <c r="O318" s="2730"/>
      <c r="P318" s="2730"/>
      <c r="Q318" s="2730"/>
      <c r="R318" s="2730"/>
      <c r="S318" s="2730"/>
      <c r="T318" s="2730"/>
      <c r="U318" s="2730"/>
      <c r="V318" s="2730"/>
      <c r="W318" s="2730"/>
      <c r="X318" s="2730"/>
      <c r="Y318" s="2730"/>
      <c r="Z318" s="2730"/>
      <c r="AA318" s="2730"/>
      <c r="AB318" s="2730"/>
      <c r="AC318" s="2720">
        <f t="shared" si="154"/>
        <v>0</v>
      </c>
      <c r="AD318" s="2740"/>
      <c r="AE318" s="2740"/>
      <c r="AF318" s="2740"/>
      <c r="AG318" s="2740"/>
      <c r="AH318" s="2740"/>
      <c r="AI318" s="2740"/>
      <c r="AJ318" s="2740"/>
      <c r="AK318" s="2740"/>
      <c r="AL318" s="2740"/>
      <c r="AM318" s="2740"/>
      <c r="AN318" s="2740"/>
      <c r="AO318" s="2740"/>
      <c r="AP318" s="2740"/>
      <c r="AQ318" s="2740"/>
      <c r="AR318" s="2740"/>
      <c r="AS318" s="2740"/>
      <c r="AT318" s="2750"/>
      <c r="AU318" s="2751"/>
      <c r="AV318" s="1092">
        <f t="shared" si="178"/>
        <v>0</v>
      </c>
      <c r="AW318" s="1092">
        <f t="shared" si="179"/>
        <v>0</v>
      </c>
      <c r="AX318" s="1092">
        <f t="shared" si="180"/>
        <v>0</v>
      </c>
      <c r="AY318" s="2765">
        <f t="shared" si="155"/>
        <v>0</v>
      </c>
      <c r="AZ318" s="2720">
        <f t="shared" si="156"/>
        <v>0</v>
      </c>
      <c r="BA318" s="2720">
        <f t="shared" si="157"/>
        <v>0</v>
      </c>
      <c r="BB318" s="2720">
        <f t="shared" si="158"/>
        <v>0</v>
      </c>
      <c r="BC318" s="2720">
        <f t="shared" si="159"/>
        <v>0</v>
      </c>
      <c r="BD318" s="2720">
        <f t="shared" si="160"/>
        <v>0</v>
      </c>
      <c r="BE318" s="2720">
        <f t="shared" si="161"/>
        <v>0</v>
      </c>
      <c r="BF318" s="2720">
        <f t="shared" si="162"/>
        <v>0</v>
      </c>
      <c r="BG318" s="2720">
        <f t="shared" si="163"/>
        <v>0</v>
      </c>
      <c r="BH318" s="2720">
        <f t="shared" si="164"/>
        <v>0</v>
      </c>
      <c r="BI318" s="2720">
        <f t="shared" si="165"/>
        <v>0</v>
      </c>
      <c r="BJ318" s="2720">
        <f t="shared" si="166"/>
        <v>0</v>
      </c>
      <c r="BK318" s="2720">
        <f t="shared" si="167"/>
        <v>0</v>
      </c>
      <c r="BL318" s="2720">
        <f t="shared" si="168"/>
        <v>0</v>
      </c>
      <c r="BM318" s="2720">
        <f t="shared" si="169"/>
        <v>0</v>
      </c>
      <c r="BN318" s="2720">
        <f t="shared" si="170"/>
        <v>0</v>
      </c>
      <c r="BO318" s="2720">
        <f t="shared" si="171"/>
        <v>0</v>
      </c>
      <c r="BP318" s="2720">
        <f t="shared" si="172"/>
        <v>0</v>
      </c>
      <c r="BQ318" s="2720">
        <f t="shared" si="173"/>
        <v>0</v>
      </c>
      <c r="BR318" s="2720">
        <f t="shared" si="174"/>
        <v>0</v>
      </c>
      <c r="BS318" s="2720">
        <f t="shared" si="175"/>
        <v>0</v>
      </c>
      <c r="BT318" s="2772">
        <f t="shared" si="176"/>
        <v>0</v>
      </c>
    </row>
    <row r="319" spans="1:72">
      <c r="A319" s="2717"/>
      <c r="B319" s="2718"/>
      <c r="C319" s="2718"/>
      <c r="D319" s="2719"/>
      <c r="E319" s="2720">
        <f t="shared" si="177"/>
        <v>0</v>
      </c>
      <c r="F319" s="2721"/>
      <c r="G319" s="2722">
        <f t="shared" si="152"/>
        <v>0</v>
      </c>
      <c r="H319" s="2723">
        <f t="shared" si="153"/>
        <v>0</v>
      </c>
      <c r="I319" s="2730"/>
      <c r="J319" s="2730"/>
      <c r="K319" s="2730"/>
      <c r="L319" s="2730"/>
      <c r="M319" s="2730"/>
      <c r="N319" s="2730"/>
      <c r="O319" s="2730"/>
      <c r="P319" s="2730"/>
      <c r="Q319" s="2730"/>
      <c r="R319" s="2730"/>
      <c r="S319" s="2730"/>
      <c r="T319" s="2730"/>
      <c r="U319" s="2730"/>
      <c r="V319" s="2730"/>
      <c r="W319" s="2730"/>
      <c r="X319" s="2730"/>
      <c r="Y319" s="2730"/>
      <c r="Z319" s="2730"/>
      <c r="AA319" s="2730"/>
      <c r="AB319" s="2730"/>
      <c r="AC319" s="2720">
        <f t="shared" si="154"/>
        <v>0</v>
      </c>
      <c r="AD319" s="2740"/>
      <c r="AE319" s="2740"/>
      <c r="AF319" s="2740"/>
      <c r="AG319" s="2740"/>
      <c r="AH319" s="2740"/>
      <c r="AI319" s="2740"/>
      <c r="AJ319" s="2740"/>
      <c r="AK319" s="2740"/>
      <c r="AL319" s="2740"/>
      <c r="AM319" s="2740"/>
      <c r="AN319" s="2740"/>
      <c r="AO319" s="2740"/>
      <c r="AP319" s="2740"/>
      <c r="AQ319" s="2740"/>
      <c r="AR319" s="2740"/>
      <c r="AS319" s="2740"/>
      <c r="AT319" s="2750"/>
      <c r="AU319" s="2751"/>
      <c r="AV319" s="1092">
        <f t="shared" si="178"/>
        <v>0</v>
      </c>
      <c r="AW319" s="1092">
        <f t="shared" si="179"/>
        <v>0</v>
      </c>
      <c r="AX319" s="1092">
        <f t="shared" si="180"/>
        <v>0</v>
      </c>
      <c r="AY319" s="2765">
        <f t="shared" si="155"/>
        <v>0</v>
      </c>
      <c r="AZ319" s="2720">
        <f t="shared" si="156"/>
        <v>0</v>
      </c>
      <c r="BA319" s="2720">
        <f t="shared" si="157"/>
        <v>0</v>
      </c>
      <c r="BB319" s="2720">
        <f t="shared" si="158"/>
        <v>0</v>
      </c>
      <c r="BC319" s="2720">
        <f t="shared" si="159"/>
        <v>0</v>
      </c>
      <c r="BD319" s="2720">
        <f t="shared" si="160"/>
        <v>0</v>
      </c>
      <c r="BE319" s="2720">
        <f t="shared" si="161"/>
        <v>0</v>
      </c>
      <c r="BF319" s="2720">
        <f t="shared" si="162"/>
        <v>0</v>
      </c>
      <c r="BG319" s="2720">
        <f t="shared" si="163"/>
        <v>0</v>
      </c>
      <c r="BH319" s="2720">
        <f t="shared" si="164"/>
        <v>0</v>
      </c>
      <c r="BI319" s="2720">
        <f t="shared" si="165"/>
        <v>0</v>
      </c>
      <c r="BJ319" s="2720">
        <f t="shared" si="166"/>
        <v>0</v>
      </c>
      <c r="BK319" s="2720">
        <f t="shared" si="167"/>
        <v>0</v>
      </c>
      <c r="BL319" s="2720">
        <f t="shared" si="168"/>
        <v>0</v>
      </c>
      <c r="BM319" s="2720">
        <f t="shared" si="169"/>
        <v>0</v>
      </c>
      <c r="BN319" s="2720">
        <f t="shared" si="170"/>
        <v>0</v>
      </c>
      <c r="BO319" s="2720">
        <f t="shared" si="171"/>
        <v>0</v>
      </c>
      <c r="BP319" s="2720">
        <f t="shared" si="172"/>
        <v>0</v>
      </c>
      <c r="BQ319" s="2720">
        <f t="shared" si="173"/>
        <v>0</v>
      </c>
      <c r="BR319" s="2720">
        <f t="shared" si="174"/>
        <v>0</v>
      </c>
      <c r="BS319" s="2720">
        <f t="shared" si="175"/>
        <v>0</v>
      </c>
      <c r="BT319" s="2772">
        <f t="shared" si="176"/>
        <v>0</v>
      </c>
    </row>
    <row r="320" spans="1:72">
      <c r="A320" s="2717"/>
      <c r="B320" s="2718"/>
      <c r="C320" s="2718"/>
      <c r="D320" s="2719"/>
      <c r="E320" s="2720">
        <f t="shared" si="177"/>
        <v>0</v>
      </c>
      <c r="F320" s="2721"/>
      <c r="G320" s="2722">
        <f t="shared" si="152"/>
        <v>0</v>
      </c>
      <c r="H320" s="2723">
        <f t="shared" si="153"/>
        <v>0</v>
      </c>
      <c r="I320" s="2730"/>
      <c r="J320" s="2730"/>
      <c r="K320" s="2730"/>
      <c r="L320" s="2730"/>
      <c r="M320" s="2730"/>
      <c r="N320" s="2730"/>
      <c r="O320" s="2730"/>
      <c r="P320" s="2730"/>
      <c r="Q320" s="2730"/>
      <c r="R320" s="2730"/>
      <c r="S320" s="2730"/>
      <c r="T320" s="2730"/>
      <c r="U320" s="2730"/>
      <c r="V320" s="2730"/>
      <c r="W320" s="2730"/>
      <c r="X320" s="2730"/>
      <c r="Y320" s="2730"/>
      <c r="Z320" s="2730"/>
      <c r="AA320" s="2730"/>
      <c r="AB320" s="2730"/>
      <c r="AC320" s="2720">
        <f t="shared" si="154"/>
        <v>0</v>
      </c>
      <c r="AD320" s="2740"/>
      <c r="AE320" s="2740"/>
      <c r="AF320" s="2740"/>
      <c r="AG320" s="2740"/>
      <c r="AH320" s="2740"/>
      <c r="AI320" s="2740"/>
      <c r="AJ320" s="2740"/>
      <c r="AK320" s="2740"/>
      <c r="AL320" s="2740"/>
      <c r="AM320" s="2740"/>
      <c r="AN320" s="2740"/>
      <c r="AO320" s="2740"/>
      <c r="AP320" s="2740"/>
      <c r="AQ320" s="2740"/>
      <c r="AR320" s="2740"/>
      <c r="AS320" s="2740"/>
      <c r="AT320" s="2750"/>
      <c r="AU320" s="2751"/>
      <c r="AV320" s="1092">
        <f t="shared" si="178"/>
        <v>0</v>
      </c>
      <c r="AW320" s="1092">
        <f t="shared" si="179"/>
        <v>0</v>
      </c>
      <c r="AX320" s="1092">
        <f t="shared" si="180"/>
        <v>0</v>
      </c>
      <c r="AY320" s="2765">
        <f t="shared" si="155"/>
        <v>0</v>
      </c>
      <c r="AZ320" s="2720">
        <f t="shared" si="156"/>
        <v>0</v>
      </c>
      <c r="BA320" s="2720">
        <f t="shared" si="157"/>
        <v>0</v>
      </c>
      <c r="BB320" s="2720">
        <f t="shared" si="158"/>
        <v>0</v>
      </c>
      <c r="BC320" s="2720">
        <f t="shared" si="159"/>
        <v>0</v>
      </c>
      <c r="BD320" s="2720">
        <f t="shared" si="160"/>
        <v>0</v>
      </c>
      <c r="BE320" s="2720">
        <f t="shared" si="161"/>
        <v>0</v>
      </c>
      <c r="BF320" s="2720">
        <f t="shared" si="162"/>
        <v>0</v>
      </c>
      <c r="BG320" s="2720">
        <f t="shared" si="163"/>
        <v>0</v>
      </c>
      <c r="BH320" s="2720">
        <f t="shared" si="164"/>
        <v>0</v>
      </c>
      <c r="BI320" s="2720">
        <f t="shared" si="165"/>
        <v>0</v>
      </c>
      <c r="BJ320" s="2720">
        <f t="shared" si="166"/>
        <v>0</v>
      </c>
      <c r="BK320" s="2720">
        <f t="shared" si="167"/>
        <v>0</v>
      </c>
      <c r="BL320" s="2720">
        <f t="shared" si="168"/>
        <v>0</v>
      </c>
      <c r="BM320" s="2720">
        <f t="shared" si="169"/>
        <v>0</v>
      </c>
      <c r="BN320" s="2720">
        <f t="shared" si="170"/>
        <v>0</v>
      </c>
      <c r="BO320" s="2720">
        <f t="shared" si="171"/>
        <v>0</v>
      </c>
      <c r="BP320" s="2720">
        <f t="shared" si="172"/>
        <v>0</v>
      </c>
      <c r="BQ320" s="2720">
        <f t="shared" si="173"/>
        <v>0</v>
      </c>
      <c r="BR320" s="2720">
        <f t="shared" si="174"/>
        <v>0</v>
      </c>
      <c r="BS320" s="2720">
        <f t="shared" si="175"/>
        <v>0</v>
      </c>
      <c r="BT320" s="2772">
        <f t="shared" si="176"/>
        <v>0</v>
      </c>
    </row>
    <row r="321" spans="1:72">
      <c r="A321" s="2717"/>
      <c r="B321" s="2718"/>
      <c r="C321" s="2718"/>
      <c r="D321" s="2719"/>
      <c r="E321" s="2720">
        <f t="shared" si="177"/>
        <v>0</v>
      </c>
      <c r="F321" s="2721"/>
      <c r="G321" s="2722">
        <f t="shared" si="152"/>
        <v>0</v>
      </c>
      <c r="H321" s="2723">
        <f t="shared" si="153"/>
        <v>0</v>
      </c>
      <c r="I321" s="2730"/>
      <c r="J321" s="2730"/>
      <c r="K321" s="2730"/>
      <c r="L321" s="2730"/>
      <c r="M321" s="2730"/>
      <c r="N321" s="2730"/>
      <c r="O321" s="2730"/>
      <c r="P321" s="2730"/>
      <c r="Q321" s="2730"/>
      <c r="R321" s="2730"/>
      <c r="S321" s="2730"/>
      <c r="T321" s="2730"/>
      <c r="U321" s="2730"/>
      <c r="V321" s="2730"/>
      <c r="W321" s="2730"/>
      <c r="X321" s="2730"/>
      <c r="Y321" s="2730"/>
      <c r="Z321" s="2730"/>
      <c r="AA321" s="2730"/>
      <c r="AB321" s="2730"/>
      <c r="AC321" s="2720">
        <f t="shared" si="154"/>
        <v>0</v>
      </c>
      <c r="AD321" s="2740"/>
      <c r="AE321" s="2740"/>
      <c r="AF321" s="2740"/>
      <c r="AG321" s="2740"/>
      <c r="AH321" s="2740"/>
      <c r="AI321" s="2740"/>
      <c r="AJ321" s="2740"/>
      <c r="AK321" s="2740"/>
      <c r="AL321" s="2740"/>
      <c r="AM321" s="2740"/>
      <c r="AN321" s="2740"/>
      <c r="AO321" s="2740"/>
      <c r="AP321" s="2740"/>
      <c r="AQ321" s="2740"/>
      <c r="AR321" s="2740"/>
      <c r="AS321" s="2740"/>
      <c r="AT321" s="2750"/>
      <c r="AU321" s="2751"/>
      <c r="AV321" s="1092">
        <f t="shared" si="178"/>
        <v>0</v>
      </c>
      <c r="AW321" s="1092">
        <f t="shared" si="179"/>
        <v>0</v>
      </c>
      <c r="AX321" s="1092">
        <f t="shared" si="180"/>
        <v>0</v>
      </c>
      <c r="AY321" s="2765">
        <f t="shared" si="155"/>
        <v>0</v>
      </c>
      <c r="AZ321" s="2720">
        <f t="shared" si="156"/>
        <v>0</v>
      </c>
      <c r="BA321" s="2720">
        <f t="shared" si="157"/>
        <v>0</v>
      </c>
      <c r="BB321" s="2720">
        <f t="shared" si="158"/>
        <v>0</v>
      </c>
      <c r="BC321" s="2720">
        <f t="shared" si="159"/>
        <v>0</v>
      </c>
      <c r="BD321" s="2720">
        <f t="shared" si="160"/>
        <v>0</v>
      </c>
      <c r="BE321" s="2720">
        <f t="shared" si="161"/>
        <v>0</v>
      </c>
      <c r="BF321" s="2720">
        <f t="shared" si="162"/>
        <v>0</v>
      </c>
      <c r="BG321" s="2720">
        <f t="shared" si="163"/>
        <v>0</v>
      </c>
      <c r="BH321" s="2720">
        <f t="shared" si="164"/>
        <v>0</v>
      </c>
      <c r="BI321" s="2720">
        <f t="shared" si="165"/>
        <v>0</v>
      </c>
      <c r="BJ321" s="2720">
        <f t="shared" si="166"/>
        <v>0</v>
      </c>
      <c r="BK321" s="2720">
        <f t="shared" si="167"/>
        <v>0</v>
      </c>
      <c r="BL321" s="2720">
        <f t="shared" si="168"/>
        <v>0</v>
      </c>
      <c r="BM321" s="2720">
        <f t="shared" si="169"/>
        <v>0</v>
      </c>
      <c r="BN321" s="2720">
        <f t="shared" si="170"/>
        <v>0</v>
      </c>
      <c r="BO321" s="2720">
        <f t="shared" si="171"/>
        <v>0</v>
      </c>
      <c r="BP321" s="2720">
        <f t="shared" si="172"/>
        <v>0</v>
      </c>
      <c r="BQ321" s="2720">
        <f t="shared" si="173"/>
        <v>0</v>
      </c>
      <c r="BR321" s="2720">
        <f t="shared" si="174"/>
        <v>0</v>
      </c>
      <c r="BS321" s="2720">
        <f t="shared" si="175"/>
        <v>0</v>
      </c>
      <c r="BT321" s="2772">
        <f t="shared" si="176"/>
        <v>0</v>
      </c>
    </row>
    <row r="322" spans="1:72">
      <c r="A322" s="2717"/>
      <c r="B322" s="2718"/>
      <c r="C322" s="2718"/>
      <c r="D322" s="2719"/>
      <c r="E322" s="2720">
        <f t="shared" si="177"/>
        <v>0</v>
      </c>
      <c r="F322" s="2721"/>
      <c r="G322" s="2722">
        <f t="shared" si="152"/>
        <v>0</v>
      </c>
      <c r="H322" s="2723">
        <f t="shared" si="153"/>
        <v>0</v>
      </c>
      <c r="I322" s="2730"/>
      <c r="J322" s="2730"/>
      <c r="K322" s="2730"/>
      <c r="L322" s="2730"/>
      <c r="M322" s="2730"/>
      <c r="N322" s="2730"/>
      <c r="O322" s="2730"/>
      <c r="P322" s="2730"/>
      <c r="Q322" s="2730"/>
      <c r="R322" s="2730"/>
      <c r="S322" s="2730"/>
      <c r="T322" s="2730"/>
      <c r="U322" s="2730"/>
      <c r="V322" s="2730"/>
      <c r="W322" s="2730"/>
      <c r="X322" s="2730"/>
      <c r="Y322" s="2730"/>
      <c r="Z322" s="2730"/>
      <c r="AA322" s="2730"/>
      <c r="AB322" s="2730"/>
      <c r="AC322" s="2720">
        <f t="shared" si="154"/>
        <v>0</v>
      </c>
      <c r="AD322" s="2740"/>
      <c r="AE322" s="2740"/>
      <c r="AF322" s="2740"/>
      <c r="AG322" s="2740"/>
      <c r="AH322" s="2740"/>
      <c r="AI322" s="2740"/>
      <c r="AJ322" s="2740"/>
      <c r="AK322" s="2740"/>
      <c r="AL322" s="2740"/>
      <c r="AM322" s="2740"/>
      <c r="AN322" s="2740"/>
      <c r="AO322" s="2740"/>
      <c r="AP322" s="2740"/>
      <c r="AQ322" s="2740"/>
      <c r="AR322" s="2740"/>
      <c r="AS322" s="2740"/>
      <c r="AT322" s="2750"/>
      <c r="AU322" s="2751"/>
      <c r="AV322" s="1092">
        <f t="shared" si="178"/>
        <v>0</v>
      </c>
      <c r="AW322" s="1092">
        <f t="shared" si="179"/>
        <v>0</v>
      </c>
      <c r="AX322" s="1092">
        <f t="shared" si="180"/>
        <v>0</v>
      </c>
      <c r="AY322" s="2765">
        <f t="shared" si="155"/>
        <v>0</v>
      </c>
      <c r="AZ322" s="2720">
        <f t="shared" si="156"/>
        <v>0</v>
      </c>
      <c r="BA322" s="2720">
        <f t="shared" si="157"/>
        <v>0</v>
      </c>
      <c r="BB322" s="2720">
        <f t="shared" si="158"/>
        <v>0</v>
      </c>
      <c r="BC322" s="2720">
        <f t="shared" si="159"/>
        <v>0</v>
      </c>
      <c r="BD322" s="2720">
        <f t="shared" si="160"/>
        <v>0</v>
      </c>
      <c r="BE322" s="2720">
        <f t="shared" si="161"/>
        <v>0</v>
      </c>
      <c r="BF322" s="2720">
        <f t="shared" si="162"/>
        <v>0</v>
      </c>
      <c r="BG322" s="2720">
        <f t="shared" si="163"/>
        <v>0</v>
      </c>
      <c r="BH322" s="2720">
        <f t="shared" si="164"/>
        <v>0</v>
      </c>
      <c r="BI322" s="2720">
        <f t="shared" si="165"/>
        <v>0</v>
      </c>
      <c r="BJ322" s="2720">
        <f t="shared" si="166"/>
        <v>0</v>
      </c>
      <c r="BK322" s="2720">
        <f t="shared" si="167"/>
        <v>0</v>
      </c>
      <c r="BL322" s="2720">
        <f t="shared" si="168"/>
        <v>0</v>
      </c>
      <c r="BM322" s="2720">
        <f t="shared" si="169"/>
        <v>0</v>
      </c>
      <c r="BN322" s="2720">
        <f t="shared" si="170"/>
        <v>0</v>
      </c>
      <c r="BO322" s="2720">
        <f t="shared" si="171"/>
        <v>0</v>
      </c>
      <c r="BP322" s="2720">
        <f t="shared" si="172"/>
        <v>0</v>
      </c>
      <c r="BQ322" s="2720">
        <f t="shared" si="173"/>
        <v>0</v>
      </c>
      <c r="BR322" s="2720">
        <f t="shared" si="174"/>
        <v>0</v>
      </c>
      <c r="BS322" s="2720">
        <f t="shared" si="175"/>
        <v>0</v>
      </c>
      <c r="BT322" s="2772">
        <f t="shared" si="176"/>
        <v>0</v>
      </c>
    </row>
    <row r="323" spans="1:72">
      <c r="A323" s="2717"/>
      <c r="B323" s="2718"/>
      <c r="C323" s="2718"/>
      <c r="D323" s="2719"/>
      <c r="E323" s="2720">
        <f t="shared" si="177"/>
        <v>0</v>
      </c>
      <c r="F323" s="2721"/>
      <c r="G323" s="2722">
        <f t="shared" si="152"/>
        <v>0</v>
      </c>
      <c r="H323" s="2723">
        <f t="shared" si="153"/>
        <v>0</v>
      </c>
      <c r="I323" s="2730"/>
      <c r="J323" s="2730"/>
      <c r="K323" s="2730"/>
      <c r="L323" s="2730"/>
      <c r="M323" s="2730"/>
      <c r="N323" s="2730"/>
      <c r="O323" s="2730"/>
      <c r="P323" s="2730"/>
      <c r="Q323" s="2730"/>
      <c r="R323" s="2730"/>
      <c r="S323" s="2730"/>
      <c r="T323" s="2730"/>
      <c r="U323" s="2730"/>
      <c r="V323" s="2730"/>
      <c r="W323" s="2730"/>
      <c r="X323" s="2730"/>
      <c r="Y323" s="2730"/>
      <c r="Z323" s="2730"/>
      <c r="AA323" s="2730"/>
      <c r="AB323" s="2730"/>
      <c r="AC323" s="2720">
        <f t="shared" si="154"/>
        <v>0</v>
      </c>
      <c r="AD323" s="2740"/>
      <c r="AE323" s="2740"/>
      <c r="AF323" s="2740"/>
      <c r="AG323" s="2740"/>
      <c r="AH323" s="2740"/>
      <c r="AI323" s="2740"/>
      <c r="AJ323" s="2740"/>
      <c r="AK323" s="2740"/>
      <c r="AL323" s="2740"/>
      <c r="AM323" s="2740"/>
      <c r="AN323" s="2740"/>
      <c r="AO323" s="2740"/>
      <c r="AP323" s="2740"/>
      <c r="AQ323" s="2740"/>
      <c r="AR323" s="2740"/>
      <c r="AS323" s="2740"/>
      <c r="AT323" s="2750"/>
      <c r="AU323" s="2751"/>
      <c r="AV323" s="1092">
        <f t="shared" si="178"/>
        <v>0</v>
      </c>
      <c r="AW323" s="1092">
        <f t="shared" si="179"/>
        <v>0</v>
      </c>
      <c r="AX323" s="1092">
        <f t="shared" si="180"/>
        <v>0</v>
      </c>
      <c r="AY323" s="2765">
        <f t="shared" si="155"/>
        <v>0</v>
      </c>
      <c r="AZ323" s="2720">
        <f t="shared" si="156"/>
        <v>0</v>
      </c>
      <c r="BA323" s="2720">
        <f t="shared" si="157"/>
        <v>0</v>
      </c>
      <c r="BB323" s="2720">
        <f t="shared" si="158"/>
        <v>0</v>
      </c>
      <c r="BC323" s="2720">
        <f t="shared" si="159"/>
        <v>0</v>
      </c>
      <c r="BD323" s="2720">
        <f t="shared" si="160"/>
        <v>0</v>
      </c>
      <c r="BE323" s="2720">
        <f t="shared" si="161"/>
        <v>0</v>
      </c>
      <c r="BF323" s="2720">
        <f t="shared" si="162"/>
        <v>0</v>
      </c>
      <c r="BG323" s="2720">
        <f t="shared" si="163"/>
        <v>0</v>
      </c>
      <c r="BH323" s="2720">
        <f t="shared" si="164"/>
        <v>0</v>
      </c>
      <c r="BI323" s="2720">
        <f t="shared" si="165"/>
        <v>0</v>
      </c>
      <c r="BJ323" s="2720">
        <f t="shared" si="166"/>
        <v>0</v>
      </c>
      <c r="BK323" s="2720">
        <f t="shared" si="167"/>
        <v>0</v>
      </c>
      <c r="BL323" s="2720">
        <f t="shared" si="168"/>
        <v>0</v>
      </c>
      <c r="BM323" s="2720">
        <f t="shared" si="169"/>
        <v>0</v>
      </c>
      <c r="BN323" s="2720">
        <f t="shared" si="170"/>
        <v>0</v>
      </c>
      <c r="BO323" s="2720">
        <f t="shared" si="171"/>
        <v>0</v>
      </c>
      <c r="BP323" s="2720">
        <f t="shared" si="172"/>
        <v>0</v>
      </c>
      <c r="BQ323" s="2720">
        <f t="shared" si="173"/>
        <v>0</v>
      </c>
      <c r="BR323" s="2720">
        <f t="shared" si="174"/>
        <v>0</v>
      </c>
      <c r="BS323" s="2720">
        <f t="shared" si="175"/>
        <v>0</v>
      </c>
      <c r="BT323" s="2772">
        <f t="shared" si="176"/>
        <v>0</v>
      </c>
    </row>
    <row r="324" spans="1:72">
      <c r="A324" s="2717"/>
      <c r="B324" s="2718"/>
      <c r="C324" s="2718"/>
      <c r="D324" s="2719"/>
      <c r="E324" s="2720">
        <f t="shared" si="177"/>
        <v>0</v>
      </c>
      <c r="F324" s="2721"/>
      <c r="G324" s="2722">
        <f t="shared" si="152"/>
        <v>0</v>
      </c>
      <c r="H324" s="2723">
        <f t="shared" si="153"/>
        <v>0</v>
      </c>
      <c r="I324" s="2730"/>
      <c r="J324" s="2730"/>
      <c r="K324" s="2730"/>
      <c r="L324" s="2730"/>
      <c r="M324" s="2730"/>
      <c r="N324" s="2730"/>
      <c r="O324" s="2730"/>
      <c r="P324" s="2730"/>
      <c r="Q324" s="2730"/>
      <c r="R324" s="2730"/>
      <c r="S324" s="2730"/>
      <c r="T324" s="2730"/>
      <c r="U324" s="2730"/>
      <c r="V324" s="2730"/>
      <c r="W324" s="2730"/>
      <c r="X324" s="2730"/>
      <c r="Y324" s="2730"/>
      <c r="Z324" s="2730"/>
      <c r="AA324" s="2730"/>
      <c r="AB324" s="2730"/>
      <c r="AC324" s="2720">
        <f t="shared" si="154"/>
        <v>0</v>
      </c>
      <c r="AD324" s="2740"/>
      <c r="AE324" s="2740"/>
      <c r="AF324" s="2740"/>
      <c r="AG324" s="2740"/>
      <c r="AH324" s="2740"/>
      <c r="AI324" s="2740"/>
      <c r="AJ324" s="2740"/>
      <c r="AK324" s="2740"/>
      <c r="AL324" s="2740"/>
      <c r="AM324" s="2740"/>
      <c r="AN324" s="2740"/>
      <c r="AO324" s="2740"/>
      <c r="AP324" s="2740"/>
      <c r="AQ324" s="2740"/>
      <c r="AR324" s="2740"/>
      <c r="AS324" s="2740"/>
      <c r="AT324" s="2750"/>
      <c r="AU324" s="2751"/>
      <c r="AV324" s="1092">
        <f t="shared" si="178"/>
        <v>0</v>
      </c>
      <c r="AW324" s="1092">
        <f t="shared" si="179"/>
        <v>0</v>
      </c>
      <c r="AX324" s="1092">
        <f t="shared" si="180"/>
        <v>0</v>
      </c>
      <c r="AY324" s="2765">
        <f t="shared" si="155"/>
        <v>0</v>
      </c>
      <c r="AZ324" s="2720">
        <f t="shared" si="156"/>
        <v>0</v>
      </c>
      <c r="BA324" s="2720">
        <f t="shared" si="157"/>
        <v>0</v>
      </c>
      <c r="BB324" s="2720">
        <f t="shared" si="158"/>
        <v>0</v>
      </c>
      <c r="BC324" s="2720">
        <f t="shared" si="159"/>
        <v>0</v>
      </c>
      <c r="BD324" s="2720">
        <f t="shared" si="160"/>
        <v>0</v>
      </c>
      <c r="BE324" s="2720">
        <f t="shared" si="161"/>
        <v>0</v>
      </c>
      <c r="BF324" s="2720">
        <f t="shared" si="162"/>
        <v>0</v>
      </c>
      <c r="BG324" s="2720">
        <f t="shared" si="163"/>
        <v>0</v>
      </c>
      <c r="BH324" s="2720">
        <f t="shared" si="164"/>
        <v>0</v>
      </c>
      <c r="BI324" s="2720">
        <f t="shared" si="165"/>
        <v>0</v>
      </c>
      <c r="BJ324" s="2720">
        <f t="shared" si="166"/>
        <v>0</v>
      </c>
      <c r="BK324" s="2720">
        <f t="shared" si="167"/>
        <v>0</v>
      </c>
      <c r="BL324" s="2720">
        <f t="shared" si="168"/>
        <v>0</v>
      </c>
      <c r="BM324" s="2720">
        <f t="shared" si="169"/>
        <v>0</v>
      </c>
      <c r="BN324" s="2720">
        <f t="shared" si="170"/>
        <v>0</v>
      </c>
      <c r="BO324" s="2720">
        <f t="shared" si="171"/>
        <v>0</v>
      </c>
      <c r="BP324" s="2720">
        <f t="shared" si="172"/>
        <v>0</v>
      </c>
      <c r="BQ324" s="2720">
        <f t="shared" si="173"/>
        <v>0</v>
      </c>
      <c r="BR324" s="2720">
        <f t="shared" si="174"/>
        <v>0</v>
      </c>
      <c r="BS324" s="2720">
        <f t="shared" si="175"/>
        <v>0</v>
      </c>
      <c r="BT324" s="2772">
        <f t="shared" si="176"/>
        <v>0</v>
      </c>
    </row>
    <row r="325" spans="1:72">
      <c r="A325" s="2717"/>
      <c r="B325" s="2718"/>
      <c r="C325" s="2718"/>
      <c r="D325" s="2719"/>
      <c r="E325" s="2720">
        <f t="shared" si="177"/>
        <v>0</v>
      </c>
      <c r="F325" s="2721"/>
      <c r="G325" s="2722">
        <f t="shared" si="152"/>
        <v>0</v>
      </c>
      <c r="H325" s="2723">
        <f t="shared" si="153"/>
        <v>0</v>
      </c>
      <c r="I325" s="2730"/>
      <c r="J325" s="2730"/>
      <c r="K325" s="2730"/>
      <c r="L325" s="2730"/>
      <c r="M325" s="2730"/>
      <c r="N325" s="2730"/>
      <c r="O325" s="2730"/>
      <c r="P325" s="2730"/>
      <c r="Q325" s="2730"/>
      <c r="R325" s="2730"/>
      <c r="S325" s="2730"/>
      <c r="T325" s="2730"/>
      <c r="U325" s="2730"/>
      <c r="V325" s="2730"/>
      <c r="W325" s="2730"/>
      <c r="X325" s="2730"/>
      <c r="Y325" s="2730"/>
      <c r="Z325" s="2730"/>
      <c r="AA325" s="2730"/>
      <c r="AB325" s="2730"/>
      <c r="AC325" s="2720">
        <f t="shared" si="154"/>
        <v>0</v>
      </c>
      <c r="AD325" s="2740"/>
      <c r="AE325" s="2740"/>
      <c r="AF325" s="2740"/>
      <c r="AG325" s="2740"/>
      <c r="AH325" s="2740"/>
      <c r="AI325" s="2740"/>
      <c r="AJ325" s="2740"/>
      <c r="AK325" s="2740"/>
      <c r="AL325" s="2740"/>
      <c r="AM325" s="2740"/>
      <c r="AN325" s="2740"/>
      <c r="AO325" s="2740"/>
      <c r="AP325" s="2740"/>
      <c r="AQ325" s="2740"/>
      <c r="AR325" s="2740"/>
      <c r="AS325" s="2740"/>
      <c r="AT325" s="2750"/>
      <c r="AU325" s="2751"/>
      <c r="AV325" s="1092">
        <f t="shared" si="178"/>
        <v>0</v>
      </c>
      <c r="AW325" s="1092">
        <f t="shared" si="179"/>
        <v>0</v>
      </c>
      <c r="AX325" s="1092">
        <f t="shared" si="180"/>
        <v>0</v>
      </c>
      <c r="AY325" s="2765">
        <f t="shared" si="155"/>
        <v>0</v>
      </c>
      <c r="AZ325" s="2720">
        <f t="shared" si="156"/>
        <v>0</v>
      </c>
      <c r="BA325" s="2720">
        <f t="shared" si="157"/>
        <v>0</v>
      </c>
      <c r="BB325" s="2720">
        <f t="shared" si="158"/>
        <v>0</v>
      </c>
      <c r="BC325" s="2720">
        <f t="shared" si="159"/>
        <v>0</v>
      </c>
      <c r="BD325" s="2720">
        <f t="shared" si="160"/>
        <v>0</v>
      </c>
      <c r="BE325" s="2720">
        <f t="shared" si="161"/>
        <v>0</v>
      </c>
      <c r="BF325" s="2720">
        <f t="shared" si="162"/>
        <v>0</v>
      </c>
      <c r="BG325" s="2720">
        <f t="shared" si="163"/>
        <v>0</v>
      </c>
      <c r="BH325" s="2720">
        <f t="shared" si="164"/>
        <v>0</v>
      </c>
      <c r="BI325" s="2720">
        <f t="shared" si="165"/>
        <v>0</v>
      </c>
      <c r="BJ325" s="2720">
        <f t="shared" si="166"/>
        <v>0</v>
      </c>
      <c r="BK325" s="2720">
        <f t="shared" si="167"/>
        <v>0</v>
      </c>
      <c r="BL325" s="2720">
        <f t="shared" si="168"/>
        <v>0</v>
      </c>
      <c r="BM325" s="2720">
        <f t="shared" si="169"/>
        <v>0</v>
      </c>
      <c r="BN325" s="2720">
        <f t="shared" si="170"/>
        <v>0</v>
      </c>
      <c r="BO325" s="2720">
        <f t="shared" si="171"/>
        <v>0</v>
      </c>
      <c r="BP325" s="2720">
        <f t="shared" si="172"/>
        <v>0</v>
      </c>
      <c r="BQ325" s="2720">
        <f t="shared" si="173"/>
        <v>0</v>
      </c>
      <c r="BR325" s="2720">
        <f t="shared" si="174"/>
        <v>0</v>
      </c>
      <c r="BS325" s="2720">
        <f t="shared" si="175"/>
        <v>0</v>
      </c>
      <c r="BT325" s="2772">
        <f t="shared" si="176"/>
        <v>0</v>
      </c>
    </row>
    <row r="326" spans="1:72">
      <c r="A326" s="2717"/>
      <c r="B326" s="2718"/>
      <c r="C326" s="2718"/>
      <c r="D326" s="2719"/>
      <c r="E326" s="2720">
        <f t="shared" si="177"/>
        <v>0</v>
      </c>
      <c r="F326" s="2721"/>
      <c r="G326" s="2722">
        <f t="shared" si="152"/>
        <v>0</v>
      </c>
      <c r="H326" s="2723">
        <f t="shared" si="153"/>
        <v>0</v>
      </c>
      <c r="I326" s="2730"/>
      <c r="J326" s="2730"/>
      <c r="K326" s="2730"/>
      <c r="L326" s="2730"/>
      <c r="M326" s="2730"/>
      <c r="N326" s="2730"/>
      <c r="O326" s="2730"/>
      <c r="P326" s="2730"/>
      <c r="Q326" s="2730"/>
      <c r="R326" s="2730"/>
      <c r="S326" s="2730"/>
      <c r="T326" s="2730"/>
      <c r="U326" s="2730"/>
      <c r="V326" s="2730"/>
      <c r="W326" s="2730"/>
      <c r="X326" s="2730"/>
      <c r="Y326" s="2730"/>
      <c r="Z326" s="2730"/>
      <c r="AA326" s="2730"/>
      <c r="AB326" s="2730"/>
      <c r="AC326" s="2720">
        <f t="shared" si="154"/>
        <v>0</v>
      </c>
      <c r="AD326" s="2740"/>
      <c r="AE326" s="2740"/>
      <c r="AF326" s="2740"/>
      <c r="AG326" s="2740"/>
      <c r="AH326" s="2740"/>
      <c r="AI326" s="2740"/>
      <c r="AJ326" s="2740"/>
      <c r="AK326" s="2740"/>
      <c r="AL326" s="2740"/>
      <c r="AM326" s="2740"/>
      <c r="AN326" s="2740"/>
      <c r="AO326" s="2740"/>
      <c r="AP326" s="2740"/>
      <c r="AQ326" s="2740"/>
      <c r="AR326" s="2740"/>
      <c r="AS326" s="2740"/>
      <c r="AT326" s="2750"/>
      <c r="AU326" s="2751"/>
      <c r="AV326" s="1092">
        <f t="shared" si="178"/>
        <v>0</v>
      </c>
      <c r="AW326" s="1092">
        <f t="shared" si="179"/>
        <v>0</v>
      </c>
      <c r="AX326" s="1092">
        <f t="shared" si="180"/>
        <v>0</v>
      </c>
      <c r="AY326" s="2765">
        <f t="shared" si="155"/>
        <v>0</v>
      </c>
      <c r="AZ326" s="2720">
        <f t="shared" si="156"/>
        <v>0</v>
      </c>
      <c r="BA326" s="2720">
        <f t="shared" si="157"/>
        <v>0</v>
      </c>
      <c r="BB326" s="2720">
        <f t="shared" si="158"/>
        <v>0</v>
      </c>
      <c r="BC326" s="2720">
        <f t="shared" si="159"/>
        <v>0</v>
      </c>
      <c r="BD326" s="2720">
        <f t="shared" si="160"/>
        <v>0</v>
      </c>
      <c r="BE326" s="2720">
        <f t="shared" si="161"/>
        <v>0</v>
      </c>
      <c r="BF326" s="2720">
        <f t="shared" si="162"/>
        <v>0</v>
      </c>
      <c r="BG326" s="2720">
        <f t="shared" si="163"/>
        <v>0</v>
      </c>
      <c r="BH326" s="2720">
        <f t="shared" si="164"/>
        <v>0</v>
      </c>
      <c r="BI326" s="2720">
        <f t="shared" si="165"/>
        <v>0</v>
      </c>
      <c r="BJ326" s="2720">
        <f t="shared" si="166"/>
        <v>0</v>
      </c>
      <c r="BK326" s="2720">
        <f t="shared" si="167"/>
        <v>0</v>
      </c>
      <c r="BL326" s="2720">
        <f t="shared" si="168"/>
        <v>0</v>
      </c>
      <c r="BM326" s="2720">
        <f t="shared" si="169"/>
        <v>0</v>
      </c>
      <c r="BN326" s="2720">
        <f t="shared" si="170"/>
        <v>0</v>
      </c>
      <c r="BO326" s="2720">
        <f t="shared" si="171"/>
        <v>0</v>
      </c>
      <c r="BP326" s="2720">
        <f t="shared" si="172"/>
        <v>0</v>
      </c>
      <c r="BQ326" s="2720">
        <f t="shared" si="173"/>
        <v>0</v>
      </c>
      <c r="BR326" s="2720">
        <f t="shared" si="174"/>
        <v>0</v>
      </c>
      <c r="BS326" s="2720">
        <f t="shared" si="175"/>
        <v>0</v>
      </c>
      <c r="BT326" s="2772">
        <f t="shared" si="176"/>
        <v>0</v>
      </c>
    </row>
    <row r="327" spans="1:72">
      <c r="A327" s="2717"/>
      <c r="B327" s="2718"/>
      <c r="C327" s="2718"/>
      <c r="D327" s="2719"/>
      <c r="E327" s="2720">
        <f t="shared" si="177"/>
        <v>0</v>
      </c>
      <c r="F327" s="2721"/>
      <c r="G327" s="2722">
        <f t="shared" si="152"/>
        <v>0</v>
      </c>
      <c r="H327" s="2723">
        <f t="shared" si="153"/>
        <v>0</v>
      </c>
      <c r="I327" s="2730"/>
      <c r="J327" s="2730"/>
      <c r="K327" s="2730"/>
      <c r="L327" s="2730"/>
      <c r="M327" s="2730"/>
      <c r="N327" s="2730"/>
      <c r="O327" s="2730"/>
      <c r="P327" s="2730"/>
      <c r="Q327" s="2730"/>
      <c r="R327" s="2730"/>
      <c r="S327" s="2730"/>
      <c r="T327" s="2730"/>
      <c r="U327" s="2730"/>
      <c r="V327" s="2730"/>
      <c r="W327" s="2730"/>
      <c r="X327" s="2730"/>
      <c r="Y327" s="2730"/>
      <c r="Z327" s="2730"/>
      <c r="AA327" s="2730"/>
      <c r="AB327" s="2730"/>
      <c r="AC327" s="2720">
        <f t="shared" si="154"/>
        <v>0</v>
      </c>
      <c r="AD327" s="2740"/>
      <c r="AE327" s="2740"/>
      <c r="AF327" s="2740"/>
      <c r="AG327" s="2740"/>
      <c r="AH327" s="2740"/>
      <c r="AI327" s="2740"/>
      <c r="AJ327" s="2740"/>
      <c r="AK327" s="2740"/>
      <c r="AL327" s="2740"/>
      <c r="AM327" s="2740"/>
      <c r="AN327" s="2740"/>
      <c r="AO327" s="2740"/>
      <c r="AP327" s="2740"/>
      <c r="AQ327" s="2740"/>
      <c r="AR327" s="2740"/>
      <c r="AS327" s="2740"/>
      <c r="AT327" s="2750"/>
      <c r="AU327" s="2751"/>
      <c r="AV327" s="1092">
        <f t="shared" si="178"/>
        <v>0</v>
      </c>
      <c r="AW327" s="1092">
        <f t="shared" si="179"/>
        <v>0</v>
      </c>
      <c r="AX327" s="1092">
        <f t="shared" si="180"/>
        <v>0</v>
      </c>
      <c r="AY327" s="2765">
        <f t="shared" si="155"/>
        <v>0</v>
      </c>
      <c r="AZ327" s="2720">
        <f t="shared" si="156"/>
        <v>0</v>
      </c>
      <c r="BA327" s="2720">
        <f t="shared" si="157"/>
        <v>0</v>
      </c>
      <c r="BB327" s="2720">
        <f t="shared" si="158"/>
        <v>0</v>
      </c>
      <c r="BC327" s="2720">
        <f t="shared" si="159"/>
        <v>0</v>
      </c>
      <c r="BD327" s="2720">
        <f t="shared" si="160"/>
        <v>0</v>
      </c>
      <c r="BE327" s="2720">
        <f t="shared" si="161"/>
        <v>0</v>
      </c>
      <c r="BF327" s="2720">
        <f t="shared" si="162"/>
        <v>0</v>
      </c>
      <c r="BG327" s="2720">
        <f t="shared" si="163"/>
        <v>0</v>
      </c>
      <c r="BH327" s="2720">
        <f t="shared" si="164"/>
        <v>0</v>
      </c>
      <c r="BI327" s="2720">
        <f t="shared" si="165"/>
        <v>0</v>
      </c>
      <c r="BJ327" s="2720">
        <f t="shared" si="166"/>
        <v>0</v>
      </c>
      <c r="BK327" s="2720">
        <f t="shared" si="167"/>
        <v>0</v>
      </c>
      <c r="BL327" s="2720">
        <f t="shared" si="168"/>
        <v>0</v>
      </c>
      <c r="BM327" s="2720">
        <f t="shared" si="169"/>
        <v>0</v>
      </c>
      <c r="BN327" s="2720">
        <f t="shared" si="170"/>
        <v>0</v>
      </c>
      <c r="BO327" s="2720">
        <f t="shared" si="171"/>
        <v>0</v>
      </c>
      <c r="BP327" s="2720">
        <f t="shared" si="172"/>
        <v>0</v>
      </c>
      <c r="BQ327" s="2720">
        <f t="shared" si="173"/>
        <v>0</v>
      </c>
      <c r="BR327" s="2720">
        <f t="shared" si="174"/>
        <v>0</v>
      </c>
      <c r="BS327" s="2720">
        <f t="shared" si="175"/>
        <v>0</v>
      </c>
      <c r="BT327" s="2772">
        <f t="shared" si="176"/>
        <v>0</v>
      </c>
    </row>
    <row r="328" spans="1:72">
      <c r="A328" s="2717"/>
      <c r="B328" s="2718"/>
      <c r="C328" s="2718"/>
      <c r="D328" s="2719"/>
      <c r="E328" s="2720">
        <f t="shared" si="177"/>
        <v>0</v>
      </c>
      <c r="F328" s="2721"/>
      <c r="G328" s="2722">
        <f t="shared" si="152"/>
        <v>0</v>
      </c>
      <c r="H328" s="2723">
        <f t="shared" si="153"/>
        <v>0</v>
      </c>
      <c r="I328" s="2730"/>
      <c r="J328" s="2730"/>
      <c r="K328" s="2730"/>
      <c r="L328" s="2730"/>
      <c r="M328" s="2730"/>
      <c r="N328" s="2730"/>
      <c r="O328" s="2730"/>
      <c r="P328" s="2730"/>
      <c r="Q328" s="2730"/>
      <c r="R328" s="2730"/>
      <c r="S328" s="2730"/>
      <c r="T328" s="2730"/>
      <c r="U328" s="2730"/>
      <c r="V328" s="2730"/>
      <c r="W328" s="2730"/>
      <c r="X328" s="2730"/>
      <c r="Y328" s="2730"/>
      <c r="Z328" s="2730"/>
      <c r="AA328" s="2730"/>
      <c r="AB328" s="2730"/>
      <c r="AC328" s="2720">
        <f t="shared" si="154"/>
        <v>0</v>
      </c>
      <c r="AD328" s="2740"/>
      <c r="AE328" s="2740"/>
      <c r="AF328" s="2740"/>
      <c r="AG328" s="2740"/>
      <c r="AH328" s="2740"/>
      <c r="AI328" s="2740"/>
      <c r="AJ328" s="2740"/>
      <c r="AK328" s="2740"/>
      <c r="AL328" s="2740"/>
      <c r="AM328" s="2740"/>
      <c r="AN328" s="2740"/>
      <c r="AO328" s="2740"/>
      <c r="AP328" s="2740"/>
      <c r="AQ328" s="2740"/>
      <c r="AR328" s="2740"/>
      <c r="AS328" s="2740"/>
      <c r="AT328" s="2750"/>
      <c r="AU328" s="2751"/>
      <c r="AV328" s="1092">
        <f t="shared" si="178"/>
        <v>0</v>
      </c>
      <c r="AW328" s="1092">
        <f t="shared" si="179"/>
        <v>0</v>
      </c>
      <c r="AX328" s="1092">
        <f t="shared" si="180"/>
        <v>0</v>
      </c>
      <c r="AY328" s="2765">
        <f t="shared" si="155"/>
        <v>0</v>
      </c>
      <c r="AZ328" s="2720">
        <f t="shared" si="156"/>
        <v>0</v>
      </c>
      <c r="BA328" s="2720">
        <f t="shared" si="157"/>
        <v>0</v>
      </c>
      <c r="BB328" s="2720">
        <f t="shared" si="158"/>
        <v>0</v>
      </c>
      <c r="BC328" s="2720">
        <f t="shared" si="159"/>
        <v>0</v>
      </c>
      <c r="BD328" s="2720">
        <f t="shared" si="160"/>
        <v>0</v>
      </c>
      <c r="BE328" s="2720">
        <f t="shared" si="161"/>
        <v>0</v>
      </c>
      <c r="BF328" s="2720">
        <f t="shared" si="162"/>
        <v>0</v>
      </c>
      <c r="BG328" s="2720">
        <f t="shared" si="163"/>
        <v>0</v>
      </c>
      <c r="BH328" s="2720">
        <f t="shared" si="164"/>
        <v>0</v>
      </c>
      <c r="BI328" s="2720">
        <f t="shared" si="165"/>
        <v>0</v>
      </c>
      <c r="BJ328" s="2720">
        <f t="shared" si="166"/>
        <v>0</v>
      </c>
      <c r="BK328" s="2720">
        <f t="shared" si="167"/>
        <v>0</v>
      </c>
      <c r="BL328" s="2720">
        <f t="shared" si="168"/>
        <v>0</v>
      </c>
      <c r="BM328" s="2720">
        <f t="shared" si="169"/>
        <v>0</v>
      </c>
      <c r="BN328" s="2720">
        <f t="shared" si="170"/>
        <v>0</v>
      </c>
      <c r="BO328" s="2720">
        <f t="shared" si="171"/>
        <v>0</v>
      </c>
      <c r="BP328" s="2720">
        <f t="shared" si="172"/>
        <v>0</v>
      </c>
      <c r="BQ328" s="2720">
        <f t="shared" si="173"/>
        <v>0</v>
      </c>
      <c r="BR328" s="2720">
        <f t="shared" si="174"/>
        <v>0</v>
      </c>
      <c r="BS328" s="2720">
        <f t="shared" si="175"/>
        <v>0</v>
      </c>
      <c r="BT328" s="2772">
        <f t="shared" si="176"/>
        <v>0</v>
      </c>
    </row>
    <row r="329" spans="1:72">
      <c r="A329" s="2717"/>
      <c r="B329" s="2718"/>
      <c r="C329" s="2718"/>
      <c r="D329" s="2719"/>
      <c r="E329" s="2720">
        <f t="shared" si="177"/>
        <v>0</v>
      </c>
      <c r="F329" s="2721"/>
      <c r="G329" s="2722">
        <f t="shared" si="152"/>
        <v>0</v>
      </c>
      <c r="H329" s="2723">
        <f t="shared" si="153"/>
        <v>0</v>
      </c>
      <c r="I329" s="2730"/>
      <c r="J329" s="2730"/>
      <c r="K329" s="2730"/>
      <c r="L329" s="2730"/>
      <c r="M329" s="2730"/>
      <c r="N329" s="2730"/>
      <c r="O329" s="2730"/>
      <c r="P329" s="2730"/>
      <c r="Q329" s="2730"/>
      <c r="R329" s="2730"/>
      <c r="S329" s="2730"/>
      <c r="T329" s="2730"/>
      <c r="U329" s="2730"/>
      <c r="V329" s="2730"/>
      <c r="W329" s="2730"/>
      <c r="X329" s="2730"/>
      <c r="Y329" s="2730"/>
      <c r="Z329" s="2730"/>
      <c r="AA329" s="2730"/>
      <c r="AB329" s="2730"/>
      <c r="AC329" s="2720">
        <f t="shared" si="154"/>
        <v>0</v>
      </c>
      <c r="AD329" s="2740"/>
      <c r="AE329" s="2740"/>
      <c r="AF329" s="2740"/>
      <c r="AG329" s="2740"/>
      <c r="AH329" s="2740"/>
      <c r="AI329" s="2740"/>
      <c r="AJ329" s="2740"/>
      <c r="AK329" s="2740"/>
      <c r="AL329" s="2740"/>
      <c r="AM329" s="2740"/>
      <c r="AN329" s="2740"/>
      <c r="AO329" s="2740"/>
      <c r="AP329" s="2740"/>
      <c r="AQ329" s="2740"/>
      <c r="AR329" s="2740"/>
      <c r="AS329" s="2740"/>
      <c r="AT329" s="2750"/>
      <c r="AU329" s="2751"/>
      <c r="AV329" s="1092">
        <f t="shared" si="178"/>
        <v>0</v>
      </c>
      <c r="AW329" s="1092">
        <f t="shared" si="179"/>
        <v>0</v>
      </c>
      <c r="AX329" s="1092">
        <f t="shared" si="180"/>
        <v>0</v>
      </c>
      <c r="AY329" s="2765">
        <f t="shared" si="155"/>
        <v>0</v>
      </c>
      <c r="AZ329" s="2720">
        <f t="shared" si="156"/>
        <v>0</v>
      </c>
      <c r="BA329" s="2720">
        <f t="shared" si="157"/>
        <v>0</v>
      </c>
      <c r="BB329" s="2720">
        <f t="shared" si="158"/>
        <v>0</v>
      </c>
      <c r="BC329" s="2720">
        <f t="shared" si="159"/>
        <v>0</v>
      </c>
      <c r="BD329" s="2720">
        <f t="shared" si="160"/>
        <v>0</v>
      </c>
      <c r="BE329" s="2720">
        <f t="shared" si="161"/>
        <v>0</v>
      </c>
      <c r="BF329" s="2720">
        <f t="shared" si="162"/>
        <v>0</v>
      </c>
      <c r="BG329" s="2720">
        <f t="shared" si="163"/>
        <v>0</v>
      </c>
      <c r="BH329" s="2720">
        <f t="shared" si="164"/>
        <v>0</v>
      </c>
      <c r="BI329" s="2720">
        <f t="shared" si="165"/>
        <v>0</v>
      </c>
      <c r="BJ329" s="2720">
        <f t="shared" si="166"/>
        <v>0</v>
      </c>
      <c r="BK329" s="2720">
        <f t="shared" si="167"/>
        <v>0</v>
      </c>
      <c r="BL329" s="2720">
        <f t="shared" si="168"/>
        <v>0</v>
      </c>
      <c r="BM329" s="2720">
        <f t="shared" si="169"/>
        <v>0</v>
      </c>
      <c r="BN329" s="2720">
        <f t="shared" si="170"/>
        <v>0</v>
      </c>
      <c r="BO329" s="2720">
        <f t="shared" si="171"/>
        <v>0</v>
      </c>
      <c r="BP329" s="2720">
        <f t="shared" si="172"/>
        <v>0</v>
      </c>
      <c r="BQ329" s="2720">
        <f t="shared" si="173"/>
        <v>0</v>
      </c>
      <c r="BR329" s="2720">
        <f t="shared" si="174"/>
        <v>0</v>
      </c>
      <c r="BS329" s="2720">
        <f t="shared" si="175"/>
        <v>0</v>
      </c>
      <c r="BT329" s="2772">
        <f t="shared" si="176"/>
        <v>0</v>
      </c>
    </row>
    <row r="330" spans="1:72">
      <c r="A330" s="2717"/>
      <c r="B330" s="2718"/>
      <c r="C330" s="2718"/>
      <c r="D330" s="2719"/>
      <c r="E330" s="2720">
        <f t="shared" si="177"/>
        <v>0</v>
      </c>
      <c r="F330" s="2721"/>
      <c r="G330" s="2722">
        <f t="shared" si="152"/>
        <v>0</v>
      </c>
      <c r="H330" s="2723">
        <f t="shared" si="153"/>
        <v>0</v>
      </c>
      <c r="I330" s="2730"/>
      <c r="J330" s="2730"/>
      <c r="K330" s="2730"/>
      <c r="L330" s="2730"/>
      <c r="M330" s="2730"/>
      <c r="N330" s="2730"/>
      <c r="O330" s="2730"/>
      <c r="P330" s="2730"/>
      <c r="Q330" s="2730"/>
      <c r="R330" s="2730"/>
      <c r="S330" s="2730"/>
      <c r="T330" s="2730"/>
      <c r="U330" s="2730"/>
      <c r="V330" s="2730"/>
      <c r="W330" s="2730"/>
      <c r="X330" s="2730"/>
      <c r="Y330" s="2730"/>
      <c r="Z330" s="2730"/>
      <c r="AA330" s="2730"/>
      <c r="AB330" s="2730"/>
      <c r="AC330" s="2720">
        <f t="shared" si="154"/>
        <v>0</v>
      </c>
      <c r="AD330" s="2740"/>
      <c r="AE330" s="2740"/>
      <c r="AF330" s="2740"/>
      <c r="AG330" s="2740"/>
      <c r="AH330" s="2740"/>
      <c r="AI330" s="2740"/>
      <c r="AJ330" s="2740"/>
      <c r="AK330" s="2740"/>
      <c r="AL330" s="2740"/>
      <c r="AM330" s="2740"/>
      <c r="AN330" s="2740"/>
      <c r="AO330" s="2740"/>
      <c r="AP330" s="2740"/>
      <c r="AQ330" s="2740"/>
      <c r="AR330" s="2740"/>
      <c r="AS330" s="2740"/>
      <c r="AT330" s="2750"/>
      <c r="AU330" s="2751"/>
      <c r="AV330" s="1092">
        <f t="shared" si="178"/>
        <v>0</v>
      </c>
      <c r="AW330" s="1092">
        <f t="shared" si="179"/>
        <v>0</v>
      </c>
      <c r="AX330" s="1092">
        <f t="shared" si="180"/>
        <v>0</v>
      </c>
      <c r="AY330" s="2765">
        <f t="shared" si="155"/>
        <v>0</v>
      </c>
      <c r="AZ330" s="2720">
        <f t="shared" si="156"/>
        <v>0</v>
      </c>
      <c r="BA330" s="2720">
        <f t="shared" si="157"/>
        <v>0</v>
      </c>
      <c r="BB330" s="2720">
        <f t="shared" si="158"/>
        <v>0</v>
      </c>
      <c r="BC330" s="2720">
        <f t="shared" si="159"/>
        <v>0</v>
      </c>
      <c r="BD330" s="2720">
        <f t="shared" si="160"/>
        <v>0</v>
      </c>
      <c r="BE330" s="2720">
        <f t="shared" si="161"/>
        <v>0</v>
      </c>
      <c r="BF330" s="2720">
        <f t="shared" si="162"/>
        <v>0</v>
      </c>
      <c r="BG330" s="2720">
        <f t="shared" si="163"/>
        <v>0</v>
      </c>
      <c r="BH330" s="2720">
        <f t="shared" si="164"/>
        <v>0</v>
      </c>
      <c r="BI330" s="2720">
        <f t="shared" si="165"/>
        <v>0</v>
      </c>
      <c r="BJ330" s="2720">
        <f t="shared" si="166"/>
        <v>0</v>
      </c>
      <c r="BK330" s="2720">
        <f t="shared" si="167"/>
        <v>0</v>
      </c>
      <c r="BL330" s="2720">
        <f t="shared" si="168"/>
        <v>0</v>
      </c>
      <c r="BM330" s="2720">
        <f t="shared" si="169"/>
        <v>0</v>
      </c>
      <c r="BN330" s="2720">
        <f t="shared" si="170"/>
        <v>0</v>
      </c>
      <c r="BO330" s="2720">
        <f t="shared" si="171"/>
        <v>0</v>
      </c>
      <c r="BP330" s="2720">
        <f t="shared" si="172"/>
        <v>0</v>
      </c>
      <c r="BQ330" s="2720">
        <f t="shared" si="173"/>
        <v>0</v>
      </c>
      <c r="BR330" s="2720">
        <f t="shared" si="174"/>
        <v>0</v>
      </c>
      <c r="BS330" s="2720">
        <f t="shared" si="175"/>
        <v>0</v>
      </c>
      <c r="BT330" s="2772">
        <f t="shared" si="176"/>
        <v>0</v>
      </c>
    </row>
    <row r="331" spans="1:72">
      <c r="A331" s="2717"/>
      <c r="B331" s="2718"/>
      <c r="C331" s="2718"/>
      <c r="D331" s="2719"/>
      <c r="E331" s="2720">
        <f t="shared" si="177"/>
        <v>0</v>
      </c>
      <c r="F331" s="2721"/>
      <c r="G331" s="2722">
        <f t="shared" si="152"/>
        <v>0</v>
      </c>
      <c r="H331" s="2723">
        <f t="shared" si="153"/>
        <v>0</v>
      </c>
      <c r="I331" s="2730"/>
      <c r="J331" s="2730"/>
      <c r="K331" s="2730"/>
      <c r="L331" s="2730"/>
      <c r="M331" s="2730"/>
      <c r="N331" s="2730"/>
      <c r="O331" s="2730"/>
      <c r="P331" s="2730"/>
      <c r="Q331" s="2730"/>
      <c r="R331" s="2730"/>
      <c r="S331" s="2730"/>
      <c r="T331" s="2730"/>
      <c r="U331" s="2730"/>
      <c r="V331" s="2730"/>
      <c r="W331" s="2730"/>
      <c r="X331" s="2730"/>
      <c r="Y331" s="2730"/>
      <c r="Z331" s="2730"/>
      <c r="AA331" s="2730"/>
      <c r="AB331" s="2730"/>
      <c r="AC331" s="2720">
        <f t="shared" si="154"/>
        <v>0</v>
      </c>
      <c r="AD331" s="2740"/>
      <c r="AE331" s="2740"/>
      <c r="AF331" s="2740"/>
      <c r="AG331" s="2740"/>
      <c r="AH331" s="2740"/>
      <c r="AI331" s="2740"/>
      <c r="AJ331" s="2740"/>
      <c r="AK331" s="2740"/>
      <c r="AL331" s="2740"/>
      <c r="AM331" s="2740"/>
      <c r="AN331" s="2740"/>
      <c r="AO331" s="2740"/>
      <c r="AP331" s="2740"/>
      <c r="AQ331" s="2740"/>
      <c r="AR331" s="2740"/>
      <c r="AS331" s="2740"/>
      <c r="AT331" s="2750"/>
      <c r="AU331" s="2751"/>
      <c r="AV331" s="1092">
        <f t="shared" si="178"/>
        <v>0</v>
      </c>
      <c r="AW331" s="1092">
        <f t="shared" si="179"/>
        <v>0</v>
      </c>
      <c r="AX331" s="1092">
        <f t="shared" si="180"/>
        <v>0</v>
      </c>
      <c r="AY331" s="2765">
        <f t="shared" si="155"/>
        <v>0</v>
      </c>
      <c r="AZ331" s="2720">
        <f t="shared" si="156"/>
        <v>0</v>
      </c>
      <c r="BA331" s="2720">
        <f t="shared" si="157"/>
        <v>0</v>
      </c>
      <c r="BB331" s="2720">
        <f t="shared" si="158"/>
        <v>0</v>
      </c>
      <c r="BC331" s="2720">
        <f t="shared" si="159"/>
        <v>0</v>
      </c>
      <c r="BD331" s="2720">
        <f t="shared" si="160"/>
        <v>0</v>
      </c>
      <c r="BE331" s="2720">
        <f t="shared" si="161"/>
        <v>0</v>
      </c>
      <c r="BF331" s="2720">
        <f t="shared" si="162"/>
        <v>0</v>
      </c>
      <c r="BG331" s="2720">
        <f t="shared" si="163"/>
        <v>0</v>
      </c>
      <c r="BH331" s="2720">
        <f t="shared" si="164"/>
        <v>0</v>
      </c>
      <c r="BI331" s="2720">
        <f t="shared" si="165"/>
        <v>0</v>
      </c>
      <c r="BJ331" s="2720">
        <f t="shared" si="166"/>
        <v>0</v>
      </c>
      <c r="BK331" s="2720">
        <f t="shared" si="167"/>
        <v>0</v>
      </c>
      <c r="BL331" s="2720">
        <f t="shared" si="168"/>
        <v>0</v>
      </c>
      <c r="BM331" s="2720">
        <f t="shared" si="169"/>
        <v>0</v>
      </c>
      <c r="BN331" s="2720">
        <f t="shared" si="170"/>
        <v>0</v>
      </c>
      <c r="BO331" s="2720">
        <f t="shared" si="171"/>
        <v>0</v>
      </c>
      <c r="BP331" s="2720">
        <f t="shared" si="172"/>
        <v>0</v>
      </c>
      <c r="BQ331" s="2720">
        <f t="shared" si="173"/>
        <v>0</v>
      </c>
      <c r="BR331" s="2720">
        <f t="shared" si="174"/>
        <v>0</v>
      </c>
      <c r="BS331" s="2720">
        <f t="shared" si="175"/>
        <v>0</v>
      </c>
      <c r="BT331" s="2772">
        <f t="shared" si="176"/>
        <v>0</v>
      </c>
    </row>
    <row r="332" spans="1:72">
      <c r="A332" s="2717"/>
      <c r="B332" s="2718"/>
      <c r="C332" s="2718"/>
      <c r="D332" s="2719"/>
      <c r="E332" s="2720">
        <f t="shared" si="177"/>
        <v>0</v>
      </c>
      <c r="F332" s="2721"/>
      <c r="G332" s="2722">
        <f t="shared" ref="G332:G363" si="181">H332+AC332+AT332</f>
        <v>0</v>
      </c>
      <c r="H332" s="2723">
        <f t="shared" ref="H332:H363" si="182">SUMIF(I$12:AB$12,"总值",I332:AB332)</f>
        <v>0</v>
      </c>
      <c r="I332" s="2730"/>
      <c r="J332" s="2730"/>
      <c r="K332" s="2730"/>
      <c r="L332" s="2730"/>
      <c r="M332" s="2730"/>
      <c r="N332" s="2730"/>
      <c r="O332" s="2730"/>
      <c r="P332" s="2730"/>
      <c r="Q332" s="2730"/>
      <c r="R332" s="2730"/>
      <c r="S332" s="2730"/>
      <c r="T332" s="2730"/>
      <c r="U332" s="2730"/>
      <c r="V332" s="2730"/>
      <c r="W332" s="2730"/>
      <c r="X332" s="2730"/>
      <c r="Y332" s="2730"/>
      <c r="Z332" s="2730"/>
      <c r="AA332" s="2730"/>
      <c r="AB332" s="2730"/>
      <c r="AC332" s="2720">
        <f t="shared" ref="AC332:AC363" si="183">SUMIF(AD$12:AS$12,"总值",AD332:AS332)</f>
        <v>0</v>
      </c>
      <c r="AD332" s="2740"/>
      <c r="AE332" s="2740"/>
      <c r="AF332" s="2740"/>
      <c r="AG332" s="2740"/>
      <c r="AH332" s="2740"/>
      <c r="AI332" s="2740"/>
      <c r="AJ332" s="2740"/>
      <c r="AK332" s="2740"/>
      <c r="AL332" s="2740"/>
      <c r="AM332" s="2740"/>
      <c r="AN332" s="2740"/>
      <c r="AO332" s="2740"/>
      <c r="AP332" s="2740"/>
      <c r="AQ332" s="2740"/>
      <c r="AR332" s="2740"/>
      <c r="AS332" s="2740"/>
      <c r="AT332" s="2750"/>
      <c r="AU332" s="2751"/>
      <c r="AV332" s="1092">
        <f t="shared" si="178"/>
        <v>0</v>
      </c>
      <c r="AW332" s="1092">
        <f t="shared" si="179"/>
        <v>0</v>
      </c>
      <c r="AX332" s="1092">
        <f t="shared" si="180"/>
        <v>0</v>
      </c>
      <c r="AY332" s="2765">
        <f t="shared" ref="AY332:AY363" si="184">ROUND($AY$6*AZ332/$AZ$5,2)</f>
        <v>0</v>
      </c>
      <c r="AZ332" s="2720">
        <f t="shared" ref="AZ332:AZ363" si="185">BA332+BL332</f>
        <v>0</v>
      </c>
      <c r="BA332" s="2720">
        <f t="shared" ref="BA332:BA363" si="186">SUM(BB332:BK332)</f>
        <v>0</v>
      </c>
      <c r="BB332" s="2720">
        <f t="shared" ref="BB332:BB363" si="187">IF($D332="是",I332-J332,0)</f>
        <v>0</v>
      </c>
      <c r="BC332" s="2720">
        <f t="shared" ref="BC332:BC363" si="188">IF($D332="是",K332-L332,0)</f>
        <v>0</v>
      </c>
      <c r="BD332" s="2720">
        <f t="shared" ref="BD332:BD363" si="189">IF($D332="是",M332-N332,0)</f>
        <v>0</v>
      </c>
      <c r="BE332" s="2720">
        <f t="shared" ref="BE332:BE363" si="190">IF($D332="是",O332-P332,0)</f>
        <v>0</v>
      </c>
      <c r="BF332" s="2720">
        <f t="shared" ref="BF332:BF363" si="191">IF($D332="是",Q332-R332,0)</f>
        <v>0</v>
      </c>
      <c r="BG332" s="2720">
        <f t="shared" ref="BG332:BG363" si="192">IF($D332="是",S332-T332,0)</f>
        <v>0</v>
      </c>
      <c r="BH332" s="2720">
        <f t="shared" ref="BH332:BH363" si="193">IF($D332="是",U332-V332,0)</f>
        <v>0</v>
      </c>
      <c r="BI332" s="2720">
        <f t="shared" ref="BI332:BI363" si="194">IF($D332="是",W332-X332,0)</f>
        <v>0</v>
      </c>
      <c r="BJ332" s="2720">
        <f t="shared" ref="BJ332:BJ363" si="195">IF($D332="是",Y332-Z332,0)</f>
        <v>0</v>
      </c>
      <c r="BK332" s="2720">
        <f t="shared" ref="BK332:BK363" si="196">IF($D332="是",AA332-AB332,0)</f>
        <v>0</v>
      </c>
      <c r="BL332" s="2720">
        <f t="shared" ref="BL332:BL363" si="197">SUM(BM332:BT332)</f>
        <v>0</v>
      </c>
      <c r="BM332" s="2720">
        <f t="shared" ref="BM332:BM363" si="198">IF($D332="是",AD332-AE332,0)</f>
        <v>0</v>
      </c>
      <c r="BN332" s="2720">
        <f t="shared" ref="BN332:BN363" si="199">IF($D332="是",AF332-AG332,0)</f>
        <v>0</v>
      </c>
      <c r="BO332" s="2720">
        <f t="shared" ref="BO332:BO363" si="200">IF($D332="是",AH332-AI332,0)</f>
        <v>0</v>
      </c>
      <c r="BP332" s="2720">
        <f t="shared" ref="BP332:BP363" si="201">IF($D332="是",AJ332-AK332,0)</f>
        <v>0</v>
      </c>
      <c r="BQ332" s="2720">
        <f t="shared" ref="BQ332:BQ363" si="202">IF($D332="是",AL332-AM332,0)</f>
        <v>0</v>
      </c>
      <c r="BR332" s="2720">
        <f t="shared" ref="BR332:BR363" si="203">IF($D332="是",AN332-AO332,0)</f>
        <v>0</v>
      </c>
      <c r="BS332" s="2720">
        <f t="shared" ref="BS332:BS363" si="204">IF($D332="是",AP332-AQ332,0)</f>
        <v>0</v>
      </c>
      <c r="BT332" s="2772">
        <f t="shared" ref="BT332:BT363" si="205">IF($D332="是",AR332-AS332,0)</f>
        <v>0</v>
      </c>
    </row>
    <row r="333" spans="1:72">
      <c r="A333" s="2717"/>
      <c r="B333" s="2718"/>
      <c r="C333" s="2718"/>
      <c r="D333" s="2719"/>
      <c r="E333" s="2720">
        <f t="shared" si="177"/>
        <v>0</v>
      </c>
      <c r="F333" s="2721"/>
      <c r="G333" s="2722">
        <f t="shared" si="181"/>
        <v>0</v>
      </c>
      <c r="H333" s="2723">
        <f t="shared" si="182"/>
        <v>0</v>
      </c>
      <c r="I333" s="2730"/>
      <c r="J333" s="2730"/>
      <c r="K333" s="2730"/>
      <c r="L333" s="2730"/>
      <c r="M333" s="2730"/>
      <c r="N333" s="2730"/>
      <c r="O333" s="2730"/>
      <c r="P333" s="2730"/>
      <c r="Q333" s="2730"/>
      <c r="R333" s="2730"/>
      <c r="S333" s="2730"/>
      <c r="T333" s="2730"/>
      <c r="U333" s="2730"/>
      <c r="V333" s="2730"/>
      <c r="W333" s="2730"/>
      <c r="X333" s="2730"/>
      <c r="Y333" s="2730"/>
      <c r="Z333" s="2730"/>
      <c r="AA333" s="2730"/>
      <c r="AB333" s="2730"/>
      <c r="AC333" s="2720">
        <f t="shared" si="183"/>
        <v>0</v>
      </c>
      <c r="AD333" s="2740"/>
      <c r="AE333" s="2740"/>
      <c r="AF333" s="2740"/>
      <c r="AG333" s="2740"/>
      <c r="AH333" s="2740"/>
      <c r="AI333" s="2740"/>
      <c r="AJ333" s="2740"/>
      <c r="AK333" s="2740"/>
      <c r="AL333" s="2740"/>
      <c r="AM333" s="2740"/>
      <c r="AN333" s="2740"/>
      <c r="AO333" s="2740"/>
      <c r="AP333" s="2740"/>
      <c r="AQ333" s="2740"/>
      <c r="AR333" s="2740"/>
      <c r="AS333" s="2740"/>
      <c r="AT333" s="2750"/>
      <c r="AU333" s="2751"/>
      <c r="AV333" s="1092">
        <f t="shared" si="178"/>
        <v>0</v>
      </c>
      <c r="AW333" s="1092">
        <f t="shared" si="179"/>
        <v>0</v>
      </c>
      <c r="AX333" s="1092">
        <f t="shared" si="180"/>
        <v>0</v>
      </c>
      <c r="AY333" s="2765">
        <f t="shared" si="184"/>
        <v>0</v>
      </c>
      <c r="AZ333" s="2720">
        <f t="shared" si="185"/>
        <v>0</v>
      </c>
      <c r="BA333" s="2720">
        <f t="shared" si="186"/>
        <v>0</v>
      </c>
      <c r="BB333" s="2720">
        <f t="shared" si="187"/>
        <v>0</v>
      </c>
      <c r="BC333" s="2720">
        <f t="shared" si="188"/>
        <v>0</v>
      </c>
      <c r="BD333" s="2720">
        <f t="shared" si="189"/>
        <v>0</v>
      </c>
      <c r="BE333" s="2720">
        <f t="shared" si="190"/>
        <v>0</v>
      </c>
      <c r="BF333" s="2720">
        <f t="shared" si="191"/>
        <v>0</v>
      </c>
      <c r="BG333" s="2720">
        <f t="shared" si="192"/>
        <v>0</v>
      </c>
      <c r="BH333" s="2720">
        <f t="shared" si="193"/>
        <v>0</v>
      </c>
      <c r="BI333" s="2720">
        <f t="shared" si="194"/>
        <v>0</v>
      </c>
      <c r="BJ333" s="2720">
        <f t="shared" si="195"/>
        <v>0</v>
      </c>
      <c r="BK333" s="2720">
        <f t="shared" si="196"/>
        <v>0</v>
      </c>
      <c r="BL333" s="2720">
        <f t="shared" si="197"/>
        <v>0</v>
      </c>
      <c r="BM333" s="2720">
        <f t="shared" si="198"/>
        <v>0</v>
      </c>
      <c r="BN333" s="2720">
        <f t="shared" si="199"/>
        <v>0</v>
      </c>
      <c r="BO333" s="2720">
        <f t="shared" si="200"/>
        <v>0</v>
      </c>
      <c r="BP333" s="2720">
        <f t="shared" si="201"/>
        <v>0</v>
      </c>
      <c r="BQ333" s="2720">
        <f t="shared" si="202"/>
        <v>0</v>
      </c>
      <c r="BR333" s="2720">
        <f t="shared" si="203"/>
        <v>0</v>
      </c>
      <c r="BS333" s="2720">
        <f t="shared" si="204"/>
        <v>0</v>
      </c>
      <c r="BT333" s="2772">
        <f t="shared" si="205"/>
        <v>0</v>
      </c>
    </row>
    <row r="334" spans="1:72">
      <c r="A334" s="2717"/>
      <c r="B334" s="2718"/>
      <c r="C334" s="2718"/>
      <c r="D334" s="2719"/>
      <c r="E334" s="2720">
        <f t="shared" si="177"/>
        <v>0</v>
      </c>
      <c r="F334" s="2721"/>
      <c r="G334" s="2722">
        <f t="shared" si="181"/>
        <v>0</v>
      </c>
      <c r="H334" s="2723">
        <f t="shared" si="182"/>
        <v>0</v>
      </c>
      <c r="I334" s="2730"/>
      <c r="J334" s="2730"/>
      <c r="K334" s="2730"/>
      <c r="L334" s="2730"/>
      <c r="M334" s="2730"/>
      <c r="N334" s="2730"/>
      <c r="O334" s="2730"/>
      <c r="P334" s="2730"/>
      <c r="Q334" s="2730"/>
      <c r="R334" s="2730"/>
      <c r="S334" s="2730"/>
      <c r="T334" s="2730"/>
      <c r="U334" s="2730"/>
      <c r="V334" s="2730"/>
      <c r="W334" s="2730"/>
      <c r="X334" s="2730"/>
      <c r="Y334" s="2730"/>
      <c r="Z334" s="2730"/>
      <c r="AA334" s="2730"/>
      <c r="AB334" s="2730"/>
      <c r="AC334" s="2720">
        <f t="shared" si="183"/>
        <v>0</v>
      </c>
      <c r="AD334" s="2740"/>
      <c r="AE334" s="2740"/>
      <c r="AF334" s="2740"/>
      <c r="AG334" s="2740"/>
      <c r="AH334" s="2740"/>
      <c r="AI334" s="2740"/>
      <c r="AJ334" s="2740"/>
      <c r="AK334" s="2740"/>
      <c r="AL334" s="2740"/>
      <c r="AM334" s="2740"/>
      <c r="AN334" s="2740"/>
      <c r="AO334" s="2740"/>
      <c r="AP334" s="2740"/>
      <c r="AQ334" s="2740"/>
      <c r="AR334" s="2740"/>
      <c r="AS334" s="2740"/>
      <c r="AT334" s="2750"/>
      <c r="AU334" s="2751"/>
      <c r="AV334" s="1092">
        <f t="shared" si="178"/>
        <v>0</v>
      </c>
      <c r="AW334" s="1092">
        <f t="shared" si="179"/>
        <v>0</v>
      </c>
      <c r="AX334" s="1092">
        <f t="shared" si="180"/>
        <v>0</v>
      </c>
      <c r="AY334" s="2765">
        <f t="shared" si="184"/>
        <v>0</v>
      </c>
      <c r="AZ334" s="2720">
        <f t="shared" si="185"/>
        <v>0</v>
      </c>
      <c r="BA334" s="2720">
        <f t="shared" si="186"/>
        <v>0</v>
      </c>
      <c r="BB334" s="2720">
        <f t="shared" si="187"/>
        <v>0</v>
      </c>
      <c r="BC334" s="2720">
        <f t="shared" si="188"/>
        <v>0</v>
      </c>
      <c r="BD334" s="2720">
        <f t="shared" si="189"/>
        <v>0</v>
      </c>
      <c r="BE334" s="2720">
        <f t="shared" si="190"/>
        <v>0</v>
      </c>
      <c r="BF334" s="2720">
        <f t="shared" si="191"/>
        <v>0</v>
      </c>
      <c r="BG334" s="2720">
        <f t="shared" si="192"/>
        <v>0</v>
      </c>
      <c r="BH334" s="2720">
        <f t="shared" si="193"/>
        <v>0</v>
      </c>
      <c r="BI334" s="2720">
        <f t="shared" si="194"/>
        <v>0</v>
      </c>
      <c r="BJ334" s="2720">
        <f t="shared" si="195"/>
        <v>0</v>
      </c>
      <c r="BK334" s="2720">
        <f t="shared" si="196"/>
        <v>0</v>
      </c>
      <c r="BL334" s="2720">
        <f t="shared" si="197"/>
        <v>0</v>
      </c>
      <c r="BM334" s="2720">
        <f t="shared" si="198"/>
        <v>0</v>
      </c>
      <c r="BN334" s="2720">
        <f t="shared" si="199"/>
        <v>0</v>
      </c>
      <c r="BO334" s="2720">
        <f t="shared" si="200"/>
        <v>0</v>
      </c>
      <c r="BP334" s="2720">
        <f t="shared" si="201"/>
        <v>0</v>
      </c>
      <c r="BQ334" s="2720">
        <f t="shared" si="202"/>
        <v>0</v>
      </c>
      <c r="BR334" s="2720">
        <f t="shared" si="203"/>
        <v>0</v>
      </c>
      <c r="BS334" s="2720">
        <f t="shared" si="204"/>
        <v>0</v>
      </c>
      <c r="BT334" s="2772">
        <f t="shared" si="205"/>
        <v>0</v>
      </c>
    </row>
    <row r="335" spans="1:72">
      <c r="A335" s="2717"/>
      <c r="B335" s="2718"/>
      <c r="C335" s="2718"/>
      <c r="D335" s="2719"/>
      <c r="E335" s="2720">
        <f t="shared" ref="E335:E366" si="206">IF($C$3="是",ROUND($A$3*G335/$B$3,2),ROUND($A$3*(G335-AT335)/$B$3,2))</f>
        <v>0</v>
      </c>
      <c r="F335" s="2721"/>
      <c r="G335" s="2722">
        <f t="shared" si="181"/>
        <v>0</v>
      </c>
      <c r="H335" s="2723">
        <f t="shared" si="182"/>
        <v>0</v>
      </c>
      <c r="I335" s="2730"/>
      <c r="J335" s="2730"/>
      <c r="K335" s="2730"/>
      <c r="L335" s="2730"/>
      <c r="M335" s="2730"/>
      <c r="N335" s="2730"/>
      <c r="O335" s="2730"/>
      <c r="P335" s="2730"/>
      <c r="Q335" s="2730"/>
      <c r="R335" s="2730"/>
      <c r="S335" s="2730"/>
      <c r="T335" s="2730"/>
      <c r="U335" s="2730"/>
      <c r="V335" s="2730"/>
      <c r="W335" s="2730"/>
      <c r="X335" s="2730"/>
      <c r="Y335" s="2730"/>
      <c r="Z335" s="2730"/>
      <c r="AA335" s="2730"/>
      <c r="AB335" s="2730"/>
      <c r="AC335" s="2720">
        <f t="shared" si="183"/>
        <v>0</v>
      </c>
      <c r="AD335" s="2740"/>
      <c r="AE335" s="2740"/>
      <c r="AF335" s="2740"/>
      <c r="AG335" s="2740"/>
      <c r="AH335" s="2740"/>
      <c r="AI335" s="2740"/>
      <c r="AJ335" s="2740"/>
      <c r="AK335" s="2740"/>
      <c r="AL335" s="2740"/>
      <c r="AM335" s="2740"/>
      <c r="AN335" s="2740"/>
      <c r="AO335" s="2740"/>
      <c r="AP335" s="2740"/>
      <c r="AQ335" s="2740"/>
      <c r="AR335" s="2740"/>
      <c r="AS335" s="2740"/>
      <c r="AT335" s="2750"/>
      <c r="AU335" s="2751"/>
      <c r="AV335" s="1092">
        <f t="shared" ref="AV335:AV366" si="207">A335</f>
        <v>0</v>
      </c>
      <c r="AW335" s="1092">
        <f t="shared" ref="AW335:AW366" si="208">B335</f>
        <v>0</v>
      </c>
      <c r="AX335" s="1092">
        <f t="shared" ref="AX335:AX366" si="209">C335</f>
        <v>0</v>
      </c>
      <c r="AY335" s="2765">
        <f t="shared" si="184"/>
        <v>0</v>
      </c>
      <c r="AZ335" s="2720">
        <f t="shared" si="185"/>
        <v>0</v>
      </c>
      <c r="BA335" s="2720">
        <f t="shared" si="186"/>
        <v>0</v>
      </c>
      <c r="BB335" s="2720">
        <f t="shared" si="187"/>
        <v>0</v>
      </c>
      <c r="BC335" s="2720">
        <f t="shared" si="188"/>
        <v>0</v>
      </c>
      <c r="BD335" s="2720">
        <f t="shared" si="189"/>
        <v>0</v>
      </c>
      <c r="BE335" s="2720">
        <f t="shared" si="190"/>
        <v>0</v>
      </c>
      <c r="BF335" s="2720">
        <f t="shared" si="191"/>
        <v>0</v>
      </c>
      <c r="BG335" s="2720">
        <f t="shared" si="192"/>
        <v>0</v>
      </c>
      <c r="BH335" s="2720">
        <f t="shared" si="193"/>
        <v>0</v>
      </c>
      <c r="BI335" s="2720">
        <f t="shared" si="194"/>
        <v>0</v>
      </c>
      <c r="BJ335" s="2720">
        <f t="shared" si="195"/>
        <v>0</v>
      </c>
      <c r="BK335" s="2720">
        <f t="shared" si="196"/>
        <v>0</v>
      </c>
      <c r="BL335" s="2720">
        <f t="shared" si="197"/>
        <v>0</v>
      </c>
      <c r="BM335" s="2720">
        <f t="shared" si="198"/>
        <v>0</v>
      </c>
      <c r="BN335" s="2720">
        <f t="shared" si="199"/>
        <v>0</v>
      </c>
      <c r="BO335" s="2720">
        <f t="shared" si="200"/>
        <v>0</v>
      </c>
      <c r="BP335" s="2720">
        <f t="shared" si="201"/>
        <v>0</v>
      </c>
      <c r="BQ335" s="2720">
        <f t="shared" si="202"/>
        <v>0</v>
      </c>
      <c r="BR335" s="2720">
        <f t="shared" si="203"/>
        <v>0</v>
      </c>
      <c r="BS335" s="2720">
        <f t="shared" si="204"/>
        <v>0</v>
      </c>
      <c r="BT335" s="2772">
        <f t="shared" si="205"/>
        <v>0</v>
      </c>
    </row>
    <row r="336" spans="1:72">
      <c r="A336" s="2717"/>
      <c r="B336" s="2718"/>
      <c r="C336" s="2718"/>
      <c r="D336" s="2719"/>
      <c r="E336" s="2720">
        <f t="shared" si="206"/>
        <v>0</v>
      </c>
      <c r="F336" s="2721"/>
      <c r="G336" s="2722">
        <f t="shared" si="181"/>
        <v>0</v>
      </c>
      <c r="H336" s="2723">
        <f t="shared" si="182"/>
        <v>0</v>
      </c>
      <c r="I336" s="2730"/>
      <c r="J336" s="2730"/>
      <c r="K336" s="2730"/>
      <c r="L336" s="2730"/>
      <c r="M336" s="2730"/>
      <c r="N336" s="2730"/>
      <c r="O336" s="2730"/>
      <c r="P336" s="2730"/>
      <c r="Q336" s="2730"/>
      <c r="R336" s="2730"/>
      <c r="S336" s="2730"/>
      <c r="T336" s="2730"/>
      <c r="U336" s="2730"/>
      <c r="V336" s="2730"/>
      <c r="W336" s="2730"/>
      <c r="X336" s="2730"/>
      <c r="Y336" s="2730"/>
      <c r="Z336" s="2730"/>
      <c r="AA336" s="2730"/>
      <c r="AB336" s="2730"/>
      <c r="AC336" s="2720">
        <f t="shared" si="183"/>
        <v>0</v>
      </c>
      <c r="AD336" s="2740"/>
      <c r="AE336" s="2740"/>
      <c r="AF336" s="2740"/>
      <c r="AG336" s="2740"/>
      <c r="AH336" s="2740"/>
      <c r="AI336" s="2740"/>
      <c r="AJ336" s="2740"/>
      <c r="AK336" s="2740"/>
      <c r="AL336" s="2740"/>
      <c r="AM336" s="2740"/>
      <c r="AN336" s="2740"/>
      <c r="AO336" s="2740"/>
      <c r="AP336" s="2740"/>
      <c r="AQ336" s="2740"/>
      <c r="AR336" s="2740"/>
      <c r="AS336" s="2740"/>
      <c r="AT336" s="2750"/>
      <c r="AU336" s="2751"/>
      <c r="AV336" s="1092">
        <f t="shared" si="207"/>
        <v>0</v>
      </c>
      <c r="AW336" s="1092">
        <f t="shared" si="208"/>
        <v>0</v>
      </c>
      <c r="AX336" s="1092">
        <f t="shared" si="209"/>
        <v>0</v>
      </c>
      <c r="AY336" s="2765">
        <f t="shared" si="184"/>
        <v>0</v>
      </c>
      <c r="AZ336" s="2720">
        <f t="shared" si="185"/>
        <v>0</v>
      </c>
      <c r="BA336" s="2720">
        <f t="shared" si="186"/>
        <v>0</v>
      </c>
      <c r="BB336" s="2720">
        <f t="shared" si="187"/>
        <v>0</v>
      </c>
      <c r="BC336" s="2720">
        <f t="shared" si="188"/>
        <v>0</v>
      </c>
      <c r="BD336" s="2720">
        <f t="shared" si="189"/>
        <v>0</v>
      </c>
      <c r="BE336" s="2720">
        <f t="shared" si="190"/>
        <v>0</v>
      </c>
      <c r="BF336" s="2720">
        <f t="shared" si="191"/>
        <v>0</v>
      </c>
      <c r="BG336" s="2720">
        <f t="shared" si="192"/>
        <v>0</v>
      </c>
      <c r="BH336" s="2720">
        <f t="shared" si="193"/>
        <v>0</v>
      </c>
      <c r="BI336" s="2720">
        <f t="shared" si="194"/>
        <v>0</v>
      </c>
      <c r="BJ336" s="2720">
        <f t="shared" si="195"/>
        <v>0</v>
      </c>
      <c r="BK336" s="2720">
        <f t="shared" si="196"/>
        <v>0</v>
      </c>
      <c r="BL336" s="2720">
        <f t="shared" si="197"/>
        <v>0</v>
      </c>
      <c r="BM336" s="2720">
        <f t="shared" si="198"/>
        <v>0</v>
      </c>
      <c r="BN336" s="2720">
        <f t="shared" si="199"/>
        <v>0</v>
      </c>
      <c r="BO336" s="2720">
        <f t="shared" si="200"/>
        <v>0</v>
      </c>
      <c r="BP336" s="2720">
        <f t="shared" si="201"/>
        <v>0</v>
      </c>
      <c r="BQ336" s="2720">
        <f t="shared" si="202"/>
        <v>0</v>
      </c>
      <c r="BR336" s="2720">
        <f t="shared" si="203"/>
        <v>0</v>
      </c>
      <c r="BS336" s="2720">
        <f t="shared" si="204"/>
        <v>0</v>
      </c>
      <c r="BT336" s="2772">
        <f t="shared" si="205"/>
        <v>0</v>
      </c>
    </row>
    <row r="337" spans="1:72">
      <c r="A337" s="2717"/>
      <c r="B337" s="2718"/>
      <c r="C337" s="2718"/>
      <c r="D337" s="2719"/>
      <c r="E337" s="2720">
        <f t="shared" si="206"/>
        <v>0</v>
      </c>
      <c r="F337" s="2721"/>
      <c r="G337" s="2722">
        <f t="shared" si="181"/>
        <v>0</v>
      </c>
      <c r="H337" s="2723">
        <f t="shared" si="182"/>
        <v>0</v>
      </c>
      <c r="I337" s="2730"/>
      <c r="J337" s="2730"/>
      <c r="K337" s="2730"/>
      <c r="L337" s="2730"/>
      <c r="M337" s="2730"/>
      <c r="N337" s="2730"/>
      <c r="O337" s="2730"/>
      <c r="P337" s="2730"/>
      <c r="Q337" s="2730"/>
      <c r="R337" s="2730"/>
      <c r="S337" s="2730"/>
      <c r="T337" s="2730"/>
      <c r="U337" s="2730"/>
      <c r="V337" s="2730"/>
      <c r="W337" s="2730"/>
      <c r="X337" s="2730"/>
      <c r="Y337" s="2730"/>
      <c r="Z337" s="2730"/>
      <c r="AA337" s="2730"/>
      <c r="AB337" s="2730"/>
      <c r="AC337" s="2720">
        <f t="shared" si="183"/>
        <v>0</v>
      </c>
      <c r="AD337" s="2740"/>
      <c r="AE337" s="2740"/>
      <c r="AF337" s="2740"/>
      <c r="AG337" s="2740"/>
      <c r="AH337" s="2740"/>
      <c r="AI337" s="2740"/>
      <c r="AJ337" s="2740"/>
      <c r="AK337" s="2740"/>
      <c r="AL337" s="2740"/>
      <c r="AM337" s="2740"/>
      <c r="AN337" s="2740"/>
      <c r="AO337" s="2740"/>
      <c r="AP337" s="2740"/>
      <c r="AQ337" s="2740"/>
      <c r="AR337" s="2740"/>
      <c r="AS337" s="2740"/>
      <c r="AT337" s="2750"/>
      <c r="AU337" s="2751"/>
      <c r="AV337" s="1092">
        <f t="shared" si="207"/>
        <v>0</v>
      </c>
      <c r="AW337" s="1092">
        <f t="shared" si="208"/>
        <v>0</v>
      </c>
      <c r="AX337" s="1092">
        <f t="shared" si="209"/>
        <v>0</v>
      </c>
      <c r="AY337" s="2765">
        <f t="shared" si="184"/>
        <v>0</v>
      </c>
      <c r="AZ337" s="2720">
        <f t="shared" si="185"/>
        <v>0</v>
      </c>
      <c r="BA337" s="2720">
        <f t="shared" si="186"/>
        <v>0</v>
      </c>
      <c r="BB337" s="2720">
        <f t="shared" si="187"/>
        <v>0</v>
      </c>
      <c r="BC337" s="2720">
        <f t="shared" si="188"/>
        <v>0</v>
      </c>
      <c r="BD337" s="2720">
        <f t="shared" si="189"/>
        <v>0</v>
      </c>
      <c r="BE337" s="2720">
        <f t="shared" si="190"/>
        <v>0</v>
      </c>
      <c r="BF337" s="2720">
        <f t="shared" si="191"/>
        <v>0</v>
      </c>
      <c r="BG337" s="2720">
        <f t="shared" si="192"/>
        <v>0</v>
      </c>
      <c r="BH337" s="2720">
        <f t="shared" si="193"/>
        <v>0</v>
      </c>
      <c r="BI337" s="2720">
        <f t="shared" si="194"/>
        <v>0</v>
      </c>
      <c r="BJ337" s="2720">
        <f t="shared" si="195"/>
        <v>0</v>
      </c>
      <c r="BK337" s="2720">
        <f t="shared" si="196"/>
        <v>0</v>
      </c>
      <c r="BL337" s="2720">
        <f t="shared" si="197"/>
        <v>0</v>
      </c>
      <c r="BM337" s="2720">
        <f t="shared" si="198"/>
        <v>0</v>
      </c>
      <c r="BN337" s="2720">
        <f t="shared" si="199"/>
        <v>0</v>
      </c>
      <c r="BO337" s="2720">
        <f t="shared" si="200"/>
        <v>0</v>
      </c>
      <c r="BP337" s="2720">
        <f t="shared" si="201"/>
        <v>0</v>
      </c>
      <c r="BQ337" s="2720">
        <f t="shared" si="202"/>
        <v>0</v>
      </c>
      <c r="BR337" s="2720">
        <f t="shared" si="203"/>
        <v>0</v>
      </c>
      <c r="BS337" s="2720">
        <f t="shared" si="204"/>
        <v>0</v>
      </c>
      <c r="BT337" s="2772">
        <f t="shared" si="205"/>
        <v>0</v>
      </c>
    </row>
    <row r="338" spans="1:72">
      <c r="A338" s="2717"/>
      <c r="B338" s="2718"/>
      <c r="C338" s="2718"/>
      <c r="D338" s="2719"/>
      <c r="E338" s="2720">
        <f t="shared" si="206"/>
        <v>0</v>
      </c>
      <c r="F338" s="2721"/>
      <c r="G338" s="2722">
        <f t="shared" si="181"/>
        <v>0</v>
      </c>
      <c r="H338" s="2723">
        <f t="shared" si="182"/>
        <v>0</v>
      </c>
      <c r="I338" s="2730"/>
      <c r="J338" s="2730"/>
      <c r="K338" s="2730"/>
      <c r="L338" s="2730"/>
      <c r="M338" s="2730"/>
      <c r="N338" s="2730"/>
      <c r="O338" s="2730"/>
      <c r="P338" s="2730"/>
      <c r="Q338" s="2730"/>
      <c r="R338" s="2730"/>
      <c r="S338" s="2730"/>
      <c r="T338" s="2730"/>
      <c r="U338" s="2730"/>
      <c r="V338" s="2730"/>
      <c r="W338" s="2730"/>
      <c r="X338" s="2730"/>
      <c r="Y338" s="2730"/>
      <c r="Z338" s="2730"/>
      <c r="AA338" s="2730"/>
      <c r="AB338" s="2730"/>
      <c r="AC338" s="2720">
        <f t="shared" si="183"/>
        <v>0</v>
      </c>
      <c r="AD338" s="2740"/>
      <c r="AE338" s="2740"/>
      <c r="AF338" s="2740"/>
      <c r="AG338" s="2740"/>
      <c r="AH338" s="2740"/>
      <c r="AI338" s="2740"/>
      <c r="AJ338" s="2740"/>
      <c r="AK338" s="2740"/>
      <c r="AL338" s="2740"/>
      <c r="AM338" s="2740"/>
      <c r="AN338" s="2740"/>
      <c r="AO338" s="2740"/>
      <c r="AP338" s="2740"/>
      <c r="AQ338" s="2740"/>
      <c r="AR338" s="2740"/>
      <c r="AS338" s="2740"/>
      <c r="AT338" s="2750"/>
      <c r="AU338" s="2751"/>
      <c r="AV338" s="1092">
        <f t="shared" si="207"/>
        <v>0</v>
      </c>
      <c r="AW338" s="1092">
        <f t="shared" si="208"/>
        <v>0</v>
      </c>
      <c r="AX338" s="1092">
        <f t="shared" si="209"/>
        <v>0</v>
      </c>
      <c r="AY338" s="2765">
        <f t="shared" si="184"/>
        <v>0</v>
      </c>
      <c r="AZ338" s="2720">
        <f t="shared" si="185"/>
        <v>0</v>
      </c>
      <c r="BA338" s="2720">
        <f t="shared" si="186"/>
        <v>0</v>
      </c>
      <c r="BB338" s="2720">
        <f t="shared" si="187"/>
        <v>0</v>
      </c>
      <c r="BC338" s="2720">
        <f t="shared" si="188"/>
        <v>0</v>
      </c>
      <c r="BD338" s="2720">
        <f t="shared" si="189"/>
        <v>0</v>
      </c>
      <c r="BE338" s="2720">
        <f t="shared" si="190"/>
        <v>0</v>
      </c>
      <c r="BF338" s="2720">
        <f t="shared" si="191"/>
        <v>0</v>
      </c>
      <c r="BG338" s="2720">
        <f t="shared" si="192"/>
        <v>0</v>
      </c>
      <c r="BH338" s="2720">
        <f t="shared" si="193"/>
        <v>0</v>
      </c>
      <c r="BI338" s="2720">
        <f t="shared" si="194"/>
        <v>0</v>
      </c>
      <c r="BJ338" s="2720">
        <f t="shared" si="195"/>
        <v>0</v>
      </c>
      <c r="BK338" s="2720">
        <f t="shared" si="196"/>
        <v>0</v>
      </c>
      <c r="BL338" s="2720">
        <f t="shared" si="197"/>
        <v>0</v>
      </c>
      <c r="BM338" s="2720">
        <f t="shared" si="198"/>
        <v>0</v>
      </c>
      <c r="BN338" s="2720">
        <f t="shared" si="199"/>
        <v>0</v>
      </c>
      <c r="BO338" s="2720">
        <f t="shared" si="200"/>
        <v>0</v>
      </c>
      <c r="BP338" s="2720">
        <f t="shared" si="201"/>
        <v>0</v>
      </c>
      <c r="BQ338" s="2720">
        <f t="shared" si="202"/>
        <v>0</v>
      </c>
      <c r="BR338" s="2720">
        <f t="shared" si="203"/>
        <v>0</v>
      </c>
      <c r="BS338" s="2720">
        <f t="shared" si="204"/>
        <v>0</v>
      </c>
      <c r="BT338" s="2772">
        <f t="shared" si="205"/>
        <v>0</v>
      </c>
    </row>
    <row r="339" spans="1:72">
      <c r="A339" s="2717"/>
      <c r="B339" s="2718"/>
      <c r="C339" s="2718"/>
      <c r="D339" s="2719"/>
      <c r="E339" s="2720">
        <f t="shared" si="206"/>
        <v>0</v>
      </c>
      <c r="F339" s="2721"/>
      <c r="G339" s="2722">
        <f t="shared" si="181"/>
        <v>0</v>
      </c>
      <c r="H339" s="2723">
        <f t="shared" si="182"/>
        <v>0</v>
      </c>
      <c r="I339" s="2730"/>
      <c r="J339" s="2730"/>
      <c r="K339" s="2730"/>
      <c r="L339" s="2730"/>
      <c r="M339" s="2730"/>
      <c r="N339" s="2730"/>
      <c r="O339" s="2730"/>
      <c r="P339" s="2730"/>
      <c r="Q339" s="2730"/>
      <c r="R339" s="2730"/>
      <c r="S339" s="2730"/>
      <c r="T339" s="2730"/>
      <c r="U339" s="2730"/>
      <c r="V339" s="2730"/>
      <c r="W339" s="2730"/>
      <c r="X339" s="2730"/>
      <c r="Y339" s="2730"/>
      <c r="Z339" s="2730"/>
      <c r="AA339" s="2730"/>
      <c r="AB339" s="2730"/>
      <c r="AC339" s="2720">
        <f t="shared" si="183"/>
        <v>0</v>
      </c>
      <c r="AD339" s="2740"/>
      <c r="AE339" s="2740"/>
      <c r="AF339" s="2740"/>
      <c r="AG339" s="2740"/>
      <c r="AH339" s="2740"/>
      <c r="AI339" s="2740"/>
      <c r="AJ339" s="2740"/>
      <c r="AK339" s="2740"/>
      <c r="AL339" s="2740"/>
      <c r="AM339" s="2740"/>
      <c r="AN339" s="2740"/>
      <c r="AO339" s="2740"/>
      <c r="AP339" s="2740"/>
      <c r="AQ339" s="2740"/>
      <c r="AR339" s="2740"/>
      <c r="AS339" s="2740"/>
      <c r="AT339" s="2750"/>
      <c r="AU339" s="2751"/>
      <c r="AV339" s="1092">
        <f t="shared" si="207"/>
        <v>0</v>
      </c>
      <c r="AW339" s="1092">
        <f t="shared" si="208"/>
        <v>0</v>
      </c>
      <c r="AX339" s="1092">
        <f t="shared" si="209"/>
        <v>0</v>
      </c>
      <c r="AY339" s="2765">
        <f t="shared" si="184"/>
        <v>0</v>
      </c>
      <c r="AZ339" s="2720">
        <f t="shared" si="185"/>
        <v>0</v>
      </c>
      <c r="BA339" s="2720">
        <f t="shared" si="186"/>
        <v>0</v>
      </c>
      <c r="BB339" s="2720">
        <f t="shared" si="187"/>
        <v>0</v>
      </c>
      <c r="BC339" s="2720">
        <f t="shared" si="188"/>
        <v>0</v>
      </c>
      <c r="BD339" s="2720">
        <f t="shared" si="189"/>
        <v>0</v>
      </c>
      <c r="BE339" s="2720">
        <f t="shared" si="190"/>
        <v>0</v>
      </c>
      <c r="BF339" s="2720">
        <f t="shared" si="191"/>
        <v>0</v>
      </c>
      <c r="BG339" s="2720">
        <f t="shared" si="192"/>
        <v>0</v>
      </c>
      <c r="BH339" s="2720">
        <f t="shared" si="193"/>
        <v>0</v>
      </c>
      <c r="BI339" s="2720">
        <f t="shared" si="194"/>
        <v>0</v>
      </c>
      <c r="BJ339" s="2720">
        <f t="shared" si="195"/>
        <v>0</v>
      </c>
      <c r="BK339" s="2720">
        <f t="shared" si="196"/>
        <v>0</v>
      </c>
      <c r="BL339" s="2720">
        <f t="shared" si="197"/>
        <v>0</v>
      </c>
      <c r="BM339" s="2720">
        <f t="shared" si="198"/>
        <v>0</v>
      </c>
      <c r="BN339" s="2720">
        <f t="shared" si="199"/>
        <v>0</v>
      </c>
      <c r="BO339" s="2720">
        <f t="shared" si="200"/>
        <v>0</v>
      </c>
      <c r="BP339" s="2720">
        <f t="shared" si="201"/>
        <v>0</v>
      </c>
      <c r="BQ339" s="2720">
        <f t="shared" si="202"/>
        <v>0</v>
      </c>
      <c r="BR339" s="2720">
        <f t="shared" si="203"/>
        <v>0</v>
      </c>
      <c r="BS339" s="2720">
        <f t="shared" si="204"/>
        <v>0</v>
      </c>
      <c r="BT339" s="2772">
        <f t="shared" si="205"/>
        <v>0</v>
      </c>
    </row>
    <row r="340" spans="1:72">
      <c r="A340" s="2717"/>
      <c r="B340" s="2718"/>
      <c r="C340" s="2718"/>
      <c r="D340" s="2719"/>
      <c r="E340" s="2720">
        <f t="shared" si="206"/>
        <v>0</v>
      </c>
      <c r="F340" s="2721"/>
      <c r="G340" s="2722">
        <f t="shared" si="181"/>
        <v>0</v>
      </c>
      <c r="H340" s="2723">
        <f t="shared" si="182"/>
        <v>0</v>
      </c>
      <c r="I340" s="2730"/>
      <c r="J340" s="2730"/>
      <c r="K340" s="2730"/>
      <c r="L340" s="2730"/>
      <c r="M340" s="2730"/>
      <c r="N340" s="2730"/>
      <c r="O340" s="2730"/>
      <c r="P340" s="2730"/>
      <c r="Q340" s="2730"/>
      <c r="R340" s="2730"/>
      <c r="S340" s="2730"/>
      <c r="T340" s="2730"/>
      <c r="U340" s="2730"/>
      <c r="V340" s="2730"/>
      <c r="W340" s="2730"/>
      <c r="X340" s="2730"/>
      <c r="Y340" s="2730"/>
      <c r="Z340" s="2730"/>
      <c r="AA340" s="2730"/>
      <c r="AB340" s="2730"/>
      <c r="AC340" s="2720">
        <f t="shared" si="183"/>
        <v>0</v>
      </c>
      <c r="AD340" s="2740"/>
      <c r="AE340" s="2740"/>
      <c r="AF340" s="2740"/>
      <c r="AG340" s="2740"/>
      <c r="AH340" s="2740"/>
      <c r="AI340" s="2740"/>
      <c r="AJ340" s="2740"/>
      <c r="AK340" s="2740"/>
      <c r="AL340" s="2740"/>
      <c r="AM340" s="2740"/>
      <c r="AN340" s="2740"/>
      <c r="AO340" s="2740"/>
      <c r="AP340" s="2740"/>
      <c r="AQ340" s="2740"/>
      <c r="AR340" s="2740"/>
      <c r="AS340" s="2740"/>
      <c r="AT340" s="2750"/>
      <c r="AU340" s="2751"/>
      <c r="AV340" s="1092">
        <f t="shared" si="207"/>
        <v>0</v>
      </c>
      <c r="AW340" s="1092">
        <f t="shared" si="208"/>
        <v>0</v>
      </c>
      <c r="AX340" s="1092">
        <f t="shared" si="209"/>
        <v>0</v>
      </c>
      <c r="AY340" s="2765">
        <f t="shared" si="184"/>
        <v>0</v>
      </c>
      <c r="AZ340" s="2720">
        <f t="shared" si="185"/>
        <v>0</v>
      </c>
      <c r="BA340" s="2720">
        <f t="shared" si="186"/>
        <v>0</v>
      </c>
      <c r="BB340" s="2720">
        <f t="shared" si="187"/>
        <v>0</v>
      </c>
      <c r="BC340" s="2720">
        <f t="shared" si="188"/>
        <v>0</v>
      </c>
      <c r="BD340" s="2720">
        <f t="shared" si="189"/>
        <v>0</v>
      </c>
      <c r="BE340" s="2720">
        <f t="shared" si="190"/>
        <v>0</v>
      </c>
      <c r="BF340" s="2720">
        <f t="shared" si="191"/>
        <v>0</v>
      </c>
      <c r="BG340" s="2720">
        <f t="shared" si="192"/>
        <v>0</v>
      </c>
      <c r="BH340" s="2720">
        <f t="shared" si="193"/>
        <v>0</v>
      </c>
      <c r="BI340" s="2720">
        <f t="shared" si="194"/>
        <v>0</v>
      </c>
      <c r="BJ340" s="2720">
        <f t="shared" si="195"/>
        <v>0</v>
      </c>
      <c r="BK340" s="2720">
        <f t="shared" si="196"/>
        <v>0</v>
      </c>
      <c r="BL340" s="2720">
        <f t="shared" si="197"/>
        <v>0</v>
      </c>
      <c r="BM340" s="2720">
        <f t="shared" si="198"/>
        <v>0</v>
      </c>
      <c r="BN340" s="2720">
        <f t="shared" si="199"/>
        <v>0</v>
      </c>
      <c r="BO340" s="2720">
        <f t="shared" si="200"/>
        <v>0</v>
      </c>
      <c r="BP340" s="2720">
        <f t="shared" si="201"/>
        <v>0</v>
      </c>
      <c r="BQ340" s="2720">
        <f t="shared" si="202"/>
        <v>0</v>
      </c>
      <c r="BR340" s="2720">
        <f t="shared" si="203"/>
        <v>0</v>
      </c>
      <c r="BS340" s="2720">
        <f t="shared" si="204"/>
        <v>0</v>
      </c>
      <c r="BT340" s="2772">
        <f t="shared" si="205"/>
        <v>0</v>
      </c>
    </row>
    <row r="341" spans="1:72">
      <c r="A341" s="2717"/>
      <c r="B341" s="2718"/>
      <c r="C341" s="2718"/>
      <c r="D341" s="2719"/>
      <c r="E341" s="2720">
        <f t="shared" si="206"/>
        <v>0</v>
      </c>
      <c r="F341" s="2721"/>
      <c r="G341" s="2722">
        <f t="shared" si="181"/>
        <v>0</v>
      </c>
      <c r="H341" s="2723">
        <f t="shared" si="182"/>
        <v>0</v>
      </c>
      <c r="I341" s="2730"/>
      <c r="J341" s="2730"/>
      <c r="K341" s="2730"/>
      <c r="L341" s="2730"/>
      <c r="M341" s="2730"/>
      <c r="N341" s="2730"/>
      <c r="O341" s="2730"/>
      <c r="P341" s="2730"/>
      <c r="Q341" s="2730"/>
      <c r="R341" s="2730"/>
      <c r="S341" s="2730"/>
      <c r="T341" s="2730"/>
      <c r="U341" s="2730"/>
      <c r="V341" s="2730"/>
      <c r="W341" s="2730"/>
      <c r="X341" s="2730"/>
      <c r="Y341" s="2730"/>
      <c r="Z341" s="2730"/>
      <c r="AA341" s="2730"/>
      <c r="AB341" s="2730"/>
      <c r="AC341" s="2720">
        <f t="shared" si="183"/>
        <v>0</v>
      </c>
      <c r="AD341" s="2740"/>
      <c r="AE341" s="2740"/>
      <c r="AF341" s="2740"/>
      <c r="AG341" s="2740"/>
      <c r="AH341" s="2740"/>
      <c r="AI341" s="2740"/>
      <c r="AJ341" s="2740"/>
      <c r="AK341" s="2740"/>
      <c r="AL341" s="2740"/>
      <c r="AM341" s="2740"/>
      <c r="AN341" s="2740"/>
      <c r="AO341" s="2740"/>
      <c r="AP341" s="2740"/>
      <c r="AQ341" s="2740"/>
      <c r="AR341" s="2740"/>
      <c r="AS341" s="2740"/>
      <c r="AT341" s="2750"/>
      <c r="AU341" s="2751"/>
      <c r="AV341" s="1092">
        <f t="shared" si="207"/>
        <v>0</v>
      </c>
      <c r="AW341" s="1092">
        <f t="shared" si="208"/>
        <v>0</v>
      </c>
      <c r="AX341" s="1092">
        <f t="shared" si="209"/>
        <v>0</v>
      </c>
      <c r="AY341" s="2765">
        <f t="shared" si="184"/>
        <v>0</v>
      </c>
      <c r="AZ341" s="2720">
        <f t="shared" si="185"/>
        <v>0</v>
      </c>
      <c r="BA341" s="2720">
        <f t="shared" si="186"/>
        <v>0</v>
      </c>
      <c r="BB341" s="2720">
        <f t="shared" si="187"/>
        <v>0</v>
      </c>
      <c r="BC341" s="2720">
        <f t="shared" si="188"/>
        <v>0</v>
      </c>
      <c r="BD341" s="2720">
        <f t="shared" si="189"/>
        <v>0</v>
      </c>
      <c r="BE341" s="2720">
        <f t="shared" si="190"/>
        <v>0</v>
      </c>
      <c r="BF341" s="2720">
        <f t="shared" si="191"/>
        <v>0</v>
      </c>
      <c r="BG341" s="2720">
        <f t="shared" si="192"/>
        <v>0</v>
      </c>
      <c r="BH341" s="2720">
        <f t="shared" si="193"/>
        <v>0</v>
      </c>
      <c r="BI341" s="2720">
        <f t="shared" si="194"/>
        <v>0</v>
      </c>
      <c r="BJ341" s="2720">
        <f t="shared" si="195"/>
        <v>0</v>
      </c>
      <c r="BK341" s="2720">
        <f t="shared" si="196"/>
        <v>0</v>
      </c>
      <c r="BL341" s="2720">
        <f t="shared" si="197"/>
        <v>0</v>
      </c>
      <c r="BM341" s="2720">
        <f t="shared" si="198"/>
        <v>0</v>
      </c>
      <c r="BN341" s="2720">
        <f t="shared" si="199"/>
        <v>0</v>
      </c>
      <c r="BO341" s="2720">
        <f t="shared" si="200"/>
        <v>0</v>
      </c>
      <c r="BP341" s="2720">
        <f t="shared" si="201"/>
        <v>0</v>
      </c>
      <c r="BQ341" s="2720">
        <f t="shared" si="202"/>
        <v>0</v>
      </c>
      <c r="BR341" s="2720">
        <f t="shared" si="203"/>
        <v>0</v>
      </c>
      <c r="BS341" s="2720">
        <f t="shared" si="204"/>
        <v>0</v>
      </c>
      <c r="BT341" s="2772">
        <f t="shared" si="205"/>
        <v>0</v>
      </c>
    </row>
    <row r="342" spans="1:72">
      <c r="A342" s="2717"/>
      <c r="B342" s="2718"/>
      <c r="C342" s="2718"/>
      <c r="D342" s="2719"/>
      <c r="E342" s="2720">
        <f t="shared" si="206"/>
        <v>0</v>
      </c>
      <c r="F342" s="2721"/>
      <c r="G342" s="2722">
        <f t="shared" si="181"/>
        <v>0</v>
      </c>
      <c r="H342" s="2723">
        <f t="shared" si="182"/>
        <v>0</v>
      </c>
      <c r="I342" s="2730"/>
      <c r="J342" s="2730"/>
      <c r="K342" s="2730"/>
      <c r="L342" s="2730"/>
      <c r="M342" s="2730"/>
      <c r="N342" s="2730"/>
      <c r="O342" s="2730"/>
      <c r="P342" s="2730"/>
      <c r="Q342" s="2730"/>
      <c r="R342" s="2730"/>
      <c r="S342" s="2730"/>
      <c r="T342" s="2730"/>
      <c r="U342" s="2730"/>
      <c r="V342" s="2730"/>
      <c r="W342" s="2730"/>
      <c r="X342" s="2730"/>
      <c r="Y342" s="2730"/>
      <c r="Z342" s="2730"/>
      <c r="AA342" s="2730"/>
      <c r="AB342" s="2730"/>
      <c r="AC342" s="2720">
        <f t="shared" si="183"/>
        <v>0</v>
      </c>
      <c r="AD342" s="2740"/>
      <c r="AE342" s="2740"/>
      <c r="AF342" s="2740"/>
      <c r="AG342" s="2740"/>
      <c r="AH342" s="2740"/>
      <c r="AI342" s="2740"/>
      <c r="AJ342" s="2740"/>
      <c r="AK342" s="2740"/>
      <c r="AL342" s="2740"/>
      <c r="AM342" s="2740"/>
      <c r="AN342" s="2740"/>
      <c r="AO342" s="2740"/>
      <c r="AP342" s="2740"/>
      <c r="AQ342" s="2740"/>
      <c r="AR342" s="2740"/>
      <c r="AS342" s="2740"/>
      <c r="AT342" s="2750"/>
      <c r="AU342" s="2751"/>
      <c r="AV342" s="1092">
        <f t="shared" si="207"/>
        <v>0</v>
      </c>
      <c r="AW342" s="1092">
        <f t="shared" si="208"/>
        <v>0</v>
      </c>
      <c r="AX342" s="1092">
        <f t="shared" si="209"/>
        <v>0</v>
      </c>
      <c r="AY342" s="2765">
        <f t="shared" si="184"/>
        <v>0</v>
      </c>
      <c r="AZ342" s="2720">
        <f t="shared" si="185"/>
        <v>0</v>
      </c>
      <c r="BA342" s="2720">
        <f t="shared" si="186"/>
        <v>0</v>
      </c>
      <c r="BB342" s="2720">
        <f t="shared" si="187"/>
        <v>0</v>
      </c>
      <c r="BC342" s="2720">
        <f t="shared" si="188"/>
        <v>0</v>
      </c>
      <c r="BD342" s="2720">
        <f t="shared" si="189"/>
        <v>0</v>
      </c>
      <c r="BE342" s="2720">
        <f t="shared" si="190"/>
        <v>0</v>
      </c>
      <c r="BF342" s="2720">
        <f t="shared" si="191"/>
        <v>0</v>
      </c>
      <c r="BG342" s="2720">
        <f t="shared" si="192"/>
        <v>0</v>
      </c>
      <c r="BH342" s="2720">
        <f t="shared" si="193"/>
        <v>0</v>
      </c>
      <c r="BI342" s="2720">
        <f t="shared" si="194"/>
        <v>0</v>
      </c>
      <c r="BJ342" s="2720">
        <f t="shared" si="195"/>
        <v>0</v>
      </c>
      <c r="BK342" s="2720">
        <f t="shared" si="196"/>
        <v>0</v>
      </c>
      <c r="BL342" s="2720">
        <f t="shared" si="197"/>
        <v>0</v>
      </c>
      <c r="BM342" s="2720">
        <f t="shared" si="198"/>
        <v>0</v>
      </c>
      <c r="BN342" s="2720">
        <f t="shared" si="199"/>
        <v>0</v>
      </c>
      <c r="BO342" s="2720">
        <f t="shared" si="200"/>
        <v>0</v>
      </c>
      <c r="BP342" s="2720">
        <f t="shared" si="201"/>
        <v>0</v>
      </c>
      <c r="BQ342" s="2720">
        <f t="shared" si="202"/>
        <v>0</v>
      </c>
      <c r="BR342" s="2720">
        <f t="shared" si="203"/>
        <v>0</v>
      </c>
      <c r="BS342" s="2720">
        <f t="shared" si="204"/>
        <v>0</v>
      </c>
      <c r="BT342" s="2772">
        <f t="shared" si="205"/>
        <v>0</v>
      </c>
    </row>
    <row r="343" spans="1:72">
      <c r="A343" s="2717"/>
      <c r="B343" s="2718"/>
      <c r="C343" s="2718"/>
      <c r="D343" s="2719"/>
      <c r="E343" s="2720">
        <f t="shared" si="206"/>
        <v>0</v>
      </c>
      <c r="F343" s="2721"/>
      <c r="G343" s="2722">
        <f t="shared" si="181"/>
        <v>0</v>
      </c>
      <c r="H343" s="2723">
        <f t="shared" si="182"/>
        <v>0</v>
      </c>
      <c r="I343" s="2730"/>
      <c r="J343" s="2730"/>
      <c r="K343" s="2730"/>
      <c r="L343" s="2730"/>
      <c r="M343" s="2730"/>
      <c r="N343" s="2730"/>
      <c r="O343" s="2730"/>
      <c r="P343" s="2730"/>
      <c r="Q343" s="2730"/>
      <c r="R343" s="2730"/>
      <c r="S343" s="2730"/>
      <c r="T343" s="2730"/>
      <c r="U343" s="2730"/>
      <c r="V343" s="2730"/>
      <c r="W343" s="2730"/>
      <c r="X343" s="2730"/>
      <c r="Y343" s="2730"/>
      <c r="Z343" s="2730"/>
      <c r="AA343" s="2730"/>
      <c r="AB343" s="2730"/>
      <c r="AC343" s="2720">
        <f t="shared" si="183"/>
        <v>0</v>
      </c>
      <c r="AD343" s="2740"/>
      <c r="AE343" s="2740"/>
      <c r="AF343" s="2740"/>
      <c r="AG343" s="2740"/>
      <c r="AH343" s="2740"/>
      <c r="AI343" s="2740"/>
      <c r="AJ343" s="2740"/>
      <c r="AK343" s="2740"/>
      <c r="AL343" s="2740"/>
      <c r="AM343" s="2740"/>
      <c r="AN343" s="2740"/>
      <c r="AO343" s="2740"/>
      <c r="AP343" s="2740"/>
      <c r="AQ343" s="2740"/>
      <c r="AR343" s="2740"/>
      <c r="AS343" s="2740"/>
      <c r="AT343" s="2750"/>
      <c r="AU343" s="2751"/>
      <c r="AV343" s="1092">
        <f t="shared" si="207"/>
        <v>0</v>
      </c>
      <c r="AW343" s="1092">
        <f t="shared" si="208"/>
        <v>0</v>
      </c>
      <c r="AX343" s="1092">
        <f t="shared" si="209"/>
        <v>0</v>
      </c>
      <c r="AY343" s="2765">
        <f t="shared" si="184"/>
        <v>0</v>
      </c>
      <c r="AZ343" s="2720">
        <f t="shared" si="185"/>
        <v>0</v>
      </c>
      <c r="BA343" s="2720">
        <f t="shared" si="186"/>
        <v>0</v>
      </c>
      <c r="BB343" s="2720">
        <f t="shared" si="187"/>
        <v>0</v>
      </c>
      <c r="BC343" s="2720">
        <f t="shared" si="188"/>
        <v>0</v>
      </c>
      <c r="BD343" s="2720">
        <f t="shared" si="189"/>
        <v>0</v>
      </c>
      <c r="BE343" s="2720">
        <f t="shared" si="190"/>
        <v>0</v>
      </c>
      <c r="BF343" s="2720">
        <f t="shared" si="191"/>
        <v>0</v>
      </c>
      <c r="BG343" s="2720">
        <f t="shared" si="192"/>
        <v>0</v>
      </c>
      <c r="BH343" s="2720">
        <f t="shared" si="193"/>
        <v>0</v>
      </c>
      <c r="BI343" s="2720">
        <f t="shared" si="194"/>
        <v>0</v>
      </c>
      <c r="BJ343" s="2720">
        <f t="shared" si="195"/>
        <v>0</v>
      </c>
      <c r="BK343" s="2720">
        <f t="shared" si="196"/>
        <v>0</v>
      </c>
      <c r="BL343" s="2720">
        <f t="shared" si="197"/>
        <v>0</v>
      </c>
      <c r="BM343" s="2720">
        <f t="shared" si="198"/>
        <v>0</v>
      </c>
      <c r="BN343" s="2720">
        <f t="shared" si="199"/>
        <v>0</v>
      </c>
      <c r="BO343" s="2720">
        <f t="shared" si="200"/>
        <v>0</v>
      </c>
      <c r="BP343" s="2720">
        <f t="shared" si="201"/>
        <v>0</v>
      </c>
      <c r="BQ343" s="2720">
        <f t="shared" si="202"/>
        <v>0</v>
      </c>
      <c r="BR343" s="2720">
        <f t="shared" si="203"/>
        <v>0</v>
      </c>
      <c r="BS343" s="2720">
        <f t="shared" si="204"/>
        <v>0</v>
      </c>
      <c r="BT343" s="2772">
        <f t="shared" si="205"/>
        <v>0</v>
      </c>
    </row>
    <row r="344" spans="1:72">
      <c r="A344" s="2717"/>
      <c r="B344" s="2718"/>
      <c r="C344" s="2718"/>
      <c r="D344" s="2719"/>
      <c r="E344" s="2720">
        <f t="shared" si="206"/>
        <v>0</v>
      </c>
      <c r="F344" s="2721"/>
      <c r="G344" s="2722">
        <f t="shared" si="181"/>
        <v>0</v>
      </c>
      <c r="H344" s="2723">
        <f t="shared" si="182"/>
        <v>0</v>
      </c>
      <c r="I344" s="2730"/>
      <c r="J344" s="2730"/>
      <c r="K344" s="2730"/>
      <c r="L344" s="2730"/>
      <c r="M344" s="2730"/>
      <c r="N344" s="2730"/>
      <c r="O344" s="2730"/>
      <c r="P344" s="2730"/>
      <c r="Q344" s="2730"/>
      <c r="R344" s="2730"/>
      <c r="S344" s="2730"/>
      <c r="T344" s="2730"/>
      <c r="U344" s="2730"/>
      <c r="V344" s="2730"/>
      <c r="W344" s="2730"/>
      <c r="X344" s="2730"/>
      <c r="Y344" s="2730"/>
      <c r="Z344" s="2730"/>
      <c r="AA344" s="2730"/>
      <c r="AB344" s="2730"/>
      <c r="AC344" s="2720">
        <f t="shared" si="183"/>
        <v>0</v>
      </c>
      <c r="AD344" s="2740"/>
      <c r="AE344" s="2740"/>
      <c r="AF344" s="2740"/>
      <c r="AG344" s="2740"/>
      <c r="AH344" s="2740"/>
      <c r="AI344" s="2740"/>
      <c r="AJ344" s="2740"/>
      <c r="AK344" s="2740"/>
      <c r="AL344" s="2740"/>
      <c r="AM344" s="2740"/>
      <c r="AN344" s="2740"/>
      <c r="AO344" s="2740"/>
      <c r="AP344" s="2740"/>
      <c r="AQ344" s="2740"/>
      <c r="AR344" s="2740"/>
      <c r="AS344" s="2740"/>
      <c r="AT344" s="2750"/>
      <c r="AU344" s="2751"/>
      <c r="AV344" s="1092">
        <f t="shared" si="207"/>
        <v>0</v>
      </c>
      <c r="AW344" s="1092">
        <f t="shared" si="208"/>
        <v>0</v>
      </c>
      <c r="AX344" s="1092">
        <f t="shared" si="209"/>
        <v>0</v>
      </c>
      <c r="AY344" s="2765">
        <f t="shared" si="184"/>
        <v>0</v>
      </c>
      <c r="AZ344" s="2720">
        <f t="shared" si="185"/>
        <v>0</v>
      </c>
      <c r="BA344" s="2720">
        <f t="shared" si="186"/>
        <v>0</v>
      </c>
      <c r="BB344" s="2720">
        <f t="shared" si="187"/>
        <v>0</v>
      </c>
      <c r="BC344" s="2720">
        <f t="shared" si="188"/>
        <v>0</v>
      </c>
      <c r="BD344" s="2720">
        <f t="shared" si="189"/>
        <v>0</v>
      </c>
      <c r="BE344" s="2720">
        <f t="shared" si="190"/>
        <v>0</v>
      </c>
      <c r="BF344" s="2720">
        <f t="shared" si="191"/>
        <v>0</v>
      </c>
      <c r="BG344" s="2720">
        <f t="shared" si="192"/>
        <v>0</v>
      </c>
      <c r="BH344" s="2720">
        <f t="shared" si="193"/>
        <v>0</v>
      </c>
      <c r="BI344" s="2720">
        <f t="shared" si="194"/>
        <v>0</v>
      </c>
      <c r="BJ344" s="2720">
        <f t="shared" si="195"/>
        <v>0</v>
      </c>
      <c r="BK344" s="2720">
        <f t="shared" si="196"/>
        <v>0</v>
      </c>
      <c r="BL344" s="2720">
        <f t="shared" si="197"/>
        <v>0</v>
      </c>
      <c r="BM344" s="2720">
        <f t="shared" si="198"/>
        <v>0</v>
      </c>
      <c r="BN344" s="2720">
        <f t="shared" si="199"/>
        <v>0</v>
      </c>
      <c r="BO344" s="2720">
        <f t="shared" si="200"/>
        <v>0</v>
      </c>
      <c r="BP344" s="2720">
        <f t="shared" si="201"/>
        <v>0</v>
      </c>
      <c r="BQ344" s="2720">
        <f t="shared" si="202"/>
        <v>0</v>
      </c>
      <c r="BR344" s="2720">
        <f t="shared" si="203"/>
        <v>0</v>
      </c>
      <c r="BS344" s="2720">
        <f t="shared" si="204"/>
        <v>0</v>
      </c>
      <c r="BT344" s="2772">
        <f t="shared" si="205"/>
        <v>0</v>
      </c>
    </row>
    <row r="345" spans="1:72">
      <c r="A345" s="2717"/>
      <c r="B345" s="2718"/>
      <c r="C345" s="2718"/>
      <c r="D345" s="2719"/>
      <c r="E345" s="2720">
        <f t="shared" si="206"/>
        <v>0</v>
      </c>
      <c r="F345" s="2721"/>
      <c r="G345" s="2722">
        <f t="shared" si="181"/>
        <v>0</v>
      </c>
      <c r="H345" s="2723">
        <f t="shared" si="182"/>
        <v>0</v>
      </c>
      <c r="I345" s="2730"/>
      <c r="J345" s="2730"/>
      <c r="K345" s="2730"/>
      <c r="L345" s="2730"/>
      <c r="M345" s="2730"/>
      <c r="N345" s="2730"/>
      <c r="O345" s="2730"/>
      <c r="P345" s="2730"/>
      <c r="Q345" s="2730"/>
      <c r="R345" s="2730"/>
      <c r="S345" s="2730"/>
      <c r="T345" s="2730"/>
      <c r="U345" s="2730"/>
      <c r="V345" s="2730"/>
      <c r="W345" s="2730"/>
      <c r="X345" s="2730"/>
      <c r="Y345" s="2730"/>
      <c r="Z345" s="2730"/>
      <c r="AA345" s="2730"/>
      <c r="AB345" s="2730"/>
      <c r="AC345" s="2720">
        <f t="shared" si="183"/>
        <v>0</v>
      </c>
      <c r="AD345" s="2740"/>
      <c r="AE345" s="2740"/>
      <c r="AF345" s="2740"/>
      <c r="AG345" s="2740"/>
      <c r="AH345" s="2740"/>
      <c r="AI345" s="2740"/>
      <c r="AJ345" s="2740"/>
      <c r="AK345" s="2740"/>
      <c r="AL345" s="2740"/>
      <c r="AM345" s="2740"/>
      <c r="AN345" s="2740"/>
      <c r="AO345" s="2740"/>
      <c r="AP345" s="2740"/>
      <c r="AQ345" s="2740"/>
      <c r="AR345" s="2740"/>
      <c r="AS345" s="2740"/>
      <c r="AT345" s="2750"/>
      <c r="AU345" s="2751"/>
      <c r="AV345" s="1092">
        <f t="shared" si="207"/>
        <v>0</v>
      </c>
      <c r="AW345" s="1092">
        <f t="shared" si="208"/>
        <v>0</v>
      </c>
      <c r="AX345" s="1092">
        <f t="shared" si="209"/>
        <v>0</v>
      </c>
      <c r="AY345" s="2765">
        <f t="shared" si="184"/>
        <v>0</v>
      </c>
      <c r="AZ345" s="2720">
        <f t="shared" si="185"/>
        <v>0</v>
      </c>
      <c r="BA345" s="2720">
        <f t="shared" si="186"/>
        <v>0</v>
      </c>
      <c r="BB345" s="2720">
        <f t="shared" si="187"/>
        <v>0</v>
      </c>
      <c r="BC345" s="2720">
        <f t="shared" si="188"/>
        <v>0</v>
      </c>
      <c r="BD345" s="2720">
        <f t="shared" si="189"/>
        <v>0</v>
      </c>
      <c r="BE345" s="2720">
        <f t="shared" si="190"/>
        <v>0</v>
      </c>
      <c r="BF345" s="2720">
        <f t="shared" si="191"/>
        <v>0</v>
      </c>
      <c r="BG345" s="2720">
        <f t="shared" si="192"/>
        <v>0</v>
      </c>
      <c r="BH345" s="2720">
        <f t="shared" si="193"/>
        <v>0</v>
      </c>
      <c r="BI345" s="2720">
        <f t="shared" si="194"/>
        <v>0</v>
      </c>
      <c r="BJ345" s="2720">
        <f t="shared" si="195"/>
        <v>0</v>
      </c>
      <c r="BK345" s="2720">
        <f t="shared" si="196"/>
        <v>0</v>
      </c>
      <c r="BL345" s="2720">
        <f t="shared" si="197"/>
        <v>0</v>
      </c>
      <c r="BM345" s="2720">
        <f t="shared" si="198"/>
        <v>0</v>
      </c>
      <c r="BN345" s="2720">
        <f t="shared" si="199"/>
        <v>0</v>
      </c>
      <c r="BO345" s="2720">
        <f t="shared" si="200"/>
        <v>0</v>
      </c>
      <c r="BP345" s="2720">
        <f t="shared" si="201"/>
        <v>0</v>
      </c>
      <c r="BQ345" s="2720">
        <f t="shared" si="202"/>
        <v>0</v>
      </c>
      <c r="BR345" s="2720">
        <f t="shared" si="203"/>
        <v>0</v>
      </c>
      <c r="BS345" s="2720">
        <f t="shared" si="204"/>
        <v>0</v>
      </c>
      <c r="BT345" s="2772">
        <f t="shared" si="205"/>
        <v>0</v>
      </c>
    </row>
    <row r="346" spans="1:72">
      <c r="A346" s="2717"/>
      <c r="B346" s="2718"/>
      <c r="C346" s="2718"/>
      <c r="D346" s="2719"/>
      <c r="E346" s="2720">
        <f t="shared" si="206"/>
        <v>0</v>
      </c>
      <c r="F346" s="2721"/>
      <c r="G346" s="2722">
        <f t="shared" si="181"/>
        <v>0</v>
      </c>
      <c r="H346" s="2723">
        <f t="shared" si="182"/>
        <v>0</v>
      </c>
      <c r="I346" s="2730"/>
      <c r="J346" s="2730"/>
      <c r="K346" s="2730"/>
      <c r="L346" s="2730"/>
      <c r="M346" s="2730"/>
      <c r="N346" s="2730"/>
      <c r="O346" s="2730"/>
      <c r="P346" s="2730"/>
      <c r="Q346" s="2730"/>
      <c r="R346" s="2730"/>
      <c r="S346" s="2730"/>
      <c r="T346" s="2730"/>
      <c r="U346" s="2730"/>
      <c r="V346" s="2730"/>
      <c r="W346" s="2730"/>
      <c r="X346" s="2730"/>
      <c r="Y346" s="2730"/>
      <c r="Z346" s="2730"/>
      <c r="AA346" s="2730"/>
      <c r="AB346" s="2730"/>
      <c r="AC346" s="2720">
        <f t="shared" si="183"/>
        <v>0</v>
      </c>
      <c r="AD346" s="2740"/>
      <c r="AE346" s="2740"/>
      <c r="AF346" s="2740"/>
      <c r="AG346" s="2740"/>
      <c r="AH346" s="2740"/>
      <c r="AI346" s="2740"/>
      <c r="AJ346" s="2740"/>
      <c r="AK346" s="2740"/>
      <c r="AL346" s="2740"/>
      <c r="AM346" s="2740"/>
      <c r="AN346" s="2740"/>
      <c r="AO346" s="2740"/>
      <c r="AP346" s="2740"/>
      <c r="AQ346" s="2740"/>
      <c r="AR346" s="2740"/>
      <c r="AS346" s="2740"/>
      <c r="AT346" s="2750"/>
      <c r="AU346" s="2751"/>
      <c r="AV346" s="1092">
        <f t="shared" si="207"/>
        <v>0</v>
      </c>
      <c r="AW346" s="1092">
        <f t="shared" si="208"/>
        <v>0</v>
      </c>
      <c r="AX346" s="1092">
        <f t="shared" si="209"/>
        <v>0</v>
      </c>
      <c r="AY346" s="2765">
        <f t="shared" si="184"/>
        <v>0</v>
      </c>
      <c r="AZ346" s="2720">
        <f t="shared" si="185"/>
        <v>0</v>
      </c>
      <c r="BA346" s="2720">
        <f t="shared" si="186"/>
        <v>0</v>
      </c>
      <c r="BB346" s="2720">
        <f t="shared" si="187"/>
        <v>0</v>
      </c>
      <c r="BC346" s="2720">
        <f t="shared" si="188"/>
        <v>0</v>
      </c>
      <c r="BD346" s="2720">
        <f t="shared" si="189"/>
        <v>0</v>
      </c>
      <c r="BE346" s="2720">
        <f t="shared" si="190"/>
        <v>0</v>
      </c>
      <c r="BF346" s="2720">
        <f t="shared" si="191"/>
        <v>0</v>
      </c>
      <c r="BG346" s="2720">
        <f t="shared" si="192"/>
        <v>0</v>
      </c>
      <c r="BH346" s="2720">
        <f t="shared" si="193"/>
        <v>0</v>
      </c>
      <c r="BI346" s="2720">
        <f t="shared" si="194"/>
        <v>0</v>
      </c>
      <c r="BJ346" s="2720">
        <f t="shared" si="195"/>
        <v>0</v>
      </c>
      <c r="BK346" s="2720">
        <f t="shared" si="196"/>
        <v>0</v>
      </c>
      <c r="BL346" s="2720">
        <f t="shared" si="197"/>
        <v>0</v>
      </c>
      <c r="BM346" s="2720">
        <f t="shared" si="198"/>
        <v>0</v>
      </c>
      <c r="BN346" s="2720">
        <f t="shared" si="199"/>
        <v>0</v>
      </c>
      <c r="BO346" s="2720">
        <f t="shared" si="200"/>
        <v>0</v>
      </c>
      <c r="BP346" s="2720">
        <f t="shared" si="201"/>
        <v>0</v>
      </c>
      <c r="BQ346" s="2720">
        <f t="shared" si="202"/>
        <v>0</v>
      </c>
      <c r="BR346" s="2720">
        <f t="shared" si="203"/>
        <v>0</v>
      </c>
      <c r="BS346" s="2720">
        <f t="shared" si="204"/>
        <v>0</v>
      </c>
      <c r="BT346" s="2772">
        <f t="shared" si="205"/>
        <v>0</v>
      </c>
    </row>
    <row r="347" spans="1:72">
      <c r="A347" s="2717"/>
      <c r="B347" s="2718"/>
      <c r="C347" s="2718"/>
      <c r="D347" s="2719"/>
      <c r="E347" s="2720">
        <f t="shared" si="206"/>
        <v>0</v>
      </c>
      <c r="F347" s="2721"/>
      <c r="G347" s="2722">
        <f t="shared" si="181"/>
        <v>0</v>
      </c>
      <c r="H347" s="2723">
        <f t="shared" si="182"/>
        <v>0</v>
      </c>
      <c r="I347" s="2730"/>
      <c r="J347" s="2730"/>
      <c r="K347" s="2730"/>
      <c r="L347" s="2730"/>
      <c r="M347" s="2730"/>
      <c r="N347" s="2730"/>
      <c r="O347" s="2730"/>
      <c r="P347" s="2730"/>
      <c r="Q347" s="2730"/>
      <c r="R347" s="2730"/>
      <c r="S347" s="2730"/>
      <c r="T347" s="2730"/>
      <c r="U347" s="2730"/>
      <c r="V347" s="2730"/>
      <c r="W347" s="2730"/>
      <c r="X347" s="2730"/>
      <c r="Y347" s="2730"/>
      <c r="Z347" s="2730"/>
      <c r="AA347" s="2730"/>
      <c r="AB347" s="2730"/>
      <c r="AC347" s="2720">
        <f t="shared" si="183"/>
        <v>0</v>
      </c>
      <c r="AD347" s="2740"/>
      <c r="AE347" s="2740"/>
      <c r="AF347" s="2740"/>
      <c r="AG347" s="2740"/>
      <c r="AH347" s="2740"/>
      <c r="AI347" s="2740"/>
      <c r="AJ347" s="2740"/>
      <c r="AK347" s="2740"/>
      <c r="AL347" s="2740"/>
      <c r="AM347" s="2740"/>
      <c r="AN347" s="2740"/>
      <c r="AO347" s="2740"/>
      <c r="AP347" s="2740"/>
      <c r="AQ347" s="2740"/>
      <c r="AR347" s="2740"/>
      <c r="AS347" s="2740"/>
      <c r="AT347" s="2750"/>
      <c r="AU347" s="2751"/>
      <c r="AV347" s="1092">
        <f t="shared" si="207"/>
        <v>0</v>
      </c>
      <c r="AW347" s="1092">
        <f t="shared" si="208"/>
        <v>0</v>
      </c>
      <c r="AX347" s="1092">
        <f t="shared" si="209"/>
        <v>0</v>
      </c>
      <c r="AY347" s="2765">
        <f t="shared" si="184"/>
        <v>0</v>
      </c>
      <c r="AZ347" s="2720">
        <f t="shared" si="185"/>
        <v>0</v>
      </c>
      <c r="BA347" s="2720">
        <f t="shared" si="186"/>
        <v>0</v>
      </c>
      <c r="BB347" s="2720">
        <f t="shared" si="187"/>
        <v>0</v>
      </c>
      <c r="BC347" s="2720">
        <f t="shared" si="188"/>
        <v>0</v>
      </c>
      <c r="BD347" s="2720">
        <f t="shared" si="189"/>
        <v>0</v>
      </c>
      <c r="BE347" s="2720">
        <f t="shared" si="190"/>
        <v>0</v>
      </c>
      <c r="BF347" s="2720">
        <f t="shared" si="191"/>
        <v>0</v>
      </c>
      <c r="BG347" s="2720">
        <f t="shared" si="192"/>
        <v>0</v>
      </c>
      <c r="BH347" s="2720">
        <f t="shared" si="193"/>
        <v>0</v>
      </c>
      <c r="BI347" s="2720">
        <f t="shared" si="194"/>
        <v>0</v>
      </c>
      <c r="BJ347" s="2720">
        <f t="shared" si="195"/>
        <v>0</v>
      </c>
      <c r="BK347" s="2720">
        <f t="shared" si="196"/>
        <v>0</v>
      </c>
      <c r="BL347" s="2720">
        <f t="shared" si="197"/>
        <v>0</v>
      </c>
      <c r="BM347" s="2720">
        <f t="shared" si="198"/>
        <v>0</v>
      </c>
      <c r="BN347" s="2720">
        <f t="shared" si="199"/>
        <v>0</v>
      </c>
      <c r="BO347" s="2720">
        <f t="shared" si="200"/>
        <v>0</v>
      </c>
      <c r="BP347" s="2720">
        <f t="shared" si="201"/>
        <v>0</v>
      </c>
      <c r="BQ347" s="2720">
        <f t="shared" si="202"/>
        <v>0</v>
      </c>
      <c r="BR347" s="2720">
        <f t="shared" si="203"/>
        <v>0</v>
      </c>
      <c r="BS347" s="2720">
        <f t="shared" si="204"/>
        <v>0</v>
      </c>
      <c r="BT347" s="2772">
        <f t="shared" si="205"/>
        <v>0</v>
      </c>
    </row>
    <row r="348" spans="1:72">
      <c r="A348" s="2717"/>
      <c r="B348" s="2718"/>
      <c r="C348" s="2718"/>
      <c r="D348" s="2719"/>
      <c r="E348" s="2720">
        <f t="shared" si="206"/>
        <v>0</v>
      </c>
      <c r="F348" s="2721"/>
      <c r="G348" s="2722">
        <f t="shared" si="181"/>
        <v>0</v>
      </c>
      <c r="H348" s="2723">
        <f t="shared" si="182"/>
        <v>0</v>
      </c>
      <c r="I348" s="2730"/>
      <c r="J348" s="2730"/>
      <c r="K348" s="2730"/>
      <c r="L348" s="2730"/>
      <c r="M348" s="2730"/>
      <c r="N348" s="2730"/>
      <c r="O348" s="2730"/>
      <c r="P348" s="2730"/>
      <c r="Q348" s="2730"/>
      <c r="R348" s="2730"/>
      <c r="S348" s="2730"/>
      <c r="T348" s="2730"/>
      <c r="U348" s="2730"/>
      <c r="V348" s="2730"/>
      <c r="W348" s="2730"/>
      <c r="X348" s="2730"/>
      <c r="Y348" s="2730"/>
      <c r="Z348" s="2730"/>
      <c r="AA348" s="2730"/>
      <c r="AB348" s="2730"/>
      <c r="AC348" s="2720">
        <f t="shared" si="183"/>
        <v>0</v>
      </c>
      <c r="AD348" s="2740"/>
      <c r="AE348" s="2740"/>
      <c r="AF348" s="2740"/>
      <c r="AG348" s="2740"/>
      <c r="AH348" s="2740"/>
      <c r="AI348" s="2740"/>
      <c r="AJ348" s="2740"/>
      <c r="AK348" s="2740"/>
      <c r="AL348" s="2740"/>
      <c r="AM348" s="2740"/>
      <c r="AN348" s="2740"/>
      <c r="AO348" s="2740"/>
      <c r="AP348" s="2740"/>
      <c r="AQ348" s="2740"/>
      <c r="AR348" s="2740"/>
      <c r="AS348" s="2740"/>
      <c r="AT348" s="2750"/>
      <c r="AU348" s="2751"/>
      <c r="AV348" s="1092">
        <f t="shared" si="207"/>
        <v>0</v>
      </c>
      <c r="AW348" s="1092">
        <f t="shared" si="208"/>
        <v>0</v>
      </c>
      <c r="AX348" s="1092">
        <f t="shared" si="209"/>
        <v>0</v>
      </c>
      <c r="AY348" s="2765">
        <f t="shared" si="184"/>
        <v>0</v>
      </c>
      <c r="AZ348" s="2720">
        <f t="shared" si="185"/>
        <v>0</v>
      </c>
      <c r="BA348" s="2720">
        <f t="shared" si="186"/>
        <v>0</v>
      </c>
      <c r="BB348" s="2720">
        <f t="shared" si="187"/>
        <v>0</v>
      </c>
      <c r="BC348" s="2720">
        <f t="shared" si="188"/>
        <v>0</v>
      </c>
      <c r="BD348" s="2720">
        <f t="shared" si="189"/>
        <v>0</v>
      </c>
      <c r="BE348" s="2720">
        <f t="shared" si="190"/>
        <v>0</v>
      </c>
      <c r="BF348" s="2720">
        <f t="shared" si="191"/>
        <v>0</v>
      </c>
      <c r="BG348" s="2720">
        <f t="shared" si="192"/>
        <v>0</v>
      </c>
      <c r="BH348" s="2720">
        <f t="shared" si="193"/>
        <v>0</v>
      </c>
      <c r="BI348" s="2720">
        <f t="shared" si="194"/>
        <v>0</v>
      </c>
      <c r="BJ348" s="2720">
        <f t="shared" si="195"/>
        <v>0</v>
      </c>
      <c r="BK348" s="2720">
        <f t="shared" si="196"/>
        <v>0</v>
      </c>
      <c r="BL348" s="2720">
        <f t="shared" si="197"/>
        <v>0</v>
      </c>
      <c r="BM348" s="2720">
        <f t="shared" si="198"/>
        <v>0</v>
      </c>
      <c r="BN348" s="2720">
        <f t="shared" si="199"/>
        <v>0</v>
      </c>
      <c r="BO348" s="2720">
        <f t="shared" si="200"/>
        <v>0</v>
      </c>
      <c r="BP348" s="2720">
        <f t="shared" si="201"/>
        <v>0</v>
      </c>
      <c r="BQ348" s="2720">
        <f t="shared" si="202"/>
        <v>0</v>
      </c>
      <c r="BR348" s="2720">
        <f t="shared" si="203"/>
        <v>0</v>
      </c>
      <c r="BS348" s="2720">
        <f t="shared" si="204"/>
        <v>0</v>
      </c>
      <c r="BT348" s="2772">
        <f t="shared" si="205"/>
        <v>0</v>
      </c>
    </row>
    <row r="349" spans="1:72">
      <c r="A349" s="2717"/>
      <c r="B349" s="2718"/>
      <c r="C349" s="2718"/>
      <c r="D349" s="2719"/>
      <c r="E349" s="2720">
        <f t="shared" si="206"/>
        <v>0</v>
      </c>
      <c r="F349" s="2721"/>
      <c r="G349" s="2722">
        <f t="shared" si="181"/>
        <v>0</v>
      </c>
      <c r="H349" s="2723">
        <f t="shared" si="182"/>
        <v>0</v>
      </c>
      <c r="I349" s="2730"/>
      <c r="J349" s="2730"/>
      <c r="K349" s="2730"/>
      <c r="L349" s="2730"/>
      <c r="M349" s="2730"/>
      <c r="N349" s="2730"/>
      <c r="O349" s="2730"/>
      <c r="P349" s="2730"/>
      <c r="Q349" s="2730"/>
      <c r="R349" s="2730"/>
      <c r="S349" s="2730"/>
      <c r="T349" s="2730"/>
      <c r="U349" s="2730"/>
      <c r="V349" s="2730"/>
      <c r="W349" s="2730"/>
      <c r="X349" s="2730"/>
      <c r="Y349" s="2730"/>
      <c r="Z349" s="2730"/>
      <c r="AA349" s="2730"/>
      <c r="AB349" s="2730"/>
      <c r="AC349" s="2720">
        <f t="shared" si="183"/>
        <v>0</v>
      </c>
      <c r="AD349" s="2740"/>
      <c r="AE349" s="2740"/>
      <c r="AF349" s="2740"/>
      <c r="AG349" s="2740"/>
      <c r="AH349" s="2740"/>
      <c r="AI349" s="2740"/>
      <c r="AJ349" s="2740"/>
      <c r="AK349" s="2740"/>
      <c r="AL349" s="2740"/>
      <c r="AM349" s="2740"/>
      <c r="AN349" s="2740"/>
      <c r="AO349" s="2740"/>
      <c r="AP349" s="2740"/>
      <c r="AQ349" s="2740"/>
      <c r="AR349" s="2740"/>
      <c r="AS349" s="2740"/>
      <c r="AT349" s="2750"/>
      <c r="AU349" s="2751"/>
      <c r="AV349" s="1092">
        <f t="shared" si="207"/>
        <v>0</v>
      </c>
      <c r="AW349" s="1092">
        <f t="shared" si="208"/>
        <v>0</v>
      </c>
      <c r="AX349" s="1092">
        <f t="shared" si="209"/>
        <v>0</v>
      </c>
      <c r="AY349" s="2765">
        <f t="shared" si="184"/>
        <v>0</v>
      </c>
      <c r="AZ349" s="2720">
        <f t="shared" si="185"/>
        <v>0</v>
      </c>
      <c r="BA349" s="2720">
        <f t="shared" si="186"/>
        <v>0</v>
      </c>
      <c r="BB349" s="2720">
        <f t="shared" si="187"/>
        <v>0</v>
      </c>
      <c r="BC349" s="2720">
        <f t="shared" si="188"/>
        <v>0</v>
      </c>
      <c r="BD349" s="2720">
        <f t="shared" si="189"/>
        <v>0</v>
      </c>
      <c r="BE349" s="2720">
        <f t="shared" si="190"/>
        <v>0</v>
      </c>
      <c r="BF349" s="2720">
        <f t="shared" si="191"/>
        <v>0</v>
      </c>
      <c r="BG349" s="2720">
        <f t="shared" si="192"/>
        <v>0</v>
      </c>
      <c r="BH349" s="2720">
        <f t="shared" si="193"/>
        <v>0</v>
      </c>
      <c r="BI349" s="2720">
        <f t="shared" si="194"/>
        <v>0</v>
      </c>
      <c r="BJ349" s="2720">
        <f t="shared" si="195"/>
        <v>0</v>
      </c>
      <c r="BK349" s="2720">
        <f t="shared" si="196"/>
        <v>0</v>
      </c>
      <c r="BL349" s="2720">
        <f t="shared" si="197"/>
        <v>0</v>
      </c>
      <c r="BM349" s="2720">
        <f t="shared" si="198"/>
        <v>0</v>
      </c>
      <c r="BN349" s="2720">
        <f t="shared" si="199"/>
        <v>0</v>
      </c>
      <c r="BO349" s="2720">
        <f t="shared" si="200"/>
        <v>0</v>
      </c>
      <c r="BP349" s="2720">
        <f t="shared" si="201"/>
        <v>0</v>
      </c>
      <c r="BQ349" s="2720">
        <f t="shared" si="202"/>
        <v>0</v>
      </c>
      <c r="BR349" s="2720">
        <f t="shared" si="203"/>
        <v>0</v>
      </c>
      <c r="BS349" s="2720">
        <f t="shared" si="204"/>
        <v>0</v>
      </c>
      <c r="BT349" s="2772">
        <f t="shared" si="205"/>
        <v>0</v>
      </c>
    </row>
    <row r="350" spans="1:72">
      <c r="A350" s="2717"/>
      <c r="B350" s="2718"/>
      <c r="C350" s="2718"/>
      <c r="D350" s="2719"/>
      <c r="E350" s="2720">
        <f t="shared" si="206"/>
        <v>0</v>
      </c>
      <c r="F350" s="2721"/>
      <c r="G350" s="2722">
        <f t="shared" si="181"/>
        <v>0</v>
      </c>
      <c r="H350" s="2723">
        <f t="shared" si="182"/>
        <v>0</v>
      </c>
      <c r="I350" s="2730"/>
      <c r="J350" s="2730"/>
      <c r="K350" s="2730"/>
      <c r="L350" s="2730"/>
      <c r="M350" s="2730"/>
      <c r="N350" s="2730"/>
      <c r="O350" s="2730"/>
      <c r="P350" s="2730"/>
      <c r="Q350" s="2730"/>
      <c r="R350" s="2730"/>
      <c r="S350" s="2730"/>
      <c r="T350" s="2730"/>
      <c r="U350" s="2730"/>
      <c r="V350" s="2730"/>
      <c r="W350" s="2730"/>
      <c r="X350" s="2730"/>
      <c r="Y350" s="2730"/>
      <c r="Z350" s="2730"/>
      <c r="AA350" s="2730"/>
      <c r="AB350" s="2730"/>
      <c r="AC350" s="2720">
        <f t="shared" si="183"/>
        <v>0</v>
      </c>
      <c r="AD350" s="2740"/>
      <c r="AE350" s="2740"/>
      <c r="AF350" s="2740"/>
      <c r="AG350" s="2740"/>
      <c r="AH350" s="2740"/>
      <c r="AI350" s="2740"/>
      <c r="AJ350" s="2740"/>
      <c r="AK350" s="2740"/>
      <c r="AL350" s="2740"/>
      <c r="AM350" s="2740"/>
      <c r="AN350" s="2740"/>
      <c r="AO350" s="2740"/>
      <c r="AP350" s="2740"/>
      <c r="AQ350" s="2740"/>
      <c r="AR350" s="2740"/>
      <c r="AS350" s="2740"/>
      <c r="AT350" s="2750"/>
      <c r="AU350" s="2751"/>
      <c r="AV350" s="1092">
        <f t="shared" si="207"/>
        <v>0</v>
      </c>
      <c r="AW350" s="1092">
        <f t="shared" si="208"/>
        <v>0</v>
      </c>
      <c r="AX350" s="1092">
        <f t="shared" si="209"/>
        <v>0</v>
      </c>
      <c r="AY350" s="2765">
        <f t="shared" si="184"/>
        <v>0</v>
      </c>
      <c r="AZ350" s="2720">
        <f t="shared" si="185"/>
        <v>0</v>
      </c>
      <c r="BA350" s="2720">
        <f t="shared" si="186"/>
        <v>0</v>
      </c>
      <c r="BB350" s="2720">
        <f t="shared" si="187"/>
        <v>0</v>
      </c>
      <c r="BC350" s="2720">
        <f t="shared" si="188"/>
        <v>0</v>
      </c>
      <c r="BD350" s="2720">
        <f t="shared" si="189"/>
        <v>0</v>
      </c>
      <c r="BE350" s="2720">
        <f t="shared" si="190"/>
        <v>0</v>
      </c>
      <c r="BF350" s="2720">
        <f t="shared" si="191"/>
        <v>0</v>
      </c>
      <c r="BG350" s="2720">
        <f t="shared" si="192"/>
        <v>0</v>
      </c>
      <c r="BH350" s="2720">
        <f t="shared" si="193"/>
        <v>0</v>
      </c>
      <c r="BI350" s="2720">
        <f t="shared" si="194"/>
        <v>0</v>
      </c>
      <c r="BJ350" s="2720">
        <f t="shared" si="195"/>
        <v>0</v>
      </c>
      <c r="BK350" s="2720">
        <f t="shared" si="196"/>
        <v>0</v>
      </c>
      <c r="BL350" s="2720">
        <f t="shared" si="197"/>
        <v>0</v>
      </c>
      <c r="BM350" s="2720">
        <f t="shared" si="198"/>
        <v>0</v>
      </c>
      <c r="BN350" s="2720">
        <f t="shared" si="199"/>
        <v>0</v>
      </c>
      <c r="BO350" s="2720">
        <f t="shared" si="200"/>
        <v>0</v>
      </c>
      <c r="BP350" s="2720">
        <f t="shared" si="201"/>
        <v>0</v>
      </c>
      <c r="BQ350" s="2720">
        <f t="shared" si="202"/>
        <v>0</v>
      </c>
      <c r="BR350" s="2720">
        <f t="shared" si="203"/>
        <v>0</v>
      </c>
      <c r="BS350" s="2720">
        <f t="shared" si="204"/>
        <v>0</v>
      </c>
      <c r="BT350" s="2772">
        <f t="shared" si="205"/>
        <v>0</v>
      </c>
    </row>
    <row r="351" spans="1:72">
      <c r="A351" s="2717"/>
      <c r="B351" s="2718"/>
      <c r="C351" s="2718"/>
      <c r="D351" s="2719"/>
      <c r="E351" s="2720">
        <f t="shared" si="206"/>
        <v>0</v>
      </c>
      <c r="F351" s="2721"/>
      <c r="G351" s="2722">
        <f t="shared" si="181"/>
        <v>0</v>
      </c>
      <c r="H351" s="2723">
        <f t="shared" si="182"/>
        <v>0</v>
      </c>
      <c r="I351" s="2730"/>
      <c r="J351" s="2730"/>
      <c r="K351" s="2730"/>
      <c r="L351" s="2730"/>
      <c r="M351" s="2730"/>
      <c r="N351" s="2730"/>
      <c r="O351" s="2730"/>
      <c r="P351" s="2730"/>
      <c r="Q351" s="2730"/>
      <c r="R351" s="2730"/>
      <c r="S351" s="2730"/>
      <c r="T351" s="2730"/>
      <c r="U351" s="2730"/>
      <c r="V351" s="2730"/>
      <c r="W351" s="2730"/>
      <c r="X351" s="2730"/>
      <c r="Y351" s="2730"/>
      <c r="Z351" s="2730"/>
      <c r="AA351" s="2730"/>
      <c r="AB351" s="2730"/>
      <c r="AC351" s="2720">
        <f t="shared" si="183"/>
        <v>0</v>
      </c>
      <c r="AD351" s="2740"/>
      <c r="AE351" s="2740"/>
      <c r="AF351" s="2740"/>
      <c r="AG351" s="2740"/>
      <c r="AH351" s="2740"/>
      <c r="AI351" s="2740"/>
      <c r="AJ351" s="2740"/>
      <c r="AK351" s="2740"/>
      <c r="AL351" s="2740"/>
      <c r="AM351" s="2740"/>
      <c r="AN351" s="2740"/>
      <c r="AO351" s="2740"/>
      <c r="AP351" s="2740"/>
      <c r="AQ351" s="2740"/>
      <c r="AR351" s="2740"/>
      <c r="AS351" s="2740"/>
      <c r="AT351" s="2750"/>
      <c r="AU351" s="2751"/>
      <c r="AV351" s="1092">
        <f t="shared" si="207"/>
        <v>0</v>
      </c>
      <c r="AW351" s="1092">
        <f t="shared" si="208"/>
        <v>0</v>
      </c>
      <c r="AX351" s="1092">
        <f t="shared" si="209"/>
        <v>0</v>
      </c>
      <c r="AY351" s="2765">
        <f t="shared" si="184"/>
        <v>0</v>
      </c>
      <c r="AZ351" s="2720">
        <f t="shared" si="185"/>
        <v>0</v>
      </c>
      <c r="BA351" s="2720">
        <f t="shared" si="186"/>
        <v>0</v>
      </c>
      <c r="BB351" s="2720">
        <f t="shared" si="187"/>
        <v>0</v>
      </c>
      <c r="BC351" s="2720">
        <f t="shared" si="188"/>
        <v>0</v>
      </c>
      <c r="BD351" s="2720">
        <f t="shared" si="189"/>
        <v>0</v>
      </c>
      <c r="BE351" s="2720">
        <f t="shared" si="190"/>
        <v>0</v>
      </c>
      <c r="BF351" s="2720">
        <f t="shared" si="191"/>
        <v>0</v>
      </c>
      <c r="BG351" s="2720">
        <f t="shared" si="192"/>
        <v>0</v>
      </c>
      <c r="BH351" s="2720">
        <f t="shared" si="193"/>
        <v>0</v>
      </c>
      <c r="BI351" s="2720">
        <f t="shared" si="194"/>
        <v>0</v>
      </c>
      <c r="BJ351" s="2720">
        <f t="shared" si="195"/>
        <v>0</v>
      </c>
      <c r="BK351" s="2720">
        <f t="shared" si="196"/>
        <v>0</v>
      </c>
      <c r="BL351" s="2720">
        <f t="shared" si="197"/>
        <v>0</v>
      </c>
      <c r="BM351" s="2720">
        <f t="shared" si="198"/>
        <v>0</v>
      </c>
      <c r="BN351" s="2720">
        <f t="shared" si="199"/>
        <v>0</v>
      </c>
      <c r="BO351" s="2720">
        <f t="shared" si="200"/>
        <v>0</v>
      </c>
      <c r="BP351" s="2720">
        <f t="shared" si="201"/>
        <v>0</v>
      </c>
      <c r="BQ351" s="2720">
        <f t="shared" si="202"/>
        <v>0</v>
      </c>
      <c r="BR351" s="2720">
        <f t="shared" si="203"/>
        <v>0</v>
      </c>
      <c r="BS351" s="2720">
        <f t="shared" si="204"/>
        <v>0</v>
      </c>
      <c r="BT351" s="2772">
        <f t="shared" si="205"/>
        <v>0</v>
      </c>
    </row>
    <row r="352" spans="1:72">
      <c r="A352" s="2717"/>
      <c r="B352" s="2718"/>
      <c r="C352" s="2718"/>
      <c r="D352" s="2719"/>
      <c r="E352" s="2720">
        <f t="shared" si="206"/>
        <v>0</v>
      </c>
      <c r="F352" s="2721"/>
      <c r="G352" s="2722">
        <f t="shared" si="181"/>
        <v>0</v>
      </c>
      <c r="H352" s="2723">
        <f t="shared" si="182"/>
        <v>0</v>
      </c>
      <c r="I352" s="2730"/>
      <c r="J352" s="2730"/>
      <c r="K352" s="2730"/>
      <c r="L352" s="2730"/>
      <c r="M352" s="2730"/>
      <c r="N352" s="2730"/>
      <c r="O352" s="2730"/>
      <c r="P352" s="2730"/>
      <c r="Q352" s="2730"/>
      <c r="R352" s="2730"/>
      <c r="S352" s="2730"/>
      <c r="T352" s="2730"/>
      <c r="U352" s="2730"/>
      <c r="V352" s="2730"/>
      <c r="W352" s="2730"/>
      <c r="X352" s="2730"/>
      <c r="Y352" s="2730"/>
      <c r="Z352" s="2730"/>
      <c r="AA352" s="2730"/>
      <c r="AB352" s="2730"/>
      <c r="AC352" s="2720">
        <f t="shared" si="183"/>
        <v>0</v>
      </c>
      <c r="AD352" s="2740"/>
      <c r="AE352" s="2740"/>
      <c r="AF352" s="2740"/>
      <c r="AG352" s="2740"/>
      <c r="AH352" s="2740"/>
      <c r="AI352" s="2740"/>
      <c r="AJ352" s="2740"/>
      <c r="AK352" s="2740"/>
      <c r="AL352" s="2740"/>
      <c r="AM352" s="2740"/>
      <c r="AN352" s="2740"/>
      <c r="AO352" s="2740"/>
      <c r="AP352" s="2740"/>
      <c r="AQ352" s="2740"/>
      <c r="AR352" s="2740"/>
      <c r="AS352" s="2740"/>
      <c r="AT352" s="2750"/>
      <c r="AU352" s="2751"/>
      <c r="AV352" s="1092">
        <f t="shared" si="207"/>
        <v>0</v>
      </c>
      <c r="AW352" s="1092">
        <f t="shared" si="208"/>
        <v>0</v>
      </c>
      <c r="AX352" s="1092">
        <f t="shared" si="209"/>
        <v>0</v>
      </c>
      <c r="AY352" s="2765">
        <f t="shared" si="184"/>
        <v>0</v>
      </c>
      <c r="AZ352" s="2720">
        <f t="shared" si="185"/>
        <v>0</v>
      </c>
      <c r="BA352" s="2720">
        <f t="shared" si="186"/>
        <v>0</v>
      </c>
      <c r="BB352" s="2720">
        <f t="shared" si="187"/>
        <v>0</v>
      </c>
      <c r="BC352" s="2720">
        <f t="shared" si="188"/>
        <v>0</v>
      </c>
      <c r="BD352" s="2720">
        <f t="shared" si="189"/>
        <v>0</v>
      </c>
      <c r="BE352" s="2720">
        <f t="shared" si="190"/>
        <v>0</v>
      </c>
      <c r="BF352" s="2720">
        <f t="shared" si="191"/>
        <v>0</v>
      </c>
      <c r="BG352" s="2720">
        <f t="shared" si="192"/>
        <v>0</v>
      </c>
      <c r="BH352" s="2720">
        <f t="shared" si="193"/>
        <v>0</v>
      </c>
      <c r="BI352" s="2720">
        <f t="shared" si="194"/>
        <v>0</v>
      </c>
      <c r="BJ352" s="2720">
        <f t="shared" si="195"/>
        <v>0</v>
      </c>
      <c r="BK352" s="2720">
        <f t="shared" si="196"/>
        <v>0</v>
      </c>
      <c r="BL352" s="2720">
        <f t="shared" si="197"/>
        <v>0</v>
      </c>
      <c r="BM352" s="2720">
        <f t="shared" si="198"/>
        <v>0</v>
      </c>
      <c r="BN352" s="2720">
        <f t="shared" si="199"/>
        <v>0</v>
      </c>
      <c r="BO352" s="2720">
        <f t="shared" si="200"/>
        <v>0</v>
      </c>
      <c r="BP352" s="2720">
        <f t="shared" si="201"/>
        <v>0</v>
      </c>
      <c r="BQ352" s="2720">
        <f t="shared" si="202"/>
        <v>0</v>
      </c>
      <c r="BR352" s="2720">
        <f t="shared" si="203"/>
        <v>0</v>
      </c>
      <c r="BS352" s="2720">
        <f t="shared" si="204"/>
        <v>0</v>
      </c>
      <c r="BT352" s="2772">
        <f t="shared" si="205"/>
        <v>0</v>
      </c>
    </row>
    <row r="353" spans="1:72">
      <c r="A353" s="2717"/>
      <c r="B353" s="2718"/>
      <c r="C353" s="2718"/>
      <c r="D353" s="2719"/>
      <c r="E353" s="2720">
        <f t="shared" si="206"/>
        <v>0</v>
      </c>
      <c r="F353" s="2721"/>
      <c r="G353" s="2722">
        <f t="shared" si="181"/>
        <v>0</v>
      </c>
      <c r="H353" s="2723">
        <f t="shared" si="182"/>
        <v>0</v>
      </c>
      <c r="I353" s="2730"/>
      <c r="J353" s="2730"/>
      <c r="K353" s="2730"/>
      <c r="L353" s="2730"/>
      <c r="M353" s="2730"/>
      <c r="N353" s="2730"/>
      <c r="O353" s="2730"/>
      <c r="P353" s="2730"/>
      <c r="Q353" s="2730"/>
      <c r="R353" s="2730"/>
      <c r="S353" s="2730"/>
      <c r="T353" s="2730"/>
      <c r="U353" s="2730"/>
      <c r="V353" s="2730"/>
      <c r="W353" s="2730"/>
      <c r="X353" s="2730"/>
      <c r="Y353" s="2730"/>
      <c r="Z353" s="2730"/>
      <c r="AA353" s="2730"/>
      <c r="AB353" s="2730"/>
      <c r="AC353" s="2720">
        <f t="shared" si="183"/>
        <v>0</v>
      </c>
      <c r="AD353" s="2740"/>
      <c r="AE353" s="2740"/>
      <c r="AF353" s="2740"/>
      <c r="AG353" s="2740"/>
      <c r="AH353" s="2740"/>
      <c r="AI353" s="2740"/>
      <c r="AJ353" s="2740"/>
      <c r="AK353" s="2740"/>
      <c r="AL353" s="2740"/>
      <c r="AM353" s="2740"/>
      <c r="AN353" s="2740"/>
      <c r="AO353" s="2740"/>
      <c r="AP353" s="2740"/>
      <c r="AQ353" s="2740"/>
      <c r="AR353" s="2740"/>
      <c r="AS353" s="2740"/>
      <c r="AT353" s="2750"/>
      <c r="AU353" s="2751"/>
      <c r="AV353" s="1092">
        <f t="shared" si="207"/>
        <v>0</v>
      </c>
      <c r="AW353" s="1092">
        <f t="shared" si="208"/>
        <v>0</v>
      </c>
      <c r="AX353" s="1092">
        <f t="shared" si="209"/>
        <v>0</v>
      </c>
      <c r="AY353" s="2765">
        <f t="shared" si="184"/>
        <v>0</v>
      </c>
      <c r="AZ353" s="2720">
        <f t="shared" si="185"/>
        <v>0</v>
      </c>
      <c r="BA353" s="2720">
        <f t="shared" si="186"/>
        <v>0</v>
      </c>
      <c r="BB353" s="2720">
        <f t="shared" si="187"/>
        <v>0</v>
      </c>
      <c r="BC353" s="2720">
        <f t="shared" si="188"/>
        <v>0</v>
      </c>
      <c r="BD353" s="2720">
        <f t="shared" si="189"/>
        <v>0</v>
      </c>
      <c r="BE353" s="2720">
        <f t="shared" si="190"/>
        <v>0</v>
      </c>
      <c r="BF353" s="2720">
        <f t="shared" si="191"/>
        <v>0</v>
      </c>
      <c r="BG353" s="2720">
        <f t="shared" si="192"/>
        <v>0</v>
      </c>
      <c r="BH353" s="2720">
        <f t="shared" si="193"/>
        <v>0</v>
      </c>
      <c r="BI353" s="2720">
        <f t="shared" si="194"/>
        <v>0</v>
      </c>
      <c r="BJ353" s="2720">
        <f t="shared" si="195"/>
        <v>0</v>
      </c>
      <c r="BK353" s="2720">
        <f t="shared" si="196"/>
        <v>0</v>
      </c>
      <c r="BL353" s="2720">
        <f t="shared" si="197"/>
        <v>0</v>
      </c>
      <c r="BM353" s="2720">
        <f t="shared" si="198"/>
        <v>0</v>
      </c>
      <c r="BN353" s="2720">
        <f t="shared" si="199"/>
        <v>0</v>
      </c>
      <c r="BO353" s="2720">
        <f t="shared" si="200"/>
        <v>0</v>
      </c>
      <c r="BP353" s="2720">
        <f t="shared" si="201"/>
        <v>0</v>
      </c>
      <c r="BQ353" s="2720">
        <f t="shared" si="202"/>
        <v>0</v>
      </c>
      <c r="BR353" s="2720">
        <f t="shared" si="203"/>
        <v>0</v>
      </c>
      <c r="BS353" s="2720">
        <f t="shared" si="204"/>
        <v>0</v>
      </c>
      <c r="BT353" s="2772">
        <f t="shared" si="205"/>
        <v>0</v>
      </c>
    </row>
    <row r="354" spans="1:72">
      <c r="A354" s="2717"/>
      <c r="B354" s="2718"/>
      <c r="C354" s="2718"/>
      <c r="D354" s="2719"/>
      <c r="E354" s="2720">
        <f t="shared" si="206"/>
        <v>0</v>
      </c>
      <c r="F354" s="2721"/>
      <c r="G354" s="2722">
        <f t="shared" si="181"/>
        <v>0</v>
      </c>
      <c r="H354" s="2723">
        <f t="shared" si="182"/>
        <v>0</v>
      </c>
      <c r="I354" s="2730"/>
      <c r="J354" s="2730"/>
      <c r="K354" s="2730"/>
      <c r="L354" s="2730"/>
      <c r="M354" s="2730"/>
      <c r="N354" s="2730"/>
      <c r="O354" s="2730"/>
      <c r="P354" s="2730"/>
      <c r="Q354" s="2730"/>
      <c r="R354" s="2730"/>
      <c r="S354" s="2730"/>
      <c r="T354" s="2730"/>
      <c r="U354" s="2730"/>
      <c r="V354" s="2730"/>
      <c r="W354" s="2730"/>
      <c r="X354" s="2730"/>
      <c r="Y354" s="2730"/>
      <c r="Z354" s="2730"/>
      <c r="AA354" s="2730"/>
      <c r="AB354" s="2730"/>
      <c r="AC354" s="2720">
        <f t="shared" si="183"/>
        <v>0</v>
      </c>
      <c r="AD354" s="2740"/>
      <c r="AE354" s="2740"/>
      <c r="AF354" s="2740"/>
      <c r="AG354" s="2740"/>
      <c r="AH354" s="2740"/>
      <c r="AI354" s="2740"/>
      <c r="AJ354" s="2740"/>
      <c r="AK354" s="2740"/>
      <c r="AL354" s="2740"/>
      <c r="AM354" s="2740"/>
      <c r="AN354" s="2740"/>
      <c r="AO354" s="2740"/>
      <c r="AP354" s="2740"/>
      <c r="AQ354" s="2740"/>
      <c r="AR354" s="2740"/>
      <c r="AS354" s="2740"/>
      <c r="AT354" s="2750"/>
      <c r="AU354" s="2751"/>
      <c r="AV354" s="1092">
        <f t="shared" si="207"/>
        <v>0</v>
      </c>
      <c r="AW354" s="1092">
        <f t="shared" si="208"/>
        <v>0</v>
      </c>
      <c r="AX354" s="1092">
        <f t="shared" si="209"/>
        <v>0</v>
      </c>
      <c r="AY354" s="2765">
        <f t="shared" si="184"/>
        <v>0</v>
      </c>
      <c r="AZ354" s="2720">
        <f t="shared" si="185"/>
        <v>0</v>
      </c>
      <c r="BA354" s="2720">
        <f t="shared" si="186"/>
        <v>0</v>
      </c>
      <c r="BB354" s="2720">
        <f t="shared" si="187"/>
        <v>0</v>
      </c>
      <c r="BC354" s="2720">
        <f t="shared" si="188"/>
        <v>0</v>
      </c>
      <c r="BD354" s="2720">
        <f t="shared" si="189"/>
        <v>0</v>
      </c>
      <c r="BE354" s="2720">
        <f t="shared" si="190"/>
        <v>0</v>
      </c>
      <c r="BF354" s="2720">
        <f t="shared" si="191"/>
        <v>0</v>
      </c>
      <c r="BG354" s="2720">
        <f t="shared" si="192"/>
        <v>0</v>
      </c>
      <c r="BH354" s="2720">
        <f t="shared" si="193"/>
        <v>0</v>
      </c>
      <c r="BI354" s="2720">
        <f t="shared" si="194"/>
        <v>0</v>
      </c>
      <c r="BJ354" s="2720">
        <f t="shared" si="195"/>
        <v>0</v>
      </c>
      <c r="BK354" s="2720">
        <f t="shared" si="196"/>
        <v>0</v>
      </c>
      <c r="BL354" s="2720">
        <f t="shared" si="197"/>
        <v>0</v>
      </c>
      <c r="BM354" s="2720">
        <f t="shared" si="198"/>
        <v>0</v>
      </c>
      <c r="BN354" s="2720">
        <f t="shared" si="199"/>
        <v>0</v>
      </c>
      <c r="BO354" s="2720">
        <f t="shared" si="200"/>
        <v>0</v>
      </c>
      <c r="BP354" s="2720">
        <f t="shared" si="201"/>
        <v>0</v>
      </c>
      <c r="BQ354" s="2720">
        <f t="shared" si="202"/>
        <v>0</v>
      </c>
      <c r="BR354" s="2720">
        <f t="shared" si="203"/>
        <v>0</v>
      </c>
      <c r="BS354" s="2720">
        <f t="shared" si="204"/>
        <v>0</v>
      </c>
      <c r="BT354" s="2772">
        <f t="shared" si="205"/>
        <v>0</v>
      </c>
    </row>
    <row r="355" spans="1:72">
      <c r="A355" s="2717"/>
      <c r="B355" s="2718"/>
      <c r="C355" s="2718"/>
      <c r="D355" s="2719"/>
      <c r="E355" s="2720">
        <f t="shared" si="206"/>
        <v>0</v>
      </c>
      <c r="F355" s="2721"/>
      <c r="G355" s="2722">
        <f t="shared" si="181"/>
        <v>0</v>
      </c>
      <c r="H355" s="2723">
        <f t="shared" si="182"/>
        <v>0</v>
      </c>
      <c r="I355" s="2730"/>
      <c r="J355" s="2730"/>
      <c r="K355" s="2730"/>
      <c r="L355" s="2730"/>
      <c r="M355" s="2730"/>
      <c r="N355" s="2730"/>
      <c r="O355" s="2730"/>
      <c r="P355" s="2730"/>
      <c r="Q355" s="2730"/>
      <c r="R355" s="2730"/>
      <c r="S355" s="2730"/>
      <c r="T355" s="2730"/>
      <c r="U355" s="2730"/>
      <c r="V355" s="2730"/>
      <c r="W355" s="2730"/>
      <c r="X355" s="2730"/>
      <c r="Y355" s="2730"/>
      <c r="Z355" s="2730"/>
      <c r="AA355" s="2730"/>
      <c r="AB355" s="2730"/>
      <c r="AC355" s="2720">
        <f t="shared" si="183"/>
        <v>0</v>
      </c>
      <c r="AD355" s="2740"/>
      <c r="AE355" s="2740"/>
      <c r="AF355" s="2740"/>
      <c r="AG355" s="2740"/>
      <c r="AH355" s="2740"/>
      <c r="AI355" s="2740"/>
      <c r="AJ355" s="2740"/>
      <c r="AK355" s="2740"/>
      <c r="AL355" s="2740"/>
      <c r="AM355" s="2740"/>
      <c r="AN355" s="2740"/>
      <c r="AO355" s="2740"/>
      <c r="AP355" s="2740"/>
      <c r="AQ355" s="2740"/>
      <c r="AR355" s="2740"/>
      <c r="AS355" s="2740"/>
      <c r="AT355" s="2750"/>
      <c r="AU355" s="2751"/>
      <c r="AV355" s="1092">
        <f t="shared" si="207"/>
        <v>0</v>
      </c>
      <c r="AW355" s="1092">
        <f t="shared" si="208"/>
        <v>0</v>
      </c>
      <c r="AX355" s="1092">
        <f t="shared" si="209"/>
        <v>0</v>
      </c>
      <c r="AY355" s="2765">
        <f t="shared" si="184"/>
        <v>0</v>
      </c>
      <c r="AZ355" s="2720">
        <f t="shared" si="185"/>
        <v>0</v>
      </c>
      <c r="BA355" s="2720">
        <f t="shared" si="186"/>
        <v>0</v>
      </c>
      <c r="BB355" s="2720">
        <f t="shared" si="187"/>
        <v>0</v>
      </c>
      <c r="BC355" s="2720">
        <f t="shared" si="188"/>
        <v>0</v>
      </c>
      <c r="BD355" s="2720">
        <f t="shared" si="189"/>
        <v>0</v>
      </c>
      <c r="BE355" s="2720">
        <f t="shared" si="190"/>
        <v>0</v>
      </c>
      <c r="BF355" s="2720">
        <f t="shared" si="191"/>
        <v>0</v>
      </c>
      <c r="BG355" s="2720">
        <f t="shared" si="192"/>
        <v>0</v>
      </c>
      <c r="BH355" s="2720">
        <f t="shared" si="193"/>
        <v>0</v>
      </c>
      <c r="BI355" s="2720">
        <f t="shared" si="194"/>
        <v>0</v>
      </c>
      <c r="BJ355" s="2720">
        <f t="shared" si="195"/>
        <v>0</v>
      </c>
      <c r="BK355" s="2720">
        <f t="shared" si="196"/>
        <v>0</v>
      </c>
      <c r="BL355" s="2720">
        <f t="shared" si="197"/>
        <v>0</v>
      </c>
      <c r="BM355" s="2720">
        <f t="shared" si="198"/>
        <v>0</v>
      </c>
      <c r="BN355" s="2720">
        <f t="shared" si="199"/>
        <v>0</v>
      </c>
      <c r="BO355" s="2720">
        <f t="shared" si="200"/>
        <v>0</v>
      </c>
      <c r="BP355" s="2720">
        <f t="shared" si="201"/>
        <v>0</v>
      </c>
      <c r="BQ355" s="2720">
        <f t="shared" si="202"/>
        <v>0</v>
      </c>
      <c r="BR355" s="2720">
        <f t="shared" si="203"/>
        <v>0</v>
      </c>
      <c r="BS355" s="2720">
        <f t="shared" si="204"/>
        <v>0</v>
      </c>
      <c r="BT355" s="2772">
        <f t="shared" si="205"/>
        <v>0</v>
      </c>
    </row>
    <row r="356" spans="1:72">
      <c r="A356" s="2717"/>
      <c r="B356" s="2718"/>
      <c r="C356" s="2718"/>
      <c r="D356" s="2719"/>
      <c r="E356" s="2720">
        <f t="shared" si="206"/>
        <v>0</v>
      </c>
      <c r="F356" s="2721"/>
      <c r="G356" s="2722">
        <f t="shared" si="181"/>
        <v>0</v>
      </c>
      <c r="H356" s="2723">
        <f t="shared" si="182"/>
        <v>0</v>
      </c>
      <c r="I356" s="2730"/>
      <c r="J356" s="2730"/>
      <c r="K356" s="2730"/>
      <c r="L356" s="2730"/>
      <c r="M356" s="2730"/>
      <c r="N356" s="2730"/>
      <c r="O356" s="2730"/>
      <c r="P356" s="2730"/>
      <c r="Q356" s="2730"/>
      <c r="R356" s="2730"/>
      <c r="S356" s="2730"/>
      <c r="T356" s="2730"/>
      <c r="U356" s="2730"/>
      <c r="V356" s="2730"/>
      <c r="W356" s="2730"/>
      <c r="X356" s="2730"/>
      <c r="Y356" s="2730"/>
      <c r="Z356" s="2730"/>
      <c r="AA356" s="2730"/>
      <c r="AB356" s="2730"/>
      <c r="AC356" s="2720">
        <f t="shared" si="183"/>
        <v>0</v>
      </c>
      <c r="AD356" s="2740"/>
      <c r="AE356" s="2740"/>
      <c r="AF356" s="2740"/>
      <c r="AG356" s="2740"/>
      <c r="AH356" s="2740"/>
      <c r="AI356" s="2740"/>
      <c r="AJ356" s="2740"/>
      <c r="AK356" s="2740"/>
      <c r="AL356" s="2740"/>
      <c r="AM356" s="2740"/>
      <c r="AN356" s="2740"/>
      <c r="AO356" s="2740"/>
      <c r="AP356" s="2740"/>
      <c r="AQ356" s="2740"/>
      <c r="AR356" s="2740"/>
      <c r="AS356" s="2740"/>
      <c r="AT356" s="2750"/>
      <c r="AU356" s="2751"/>
      <c r="AV356" s="1092">
        <f t="shared" si="207"/>
        <v>0</v>
      </c>
      <c r="AW356" s="1092">
        <f t="shared" si="208"/>
        <v>0</v>
      </c>
      <c r="AX356" s="1092">
        <f t="shared" si="209"/>
        <v>0</v>
      </c>
      <c r="AY356" s="2765">
        <f t="shared" si="184"/>
        <v>0</v>
      </c>
      <c r="AZ356" s="2720">
        <f t="shared" si="185"/>
        <v>0</v>
      </c>
      <c r="BA356" s="2720">
        <f t="shared" si="186"/>
        <v>0</v>
      </c>
      <c r="BB356" s="2720">
        <f t="shared" si="187"/>
        <v>0</v>
      </c>
      <c r="BC356" s="2720">
        <f t="shared" si="188"/>
        <v>0</v>
      </c>
      <c r="BD356" s="2720">
        <f t="shared" si="189"/>
        <v>0</v>
      </c>
      <c r="BE356" s="2720">
        <f t="shared" si="190"/>
        <v>0</v>
      </c>
      <c r="BF356" s="2720">
        <f t="shared" si="191"/>
        <v>0</v>
      </c>
      <c r="BG356" s="2720">
        <f t="shared" si="192"/>
        <v>0</v>
      </c>
      <c r="BH356" s="2720">
        <f t="shared" si="193"/>
        <v>0</v>
      </c>
      <c r="BI356" s="2720">
        <f t="shared" si="194"/>
        <v>0</v>
      </c>
      <c r="BJ356" s="2720">
        <f t="shared" si="195"/>
        <v>0</v>
      </c>
      <c r="BK356" s="2720">
        <f t="shared" si="196"/>
        <v>0</v>
      </c>
      <c r="BL356" s="2720">
        <f t="shared" si="197"/>
        <v>0</v>
      </c>
      <c r="BM356" s="2720">
        <f t="shared" si="198"/>
        <v>0</v>
      </c>
      <c r="BN356" s="2720">
        <f t="shared" si="199"/>
        <v>0</v>
      </c>
      <c r="BO356" s="2720">
        <f t="shared" si="200"/>
        <v>0</v>
      </c>
      <c r="BP356" s="2720">
        <f t="shared" si="201"/>
        <v>0</v>
      </c>
      <c r="BQ356" s="2720">
        <f t="shared" si="202"/>
        <v>0</v>
      </c>
      <c r="BR356" s="2720">
        <f t="shared" si="203"/>
        <v>0</v>
      </c>
      <c r="BS356" s="2720">
        <f t="shared" si="204"/>
        <v>0</v>
      </c>
      <c r="BT356" s="2772">
        <f t="shared" si="205"/>
        <v>0</v>
      </c>
    </row>
    <row r="357" spans="1:72">
      <c r="A357" s="2717"/>
      <c r="B357" s="2718"/>
      <c r="C357" s="2718"/>
      <c r="D357" s="2719"/>
      <c r="E357" s="2720">
        <f t="shared" si="206"/>
        <v>0</v>
      </c>
      <c r="F357" s="2721"/>
      <c r="G357" s="2722">
        <f t="shared" si="181"/>
        <v>0</v>
      </c>
      <c r="H357" s="2723">
        <f t="shared" si="182"/>
        <v>0</v>
      </c>
      <c r="I357" s="2730"/>
      <c r="J357" s="2730"/>
      <c r="K357" s="2730"/>
      <c r="L357" s="2730"/>
      <c r="M357" s="2730"/>
      <c r="N357" s="2730"/>
      <c r="O357" s="2730"/>
      <c r="P357" s="2730"/>
      <c r="Q357" s="2730"/>
      <c r="R357" s="2730"/>
      <c r="S357" s="2730"/>
      <c r="T357" s="2730"/>
      <c r="U357" s="2730"/>
      <c r="V357" s="2730"/>
      <c r="W357" s="2730"/>
      <c r="X357" s="2730"/>
      <c r="Y357" s="2730"/>
      <c r="Z357" s="2730"/>
      <c r="AA357" s="2730"/>
      <c r="AB357" s="2730"/>
      <c r="AC357" s="2720">
        <f t="shared" si="183"/>
        <v>0</v>
      </c>
      <c r="AD357" s="2740"/>
      <c r="AE357" s="2740"/>
      <c r="AF357" s="2740"/>
      <c r="AG357" s="2740"/>
      <c r="AH357" s="2740"/>
      <c r="AI357" s="2740"/>
      <c r="AJ357" s="2740"/>
      <c r="AK357" s="2740"/>
      <c r="AL357" s="2740"/>
      <c r="AM357" s="2740"/>
      <c r="AN357" s="2740"/>
      <c r="AO357" s="2740"/>
      <c r="AP357" s="2740"/>
      <c r="AQ357" s="2740"/>
      <c r="AR357" s="2740"/>
      <c r="AS357" s="2740"/>
      <c r="AT357" s="2750"/>
      <c r="AU357" s="2751"/>
      <c r="AV357" s="1092">
        <f t="shared" si="207"/>
        <v>0</v>
      </c>
      <c r="AW357" s="1092">
        <f t="shared" si="208"/>
        <v>0</v>
      </c>
      <c r="AX357" s="1092">
        <f t="shared" si="209"/>
        <v>0</v>
      </c>
      <c r="AY357" s="2765">
        <f t="shared" si="184"/>
        <v>0</v>
      </c>
      <c r="AZ357" s="2720">
        <f t="shared" si="185"/>
        <v>0</v>
      </c>
      <c r="BA357" s="2720">
        <f t="shared" si="186"/>
        <v>0</v>
      </c>
      <c r="BB357" s="2720">
        <f t="shared" si="187"/>
        <v>0</v>
      </c>
      <c r="BC357" s="2720">
        <f t="shared" si="188"/>
        <v>0</v>
      </c>
      <c r="BD357" s="2720">
        <f t="shared" si="189"/>
        <v>0</v>
      </c>
      <c r="BE357" s="2720">
        <f t="shared" si="190"/>
        <v>0</v>
      </c>
      <c r="BF357" s="2720">
        <f t="shared" si="191"/>
        <v>0</v>
      </c>
      <c r="BG357" s="2720">
        <f t="shared" si="192"/>
        <v>0</v>
      </c>
      <c r="BH357" s="2720">
        <f t="shared" si="193"/>
        <v>0</v>
      </c>
      <c r="BI357" s="2720">
        <f t="shared" si="194"/>
        <v>0</v>
      </c>
      <c r="BJ357" s="2720">
        <f t="shared" si="195"/>
        <v>0</v>
      </c>
      <c r="BK357" s="2720">
        <f t="shared" si="196"/>
        <v>0</v>
      </c>
      <c r="BL357" s="2720">
        <f t="shared" si="197"/>
        <v>0</v>
      </c>
      <c r="BM357" s="2720">
        <f t="shared" si="198"/>
        <v>0</v>
      </c>
      <c r="BN357" s="2720">
        <f t="shared" si="199"/>
        <v>0</v>
      </c>
      <c r="BO357" s="2720">
        <f t="shared" si="200"/>
        <v>0</v>
      </c>
      <c r="BP357" s="2720">
        <f t="shared" si="201"/>
        <v>0</v>
      </c>
      <c r="BQ357" s="2720">
        <f t="shared" si="202"/>
        <v>0</v>
      </c>
      <c r="BR357" s="2720">
        <f t="shared" si="203"/>
        <v>0</v>
      </c>
      <c r="BS357" s="2720">
        <f t="shared" si="204"/>
        <v>0</v>
      </c>
      <c r="BT357" s="2772">
        <f t="shared" si="205"/>
        <v>0</v>
      </c>
    </row>
    <row r="358" spans="1:72">
      <c r="A358" s="2717"/>
      <c r="B358" s="2718"/>
      <c r="C358" s="2718"/>
      <c r="D358" s="2719"/>
      <c r="E358" s="2720">
        <f t="shared" si="206"/>
        <v>0</v>
      </c>
      <c r="F358" s="2721"/>
      <c r="G358" s="2722">
        <f t="shared" si="181"/>
        <v>0</v>
      </c>
      <c r="H358" s="2723">
        <f t="shared" si="182"/>
        <v>0</v>
      </c>
      <c r="I358" s="2730"/>
      <c r="J358" s="2730"/>
      <c r="K358" s="2730"/>
      <c r="L358" s="2730"/>
      <c r="M358" s="2730"/>
      <c r="N358" s="2730"/>
      <c r="O358" s="2730"/>
      <c r="P358" s="2730"/>
      <c r="Q358" s="2730"/>
      <c r="R358" s="2730"/>
      <c r="S358" s="2730"/>
      <c r="T358" s="2730"/>
      <c r="U358" s="2730"/>
      <c r="V358" s="2730"/>
      <c r="W358" s="2730"/>
      <c r="X358" s="2730"/>
      <c r="Y358" s="2730"/>
      <c r="Z358" s="2730"/>
      <c r="AA358" s="2730"/>
      <c r="AB358" s="2730"/>
      <c r="AC358" s="2720">
        <f t="shared" si="183"/>
        <v>0</v>
      </c>
      <c r="AD358" s="2740"/>
      <c r="AE358" s="2740"/>
      <c r="AF358" s="2740"/>
      <c r="AG358" s="2740"/>
      <c r="AH358" s="2740"/>
      <c r="AI358" s="2740"/>
      <c r="AJ358" s="2740"/>
      <c r="AK358" s="2740"/>
      <c r="AL358" s="2740"/>
      <c r="AM358" s="2740"/>
      <c r="AN358" s="2740"/>
      <c r="AO358" s="2740"/>
      <c r="AP358" s="2740"/>
      <c r="AQ358" s="2740"/>
      <c r="AR358" s="2740"/>
      <c r="AS358" s="2740"/>
      <c r="AT358" s="2750"/>
      <c r="AU358" s="2751"/>
      <c r="AV358" s="1092">
        <f t="shared" si="207"/>
        <v>0</v>
      </c>
      <c r="AW358" s="1092">
        <f t="shared" si="208"/>
        <v>0</v>
      </c>
      <c r="AX358" s="1092">
        <f t="shared" si="209"/>
        <v>0</v>
      </c>
      <c r="AY358" s="2765">
        <f t="shared" si="184"/>
        <v>0</v>
      </c>
      <c r="AZ358" s="2720">
        <f t="shared" si="185"/>
        <v>0</v>
      </c>
      <c r="BA358" s="2720">
        <f t="shared" si="186"/>
        <v>0</v>
      </c>
      <c r="BB358" s="2720">
        <f t="shared" si="187"/>
        <v>0</v>
      </c>
      <c r="BC358" s="2720">
        <f t="shared" si="188"/>
        <v>0</v>
      </c>
      <c r="BD358" s="2720">
        <f t="shared" si="189"/>
        <v>0</v>
      </c>
      <c r="BE358" s="2720">
        <f t="shared" si="190"/>
        <v>0</v>
      </c>
      <c r="BF358" s="2720">
        <f t="shared" si="191"/>
        <v>0</v>
      </c>
      <c r="BG358" s="2720">
        <f t="shared" si="192"/>
        <v>0</v>
      </c>
      <c r="BH358" s="2720">
        <f t="shared" si="193"/>
        <v>0</v>
      </c>
      <c r="BI358" s="2720">
        <f t="shared" si="194"/>
        <v>0</v>
      </c>
      <c r="BJ358" s="2720">
        <f t="shared" si="195"/>
        <v>0</v>
      </c>
      <c r="BK358" s="2720">
        <f t="shared" si="196"/>
        <v>0</v>
      </c>
      <c r="BL358" s="2720">
        <f t="shared" si="197"/>
        <v>0</v>
      </c>
      <c r="BM358" s="2720">
        <f t="shared" si="198"/>
        <v>0</v>
      </c>
      <c r="BN358" s="2720">
        <f t="shared" si="199"/>
        <v>0</v>
      </c>
      <c r="BO358" s="2720">
        <f t="shared" si="200"/>
        <v>0</v>
      </c>
      <c r="BP358" s="2720">
        <f t="shared" si="201"/>
        <v>0</v>
      </c>
      <c r="BQ358" s="2720">
        <f t="shared" si="202"/>
        <v>0</v>
      </c>
      <c r="BR358" s="2720">
        <f t="shared" si="203"/>
        <v>0</v>
      </c>
      <c r="BS358" s="2720">
        <f t="shared" si="204"/>
        <v>0</v>
      </c>
      <c r="BT358" s="2772">
        <f t="shared" si="205"/>
        <v>0</v>
      </c>
    </row>
    <row r="359" spans="1:72">
      <c r="A359" s="2717"/>
      <c r="B359" s="2718"/>
      <c r="C359" s="2718"/>
      <c r="D359" s="2719"/>
      <c r="E359" s="2720">
        <f t="shared" si="206"/>
        <v>0</v>
      </c>
      <c r="F359" s="2721"/>
      <c r="G359" s="2722">
        <f t="shared" si="181"/>
        <v>0</v>
      </c>
      <c r="H359" s="2723">
        <f t="shared" si="182"/>
        <v>0</v>
      </c>
      <c r="I359" s="2730"/>
      <c r="J359" s="2730"/>
      <c r="K359" s="2730"/>
      <c r="L359" s="2730"/>
      <c r="M359" s="2730"/>
      <c r="N359" s="2730"/>
      <c r="O359" s="2730"/>
      <c r="P359" s="2730"/>
      <c r="Q359" s="2730"/>
      <c r="R359" s="2730"/>
      <c r="S359" s="2730"/>
      <c r="T359" s="2730"/>
      <c r="U359" s="2730"/>
      <c r="V359" s="2730"/>
      <c r="W359" s="2730"/>
      <c r="X359" s="2730"/>
      <c r="Y359" s="2730"/>
      <c r="Z359" s="2730"/>
      <c r="AA359" s="2730"/>
      <c r="AB359" s="2730"/>
      <c r="AC359" s="2720">
        <f t="shared" si="183"/>
        <v>0</v>
      </c>
      <c r="AD359" s="2740"/>
      <c r="AE359" s="2740"/>
      <c r="AF359" s="2740"/>
      <c r="AG359" s="2740"/>
      <c r="AH359" s="2740"/>
      <c r="AI359" s="2740"/>
      <c r="AJ359" s="2740"/>
      <c r="AK359" s="2740"/>
      <c r="AL359" s="2740"/>
      <c r="AM359" s="2740"/>
      <c r="AN359" s="2740"/>
      <c r="AO359" s="2740"/>
      <c r="AP359" s="2740"/>
      <c r="AQ359" s="2740"/>
      <c r="AR359" s="2740"/>
      <c r="AS359" s="2740"/>
      <c r="AT359" s="2750"/>
      <c r="AU359" s="2751"/>
      <c r="AV359" s="1092">
        <f t="shared" si="207"/>
        <v>0</v>
      </c>
      <c r="AW359" s="1092">
        <f t="shared" si="208"/>
        <v>0</v>
      </c>
      <c r="AX359" s="1092">
        <f t="shared" si="209"/>
        <v>0</v>
      </c>
      <c r="AY359" s="2765">
        <f t="shared" si="184"/>
        <v>0</v>
      </c>
      <c r="AZ359" s="2720">
        <f t="shared" si="185"/>
        <v>0</v>
      </c>
      <c r="BA359" s="2720">
        <f t="shared" si="186"/>
        <v>0</v>
      </c>
      <c r="BB359" s="2720">
        <f t="shared" si="187"/>
        <v>0</v>
      </c>
      <c r="BC359" s="2720">
        <f t="shared" si="188"/>
        <v>0</v>
      </c>
      <c r="BD359" s="2720">
        <f t="shared" si="189"/>
        <v>0</v>
      </c>
      <c r="BE359" s="2720">
        <f t="shared" si="190"/>
        <v>0</v>
      </c>
      <c r="BF359" s="2720">
        <f t="shared" si="191"/>
        <v>0</v>
      </c>
      <c r="BG359" s="2720">
        <f t="shared" si="192"/>
        <v>0</v>
      </c>
      <c r="BH359" s="2720">
        <f t="shared" si="193"/>
        <v>0</v>
      </c>
      <c r="BI359" s="2720">
        <f t="shared" si="194"/>
        <v>0</v>
      </c>
      <c r="BJ359" s="2720">
        <f t="shared" si="195"/>
        <v>0</v>
      </c>
      <c r="BK359" s="2720">
        <f t="shared" si="196"/>
        <v>0</v>
      </c>
      <c r="BL359" s="2720">
        <f t="shared" si="197"/>
        <v>0</v>
      </c>
      <c r="BM359" s="2720">
        <f t="shared" si="198"/>
        <v>0</v>
      </c>
      <c r="BN359" s="2720">
        <f t="shared" si="199"/>
        <v>0</v>
      </c>
      <c r="BO359" s="2720">
        <f t="shared" si="200"/>
        <v>0</v>
      </c>
      <c r="BP359" s="2720">
        <f t="shared" si="201"/>
        <v>0</v>
      </c>
      <c r="BQ359" s="2720">
        <f t="shared" si="202"/>
        <v>0</v>
      </c>
      <c r="BR359" s="2720">
        <f t="shared" si="203"/>
        <v>0</v>
      </c>
      <c r="BS359" s="2720">
        <f t="shared" si="204"/>
        <v>0</v>
      </c>
      <c r="BT359" s="2772">
        <f t="shared" si="205"/>
        <v>0</v>
      </c>
    </row>
    <row r="360" spans="1:72">
      <c r="A360" s="2717"/>
      <c r="B360" s="2718"/>
      <c r="C360" s="2718"/>
      <c r="D360" s="2719"/>
      <c r="E360" s="2720">
        <f t="shared" si="206"/>
        <v>0</v>
      </c>
      <c r="F360" s="2721"/>
      <c r="G360" s="2722">
        <f t="shared" si="181"/>
        <v>0</v>
      </c>
      <c r="H360" s="2723">
        <f t="shared" si="182"/>
        <v>0</v>
      </c>
      <c r="I360" s="2730"/>
      <c r="J360" s="2730"/>
      <c r="K360" s="2730"/>
      <c r="L360" s="2730"/>
      <c r="M360" s="2730"/>
      <c r="N360" s="2730"/>
      <c r="O360" s="2730"/>
      <c r="P360" s="2730"/>
      <c r="Q360" s="2730"/>
      <c r="R360" s="2730"/>
      <c r="S360" s="2730"/>
      <c r="T360" s="2730"/>
      <c r="U360" s="2730"/>
      <c r="V360" s="2730"/>
      <c r="W360" s="2730"/>
      <c r="X360" s="2730"/>
      <c r="Y360" s="2730"/>
      <c r="Z360" s="2730"/>
      <c r="AA360" s="2730"/>
      <c r="AB360" s="2730"/>
      <c r="AC360" s="2720">
        <f t="shared" si="183"/>
        <v>0</v>
      </c>
      <c r="AD360" s="2740"/>
      <c r="AE360" s="2740"/>
      <c r="AF360" s="2740"/>
      <c r="AG360" s="2740"/>
      <c r="AH360" s="2740"/>
      <c r="AI360" s="2740"/>
      <c r="AJ360" s="2740"/>
      <c r="AK360" s="2740"/>
      <c r="AL360" s="2740"/>
      <c r="AM360" s="2740"/>
      <c r="AN360" s="2740"/>
      <c r="AO360" s="2740"/>
      <c r="AP360" s="2740"/>
      <c r="AQ360" s="2740"/>
      <c r="AR360" s="2740"/>
      <c r="AS360" s="2740"/>
      <c r="AT360" s="2750"/>
      <c r="AU360" s="2751"/>
      <c r="AV360" s="1092">
        <f t="shared" si="207"/>
        <v>0</v>
      </c>
      <c r="AW360" s="1092">
        <f t="shared" si="208"/>
        <v>0</v>
      </c>
      <c r="AX360" s="1092">
        <f t="shared" si="209"/>
        <v>0</v>
      </c>
      <c r="AY360" s="2765">
        <f t="shared" si="184"/>
        <v>0</v>
      </c>
      <c r="AZ360" s="2720">
        <f t="shared" si="185"/>
        <v>0</v>
      </c>
      <c r="BA360" s="2720">
        <f t="shared" si="186"/>
        <v>0</v>
      </c>
      <c r="BB360" s="2720">
        <f t="shared" si="187"/>
        <v>0</v>
      </c>
      <c r="BC360" s="2720">
        <f t="shared" si="188"/>
        <v>0</v>
      </c>
      <c r="BD360" s="2720">
        <f t="shared" si="189"/>
        <v>0</v>
      </c>
      <c r="BE360" s="2720">
        <f t="shared" si="190"/>
        <v>0</v>
      </c>
      <c r="BF360" s="2720">
        <f t="shared" si="191"/>
        <v>0</v>
      </c>
      <c r="BG360" s="2720">
        <f t="shared" si="192"/>
        <v>0</v>
      </c>
      <c r="BH360" s="2720">
        <f t="shared" si="193"/>
        <v>0</v>
      </c>
      <c r="BI360" s="2720">
        <f t="shared" si="194"/>
        <v>0</v>
      </c>
      <c r="BJ360" s="2720">
        <f t="shared" si="195"/>
        <v>0</v>
      </c>
      <c r="BK360" s="2720">
        <f t="shared" si="196"/>
        <v>0</v>
      </c>
      <c r="BL360" s="2720">
        <f t="shared" si="197"/>
        <v>0</v>
      </c>
      <c r="BM360" s="2720">
        <f t="shared" si="198"/>
        <v>0</v>
      </c>
      <c r="BN360" s="2720">
        <f t="shared" si="199"/>
        <v>0</v>
      </c>
      <c r="BO360" s="2720">
        <f t="shared" si="200"/>
        <v>0</v>
      </c>
      <c r="BP360" s="2720">
        <f t="shared" si="201"/>
        <v>0</v>
      </c>
      <c r="BQ360" s="2720">
        <f t="shared" si="202"/>
        <v>0</v>
      </c>
      <c r="BR360" s="2720">
        <f t="shared" si="203"/>
        <v>0</v>
      </c>
      <c r="BS360" s="2720">
        <f t="shared" si="204"/>
        <v>0</v>
      </c>
      <c r="BT360" s="2772">
        <f t="shared" si="205"/>
        <v>0</v>
      </c>
    </row>
    <row r="361" spans="1:72">
      <c r="A361" s="2717"/>
      <c r="B361" s="2718"/>
      <c r="C361" s="2718"/>
      <c r="D361" s="2719"/>
      <c r="E361" s="2720">
        <f t="shared" si="206"/>
        <v>0</v>
      </c>
      <c r="F361" s="2721"/>
      <c r="G361" s="2722">
        <f t="shared" si="181"/>
        <v>0</v>
      </c>
      <c r="H361" s="2723">
        <f t="shared" si="182"/>
        <v>0</v>
      </c>
      <c r="I361" s="2730"/>
      <c r="J361" s="2730"/>
      <c r="K361" s="2730"/>
      <c r="L361" s="2730"/>
      <c r="M361" s="2730"/>
      <c r="N361" s="2730"/>
      <c r="O361" s="2730"/>
      <c r="P361" s="2730"/>
      <c r="Q361" s="2730"/>
      <c r="R361" s="2730"/>
      <c r="S361" s="2730"/>
      <c r="T361" s="2730"/>
      <c r="U361" s="2730"/>
      <c r="V361" s="2730"/>
      <c r="W361" s="2730"/>
      <c r="X361" s="2730"/>
      <c r="Y361" s="2730"/>
      <c r="Z361" s="2730"/>
      <c r="AA361" s="2730"/>
      <c r="AB361" s="2730"/>
      <c r="AC361" s="2720">
        <f t="shared" si="183"/>
        <v>0</v>
      </c>
      <c r="AD361" s="2740"/>
      <c r="AE361" s="2740"/>
      <c r="AF361" s="2740"/>
      <c r="AG361" s="2740"/>
      <c r="AH361" s="2740"/>
      <c r="AI361" s="2740"/>
      <c r="AJ361" s="2740"/>
      <c r="AK361" s="2740"/>
      <c r="AL361" s="2740"/>
      <c r="AM361" s="2740"/>
      <c r="AN361" s="2740"/>
      <c r="AO361" s="2740"/>
      <c r="AP361" s="2740"/>
      <c r="AQ361" s="2740"/>
      <c r="AR361" s="2740"/>
      <c r="AS361" s="2740"/>
      <c r="AT361" s="2750"/>
      <c r="AU361" s="2751"/>
      <c r="AV361" s="1092">
        <f t="shared" si="207"/>
        <v>0</v>
      </c>
      <c r="AW361" s="1092">
        <f t="shared" si="208"/>
        <v>0</v>
      </c>
      <c r="AX361" s="1092">
        <f t="shared" si="209"/>
        <v>0</v>
      </c>
      <c r="AY361" s="2765">
        <f t="shared" si="184"/>
        <v>0</v>
      </c>
      <c r="AZ361" s="2720">
        <f t="shared" si="185"/>
        <v>0</v>
      </c>
      <c r="BA361" s="2720">
        <f t="shared" si="186"/>
        <v>0</v>
      </c>
      <c r="BB361" s="2720">
        <f t="shared" si="187"/>
        <v>0</v>
      </c>
      <c r="BC361" s="2720">
        <f t="shared" si="188"/>
        <v>0</v>
      </c>
      <c r="BD361" s="2720">
        <f t="shared" si="189"/>
        <v>0</v>
      </c>
      <c r="BE361" s="2720">
        <f t="shared" si="190"/>
        <v>0</v>
      </c>
      <c r="BF361" s="2720">
        <f t="shared" si="191"/>
        <v>0</v>
      </c>
      <c r="BG361" s="2720">
        <f t="shared" si="192"/>
        <v>0</v>
      </c>
      <c r="BH361" s="2720">
        <f t="shared" si="193"/>
        <v>0</v>
      </c>
      <c r="BI361" s="2720">
        <f t="shared" si="194"/>
        <v>0</v>
      </c>
      <c r="BJ361" s="2720">
        <f t="shared" si="195"/>
        <v>0</v>
      </c>
      <c r="BK361" s="2720">
        <f t="shared" si="196"/>
        <v>0</v>
      </c>
      <c r="BL361" s="2720">
        <f t="shared" si="197"/>
        <v>0</v>
      </c>
      <c r="BM361" s="2720">
        <f t="shared" si="198"/>
        <v>0</v>
      </c>
      <c r="BN361" s="2720">
        <f t="shared" si="199"/>
        <v>0</v>
      </c>
      <c r="BO361" s="2720">
        <f t="shared" si="200"/>
        <v>0</v>
      </c>
      <c r="BP361" s="2720">
        <f t="shared" si="201"/>
        <v>0</v>
      </c>
      <c r="BQ361" s="2720">
        <f t="shared" si="202"/>
        <v>0</v>
      </c>
      <c r="BR361" s="2720">
        <f t="shared" si="203"/>
        <v>0</v>
      </c>
      <c r="BS361" s="2720">
        <f t="shared" si="204"/>
        <v>0</v>
      </c>
      <c r="BT361" s="2772">
        <f t="shared" si="205"/>
        <v>0</v>
      </c>
    </row>
    <row r="362" spans="1:72">
      <c r="A362" s="2717"/>
      <c r="B362" s="2718"/>
      <c r="C362" s="2718"/>
      <c r="D362" s="2719"/>
      <c r="E362" s="2720">
        <f t="shared" si="206"/>
        <v>0</v>
      </c>
      <c r="F362" s="2721"/>
      <c r="G362" s="2722">
        <f t="shared" si="181"/>
        <v>0</v>
      </c>
      <c r="H362" s="2723">
        <f t="shared" si="182"/>
        <v>0</v>
      </c>
      <c r="I362" s="2730"/>
      <c r="J362" s="2730"/>
      <c r="K362" s="2730"/>
      <c r="L362" s="2730"/>
      <c r="M362" s="2730"/>
      <c r="N362" s="2730"/>
      <c r="O362" s="2730"/>
      <c r="P362" s="2730"/>
      <c r="Q362" s="2730"/>
      <c r="R362" s="2730"/>
      <c r="S362" s="2730"/>
      <c r="T362" s="2730"/>
      <c r="U362" s="2730"/>
      <c r="V362" s="2730"/>
      <c r="W362" s="2730"/>
      <c r="X362" s="2730"/>
      <c r="Y362" s="2730"/>
      <c r="Z362" s="2730"/>
      <c r="AA362" s="2730"/>
      <c r="AB362" s="2730"/>
      <c r="AC362" s="2720">
        <f t="shared" si="183"/>
        <v>0</v>
      </c>
      <c r="AD362" s="2740"/>
      <c r="AE362" s="2740"/>
      <c r="AF362" s="2740"/>
      <c r="AG362" s="2740"/>
      <c r="AH362" s="2740"/>
      <c r="AI362" s="2740"/>
      <c r="AJ362" s="2740"/>
      <c r="AK362" s="2740"/>
      <c r="AL362" s="2740"/>
      <c r="AM362" s="2740"/>
      <c r="AN362" s="2740"/>
      <c r="AO362" s="2740"/>
      <c r="AP362" s="2740"/>
      <c r="AQ362" s="2740"/>
      <c r="AR362" s="2740"/>
      <c r="AS362" s="2740"/>
      <c r="AT362" s="2750"/>
      <c r="AU362" s="2751"/>
      <c r="AV362" s="1092">
        <f t="shared" si="207"/>
        <v>0</v>
      </c>
      <c r="AW362" s="1092">
        <f t="shared" si="208"/>
        <v>0</v>
      </c>
      <c r="AX362" s="1092">
        <f t="shared" si="209"/>
        <v>0</v>
      </c>
      <c r="AY362" s="2765">
        <f t="shared" si="184"/>
        <v>0</v>
      </c>
      <c r="AZ362" s="2720">
        <f t="shared" si="185"/>
        <v>0</v>
      </c>
      <c r="BA362" s="2720">
        <f t="shared" si="186"/>
        <v>0</v>
      </c>
      <c r="BB362" s="2720">
        <f t="shared" si="187"/>
        <v>0</v>
      </c>
      <c r="BC362" s="2720">
        <f t="shared" si="188"/>
        <v>0</v>
      </c>
      <c r="BD362" s="2720">
        <f t="shared" si="189"/>
        <v>0</v>
      </c>
      <c r="BE362" s="2720">
        <f t="shared" si="190"/>
        <v>0</v>
      </c>
      <c r="BF362" s="2720">
        <f t="shared" si="191"/>
        <v>0</v>
      </c>
      <c r="BG362" s="2720">
        <f t="shared" si="192"/>
        <v>0</v>
      </c>
      <c r="BH362" s="2720">
        <f t="shared" si="193"/>
        <v>0</v>
      </c>
      <c r="BI362" s="2720">
        <f t="shared" si="194"/>
        <v>0</v>
      </c>
      <c r="BJ362" s="2720">
        <f t="shared" si="195"/>
        <v>0</v>
      </c>
      <c r="BK362" s="2720">
        <f t="shared" si="196"/>
        <v>0</v>
      </c>
      <c r="BL362" s="2720">
        <f t="shared" si="197"/>
        <v>0</v>
      </c>
      <c r="BM362" s="2720">
        <f t="shared" si="198"/>
        <v>0</v>
      </c>
      <c r="BN362" s="2720">
        <f t="shared" si="199"/>
        <v>0</v>
      </c>
      <c r="BO362" s="2720">
        <f t="shared" si="200"/>
        <v>0</v>
      </c>
      <c r="BP362" s="2720">
        <f t="shared" si="201"/>
        <v>0</v>
      </c>
      <c r="BQ362" s="2720">
        <f t="shared" si="202"/>
        <v>0</v>
      </c>
      <c r="BR362" s="2720">
        <f t="shared" si="203"/>
        <v>0</v>
      </c>
      <c r="BS362" s="2720">
        <f t="shared" si="204"/>
        <v>0</v>
      </c>
      <c r="BT362" s="2772">
        <f t="shared" si="205"/>
        <v>0</v>
      </c>
    </row>
    <row r="363" spans="1:72">
      <c r="A363" s="2717"/>
      <c r="B363" s="2718"/>
      <c r="C363" s="2718"/>
      <c r="D363" s="2719"/>
      <c r="E363" s="2720">
        <f t="shared" si="206"/>
        <v>0</v>
      </c>
      <c r="F363" s="2721"/>
      <c r="G363" s="2722">
        <f t="shared" si="181"/>
        <v>0</v>
      </c>
      <c r="H363" s="2723">
        <f t="shared" si="182"/>
        <v>0</v>
      </c>
      <c r="I363" s="2730"/>
      <c r="J363" s="2730"/>
      <c r="K363" s="2730"/>
      <c r="L363" s="2730"/>
      <c r="M363" s="2730"/>
      <c r="N363" s="2730"/>
      <c r="O363" s="2730"/>
      <c r="P363" s="2730"/>
      <c r="Q363" s="2730"/>
      <c r="R363" s="2730"/>
      <c r="S363" s="2730"/>
      <c r="T363" s="2730"/>
      <c r="U363" s="2730"/>
      <c r="V363" s="2730"/>
      <c r="W363" s="2730"/>
      <c r="X363" s="2730"/>
      <c r="Y363" s="2730"/>
      <c r="Z363" s="2730"/>
      <c r="AA363" s="2730"/>
      <c r="AB363" s="2730"/>
      <c r="AC363" s="2720">
        <f t="shared" si="183"/>
        <v>0</v>
      </c>
      <c r="AD363" s="2740"/>
      <c r="AE363" s="2740"/>
      <c r="AF363" s="2740"/>
      <c r="AG363" s="2740"/>
      <c r="AH363" s="2740"/>
      <c r="AI363" s="2740"/>
      <c r="AJ363" s="2740"/>
      <c r="AK363" s="2740"/>
      <c r="AL363" s="2740"/>
      <c r="AM363" s="2740"/>
      <c r="AN363" s="2740"/>
      <c r="AO363" s="2740"/>
      <c r="AP363" s="2740"/>
      <c r="AQ363" s="2740"/>
      <c r="AR363" s="2740"/>
      <c r="AS363" s="2740"/>
      <c r="AT363" s="2750"/>
      <c r="AU363" s="2751"/>
      <c r="AV363" s="1092">
        <f t="shared" si="207"/>
        <v>0</v>
      </c>
      <c r="AW363" s="1092">
        <f t="shared" si="208"/>
        <v>0</v>
      </c>
      <c r="AX363" s="1092">
        <f t="shared" si="209"/>
        <v>0</v>
      </c>
      <c r="AY363" s="2765">
        <f t="shared" si="184"/>
        <v>0</v>
      </c>
      <c r="AZ363" s="2720">
        <f t="shared" si="185"/>
        <v>0</v>
      </c>
      <c r="BA363" s="2720">
        <f t="shared" si="186"/>
        <v>0</v>
      </c>
      <c r="BB363" s="2720">
        <f t="shared" si="187"/>
        <v>0</v>
      </c>
      <c r="BC363" s="2720">
        <f t="shared" si="188"/>
        <v>0</v>
      </c>
      <c r="BD363" s="2720">
        <f t="shared" si="189"/>
        <v>0</v>
      </c>
      <c r="BE363" s="2720">
        <f t="shared" si="190"/>
        <v>0</v>
      </c>
      <c r="BF363" s="2720">
        <f t="shared" si="191"/>
        <v>0</v>
      </c>
      <c r="BG363" s="2720">
        <f t="shared" si="192"/>
        <v>0</v>
      </c>
      <c r="BH363" s="2720">
        <f t="shared" si="193"/>
        <v>0</v>
      </c>
      <c r="BI363" s="2720">
        <f t="shared" si="194"/>
        <v>0</v>
      </c>
      <c r="BJ363" s="2720">
        <f t="shared" si="195"/>
        <v>0</v>
      </c>
      <c r="BK363" s="2720">
        <f t="shared" si="196"/>
        <v>0</v>
      </c>
      <c r="BL363" s="2720">
        <f t="shared" si="197"/>
        <v>0</v>
      </c>
      <c r="BM363" s="2720">
        <f t="shared" si="198"/>
        <v>0</v>
      </c>
      <c r="BN363" s="2720">
        <f t="shared" si="199"/>
        <v>0</v>
      </c>
      <c r="BO363" s="2720">
        <f t="shared" si="200"/>
        <v>0</v>
      </c>
      <c r="BP363" s="2720">
        <f t="shared" si="201"/>
        <v>0</v>
      </c>
      <c r="BQ363" s="2720">
        <f t="shared" si="202"/>
        <v>0</v>
      </c>
      <c r="BR363" s="2720">
        <f t="shared" si="203"/>
        <v>0</v>
      </c>
      <c r="BS363" s="2720">
        <f t="shared" si="204"/>
        <v>0</v>
      </c>
      <c r="BT363" s="2772">
        <f t="shared" si="205"/>
        <v>0</v>
      </c>
    </row>
    <row r="364" spans="1:72">
      <c r="A364" s="2717"/>
      <c r="B364" s="2718"/>
      <c r="C364" s="2718"/>
      <c r="D364" s="2719"/>
      <c r="E364" s="2720">
        <f t="shared" si="206"/>
        <v>0</v>
      </c>
      <c r="F364" s="2721"/>
      <c r="G364" s="2722">
        <f t="shared" ref="G364:G397" si="210">H364+AC364+AT364</f>
        <v>0</v>
      </c>
      <c r="H364" s="2723">
        <f t="shared" ref="H364:H397" si="211">SUMIF(I$12:AB$12,"总值",I364:AB364)</f>
        <v>0</v>
      </c>
      <c r="I364" s="2730"/>
      <c r="J364" s="2730"/>
      <c r="K364" s="2730"/>
      <c r="L364" s="2730"/>
      <c r="M364" s="2730"/>
      <c r="N364" s="2730"/>
      <c r="O364" s="2730"/>
      <c r="P364" s="2730"/>
      <c r="Q364" s="2730"/>
      <c r="R364" s="2730"/>
      <c r="S364" s="2730"/>
      <c r="T364" s="2730"/>
      <c r="U364" s="2730"/>
      <c r="V364" s="2730"/>
      <c r="W364" s="2730"/>
      <c r="X364" s="2730"/>
      <c r="Y364" s="2730"/>
      <c r="Z364" s="2730"/>
      <c r="AA364" s="2730"/>
      <c r="AB364" s="2730"/>
      <c r="AC364" s="2720">
        <f t="shared" ref="AC364:AC397" si="212">SUMIF(AD$12:AS$12,"总值",AD364:AS364)</f>
        <v>0</v>
      </c>
      <c r="AD364" s="2740"/>
      <c r="AE364" s="2740"/>
      <c r="AF364" s="2740"/>
      <c r="AG364" s="2740"/>
      <c r="AH364" s="2740"/>
      <c r="AI364" s="2740"/>
      <c r="AJ364" s="2740"/>
      <c r="AK364" s="2740"/>
      <c r="AL364" s="2740"/>
      <c r="AM364" s="2740"/>
      <c r="AN364" s="2740"/>
      <c r="AO364" s="2740"/>
      <c r="AP364" s="2740"/>
      <c r="AQ364" s="2740"/>
      <c r="AR364" s="2740"/>
      <c r="AS364" s="2740"/>
      <c r="AT364" s="2750"/>
      <c r="AU364" s="2751"/>
      <c r="AV364" s="1092">
        <f t="shared" si="207"/>
        <v>0</v>
      </c>
      <c r="AW364" s="1092">
        <f t="shared" si="208"/>
        <v>0</v>
      </c>
      <c r="AX364" s="1092">
        <f t="shared" si="209"/>
        <v>0</v>
      </c>
      <c r="AY364" s="2765">
        <f t="shared" ref="AY364:AY397" si="213">ROUND($AY$6*AZ364/$AZ$5,2)</f>
        <v>0</v>
      </c>
      <c r="AZ364" s="2720">
        <f t="shared" ref="AZ364:AZ397" si="214">BA364+BL364</f>
        <v>0</v>
      </c>
      <c r="BA364" s="2720">
        <f t="shared" ref="BA364:BA397" si="215">SUM(BB364:BK364)</f>
        <v>0</v>
      </c>
      <c r="BB364" s="2720">
        <f t="shared" ref="BB364:BB397" si="216">IF($D364="是",I364-J364,0)</f>
        <v>0</v>
      </c>
      <c r="BC364" s="2720">
        <f t="shared" ref="BC364:BC397" si="217">IF($D364="是",K364-L364,0)</f>
        <v>0</v>
      </c>
      <c r="BD364" s="2720">
        <f t="shared" ref="BD364:BD397" si="218">IF($D364="是",M364-N364,0)</f>
        <v>0</v>
      </c>
      <c r="BE364" s="2720">
        <f t="shared" ref="BE364:BE397" si="219">IF($D364="是",O364-P364,0)</f>
        <v>0</v>
      </c>
      <c r="BF364" s="2720">
        <f t="shared" ref="BF364:BF397" si="220">IF($D364="是",Q364-R364,0)</f>
        <v>0</v>
      </c>
      <c r="BG364" s="2720">
        <f t="shared" ref="BG364:BG397" si="221">IF($D364="是",S364-T364,0)</f>
        <v>0</v>
      </c>
      <c r="BH364" s="2720">
        <f t="shared" ref="BH364:BH397" si="222">IF($D364="是",U364-V364,0)</f>
        <v>0</v>
      </c>
      <c r="BI364" s="2720">
        <f t="shared" ref="BI364:BI397" si="223">IF($D364="是",W364-X364,0)</f>
        <v>0</v>
      </c>
      <c r="BJ364" s="2720">
        <f t="shared" ref="BJ364:BJ397" si="224">IF($D364="是",Y364-Z364,0)</f>
        <v>0</v>
      </c>
      <c r="BK364" s="2720">
        <f t="shared" ref="BK364:BK397" si="225">IF($D364="是",AA364-AB364,0)</f>
        <v>0</v>
      </c>
      <c r="BL364" s="2720">
        <f t="shared" ref="BL364:BL397" si="226">SUM(BM364:BT364)</f>
        <v>0</v>
      </c>
      <c r="BM364" s="2720">
        <f t="shared" ref="BM364:BM397" si="227">IF($D364="是",AD364-AE364,0)</f>
        <v>0</v>
      </c>
      <c r="BN364" s="2720">
        <f t="shared" ref="BN364:BN397" si="228">IF($D364="是",AF364-AG364,0)</f>
        <v>0</v>
      </c>
      <c r="BO364" s="2720">
        <f t="shared" ref="BO364:BO397" si="229">IF($D364="是",AH364-AI364,0)</f>
        <v>0</v>
      </c>
      <c r="BP364" s="2720">
        <f t="shared" ref="BP364:BP397" si="230">IF($D364="是",AJ364-AK364,0)</f>
        <v>0</v>
      </c>
      <c r="BQ364" s="2720">
        <f t="shared" ref="BQ364:BQ397" si="231">IF($D364="是",AL364-AM364,0)</f>
        <v>0</v>
      </c>
      <c r="BR364" s="2720">
        <f t="shared" ref="BR364:BR397" si="232">IF($D364="是",AN364-AO364,0)</f>
        <v>0</v>
      </c>
      <c r="BS364" s="2720">
        <f t="shared" ref="BS364:BS397" si="233">IF($D364="是",AP364-AQ364,0)</f>
        <v>0</v>
      </c>
      <c r="BT364" s="2772">
        <f t="shared" ref="BT364:BT397" si="234">IF($D364="是",AR364-AS364,0)</f>
        <v>0</v>
      </c>
    </row>
    <row r="365" spans="1:72">
      <c r="A365" s="2717"/>
      <c r="B365" s="2718"/>
      <c r="C365" s="2718"/>
      <c r="D365" s="2719"/>
      <c r="E365" s="2720">
        <f t="shared" si="206"/>
        <v>0</v>
      </c>
      <c r="F365" s="2721"/>
      <c r="G365" s="2722">
        <f t="shared" si="210"/>
        <v>0</v>
      </c>
      <c r="H365" s="2723">
        <f t="shared" si="211"/>
        <v>0</v>
      </c>
      <c r="I365" s="2730"/>
      <c r="J365" s="2730"/>
      <c r="K365" s="2730"/>
      <c r="L365" s="2730"/>
      <c r="M365" s="2730"/>
      <c r="N365" s="2730"/>
      <c r="O365" s="2730"/>
      <c r="P365" s="2730"/>
      <c r="Q365" s="2730"/>
      <c r="R365" s="2730"/>
      <c r="S365" s="2730"/>
      <c r="T365" s="2730"/>
      <c r="U365" s="2730"/>
      <c r="V365" s="2730"/>
      <c r="W365" s="2730"/>
      <c r="X365" s="2730"/>
      <c r="Y365" s="2730"/>
      <c r="Z365" s="2730"/>
      <c r="AA365" s="2730"/>
      <c r="AB365" s="2730"/>
      <c r="AC365" s="2720">
        <f t="shared" si="212"/>
        <v>0</v>
      </c>
      <c r="AD365" s="2740"/>
      <c r="AE365" s="2740"/>
      <c r="AF365" s="2740"/>
      <c r="AG365" s="2740"/>
      <c r="AH365" s="2740"/>
      <c r="AI365" s="2740"/>
      <c r="AJ365" s="2740"/>
      <c r="AK365" s="2740"/>
      <c r="AL365" s="2740"/>
      <c r="AM365" s="2740"/>
      <c r="AN365" s="2740"/>
      <c r="AO365" s="2740"/>
      <c r="AP365" s="2740"/>
      <c r="AQ365" s="2740"/>
      <c r="AR365" s="2740"/>
      <c r="AS365" s="2740"/>
      <c r="AT365" s="2750"/>
      <c r="AU365" s="2751"/>
      <c r="AV365" s="1092">
        <f t="shared" si="207"/>
        <v>0</v>
      </c>
      <c r="AW365" s="1092">
        <f t="shared" si="208"/>
        <v>0</v>
      </c>
      <c r="AX365" s="1092">
        <f t="shared" si="209"/>
        <v>0</v>
      </c>
      <c r="AY365" s="2765">
        <f t="shared" si="213"/>
        <v>0</v>
      </c>
      <c r="AZ365" s="2720">
        <f t="shared" si="214"/>
        <v>0</v>
      </c>
      <c r="BA365" s="2720">
        <f t="shared" si="215"/>
        <v>0</v>
      </c>
      <c r="BB365" s="2720">
        <f t="shared" si="216"/>
        <v>0</v>
      </c>
      <c r="BC365" s="2720">
        <f t="shared" si="217"/>
        <v>0</v>
      </c>
      <c r="BD365" s="2720">
        <f t="shared" si="218"/>
        <v>0</v>
      </c>
      <c r="BE365" s="2720">
        <f t="shared" si="219"/>
        <v>0</v>
      </c>
      <c r="BF365" s="2720">
        <f t="shared" si="220"/>
        <v>0</v>
      </c>
      <c r="BG365" s="2720">
        <f t="shared" si="221"/>
        <v>0</v>
      </c>
      <c r="BH365" s="2720">
        <f t="shared" si="222"/>
        <v>0</v>
      </c>
      <c r="BI365" s="2720">
        <f t="shared" si="223"/>
        <v>0</v>
      </c>
      <c r="BJ365" s="2720">
        <f t="shared" si="224"/>
        <v>0</v>
      </c>
      <c r="BK365" s="2720">
        <f t="shared" si="225"/>
        <v>0</v>
      </c>
      <c r="BL365" s="2720">
        <f t="shared" si="226"/>
        <v>0</v>
      </c>
      <c r="BM365" s="2720">
        <f t="shared" si="227"/>
        <v>0</v>
      </c>
      <c r="BN365" s="2720">
        <f t="shared" si="228"/>
        <v>0</v>
      </c>
      <c r="BO365" s="2720">
        <f t="shared" si="229"/>
        <v>0</v>
      </c>
      <c r="BP365" s="2720">
        <f t="shared" si="230"/>
        <v>0</v>
      </c>
      <c r="BQ365" s="2720">
        <f t="shared" si="231"/>
        <v>0</v>
      </c>
      <c r="BR365" s="2720">
        <f t="shared" si="232"/>
        <v>0</v>
      </c>
      <c r="BS365" s="2720">
        <f t="shared" si="233"/>
        <v>0</v>
      </c>
      <c r="BT365" s="2772">
        <f t="shared" si="234"/>
        <v>0</v>
      </c>
    </row>
    <row r="366" spans="1:72">
      <c r="A366" s="2717"/>
      <c r="B366" s="2718"/>
      <c r="C366" s="2718"/>
      <c r="D366" s="2719"/>
      <c r="E366" s="2720">
        <f t="shared" si="206"/>
        <v>0</v>
      </c>
      <c r="F366" s="2721"/>
      <c r="G366" s="2722">
        <f t="shared" si="210"/>
        <v>0</v>
      </c>
      <c r="H366" s="2723">
        <f t="shared" si="211"/>
        <v>0</v>
      </c>
      <c r="I366" s="2730"/>
      <c r="J366" s="2730"/>
      <c r="K366" s="2730"/>
      <c r="L366" s="2730"/>
      <c r="M366" s="2730"/>
      <c r="N366" s="2730"/>
      <c r="O366" s="2730"/>
      <c r="P366" s="2730"/>
      <c r="Q366" s="2730"/>
      <c r="R366" s="2730"/>
      <c r="S366" s="2730"/>
      <c r="T366" s="2730"/>
      <c r="U366" s="2730"/>
      <c r="V366" s="2730"/>
      <c r="W366" s="2730"/>
      <c r="X366" s="2730"/>
      <c r="Y366" s="2730"/>
      <c r="Z366" s="2730"/>
      <c r="AA366" s="2730"/>
      <c r="AB366" s="2730"/>
      <c r="AC366" s="2720">
        <f t="shared" si="212"/>
        <v>0</v>
      </c>
      <c r="AD366" s="2740"/>
      <c r="AE366" s="2740"/>
      <c r="AF366" s="2740"/>
      <c r="AG366" s="2740"/>
      <c r="AH366" s="2740"/>
      <c r="AI366" s="2740"/>
      <c r="AJ366" s="2740"/>
      <c r="AK366" s="2740"/>
      <c r="AL366" s="2740"/>
      <c r="AM366" s="2740"/>
      <c r="AN366" s="2740"/>
      <c r="AO366" s="2740"/>
      <c r="AP366" s="2740"/>
      <c r="AQ366" s="2740"/>
      <c r="AR366" s="2740"/>
      <c r="AS366" s="2740"/>
      <c r="AT366" s="2750"/>
      <c r="AU366" s="2751"/>
      <c r="AV366" s="1092">
        <f t="shared" si="207"/>
        <v>0</v>
      </c>
      <c r="AW366" s="1092">
        <f t="shared" si="208"/>
        <v>0</v>
      </c>
      <c r="AX366" s="1092">
        <f t="shared" si="209"/>
        <v>0</v>
      </c>
      <c r="AY366" s="2765">
        <f t="shared" si="213"/>
        <v>0</v>
      </c>
      <c r="AZ366" s="2720">
        <f t="shared" si="214"/>
        <v>0</v>
      </c>
      <c r="BA366" s="2720">
        <f t="shared" si="215"/>
        <v>0</v>
      </c>
      <c r="BB366" s="2720">
        <f t="shared" si="216"/>
        <v>0</v>
      </c>
      <c r="BC366" s="2720">
        <f t="shared" si="217"/>
        <v>0</v>
      </c>
      <c r="BD366" s="2720">
        <f t="shared" si="218"/>
        <v>0</v>
      </c>
      <c r="BE366" s="2720">
        <f t="shared" si="219"/>
        <v>0</v>
      </c>
      <c r="BF366" s="2720">
        <f t="shared" si="220"/>
        <v>0</v>
      </c>
      <c r="BG366" s="2720">
        <f t="shared" si="221"/>
        <v>0</v>
      </c>
      <c r="BH366" s="2720">
        <f t="shared" si="222"/>
        <v>0</v>
      </c>
      <c r="BI366" s="2720">
        <f t="shared" si="223"/>
        <v>0</v>
      </c>
      <c r="BJ366" s="2720">
        <f t="shared" si="224"/>
        <v>0</v>
      </c>
      <c r="BK366" s="2720">
        <f t="shared" si="225"/>
        <v>0</v>
      </c>
      <c r="BL366" s="2720">
        <f t="shared" si="226"/>
        <v>0</v>
      </c>
      <c r="BM366" s="2720">
        <f t="shared" si="227"/>
        <v>0</v>
      </c>
      <c r="BN366" s="2720">
        <f t="shared" si="228"/>
        <v>0</v>
      </c>
      <c r="BO366" s="2720">
        <f t="shared" si="229"/>
        <v>0</v>
      </c>
      <c r="BP366" s="2720">
        <f t="shared" si="230"/>
        <v>0</v>
      </c>
      <c r="BQ366" s="2720">
        <f t="shared" si="231"/>
        <v>0</v>
      </c>
      <c r="BR366" s="2720">
        <f t="shared" si="232"/>
        <v>0</v>
      </c>
      <c r="BS366" s="2720">
        <f t="shared" si="233"/>
        <v>0</v>
      </c>
      <c r="BT366" s="2772">
        <f t="shared" si="234"/>
        <v>0</v>
      </c>
    </row>
    <row r="367" spans="1:72">
      <c r="A367" s="2717"/>
      <c r="B367" s="2718"/>
      <c r="C367" s="2718"/>
      <c r="D367" s="2719"/>
      <c r="E367" s="2720">
        <f t="shared" ref="E367:E397" si="235">IF($C$3="是",ROUND($A$3*G367/$B$3,2),ROUND($A$3*(G367-AT367)/$B$3,2))</f>
        <v>0</v>
      </c>
      <c r="F367" s="2721"/>
      <c r="G367" s="2722">
        <f t="shared" si="210"/>
        <v>0</v>
      </c>
      <c r="H367" s="2723">
        <f t="shared" si="211"/>
        <v>0</v>
      </c>
      <c r="I367" s="2730"/>
      <c r="J367" s="2730"/>
      <c r="K367" s="2730"/>
      <c r="L367" s="2730"/>
      <c r="M367" s="2730"/>
      <c r="N367" s="2730"/>
      <c r="O367" s="2730"/>
      <c r="P367" s="2730"/>
      <c r="Q367" s="2730"/>
      <c r="R367" s="2730"/>
      <c r="S367" s="2730"/>
      <c r="T367" s="2730"/>
      <c r="U367" s="2730"/>
      <c r="V367" s="2730"/>
      <c r="W367" s="2730"/>
      <c r="X367" s="2730"/>
      <c r="Y367" s="2730"/>
      <c r="Z367" s="2730"/>
      <c r="AA367" s="2730"/>
      <c r="AB367" s="2730"/>
      <c r="AC367" s="2720">
        <f t="shared" si="212"/>
        <v>0</v>
      </c>
      <c r="AD367" s="2740"/>
      <c r="AE367" s="2740"/>
      <c r="AF367" s="2740"/>
      <c r="AG367" s="2740"/>
      <c r="AH367" s="2740"/>
      <c r="AI367" s="2740"/>
      <c r="AJ367" s="2740"/>
      <c r="AK367" s="2740"/>
      <c r="AL367" s="2740"/>
      <c r="AM367" s="2740"/>
      <c r="AN367" s="2740"/>
      <c r="AO367" s="2740"/>
      <c r="AP367" s="2740"/>
      <c r="AQ367" s="2740"/>
      <c r="AR367" s="2740"/>
      <c r="AS367" s="2740"/>
      <c r="AT367" s="2750"/>
      <c r="AU367" s="2751"/>
      <c r="AV367" s="1092">
        <f t="shared" ref="AV367:AV397" si="236">A367</f>
        <v>0</v>
      </c>
      <c r="AW367" s="1092">
        <f t="shared" ref="AW367:AW397" si="237">B367</f>
        <v>0</v>
      </c>
      <c r="AX367" s="1092">
        <f t="shared" ref="AX367:AX397" si="238">C367</f>
        <v>0</v>
      </c>
      <c r="AY367" s="2765">
        <f t="shared" si="213"/>
        <v>0</v>
      </c>
      <c r="AZ367" s="2720">
        <f t="shared" si="214"/>
        <v>0</v>
      </c>
      <c r="BA367" s="2720">
        <f t="shared" si="215"/>
        <v>0</v>
      </c>
      <c r="BB367" s="2720">
        <f t="shared" si="216"/>
        <v>0</v>
      </c>
      <c r="BC367" s="2720">
        <f t="shared" si="217"/>
        <v>0</v>
      </c>
      <c r="BD367" s="2720">
        <f t="shared" si="218"/>
        <v>0</v>
      </c>
      <c r="BE367" s="2720">
        <f t="shared" si="219"/>
        <v>0</v>
      </c>
      <c r="BF367" s="2720">
        <f t="shared" si="220"/>
        <v>0</v>
      </c>
      <c r="BG367" s="2720">
        <f t="shared" si="221"/>
        <v>0</v>
      </c>
      <c r="BH367" s="2720">
        <f t="shared" si="222"/>
        <v>0</v>
      </c>
      <c r="BI367" s="2720">
        <f t="shared" si="223"/>
        <v>0</v>
      </c>
      <c r="BJ367" s="2720">
        <f t="shared" si="224"/>
        <v>0</v>
      </c>
      <c r="BK367" s="2720">
        <f t="shared" si="225"/>
        <v>0</v>
      </c>
      <c r="BL367" s="2720">
        <f t="shared" si="226"/>
        <v>0</v>
      </c>
      <c r="BM367" s="2720">
        <f t="shared" si="227"/>
        <v>0</v>
      </c>
      <c r="BN367" s="2720">
        <f t="shared" si="228"/>
        <v>0</v>
      </c>
      <c r="BO367" s="2720">
        <f t="shared" si="229"/>
        <v>0</v>
      </c>
      <c r="BP367" s="2720">
        <f t="shared" si="230"/>
        <v>0</v>
      </c>
      <c r="BQ367" s="2720">
        <f t="shared" si="231"/>
        <v>0</v>
      </c>
      <c r="BR367" s="2720">
        <f t="shared" si="232"/>
        <v>0</v>
      </c>
      <c r="BS367" s="2720">
        <f t="shared" si="233"/>
        <v>0</v>
      </c>
      <c r="BT367" s="2772">
        <f t="shared" si="234"/>
        <v>0</v>
      </c>
    </row>
    <row r="368" spans="1:72">
      <c r="A368" s="2717"/>
      <c r="B368" s="2718"/>
      <c r="C368" s="2718"/>
      <c r="D368" s="2719"/>
      <c r="E368" s="2720">
        <f t="shared" si="235"/>
        <v>0</v>
      </c>
      <c r="F368" s="2721"/>
      <c r="G368" s="2722">
        <f t="shared" si="210"/>
        <v>0</v>
      </c>
      <c r="H368" s="2723">
        <f t="shared" si="211"/>
        <v>0</v>
      </c>
      <c r="I368" s="2730"/>
      <c r="J368" s="2730"/>
      <c r="K368" s="2730"/>
      <c r="L368" s="2730"/>
      <c r="M368" s="2730"/>
      <c r="N368" s="2730"/>
      <c r="O368" s="2730"/>
      <c r="P368" s="2730"/>
      <c r="Q368" s="2730"/>
      <c r="R368" s="2730"/>
      <c r="S368" s="2730"/>
      <c r="T368" s="2730"/>
      <c r="U368" s="2730"/>
      <c r="V368" s="2730"/>
      <c r="W368" s="2730"/>
      <c r="X368" s="2730"/>
      <c r="Y368" s="2730"/>
      <c r="Z368" s="2730"/>
      <c r="AA368" s="2730"/>
      <c r="AB368" s="2730"/>
      <c r="AC368" s="2720">
        <f t="shared" si="212"/>
        <v>0</v>
      </c>
      <c r="AD368" s="2740"/>
      <c r="AE368" s="2740"/>
      <c r="AF368" s="2740"/>
      <c r="AG368" s="2740"/>
      <c r="AH368" s="2740"/>
      <c r="AI368" s="2740"/>
      <c r="AJ368" s="2740"/>
      <c r="AK368" s="2740"/>
      <c r="AL368" s="2740"/>
      <c r="AM368" s="2740"/>
      <c r="AN368" s="2740"/>
      <c r="AO368" s="2740"/>
      <c r="AP368" s="2740"/>
      <c r="AQ368" s="2740"/>
      <c r="AR368" s="2740"/>
      <c r="AS368" s="2740"/>
      <c r="AT368" s="2750"/>
      <c r="AU368" s="2751"/>
      <c r="AV368" s="1092">
        <f t="shared" si="236"/>
        <v>0</v>
      </c>
      <c r="AW368" s="1092">
        <f t="shared" si="237"/>
        <v>0</v>
      </c>
      <c r="AX368" s="1092">
        <f t="shared" si="238"/>
        <v>0</v>
      </c>
      <c r="AY368" s="2765">
        <f t="shared" si="213"/>
        <v>0</v>
      </c>
      <c r="AZ368" s="2720">
        <f t="shared" si="214"/>
        <v>0</v>
      </c>
      <c r="BA368" s="2720">
        <f t="shared" si="215"/>
        <v>0</v>
      </c>
      <c r="BB368" s="2720">
        <f t="shared" si="216"/>
        <v>0</v>
      </c>
      <c r="BC368" s="2720">
        <f t="shared" si="217"/>
        <v>0</v>
      </c>
      <c r="BD368" s="2720">
        <f t="shared" si="218"/>
        <v>0</v>
      </c>
      <c r="BE368" s="2720">
        <f t="shared" si="219"/>
        <v>0</v>
      </c>
      <c r="BF368" s="2720">
        <f t="shared" si="220"/>
        <v>0</v>
      </c>
      <c r="BG368" s="2720">
        <f t="shared" si="221"/>
        <v>0</v>
      </c>
      <c r="BH368" s="2720">
        <f t="shared" si="222"/>
        <v>0</v>
      </c>
      <c r="BI368" s="2720">
        <f t="shared" si="223"/>
        <v>0</v>
      </c>
      <c r="BJ368" s="2720">
        <f t="shared" si="224"/>
        <v>0</v>
      </c>
      <c r="BK368" s="2720">
        <f t="shared" si="225"/>
        <v>0</v>
      </c>
      <c r="BL368" s="2720">
        <f t="shared" si="226"/>
        <v>0</v>
      </c>
      <c r="BM368" s="2720">
        <f t="shared" si="227"/>
        <v>0</v>
      </c>
      <c r="BN368" s="2720">
        <f t="shared" si="228"/>
        <v>0</v>
      </c>
      <c r="BO368" s="2720">
        <f t="shared" si="229"/>
        <v>0</v>
      </c>
      <c r="BP368" s="2720">
        <f t="shared" si="230"/>
        <v>0</v>
      </c>
      <c r="BQ368" s="2720">
        <f t="shared" si="231"/>
        <v>0</v>
      </c>
      <c r="BR368" s="2720">
        <f t="shared" si="232"/>
        <v>0</v>
      </c>
      <c r="BS368" s="2720">
        <f t="shared" si="233"/>
        <v>0</v>
      </c>
      <c r="BT368" s="2772">
        <f t="shared" si="234"/>
        <v>0</v>
      </c>
    </row>
    <row r="369" spans="1:72">
      <c r="A369" s="2717"/>
      <c r="B369" s="2718"/>
      <c r="C369" s="2718"/>
      <c r="D369" s="2719"/>
      <c r="E369" s="2720">
        <f t="shared" si="235"/>
        <v>0</v>
      </c>
      <c r="F369" s="2721"/>
      <c r="G369" s="2722">
        <f t="shared" si="210"/>
        <v>0</v>
      </c>
      <c r="H369" s="2723">
        <f t="shared" si="211"/>
        <v>0</v>
      </c>
      <c r="I369" s="2730"/>
      <c r="J369" s="2730"/>
      <c r="K369" s="2730"/>
      <c r="L369" s="2730"/>
      <c r="M369" s="2730"/>
      <c r="N369" s="2730"/>
      <c r="O369" s="2730"/>
      <c r="P369" s="2730"/>
      <c r="Q369" s="2730"/>
      <c r="R369" s="2730"/>
      <c r="S369" s="2730"/>
      <c r="T369" s="2730"/>
      <c r="U369" s="2730"/>
      <c r="V369" s="2730"/>
      <c r="W369" s="2730"/>
      <c r="X369" s="2730"/>
      <c r="Y369" s="2730"/>
      <c r="Z369" s="2730"/>
      <c r="AA369" s="2730"/>
      <c r="AB369" s="2730"/>
      <c r="AC369" s="2720">
        <f t="shared" si="212"/>
        <v>0</v>
      </c>
      <c r="AD369" s="2740"/>
      <c r="AE369" s="2740"/>
      <c r="AF369" s="2740"/>
      <c r="AG369" s="2740"/>
      <c r="AH369" s="2740"/>
      <c r="AI369" s="2740"/>
      <c r="AJ369" s="2740"/>
      <c r="AK369" s="2740"/>
      <c r="AL369" s="2740"/>
      <c r="AM369" s="2740"/>
      <c r="AN369" s="2740"/>
      <c r="AO369" s="2740"/>
      <c r="AP369" s="2740"/>
      <c r="AQ369" s="2740"/>
      <c r="AR369" s="2740"/>
      <c r="AS369" s="2740"/>
      <c r="AT369" s="2750"/>
      <c r="AU369" s="2751"/>
      <c r="AV369" s="1092">
        <f t="shared" si="236"/>
        <v>0</v>
      </c>
      <c r="AW369" s="1092">
        <f t="shared" si="237"/>
        <v>0</v>
      </c>
      <c r="AX369" s="1092">
        <f t="shared" si="238"/>
        <v>0</v>
      </c>
      <c r="AY369" s="2765">
        <f t="shared" si="213"/>
        <v>0</v>
      </c>
      <c r="AZ369" s="2720">
        <f t="shared" si="214"/>
        <v>0</v>
      </c>
      <c r="BA369" s="2720">
        <f t="shared" si="215"/>
        <v>0</v>
      </c>
      <c r="BB369" s="2720">
        <f t="shared" si="216"/>
        <v>0</v>
      </c>
      <c r="BC369" s="2720">
        <f t="shared" si="217"/>
        <v>0</v>
      </c>
      <c r="BD369" s="2720">
        <f t="shared" si="218"/>
        <v>0</v>
      </c>
      <c r="BE369" s="2720">
        <f t="shared" si="219"/>
        <v>0</v>
      </c>
      <c r="BF369" s="2720">
        <f t="shared" si="220"/>
        <v>0</v>
      </c>
      <c r="BG369" s="2720">
        <f t="shared" si="221"/>
        <v>0</v>
      </c>
      <c r="BH369" s="2720">
        <f t="shared" si="222"/>
        <v>0</v>
      </c>
      <c r="BI369" s="2720">
        <f t="shared" si="223"/>
        <v>0</v>
      </c>
      <c r="BJ369" s="2720">
        <f t="shared" si="224"/>
        <v>0</v>
      </c>
      <c r="BK369" s="2720">
        <f t="shared" si="225"/>
        <v>0</v>
      </c>
      <c r="BL369" s="2720">
        <f t="shared" si="226"/>
        <v>0</v>
      </c>
      <c r="BM369" s="2720">
        <f t="shared" si="227"/>
        <v>0</v>
      </c>
      <c r="BN369" s="2720">
        <f t="shared" si="228"/>
        <v>0</v>
      </c>
      <c r="BO369" s="2720">
        <f t="shared" si="229"/>
        <v>0</v>
      </c>
      <c r="BP369" s="2720">
        <f t="shared" si="230"/>
        <v>0</v>
      </c>
      <c r="BQ369" s="2720">
        <f t="shared" si="231"/>
        <v>0</v>
      </c>
      <c r="BR369" s="2720">
        <f t="shared" si="232"/>
        <v>0</v>
      </c>
      <c r="BS369" s="2720">
        <f t="shared" si="233"/>
        <v>0</v>
      </c>
      <c r="BT369" s="2772">
        <f t="shared" si="234"/>
        <v>0</v>
      </c>
    </row>
    <row r="370" spans="1:72">
      <c r="A370" s="2717"/>
      <c r="B370" s="2718"/>
      <c r="C370" s="2718"/>
      <c r="D370" s="2719"/>
      <c r="E370" s="2720">
        <f t="shared" si="235"/>
        <v>0</v>
      </c>
      <c r="F370" s="2721"/>
      <c r="G370" s="2722">
        <f t="shared" si="210"/>
        <v>0</v>
      </c>
      <c r="H370" s="2723">
        <f t="shared" si="211"/>
        <v>0</v>
      </c>
      <c r="I370" s="2730"/>
      <c r="J370" s="2730"/>
      <c r="K370" s="2730"/>
      <c r="L370" s="2730"/>
      <c r="M370" s="2730"/>
      <c r="N370" s="2730"/>
      <c r="O370" s="2730"/>
      <c r="P370" s="2730"/>
      <c r="Q370" s="2730"/>
      <c r="R370" s="2730"/>
      <c r="S370" s="2730"/>
      <c r="T370" s="2730"/>
      <c r="U370" s="2730"/>
      <c r="V370" s="2730"/>
      <c r="W370" s="2730"/>
      <c r="X370" s="2730"/>
      <c r="Y370" s="2730"/>
      <c r="Z370" s="2730"/>
      <c r="AA370" s="2730"/>
      <c r="AB370" s="2730"/>
      <c r="AC370" s="2720">
        <f t="shared" si="212"/>
        <v>0</v>
      </c>
      <c r="AD370" s="2740"/>
      <c r="AE370" s="2740"/>
      <c r="AF370" s="2740"/>
      <c r="AG370" s="2740"/>
      <c r="AH370" s="2740"/>
      <c r="AI370" s="2740"/>
      <c r="AJ370" s="2740"/>
      <c r="AK370" s="2740"/>
      <c r="AL370" s="2740"/>
      <c r="AM370" s="2740"/>
      <c r="AN370" s="2740"/>
      <c r="AO370" s="2740"/>
      <c r="AP370" s="2740"/>
      <c r="AQ370" s="2740"/>
      <c r="AR370" s="2740"/>
      <c r="AS370" s="2740"/>
      <c r="AT370" s="2750"/>
      <c r="AU370" s="2751"/>
      <c r="AV370" s="1092">
        <f t="shared" si="236"/>
        <v>0</v>
      </c>
      <c r="AW370" s="1092">
        <f t="shared" si="237"/>
        <v>0</v>
      </c>
      <c r="AX370" s="1092">
        <f t="shared" si="238"/>
        <v>0</v>
      </c>
      <c r="AY370" s="2765">
        <f t="shared" si="213"/>
        <v>0</v>
      </c>
      <c r="AZ370" s="2720">
        <f t="shared" si="214"/>
        <v>0</v>
      </c>
      <c r="BA370" s="2720">
        <f t="shared" si="215"/>
        <v>0</v>
      </c>
      <c r="BB370" s="2720">
        <f t="shared" si="216"/>
        <v>0</v>
      </c>
      <c r="BC370" s="2720">
        <f t="shared" si="217"/>
        <v>0</v>
      </c>
      <c r="BD370" s="2720">
        <f t="shared" si="218"/>
        <v>0</v>
      </c>
      <c r="BE370" s="2720">
        <f t="shared" si="219"/>
        <v>0</v>
      </c>
      <c r="BF370" s="2720">
        <f t="shared" si="220"/>
        <v>0</v>
      </c>
      <c r="BG370" s="2720">
        <f t="shared" si="221"/>
        <v>0</v>
      </c>
      <c r="BH370" s="2720">
        <f t="shared" si="222"/>
        <v>0</v>
      </c>
      <c r="BI370" s="2720">
        <f t="shared" si="223"/>
        <v>0</v>
      </c>
      <c r="BJ370" s="2720">
        <f t="shared" si="224"/>
        <v>0</v>
      </c>
      <c r="BK370" s="2720">
        <f t="shared" si="225"/>
        <v>0</v>
      </c>
      <c r="BL370" s="2720">
        <f t="shared" si="226"/>
        <v>0</v>
      </c>
      <c r="BM370" s="2720">
        <f t="shared" si="227"/>
        <v>0</v>
      </c>
      <c r="BN370" s="2720">
        <f t="shared" si="228"/>
        <v>0</v>
      </c>
      <c r="BO370" s="2720">
        <f t="shared" si="229"/>
        <v>0</v>
      </c>
      <c r="BP370" s="2720">
        <f t="shared" si="230"/>
        <v>0</v>
      </c>
      <c r="BQ370" s="2720">
        <f t="shared" si="231"/>
        <v>0</v>
      </c>
      <c r="BR370" s="2720">
        <f t="shared" si="232"/>
        <v>0</v>
      </c>
      <c r="BS370" s="2720">
        <f t="shared" si="233"/>
        <v>0</v>
      </c>
      <c r="BT370" s="2772">
        <f t="shared" si="234"/>
        <v>0</v>
      </c>
    </row>
    <row r="371" spans="1:72">
      <c r="A371" s="2717"/>
      <c r="B371" s="2718"/>
      <c r="C371" s="2718"/>
      <c r="D371" s="2719"/>
      <c r="E371" s="2720">
        <f t="shared" si="235"/>
        <v>0</v>
      </c>
      <c r="F371" s="2721"/>
      <c r="G371" s="2722">
        <f t="shared" si="210"/>
        <v>0</v>
      </c>
      <c r="H371" s="2723">
        <f t="shared" si="211"/>
        <v>0</v>
      </c>
      <c r="I371" s="2730"/>
      <c r="J371" s="2730"/>
      <c r="K371" s="2730"/>
      <c r="L371" s="2730"/>
      <c r="M371" s="2730"/>
      <c r="N371" s="2730"/>
      <c r="O371" s="2730"/>
      <c r="P371" s="2730"/>
      <c r="Q371" s="2730"/>
      <c r="R371" s="2730"/>
      <c r="S371" s="2730"/>
      <c r="T371" s="2730"/>
      <c r="U371" s="2730"/>
      <c r="V371" s="2730"/>
      <c r="W371" s="2730"/>
      <c r="X371" s="2730"/>
      <c r="Y371" s="2730"/>
      <c r="Z371" s="2730"/>
      <c r="AA371" s="2730"/>
      <c r="AB371" s="2730"/>
      <c r="AC371" s="2720">
        <f t="shared" si="212"/>
        <v>0</v>
      </c>
      <c r="AD371" s="2740"/>
      <c r="AE371" s="2740"/>
      <c r="AF371" s="2740"/>
      <c r="AG371" s="2740"/>
      <c r="AH371" s="2740"/>
      <c r="AI371" s="2740"/>
      <c r="AJ371" s="2740"/>
      <c r="AK371" s="2740"/>
      <c r="AL371" s="2740"/>
      <c r="AM371" s="2740"/>
      <c r="AN371" s="2740"/>
      <c r="AO371" s="2740"/>
      <c r="AP371" s="2740"/>
      <c r="AQ371" s="2740"/>
      <c r="AR371" s="2740"/>
      <c r="AS371" s="2740"/>
      <c r="AT371" s="2750"/>
      <c r="AU371" s="2751"/>
      <c r="AV371" s="1092">
        <f t="shared" si="236"/>
        <v>0</v>
      </c>
      <c r="AW371" s="1092">
        <f t="shared" si="237"/>
        <v>0</v>
      </c>
      <c r="AX371" s="1092">
        <f t="shared" si="238"/>
        <v>0</v>
      </c>
      <c r="AY371" s="2765">
        <f t="shared" si="213"/>
        <v>0</v>
      </c>
      <c r="AZ371" s="2720">
        <f t="shared" si="214"/>
        <v>0</v>
      </c>
      <c r="BA371" s="2720">
        <f t="shared" si="215"/>
        <v>0</v>
      </c>
      <c r="BB371" s="2720">
        <f t="shared" si="216"/>
        <v>0</v>
      </c>
      <c r="BC371" s="2720">
        <f t="shared" si="217"/>
        <v>0</v>
      </c>
      <c r="BD371" s="2720">
        <f t="shared" si="218"/>
        <v>0</v>
      </c>
      <c r="BE371" s="2720">
        <f t="shared" si="219"/>
        <v>0</v>
      </c>
      <c r="BF371" s="2720">
        <f t="shared" si="220"/>
        <v>0</v>
      </c>
      <c r="BG371" s="2720">
        <f t="shared" si="221"/>
        <v>0</v>
      </c>
      <c r="BH371" s="2720">
        <f t="shared" si="222"/>
        <v>0</v>
      </c>
      <c r="BI371" s="2720">
        <f t="shared" si="223"/>
        <v>0</v>
      </c>
      <c r="BJ371" s="2720">
        <f t="shared" si="224"/>
        <v>0</v>
      </c>
      <c r="BK371" s="2720">
        <f t="shared" si="225"/>
        <v>0</v>
      </c>
      <c r="BL371" s="2720">
        <f t="shared" si="226"/>
        <v>0</v>
      </c>
      <c r="BM371" s="2720">
        <f t="shared" si="227"/>
        <v>0</v>
      </c>
      <c r="BN371" s="2720">
        <f t="shared" si="228"/>
        <v>0</v>
      </c>
      <c r="BO371" s="2720">
        <f t="shared" si="229"/>
        <v>0</v>
      </c>
      <c r="BP371" s="2720">
        <f t="shared" si="230"/>
        <v>0</v>
      </c>
      <c r="BQ371" s="2720">
        <f t="shared" si="231"/>
        <v>0</v>
      </c>
      <c r="BR371" s="2720">
        <f t="shared" si="232"/>
        <v>0</v>
      </c>
      <c r="BS371" s="2720">
        <f t="shared" si="233"/>
        <v>0</v>
      </c>
      <c r="BT371" s="2772">
        <f t="shared" si="234"/>
        <v>0</v>
      </c>
    </row>
    <row r="372" spans="1:72">
      <c r="A372" s="2717"/>
      <c r="B372" s="2718"/>
      <c r="C372" s="2718"/>
      <c r="D372" s="2719"/>
      <c r="E372" s="2720">
        <f t="shared" si="235"/>
        <v>0</v>
      </c>
      <c r="F372" s="2721"/>
      <c r="G372" s="2722">
        <f t="shared" si="210"/>
        <v>0</v>
      </c>
      <c r="H372" s="2723">
        <f t="shared" si="211"/>
        <v>0</v>
      </c>
      <c r="I372" s="2730"/>
      <c r="J372" s="2730"/>
      <c r="K372" s="2730"/>
      <c r="L372" s="2730"/>
      <c r="M372" s="2730"/>
      <c r="N372" s="2730"/>
      <c r="O372" s="2730"/>
      <c r="P372" s="2730"/>
      <c r="Q372" s="2730"/>
      <c r="R372" s="2730"/>
      <c r="S372" s="2730"/>
      <c r="T372" s="2730"/>
      <c r="U372" s="2730"/>
      <c r="V372" s="2730"/>
      <c r="W372" s="2730"/>
      <c r="X372" s="2730"/>
      <c r="Y372" s="2730"/>
      <c r="Z372" s="2730"/>
      <c r="AA372" s="2730"/>
      <c r="AB372" s="2730"/>
      <c r="AC372" s="2720">
        <f t="shared" si="212"/>
        <v>0</v>
      </c>
      <c r="AD372" s="2740"/>
      <c r="AE372" s="2740"/>
      <c r="AF372" s="2740"/>
      <c r="AG372" s="2740"/>
      <c r="AH372" s="2740"/>
      <c r="AI372" s="2740"/>
      <c r="AJ372" s="2740"/>
      <c r="AK372" s="2740"/>
      <c r="AL372" s="2740"/>
      <c r="AM372" s="2740"/>
      <c r="AN372" s="2740"/>
      <c r="AO372" s="2740"/>
      <c r="AP372" s="2740"/>
      <c r="AQ372" s="2740"/>
      <c r="AR372" s="2740"/>
      <c r="AS372" s="2740"/>
      <c r="AT372" s="2750"/>
      <c r="AU372" s="2751"/>
      <c r="AV372" s="1092">
        <f t="shared" si="236"/>
        <v>0</v>
      </c>
      <c r="AW372" s="1092">
        <f t="shared" si="237"/>
        <v>0</v>
      </c>
      <c r="AX372" s="1092">
        <f t="shared" si="238"/>
        <v>0</v>
      </c>
      <c r="AY372" s="2765">
        <f t="shared" si="213"/>
        <v>0</v>
      </c>
      <c r="AZ372" s="2720">
        <f t="shared" si="214"/>
        <v>0</v>
      </c>
      <c r="BA372" s="2720">
        <f t="shared" si="215"/>
        <v>0</v>
      </c>
      <c r="BB372" s="2720">
        <f t="shared" si="216"/>
        <v>0</v>
      </c>
      <c r="BC372" s="2720">
        <f t="shared" si="217"/>
        <v>0</v>
      </c>
      <c r="BD372" s="2720">
        <f t="shared" si="218"/>
        <v>0</v>
      </c>
      <c r="BE372" s="2720">
        <f t="shared" si="219"/>
        <v>0</v>
      </c>
      <c r="BF372" s="2720">
        <f t="shared" si="220"/>
        <v>0</v>
      </c>
      <c r="BG372" s="2720">
        <f t="shared" si="221"/>
        <v>0</v>
      </c>
      <c r="BH372" s="2720">
        <f t="shared" si="222"/>
        <v>0</v>
      </c>
      <c r="BI372" s="2720">
        <f t="shared" si="223"/>
        <v>0</v>
      </c>
      <c r="BJ372" s="2720">
        <f t="shared" si="224"/>
        <v>0</v>
      </c>
      <c r="BK372" s="2720">
        <f t="shared" si="225"/>
        <v>0</v>
      </c>
      <c r="BL372" s="2720">
        <f t="shared" si="226"/>
        <v>0</v>
      </c>
      <c r="BM372" s="2720">
        <f t="shared" si="227"/>
        <v>0</v>
      </c>
      <c r="BN372" s="2720">
        <f t="shared" si="228"/>
        <v>0</v>
      </c>
      <c r="BO372" s="2720">
        <f t="shared" si="229"/>
        <v>0</v>
      </c>
      <c r="BP372" s="2720">
        <f t="shared" si="230"/>
        <v>0</v>
      </c>
      <c r="BQ372" s="2720">
        <f t="shared" si="231"/>
        <v>0</v>
      </c>
      <c r="BR372" s="2720">
        <f t="shared" si="232"/>
        <v>0</v>
      </c>
      <c r="BS372" s="2720">
        <f t="shared" si="233"/>
        <v>0</v>
      </c>
      <c r="BT372" s="2772">
        <f t="shared" si="234"/>
        <v>0</v>
      </c>
    </row>
    <row r="373" spans="1:72">
      <c r="A373" s="2717"/>
      <c r="B373" s="2718"/>
      <c r="C373" s="2718"/>
      <c r="D373" s="2719"/>
      <c r="E373" s="2720">
        <f t="shared" si="235"/>
        <v>0</v>
      </c>
      <c r="F373" s="2721"/>
      <c r="G373" s="2722">
        <f t="shared" si="210"/>
        <v>0</v>
      </c>
      <c r="H373" s="2723">
        <f t="shared" si="211"/>
        <v>0</v>
      </c>
      <c r="I373" s="2730"/>
      <c r="J373" s="2730"/>
      <c r="K373" s="2730"/>
      <c r="L373" s="2730"/>
      <c r="M373" s="2730"/>
      <c r="N373" s="2730"/>
      <c r="O373" s="2730"/>
      <c r="P373" s="2730"/>
      <c r="Q373" s="2730"/>
      <c r="R373" s="2730"/>
      <c r="S373" s="2730"/>
      <c r="T373" s="2730"/>
      <c r="U373" s="2730"/>
      <c r="V373" s="2730"/>
      <c r="W373" s="2730"/>
      <c r="X373" s="2730"/>
      <c r="Y373" s="2730"/>
      <c r="Z373" s="2730"/>
      <c r="AA373" s="2730"/>
      <c r="AB373" s="2730"/>
      <c r="AC373" s="2720">
        <f t="shared" si="212"/>
        <v>0</v>
      </c>
      <c r="AD373" s="2740"/>
      <c r="AE373" s="2740"/>
      <c r="AF373" s="2740"/>
      <c r="AG373" s="2740"/>
      <c r="AH373" s="2740"/>
      <c r="AI373" s="2740"/>
      <c r="AJ373" s="2740"/>
      <c r="AK373" s="2740"/>
      <c r="AL373" s="2740"/>
      <c r="AM373" s="2740"/>
      <c r="AN373" s="2740"/>
      <c r="AO373" s="2740"/>
      <c r="AP373" s="2740"/>
      <c r="AQ373" s="2740"/>
      <c r="AR373" s="2740"/>
      <c r="AS373" s="2740"/>
      <c r="AT373" s="2750"/>
      <c r="AU373" s="2751"/>
      <c r="AV373" s="1092">
        <f t="shared" si="236"/>
        <v>0</v>
      </c>
      <c r="AW373" s="1092">
        <f t="shared" si="237"/>
        <v>0</v>
      </c>
      <c r="AX373" s="1092">
        <f t="shared" si="238"/>
        <v>0</v>
      </c>
      <c r="AY373" s="2765">
        <f t="shared" si="213"/>
        <v>0</v>
      </c>
      <c r="AZ373" s="2720">
        <f t="shared" si="214"/>
        <v>0</v>
      </c>
      <c r="BA373" s="2720">
        <f t="shared" si="215"/>
        <v>0</v>
      </c>
      <c r="BB373" s="2720">
        <f t="shared" si="216"/>
        <v>0</v>
      </c>
      <c r="BC373" s="2720">
        <f t="shared" si="217"/>
        <v>0</v>
      </c>
      <c r="BD373" s="2720">
        <f t="shared" si="218"/>
        <v>0</v>
      </c>
      <c r="BE373" s="2720">
        <f t="shared" si="219"/>
        <v>0</v>
      </c>
      <c r="BF373" s="2720">
        <f t="shared" si="220"/>
        <v>0</v>
      </c>
      <c r="BG373" s="2720">
        <f t="shared" si="221"/>
        <v>0</v>
      </c>
      <c r="BH373" s="2720">
        <f t="shared" si="222"/>
        <v>0</v>
      </c>
      <c r="BI373" s="2720">
        <f t="shared" si="223"/>
        <v>0</v>
      </c>
      <c r="BJ373" s="2720">
        <f t="shared" si="224"/>
        <v>0</v>
      </c>
      <c r="BK373" s="2720">
        <f t="shared" si="225"/>
        <v>0</v>
      </c>
      <c r="BL373" s="2720">
        <f t="shared" si="226"/>
        <v>0</v>
      </c>
      <c r="BM373" s="2720">
        <f t="shared" si="227"/>
        <v>0</v>
      </c>
      <c r="BN373" s="2720">
        <f t="shared" si="228"/>
        <v>0</v>
      </c>
      <c r="BO373" s="2720">
        <f t="shared" si="229"/>
        <v>0</v>
      </c>
      <c r="BP373" s="2720">
        <f t="shared" si="230"/>
        <v>0</v>
      </c>
      <c r="BQ373" s="2720">
        <f t="shared" si="231"/>
        <v>0</v>
      </c>
      <c r="BR373" s="2720">
        <f t="shared" si="232"/>
        <v>0</v>
      </c>
      <c r="BS373" s="2720">
        <f t="shared" si="233"/>
        <v>0</v>
      </c>
      <c r="BT373" s="2772">
        <f t="shared" si="234"/>
        <v>0</v>
      </c>
    </row>
    <row r="374" spans="1:72">
      <c r="A374" s="2717"/>
      <c r="B374" s="2718"/>
      <c r="C374" s="2718"/>
      <c r="D374" s="2719"/>
      <c r="E374" s="2720">
        <f t="shared" si="235"/>
        <v>0</v>
      </c>
      <c r="F374" s="2721"/>
      <c r="G374" s="2722">
        <f t="shared" si="210"/>
        <v>0</v>
      </c>
      <c r="H374" s="2723">
        <f t="shared" si="211"/>
        <v>0</v>
      </c>
      <c r="I374" s="2730"/>
      <c r="J374" s="2730"/>
      <c r="K374" s="2730"/>
      <c r="L374" s="2730"/>
      <c r="M374" s="2730"/>
      <c r="N374" s="2730"/>
      <c r="O374" s="2730"/>
      <c r="P374" s="2730"/>
      <c r="Q374" s="2730"/>
      <c r="R374" s="2730"/>
      <c r="S374" s="2730"/>
      <c r="T374" s="2730"/>
      <c r="U374" s="2730"/>
      <c r="V374" s="2730"/>
      <c r="W374" s="2730"/>
      <c r="X374" s="2730"/>
      <c r="Y374" s="2730"/>
      <c r="Z374" s="2730"/>
      <c r="AA374" s="2730"/>
      <c r="AB374" s="2730"/>
      <c r="AC374" s="2720">
        <f t="shared" si="212"/>
        <v>0</v>
      </c>
      <c r="AD374" s="2740"/>
      <c r="AE374" s="2740"/>
      <c r="AF374" s="2740"/>
      <c r="AG374" s="2740"/>
      <c r="AH374" s="2740"/>
      <c r="AI374" s="2740"/>
      <c r="AJ374" s="2740"/>
      <c r="AK374" s="2740"/>
      <c r="AL374" s="2740"/>
      <c r="AM374" s="2740"/>
      <c r="AN374" s="2740"/>
      <c r="AO374" s="2740"/>
      <c r="AP374" s="2740"/>
      <c r="AQ374" s="2740"/>
      <c r="AR374" s="2740"/>
      <c r="AS374" s="2740"/>
      <c r="AT374" s="2750"/>
      <c r="AU374" s="2751"/>
      <c r="AV374" s="1092">
        <f t="shared" si="236"/>
        <v>0</v>
      </c>
      <c r="AW374" s="1092">
        <f t="shared" si="237"/>
        <v>0</v>
      </c>
      <c r="AX374" s="1092">
        <f t="shared" si="238"/>
        <v>0</v>
      </c>
      <c r="AY374" s="2765">
        <f t="shared" si="213"/>
        <v>0</v>
      </c>
      <c r="AZ374" s="2720">
        <f t="shared" si="214"/>
        <v>0</v>
      </c>
      <c r="BA374" s="2720">
        <f t="shared" si="215"/>
        <v>0</v>
      </c>
      <c r="BB374" s="2720">
        <f t="shared" si="216"/>
        <v>0</v>
      </c>
      <c r="BC374" s="2720">
        <f t="shared" si="217"/>
        <v>0</v>
      </c>
      <c r="BD374" s="2720">
        <f t="shared" si="218"/>
        <v>0</v>
      </c>
      <c r="BE374" s="2720">
        <f t="shared" si="219"/>
        <v>0</v>
      </c>
      <c r="BF374" s="2720">
        <f t="shared" si="220"/>
        <v>0</v>
      </c>
      <c r="BG374" s="2720">
        <f t="shared" si="221"/>
        <v>0</v>
      </c>
      <c r="BH374" s="2720">
        <f t="shared" si="222"/>
        <v>0</v>
      </c>
      <c r="BI374" s="2720">
        <f t="shared" si="223"/>
        <v>0</v>
      </c>
      <c r="BJ374" s="2720">
        <f t="shared" si="224"/>
        <v>0</v>
      </c>
      <c r="BK374" s="2720">
        <f t="shared" si="225"/>
        <v>0</v>
      </c>
      <c r="BL374" s="2720">
        <f t="shared" si="226"/>
        <v>0</v>
      </c>
      <c r="BM374" s="2720">
        <f t="shared" si="227"/>
        <v>0</v>
      </c>
      <c r="BN374" s="2720">
        <f t="shared" si="228"/>
        <v>0</v>
      </c>
      <c r="BO374" s="2720">
        <f t="shared" si="229"/>
        <v>0</v>
      </c>
      <c r="BP374" s="2720">
        <f t="shared" si="230"/>
        <v>0</v>
      </c>
      <c r="BQ374" s="2720">
        <f t="shared" si="231"/>
        <v>0</v>
      </c>
      <c r="BR374" s="2720">
        <f t="shared" si="232"/>
        <v>0</v>
      </c>
      <c r="BS374" s="2720">
        <f t="shared" si="233"/>
        <v>0</v>
      </c>
      <c r="BT374" s="2772">
        <f t="shared" si="234"/>
        <v>0</v>
      </c>
    </row>
    <row r="375" spans="1:72">
      <c r="A375" s="2717"/>
      <c r="B375" s="2718"/>
      <c r="C375" s="2718"/>
      <c r="D375" s="2719"/>
      <c r="E375" s="2720">
        <f t="shared" si="235"/>
        <v>0</v>
      </c>
      <c r="F375" s="2721"/>
      <c r="G375" s="2722">
        <f t="shared" si="210"/>
        <v>0</v>
      </c>
      <c r="H375" s="2723">
        <f t="shared" si="211"/>
        <v>0</v>
      </c>
      <c r="I375" s="2730"/>
      <c r="J375" s="2730"/>
      <c r="K375" s="2730"/>
      <c r="L375" s="2730"/>
      <c r="M375" s="2730"/>
      <c r="N375" s="2730"/>
      <c r="O375" s="2730"/>
      <c r="P375" s="2730"/>
      <c r="Q375" s="2730"/>
      <c r="R375" s="2730"/>
      <c r="S375" s="2730"/>
      <c r="T375" s="2730"/>
      <c r="U375" s="2730"/>
      <c r="V375" s="2730"/>
      <c r="W375" s="2730"/>
      <c r="X375" s="2730"/>
      <c r="Y375" s="2730"/>
      <c r="Z375" s="2730"/>
      <c r="AA375" s="2730"/>
      <c r="AB375" s="2730"/>
      <c r="AC375" s="2720">
        <f t="shared" si="212"/>
        <v>0</v>
      </c>
      <c r="AD375" s="2740"/>
      <c r="AE375" s="2740"/>
      <c r="AF375" s="2740"/>
      <c r="AG375" s="2740"/>
      <c r="AH375" s="2740"/>
      <c r="AI375" s="2740"/>
      <c r="AJ375" s="2740"/>
      <c r="AK375" s="2740"/>
      <c r="AL375" s="2740"/>
      <c r="AM375" s="2740"/>
      <c r="AN375" s="2740"/>
      <c r="AO375" s="2740"/>
      <c r="AP375" s="2740"/>
      <c r="AQ375" s="2740"/>
      <c r="AR375" s="2740"/>
      <c r="AS375" s="2740"/>
      <c r="AT375" s="2750"/>
      <c r="AU375" s="2751"/>
      <c r="AV375" s="1092">
        <f t="shared" si="236"/>
        <v>0</v>
      </c>
      <c r="AW375" s="1092">
        <f t="shared" si="237"/>
        <v>0</v>
      </c>
      <c r="AX375" s="1092">
        <f t="shared" si="238"/>
        <v>0</v>
      </c>
      <c r="AY375" s="2765">
        <f t="shared" si="213"/>
        <v>0</v>
      </c>
      <c r="AZ375" s="2720">
        <f t="shared" si="214"/>
        <v>0</v>
      </c>
      <c r="BA375" s="2720">
        <f t="shared" si="215"/>
        <v>0</v>
      </c>
      <c r="BB375" s="2720">
        <f t="shared" si="216"/>
        <v>0</v>
      </c>
      <c r="BC375" s="2720">
        <f t="shared" si="217"/>
        <v>0</v>
      </c>
      <c r="BD375" s="2720">
        <f t="shared" si="218"/>
        <v>0</v>
      </c>
      <c r="BE375" s="2720">
        <f t="shared" si="219"/>
        <v>0</v>
      </c>
      <c r="BF375" s="2720">
        <f t="shared" si="220"/>
        <v>0</v>
      </c>
      <c r="BG375" s="2720">
        <f t="shared" si="221"/>
        <v>0</v>
      </c>
      <c r="BH375" s="2720">
        <f t="shared" si="222"/>
        <v>0</v>
      </c>
      <c r="BI375" s="2720">
        <f t="shared" si="223"/>
        <v>0</v>
      </c>
      <c r="BJ375" s="2720">
        <f t="shared" si="224"/>
        <v>0</v>
      </c>
      <c r="BK375" s="2720">
        <f t="shared" si="225"/>
        <v>0</v>
      </c>
      <c r="BL375" s="2720">
        <f t="shared" si="226"/>
        <v>0</v>
      </c>
      <c r="BM375" s="2720">
        <f t="shared" si="227"/>
        <v>0</v>
      </c>
      <c r="BN375" s="2720">
        <f t="shared" si="228"/>
        <v>0</v>
      </c>
      <c r="BO375" s="2720">
        <f t="shared" si="229"/>
        <v>0</v>
      </c>
      <c r="BP375" s="2720">
        <f t="shared" si="230"/>
        <v>0</v>
      </c>
      <c r="BQ375" s="2720">
        <f t="shared" si="231"/>
        <v>0</v>
      </c>
      <c r="BR375" s="2720">
        <f t="shared" si="232"/>
        <v>0</v>
      </c>
      <c r="BS375" s="2720">
        <f t="shared" si="233"/>
        <v>0</v>
      </c>
      <c r="BT375" s="2772">
        <f t="shared" si="234"/>
        <v>0</v>
      </c>
    </row>
    <row r="376" spans="1:72">
      <c r="A376" s="2717"/>
      <c r="B376" s="2718"/>
      <c r="C376" s="2718"/>
      <c r="D376" s="2719"/>
      <c r="E376" s="2720">
        <f t="shared" si="235"/>
        <v>0</v>
      </c>
      <c r="F376" s="2721"/>
      <c r="G376" s="2722">
        <f t="shared" si="210"/>
        <v>0</v>
      </c>
      <c r="H376" s="2723">
        <f t="shared" si="211"/>
        <v>0</v>
      </c>
      <c r="I376" s="2730"/>
      <c r="J376" s="2730"/>
      <c r="K376" s="2730"/>
      <c r="L376" s="2730"/>
      <c r="M376" s="2730"/>
      <c r="N376" s="2730"/>
      <c r="O376" s="2730"/>
      <c r="P376" s="2730"/>
      <c r="Q376" s="2730"/>
      <c r="R376" s="2730"/>
      <c r="S376" s="2730"/>
      <c r="T376" s="2730"/>
      <c r="U376" s="2730"/>
      <c r="V376" s="2730"/>
      <c r="W376" s="2730"/>
      <c r="X376" s="2730"/>
      <c r="Y376" s="2730"/>
      <c r="Z376" s="2730"/>
      <c r="AA376" s="2730"/>
      <c r="AB376" s="2730"/>
      <c r="AC376" s="2720">
        <f t="shared" si="212"/>
        <v>0</v>
      </c>
      <c r="AD376" s="2740"/>
      <c r="AE376" s="2740"/>
      <c r="AF376" s="2740"/>
      <c r="AG376" s="2740"/>
      <c r="AH376" s="2740"/>
      <c r="AI376" s="2740"/>
      <c r="AJ376" s="2740"/>
      <c r="AK376" s="2740"/>
      <c r="AL376" s="2740"/>
      <c r="AM376" s="2740"/>
      <c r="AN376" s="2740"/>
      <c r="AO376" s="2740"/>
      <c r="AP376" s="2740"/>
      <c r="AQ376" s="2740"/>
      <c r="AR376" s="2740"/>
      <c r="AS376" s="2740"/>
      <c r="AT376" s="2750"/>
      <c r="AU376" s="2751"/>
      <c r="AV376" s="1092">
        <f t="shared" si="236"/>
        <v>0</v>
      </c>
      <c r="AW376" s="1092">
        <f t="shared" si="237"/>
        <v>0</v>
      </c>
      <c r="AX376" s="1092">
        <f t="shared" si="238"/>
        <v>0</v>
      </c>
      <c r="AY376" s="2765">
        <f t="shared" si="213"/>
        <v>0</v>
      </c>
      <c r="AZ376" s="2720">
        <f t="shared" si="214"/>
        <v>0</v>
      </c>
      <c r="BA376" s="2720">
        <f t="shared" si="215"/>
        <v>0</v>
      </c>
      <c r="BB376" s="2720">
        <f t="shared" si="216"/>
        <v>0</v>
      </c>
      <c r="BC376" s="2720">
        <f t="shared" si="217"/>
        <v>0</v>
      </c>
      <c r="BD376" s="2720">
        <f t="shared" si="218"/>
        <v>0</v>
      </c>
      <c r="BE376" s="2720">
        <f t="shared" si="219"/>
        <v>0</v>
      </c>
      <c r="BF376" s="2720">
        <f t="shared" si="220"/>
        <v>0</v>
      </c>
      <c r="BG376" s="2720">
        <f t="shared" si="221"/>
        <v>0</v>
      </c>
      <c r="BH376" s="2720">
        <f t="shared" si="222"/>
        <v>0</v>
      </c>
      <c r="BI376" s="2720">
        <f t="shared" si="223"/>
        <v>0</v>
      </c>
      <c r="BJ376" s="2720">
        <f t="shared" si="224"/>
        <v>0</v>
      </c>
      <c r="BK376" s="2720">
        <f t="shared" si="225"/>
        <v>0</v>
      </c>
      <c r="BL376" s="2720">
        <f t="shared" si="226"/>
        <v>0</v>
      </c>
      <c r="BM376" s="2720">
        <f t="shared" si="227"/>
        <v>0</v>
      </c>
      <c r="BN376" s="2720">
        <f t="shared" si="228"/>
        <v>0</v>
      </c>
      <c r="BO376" s="2720">
        <f t="shared" si="229"/>
        <v>0</v>
      </c>
      <c r="BP376" s="2720">
        <f t="shared" si="230"/>
        <v>0</v>
      </c>
      <c r="BQ376" s="2720">
        <f t="shared" si="231"/>
        <v>0</v>
      </c>
      <c r="BR376" s="2720">
        <f t="shared" si="232"/>
        <v>0</v>
      </c>
      <c r="BS376" s="2720">
        <f t="shared" si="233"/>
        <v>0</v>
      </c>
      <c r="BT376" s="2772">
        <f t="shared" si="234"/>
        <v>0</v>
      </c>
    </row>
    <row r="377" spans="1:72">
      <c r="A377" s="2717"/>
      <c r="B377" s="2718"/>
      <c r="C377" s="2718"/>
      <c r="D377" s="2719"/>
      <c r="E377" s="2720">
        <f t="shared" si="235"/>
        <v>0</v>
      </c>
      <c r="F377" s="2721"/>
      <c r="G377" s="2722">
        <f t="shared" si="210"/>
        <v>0</v>
      </c>
      <c r="H377" s="2723">
        <f t="shared" si="211"/>
        <v>0</v>
      </c>
      <c r="I377" s="2730"/>
      <c r="J377" s="2730"/>
      <c r="K377" s="2730"/>
      <c r="L377" s="2730"/>
      <c r="M377" s="2730"/>
      <c r="N377" s="2730"/>
      <c r="O377" s="2730"/>
      <c r="P377" s="2730"/>
      <c r="Q377" s="2730"/>
      <c r="R377" s="2730"/>
      <c r="S377" s="2730"/>
      <c r="T377" s="2730"/>
      <c r="U377" s="2730"/>
      <c r="V377" s="2730"/>
      <c r="W377" s="2730"/>
      <c r="X377" s="2730"/>
      <c r="Y377" s="2730"/>
      <c r="Z377" s="2730"/>
      <c r="AA377" s="2730"/>
      <c r="AB377" s="2730"/>
      <c r="AC377" s="2720">
        <f t="shared" si="212"/>
        <v>0</v>
      </c>
      <c r="AD377" s="2740"/>
      <c r="AE377" s="2740"/>
      <c r="AF377" s="2740"/>
      <c r="AG377" s="2740"/>
      <c r="AH377" s="2740"/>
      <c r="AI377" s="2740"/>
      <c r="AJ377" s="2740"/>
      <c r="AK377" s="2740"/>
      <c r="AL377" s="2740"/>
      <c r="AM377" s="2740"/>
      <c r="AN377" s="2740"/>
      <c r="AO377" s="2740"/>
      <c r="AP377" s="2740"/>
      <c r="AQ377" s="2740"/>
      <c r="AR377" s="2740"/>
      <c r="AS377" s="2740"/>
      <c r="AT377" s="2750"/>
      <c r="AU377" s="2751"/>
      <c r="AV377" s="1092">
        <f t="shared" si="236"/>
        <v>0</v>
      </c>
      <c r="AW377" s="1092">
        <f t="shared" si="237"/>
        <v>0</v>
      </c>
      <c r="AX377" s="1092">
        <f t="shared" si="238"/>
        <v>0</v>
      </c>
      <c r="AY377" s="2765">
        <f t="shared" si="213"/>
        <v>0</v>
      </c>
      <c r="AZ377" s="2720">
        <f t="shared" si="214"/>
        <v>0</v>
      </c>
      <c r="BA377" s="2720">
        <f t="shared" si="215"/>
        <v>0</v>
      </c>
      <c r="BB377" s="2720">
        <f t="shared" si="216"/>
        <v>0</v>
      </c>
      <c r="BC377" s="2720">
        <f t="shared" si="217"/>
        <v>0</v>
      </c>
      <c r="BD377" s="2720">
        <f t="shared" si="218"/>
        <v>0</v>
      </c>
      <c r="BE377" s="2720">
        <f t="shared" si="219"/>
        <v>0</v>
      </c>
      <c r="BF377" s="2720">
        <f t="shared" si="220"/>
        <v>0</v>
      </c>
      <c r="BG377" s="2720">
        <f t="shared" si="221"/>
        <v>0</v>
      </c>
      <c r="BH377" s="2720">
        <f t="shared" si="222"/>
        <v>0</v>
      </c>
      <c r="BI377" s="2720">
        <f t="shared" si="223"/>
        <v>0</v>
      </c>
      <c r="BJ377" s="2720">
        <f t="shared" si="224"/>
        <v>0</v>
      </c>
      <c r="BK377" s="2720">
        <f t="shared" si="225"/>
        <v>0</v>
      </c>
      <c r="BL377" s="2720">
        <f t="shared" si="226"/>
        <v>0</v>
      </c>
      <c r="BM377" s="2720">
        <f t="shared" si="227"/>
        <v>0</v>
      </c>
      <c r="BN377" s="2720">
        <f t="shared" si="228"/>
        <v>0</v>
      </c>
      <c r="BO377" s="2720">
        <f t="shared" si="229"/>
        <v>0</v>
      </c>
      <c r="BP377" s="2720">
        <f t="shared" si="230"/>
        <v>0</v>
      </c>
      <c r="BQ377" s="2720">
        <f t="shared" si="231"/>
        <v>0</v>
      </c>
      <c r="BR377" s="2720">
        <f t="shared" si="232"/>
        <v>0</v>
      </c>
      <c r="BS377" s="2720">
        <f t="shared" si="233"/>
        <v>0</v>
      </c>
      <c r="BT377" s="2772">
        <f t="shared" si="234"/>
        <v>0</v>
      </c>
    </row>
    <row r="378" spans="1:72">
      <c r="A378" s="2717"/>
      <c r="B378" s="2718"/>
      <c r="C378" s="2718"/>
      <c r="D378" s="2719"/>
      <c r="E378" s="2720">
        <f t="shared" si="235"/>
        <v>0</v>
      </c>
      <c r="F378" s="2721"/>
      <c r="G378" s="2722">
        <f t="shared" si="210"/>
        <v>0</v>
      </c>
      <c r="H378" s="2723">
        <f t="shared" si="211"/>
        <v>0</v>
      </c>
      <c r="I378" s="2730"/>
      <c r="J378" s="2730"/>
      <c r="K378" s="2730"/>
      <c r="L378" s="2730"/>
      <c r="M378" s="2730"/>
      <c r="N378" s="2730"/>
      <c r="O378" s="2730"/>
      <c r="P378" s="2730"/>
      <c r="Q378" s="2730"/>
      <c r="R378" s="2730"/>
      <c r="S378" s="2730"/>
      <c r="T378" s="2730"/>
      <c r="U378" s="2730"/>
      <c r="V378" s="2730"/>
      <c r="W378" s="2730"/>
      <c r="X378" s="2730"/>
      <c r="Y378" s="2730"/>
      <c r="Z378" s="2730"/>
      <c r="AA378" s="2730"/>
      <c r="AB378" s="2730"/>
      <c r="AC378" s="2720">
        <f t="shared" si="212"/>
        <v>0</v>
      </c>
      <c r="AD378" s="2740"/>
      <c r="AE378" s="2740"/>
      <c r="AF378" s="2740"/>
      <c r="AG378" s="2740"/>
      <c r="AH378" s="2740"/>
      <c r="AI378" s="2740"/>
      <c r="AJ378" s="2740"/>
      <c r="AK378" s="2740"/>
      <c r="AL378" s="2740"/>
      <c r="AM378" s="2740"/>
      <c r="AN378" s="2740"/>
      <c r="AO378" s="2740"/>
      <c r="AP378" s="2740"/>
      <c r="AQ378" s="2740"/>
      <c r="AR378" s="2740"/>
      <c r="AS378" s="2740"/>
      <c r="AT378" s="2750"/>
      <c r="AU378" s="2751"/>
      <c r="AV378" s="1092">
        <f t="shared" si="236"/>
        <v>0</v>
      </c>
      <c r="AW378" s="1092">
        <f t="shared" si="237"/>
        <v>0</v>
      </c>
      <c r="AX378" s="1092">
        <f t="shared" si="238"/>
        <v>0</v>
      </c>
      <c r="AY378" s="2765">
        <f t="shared" si="213"/>
        <v>0</v>
      </c>
      <c r="AZ378" s="2720">
        <f t="shared" si="214"/>
        <v>0</v>
      </c>
      <c r="BA378" s="2720">
        <f t="shared" si="215"/>
        <v>0</v>
      </c>
      <c r="BB378" s="2720">
        <f t="shared" si="216"/>
        <v>0</v>
      </c>
      <c r="BC378" s="2720">
        <f t="shared" si="217"/>
        <v>0</v>
      </c>
      <c r="BD378" s="2720">
        <f t="shared" si="218"/>
        <v>0</v>
      </c>
      <c r="BE378" s="2720">
        <f t="shared" si="219"/>
        <v>0</v>
      </c>
      <c r="BF378" s="2720">
        <f t="shared" si="220"/>
        <v>0</v>
      </c>
      <c r="BG378" s="2720">
        <f t="shared" si="221"/>
        <v>0</v>
      </c>
      <c r="BH378" s="2720">
        <f t="shared" si="222"/>
        <v>0</v>
      </c>
      <c r="BI378" s="2720">
        <f t="shared" si="223"/>
        <v>0</v>
      </c>
      <c r="BJ378" s="2720">
        <f t="shared" si="224"/>
        <v>0</v>
      </c>
      <c r="BK378" s="2720">
        <f t="shared" si="225"/>
        <v>0</v>
      </c>
      <c r="BL378" s="2720">
        <f t="shared" si="226"/>
        <v>0</v>
      </c>
      <c r="BM378" s="2720">
        <f t="shared" si="227"/>
        <v>0</v>
      </c>
      <c r="BN378" s="2720">
        <f t="shared" si="228"/>
        <v>0</v>
      </c>
      <c r="BO378" s="2720">
        <f t="shared" si="229"/>
        <v>0</v>
      </c>
      <c r="BP378" s="2720">
        <f t="shared" si="230"/>
        <v>0</v>
      </c>
      <c r="BQ378" s="2720">
        <f t="shared" si="231"/>
        <v>0</v>
      </c>
      <c r="BR378" s="2720">
        <f t="shared" si="232"/>
        <v>0</v>
      </c>
      <c r="BS378" s="2720">
        <f t="shared" si="233"/>
        <v>0</v>
      </c>
      <c r="BT378" s="2772">
        <f t="shared" si="234"/>
        <v>0</v>
      </c>
    </row>
    <row r="379" spans="1:72">
      <c r="A379" s="2717"/>
      <c r="B379" s="2718"/>
      <c r="C379" s="2718"/>
      <c r="D379" s="2719"/>
      <c r="E379" s="2720">
        <f t="shared" si="235"/>
        <v>0</v>
      </c>
      <c r="F379" s="2721"/>
      <c r="G379" s="2722">
        <f t="shared" si="210"/>
        <v>0</v>
      </c>
      <c r="H379" s="2723">
        <f t="shared" si="211"/>
        <v>0</v>
      </c>
      <c r="I379" s="2730"/>
      <c r="J379" s="2730"/>
      <c r="K379" s="2730"/>
      <c r="L379" s="2730"/>
      <c r="M379" s="2730"/>
      <c r="N379" s="2730"/>
      <c r="O379" s="2730"/>
      <c r="P379" s="2730"/>
      <c r="Q379" s="2730"/>
      <c r="R379" s="2730"/>
      <c r="S379" s="2730"/>
      <c r="T379" s="2730"/>
      <c r="U379" s="2730"/>
      <c r="V379" s="2730"/>
      <c r="W379" s="2730"/>
      <c r="X379" s="2730"/>
      <c r="Y379" s="2730"/>
      <c r="Z379" s="2730"/>
      <c r="AA379" s="2730"/>
      <c r="AB379" s="2730"/>
      <c r="AC379" s="2720">
        <f t="shared" si="212"/>
        <v>0</v>
      </c>
      <c r="AD379" s="2740"/>
      <c r="AE379" s="2740"/>
      <c r="AF379" s="2740"/>
      <c r="AG379" s="2740"/>
      <c r="AH379" s="2740"/>
      <c r="AI379" s="2740"/>
      <c r="AJ379" s="2740"/>
      <c r="AK379" s="2740"/>
      <c r="AL379" s="2740"/>
      <c r="AM379" s="2740"/>
      <c r="AN379" s="2740"/>
      <c r="AO379" s="2740"/>
      <c r="AP379" s="2740"/>
      <c r="AQ379" s="2740"/>
      <c r="AR379" s="2740"/>
      <c r="AS379" s="2740"/>
      <c r="AT379" s="2750"/>
      <c r="AU379" s="2751"/>
      <c r="AV379" s="1092">
        <f t="shared" si="236"/>
        <v>0</v>
      </c>
      <c r="AW379" s="1092">
        <f t="shared" si="237"/>
        <v>0</v>
      </c>
      <c r="AX379" s="1092">
        <f t="shared" si="238"/>
        <v>0</v>
      </c>
      <c r="AY379" s="2765">
        <f t="shared" si="213"/>
        <v>0</v>
      </c>
      <c r="AZ379" s="2720">
        <f t="shared" si="214"/>
        <v>0</v>
      </c>
      <c r="BA379" s="2720">
        <f t="shared" si="215"/>
        <v>0</v>
      </c>
      <c r="BB379" s="2720">
        <f t="shared" si="216"/>
        <v>0</v>
      </c>
      <c r="BC379" s="2720">
        <f t="shared" si="217"/>
        <v>0</v>
      </c>
      <c r="BD379" s="2720">
        <f t="shared" si="218"/>
        <v>0</v>
      </c>
      <c r="BE379" s="2720">
        <f t="shared" si="219"/>
        <v>0</v>
      </c>
      <c r="BF379" s="2720">
        <f t="shared" si="220"/>
        <v>0</v>
      </c>
      <c r="BG379" s="2720">
        <f t="shared" si="221"/>
        <v>0</v>
      </c>
      <c r="BH379" s="2720">
        <f t="shared" si="222"/>
        <v>0</v>
      </c>
      <c r="BI379" s="2720">
        <f t="shared" si="223"/>
        <v>0</v>
      </c>
      <c r="BJ379" s="2720">
        <f t="shared" si="224"/>
        <v>0</v>
      </c>
      <c r="BK379" s="2720">
        <f t="shared" si="225"/>
        <v>0</v>
      </c>
      <c r="BL379" s="2720">
        <f t="shared" si="226"/>
        <v>0</v>
      </c>
      <c r="BM379" s="2720">
        <f t="shared" si="227"/>
        <v>0</v>
      </c>
      <c r="BN379" s="2720">
        <f t="shared" si="228"/>
        <v>0</v>
      </c>
      <c r="BO379" s="2720">
        <f t="shared" si="229"/>
        <v>0</v>
      </c>
      <c r="BP379" s="2720">
        <f t="shared" si="230"/>
        <v>0</v>
      </c>
      <c r="BQ379" s="2720">
        <f t="shared" si="231"/>
        <v>0</v>
      </c>
      <c r="BR379" s="2720">
        <f t="shared" si="232"/>
        <v>0</v>
      </c>
      <c r="BS379" s="2720">
        <f t="shared" si="233"/>
        <v>0</v>
      </c>
      <c r="BT379" s="2772">
        <f t="shared" si="234"/>
        <v>0</v>
      </c>
    </row>
    <row r="380" spans="1:72">
      <c r="A380" s="2717"/>
      <c r="B380" s="2718"/>
      <c r="C380" s="2718"/>
      <c r="D380" s="2719"/>
      <c r="E380" s="2720">
        <f t="shared" si="235"/>
        <v>0</v>
      </c>
      <c r="F380" s="2721"/>
      <c r="G380" s="2722">
        <f t="shared" si="210"/>
        <v>0</v>
      </c>
      <c r="H380" s="2723">
        <f t="shared" si="211"/>
        <v>0</v>
      </c>
      <c r="I380" s="2730"/>
      <c r="J380" s="2730"/>
      <c r="K380" s="2730"/>
      <c r="L380" s="2730"/>
      <c r="M380" s="2730"/>
      <c r="N380" s="2730"/>
      <c r="O380" s="2730"/>
      <c r="P380" s="2730"/>
      <c r="Q380" s="2730"/>
      <c r="R380" s="2730"/>
      <c r="S380" s="2730"/>
      <c r="T380" s="2730"/>
      <c r="U380" s="2730"/>
      <c r="V380" s="2730"/>
      <c r="W380" s="2730"/>
      <c r="X380" s="2730"/>
      <c r="Y380" s="2730"/>
      <c r="Z380" s="2730"/>
      <c r="AA380" s="2730"/>
      <c r="AB380" s="2730"/>
      <c r="AC380" s="2720">
        <f t="shared" si="212"/>
        <v>0</v>
      </c>
      <c r="AD380" s="2740"/>
      <c r="AE380" s="2740"/>
      <c r="AF380" s="2740"/>
      <c r="AG380" s="2740"/>
      <c r="AH380" s="2740"/>
      <c r="AI380" s="2740"/>
      <c r="AJ380" s="2740"/>
      <c r="AK380" s="2740"/>
      <c r="AL380" s="2740"/>
      <c r="AM380" s="2740"/>
      <c r="AN380" s="2740"/>
      <c r="AO380" s="2740"/>
      <c r="AP380" s="2740"/>
      <c r="AQ380" s="2740"/>
      <c r="AR380" s="2740"/>
      <c r="AS380" s="2740"/>
      <c r="AT380" s="2750"/>
      <c r="AU380" s="2751"/>
      <c r="AV380" s="1092">
        <f t="shared" si="236"/>
        <v>0</v>
      </c>
      <c r="AW380" s="1092">
        <f t="shared" si="237"/>
        <v>0</v>
      </c>
      <c r="AX380" s="1092">
        <f t="shared" si="238"/>
        <v>0</v>
      </c>
      <c r="AY380" s="2765">
        <f t="shared" si="213"/>
        <v>0</v>
      </c>
      <c r="AZ380" s="2720">
        <f t="shared" si="214"/>
        <v>0</v>
      </c>
      <c r="BA380" s="2720">
        <f t="shared" si="215"/>
        <v>0</v>
      </c>
      <c r="BB380" s="2720">
        <f t="shared" si="216"/>
        <v>0</v>
      </c>
      <c r="BC380" s="2720">
        <f t="shared" si="217"/>
        <v>0</v>
      </c>
      <c r="BD380" s="2720">
        <f t="shared" si="218"/>
        <v>0</v>
      </c>
      <c r="BE380" s="2720">
        <f t="shared" si="219"/>
        <v>0</v>
      </c>
      <c r="BF380" s="2720">
        <f t="shared" si="220"/>
        <v>0</v>
      </c>
      <c r="BG380" s="2720">
        <f t="shared" si="221"/>
        <v>0</v>
      </c>
      <c r="BH380" s="2720">
        <f t="shared" si="222"/>
        <v>0</v>
      </c>
      <c r="BI380" s="2720">
        <f t="shared" si="223"/>
        <v>0</v>
      </c>
      <c r="BJ380" s="2720">
        <f t="shared" si="224"/>
        <v>0</v>
      </c>
      <c r="BK380" s="2720">
        <f t="shared" si="225"/>
        <v>0</v>
      </c>
      <c r="BL380" s="2720">
        <f t="shared" si="226"/>
        <v>0</v>
      </c>
      <c r="BM380" s="2720">
        <f t="shared" si="227"/>
        <v>0</v>
      </c>
      <c r="BN380" s="2720">
        <f t="shared" si="228"/>
        <v>0</v>
      </c>
      <c r="BO380" s="2720">
        <f t="shared" si="229"/>
        <v>0</v>
      </c>
      <c r="BP380" s="2720">
        <f t="shared" si="230"/>
        <v>0</v>
      </c>
      <c r="BQ380" s="2720">
        <f t="shared" si="231"/>
        <v>0</v>
      </c>
      <c r="BR380" s="2720">
        <f t="shared" si="232"/>
        <v>0</v>
      </c>
      <c r="BS380" s="2720">
        <f t="shared" si="233"/>
        <v>0</v>
      </c>
      <c r="BT380" s="2772">
        <f t="shared" si="234"/>
        <v>0</v>
      </c>
    </row>
    <row r="381" spans="1:72">
      <c r="A381" s="2717"/>
      <c r="B381" s="2718"/>
      <c r="C381" s="2718"/>
      <c r="D381" s="2719"/>
      <c r="E381" s="2720">
        <f t="shared" si="235"/>
        <v>0</v>
      </c>
      <c r="F381" s="2721"/>
      <c r="G381" s="2722">
        <f t="shared" si="210"/>
        <v>0</v>
      </c>
      <c r="H381" s="2723">
        <f t="shared" si="211"/>
        <v>0</v>
      </c>
      <c r="I381" s="2730"/>
      <c r="J381" s="2730"/>
      <c r="K381" s="2730"/>
      <c r="L381" s="2730"/>
      <c r="M381" s="2730"/>
      <c r="N381" s="2730"/>
      <c r="O381" s="2730"/>
      <c r="P381" s="2730"/>
      <c r="Q381" s="2730"/>
      <c r="R381" s="2730"/>
      <c r="S381" s="2730"/>
      <c r="T381" s="2730"/>
      <c r="U381" s="2730"/>
      <c r="V381" s="2730"/>
      <c r="W381" s="2730"/>
      <c r="X381" s="2730"/>
      <c r="Y381" s="2730"/>
      <c r="Z381" s="2730"/>
      <c r="AA381" s="2730"/>
      <c r="AB381" s="2730"/>
      <c r="AC381" s="2720">
        <f t="shared" si="212"/>
        <v>0</v>
      </c>
      <c r="AD381" s="2740"/>
      <c r="AE381" s="2740"/>
      <c r="AF381" s="2740"/>
      <c r="AG381" s="2740"/>
      <c r="AH381" s="2740"/>
      <c r="AI381" s="2740"/>
      <c r="AJ381" s="2740"/>
      <c r="AK381" s="2740"/>
      <c r="AL381" s="2740"/>
      <c r="AM381" s="2740"/>
      <c r="AN381" s="2740"/>
      <c r="AO381" s="2740"/>
      <c r="AP381" s="2740"/>
      <c r="AQ381" s="2740"/>
      <c r="AR381" s="2740"/>
      <c r="AS381" s="2740"/>
      <c r="AT381" s="2750"/>
      <c r="AU381" s="2751"/>
      <c r="AV381" s="1092">
        <f t="shared" si="236"/>
        <v>0</v>
      </c>
      <c r="AW381" s="1092">
        <f t="shared" si="237"/>
        <v>0</v>
      </c>
      <c r="AX381" s="1092">
        <f t="shared" si="238"/>
        <v>0</v>
      </c>
      <c r="AY381" s="2765">
        <f t="shared" si="213"/>
        <v>0</v>
      </c>
      <c r="AZ381" s="2720">
        <f t="shared" si="214"/>
        <v>0</v>
      </c>
      <c r="BA381" s="2720">
        <f t="shared" si="215"/>
        <v>0</v>
      </c>
      <c r="BB381" s="2720">
        <f t="shared" si="216"/>
        <v>0</v>
      </c>
      <c r="BC381" s="2720">
        <f t="shared" si="217"/>
        <v>0</v>
      </c>
      <c r="BD381" s="2720">
        <f t="shared" si="218"/>
        <v>0</v>
      </c>
      <c r="BE381" s="2720">
        <f t="shared" si="219"/>
        <v>0</v>
      </c>
      <c r="BF381" s="2720">
        <f t="shared" si="220"/>
        <v>0</v>
      </c>
      <c r="BG381" s="2720">
        <f t="shared" si="221"/>
        <v>0</v>
      </c>
      <c r="BH381" s="2720">
        <f t="shared" si="222"/>
        <v>0</v>
      </c>
      <c r="BI381" s="2720">
        <f t="shared" si="223"/>
        <v>0</v>
      </c>
      <c r="BJ381" s="2720">
        <f t="shared" si="224"/>
        <v>0</v>
      </c>
      <c r="BK381" s="2720">
        <f t="shared" si="225"/>
        <v>0</v>
      </c>
      <c r="BL381" s="2720">
        <f t="shared" si="226"/>
        <v>0</v>
      </c>
      <c r="BM381" s="2720">
        <f t="shared" si="227"/>
        <v>0</v>
      </c>
      <c r="BN381" s="2720">
        <f t="shared" si="228"/>
        <v>0</v>
      </c>
      <c r="BO381" s="2720">
        <f t="shared" si="229"/>
        <v>0</v>
      </c>
      <c r="BP381" s="2720">
        <f t="shared" si="230"/>
        <v>0</v>
      </c>
      <c r="BQ381" s="2720">
        <f t="shared" si="231"/>
        <v>0</v>
      </c>
      <c r="BR381" s="2720">
        <f t="shared" si="232"/>
        <v>0</v>
      </c>
      <c r="BS381" s="2720">
        <f t="shared" si="233"/>
        <v>0</v>
      </c>
      <c r="BT381" s="2772">
        <f t="shared" si="234"/>
        <v>0</v>
      </c>
    </row>
    <row r="382" spans="1:72">
      <c r="A382" s="2717"/>
      <c r="B382" s="2718"/>
      <c r="C382" s="2718"/>
      <c r="D382" s="2719"/>
      <c r="E382" s="2720">
        <f t="shared" si="235"/>
        <v>0</v>
      </c>
      <c r="F382" s="2721"/>
      <c r="G382" s="2722">
        <f t="shared" si="210"/>
        <v>0</v>
      </c>
      <c r="H382" s="2723">
        <f t="shared" si="211"/>
        <v>0</v>
      </c>
      <c r="I382" s="2730"/>
      <c r="J382" s="2730"/>
      <c r="K382" s="2730"/>
      <c r="L382" s="2730"/>
      <c r="M382" s="2730"/>
      <c r="N382" s="2730"/>
      <c r="O382" s="2730"/>
      <c r="P382" s="2730"/>
      <c r="Q382" s="2730"/>
      <c r="R382" s="2730"/>
      <c r="S382" s="2730"/>
      <c r="T382" s="2730"/>
      <c r="U382" s="2730"/>
      <c r="V382" s="2730"/>
      <c r="W382" s="2730"/>
      <c r="X382" s="2730"/>
      <c r="Y382" s="2730"/>
      <c r="Z382" s="2730"/>
      <c r="AA382" s="2730"/>
      <c r="AB382" s="2730"/>
      <c r="AC382" s="2720">
        <f t="shared" si="212"/>
        <v>0</v>
      </c>
      <c r="AD382" s="2740"/>
      <c r="AE382" s="2740"/>
      <c r="AF382" s="2740"/>
      <c r="AG382" s="2740"/>
      <c r="AH382" s="2740"/>
      <c r="AI382" s="2740"/>
      <c r="AJ382" s="2740"/>
      <c r="AK382" s="2740"/>
      <c r="AL382" s="2740"/>
      <c r="AM382" s="2740"/>
      <c r="AN382" s="2740"/>
      <c r="AO382" s="2740"/>
      <c r="AP382" s="2740"/>
      <c r="AQ382" s="2740"/>
      <c r="AR382" s="2740"/>
      <c r="AS382" s="2740"/>
      <c r="AT382" s="2750"/>
      <c r="AU382" s="2751"/>
      <c r="AV382" s="1092">
        <f t="shared" si="236"/>
        <v>0</v>
      </c>
      <c r="AW382" s="1092">
        <f t="shared" si="237"/>
        <v>0</v>
      </c>
      <c r="AX382" s="1092">
        <f t="shared" si="238"/>
        <v>0</v>
      </c>
      <c r="AY382" s="2765">
        <f t="shared" si="213"/>
        <v>0</v>
      </c>
      <c r="AZ382" s="2720">
        <f t="shared" si="214"/>
        <v>0</v>
      </c>
      <c r="BA382" s="2720">
        <f t="shared" si="215"/>
        <v>0</v>
      </c>
      <c r="BB382" s="2720">
        <f t="shared" si="216"/>
        <v>0</v>
      </c>
      <c r="BC382" s="2720">
        <f t="shared" si="217"/>
        <v>0</v>
      </c>
      <c r="BD382" s="2720">
        <f t="shared" si="218"/>
        <v>0</v>
      </c>
      <c r="BE382" s="2720">
        <f t="shared" si="219"/>
        <v>0</v>
      </c>
      <c r="BF382" s="2720">
        <f t="shared" si="220"/>
        <v>0</v>
      </c>
      <c r="BG382" s="2720">
        <f t="shared" si="221"/>
        <v>0</v>
      </c>
      <c r="BH382" s="2720">
        <f t="shared" si="222"/>
        <v>0</v>
      </c>
      <c r="BI382" s="2720">
        <f t="shared" si="223"/>
        <v>0</v>
      </c>
      <c r="BJ382" s="2720">
        <f t="shared" si="224"/>
        <v>0</v>
      </c>
      <c r="BK382" s="2720">
        <f t="shared" si="225"/>
        <v>0</v>
      </c>
      <c r="BL382" s="2720">
        <f t="shared" si="226"/>
        <v>0</v>
      </c>
      <c r="BM382" s="2720">
        <f t="shared" si="227"/>
        <v>0</v>
      </c>
      <c r="BN382" s="2720">
        <f t="shared" si="228"/>
        <v>0</v>
      </c>
      <c r="BO382" s="2720">
        <f t="shared" si="229"/>
        <v>0</v>
      </c>
      <c r="BP382" s="2720">
        <f t="shared" si="230"/>
        <v>0</v>
      </c>
      <c r="BQ382" s="2720">
        <f t="shared" si="231"/>
        <v>0</v>
      </c>
      <c r="BR382" s="2720">
        <f t="shared" si="232"/>
        <v>0</v>
      </c>
      <c r="BS382" s="2720">
        <f t="shared" si="233"/>
        <v>0</v>
      </c>
      <c r="BT382" s="2772">
        <f t="shared" si="234"/>
        <v>0</v>
      </c>
    </row>
    <row r="383" spans="1:72">
      <c r="A383" s="2717"/>
      <c r="B383" s="2718"/>
      <c r="C383" s="2718"/>
      <c r="D383" s="2719"/>
      <c r="E383" s="2720">
        <f t="shared" si="235"/>
        <v>0</v>
      </c>
      <c r="F383" s="2721"/>
      <c r="G383" s="2722">
        <f t="shared" si="210"/>
        <v>0</v>
      </c>
      <c r="H383" s="2723">
        <f t="shared" si="211"/>
        <v>0</v>
      </c>
      <c r="I383" s="2730"/>
      <c r="J383" s="2730"/>
      <c r="K383" s="2730"/>
      <c r="L383" s="2730"/>
      <c r="M383" s="2730"/>
      <c r="N383" s="2730"/>
      <c r="O383" s="2730"/>
      <c r="P383" s="2730"/>
      <c r="Q383" s="2730"/>
      <c r="R383" s="2730"/>
      <c r="S383" s="2730"/>
      <c r="T383" s="2730"/>
      <c r="U383" s="2730"/>
      <c r="V383" s="2730"/>
      <c r="W383" s="2730"/>
      <c r="X383" s="2730"/>
      <c r="Y383" s="2730"/>
      <c r="Z383" s="2730"/>
      <c r="AA383" s="2730"/>
      <c r="AB383" s="2730"/>
      <c r="AC383" s="2720">
        <f t="shared" si="212"/>
        <v>0</v>
      </c>
      <c r="AD383" s="2740"/>
      <c r="AE383" s="2740"/>
      <c r="AF383" s="2740"/>
      <c r="AG383" s="2740"/>
      <c r="AH383" s="2740"/>
      <c r="AI383" s="2740"/>
      <c r="AJ383" s="2740"/>
      <c r="AK383" s="2740"/>
      <c r="AL383" s="2740"/>
      <c r="AM383" s="2740"/>
      <c r="AN383" s="2740"/>
      <c r="AO383" s="2740"/>
      <c r="AP383" s="2740"/>
      <c r="AQ383" s="2740"/>
      <c r="AR383" s="2740"/>
      <c r="AS383" s="2740"/>
      <c r="AT383" s="2750"/>
      <c r="AU383" s="2751"/>
      <c r="AV383" s="1092">
        <f t="shared" si="236"/>
        <v>0</v>
      </c>
      <c r="AW383" s="1092">
        <f t="shared" si="237"/>
        <v>0</v>
      </c>
      <c r="AX383" s="1092">
        <f t="shared" si="238"/>
        <v>0</v>
      </c>
      <c r="AY383" s="2765">
        <f t="shared" si="213"/>
        <v>0</v>
      </c>
      <c r="AZ383" s="2720">
        <f t="shared" si="214"/>
        <v>0</v>
      </c>
      <c r="BA383" s="2720">
        <f t="shared" si="215"/>
        <v>0</v>
      </c>
      <c r="BB383" s="2720">
        <f t="shared" si="216"/>
        <v>0</v>
      </c>
      <c r="BC383" s="2720">
        <f t="shared" si="217"/>
        <v>0</v>
      </c>
      <c r="BD383" s="2720">
        <f t="shared" si="218"/>
        <v>0</v>
      </c>
      <c r="BE383" s="2720">
        <f t="shared" si="219"/>
        <v>0</v>
      </c>
      <c r="BF383" s="2720">
        <f t="shared" si="220"/>
        <v>0</v>
      </c>
      <c r="BG383" s="2720">
        <f t="shared" si="221"/>
        <v>0</v>
      </c>
      <c r="BH383" s="2720">
        <f t="shared" si="222"/>
        <v>0</v>
      </c>
      <c r="BI383" s="2720">
        <f t="shared" si="223"/>
        <v>0</v>
      </c>
      <c r="BJ383" s="2720">
        <f t="shared" si="224"/>
        <v>0</v>
      </c>
      <c r="BK383" s="2720">
        <f t="shared" si="225"/>
        <v>0</v>
      </c>
      <c r="BL383" s="2720">
        <f t="shared" si="226"/>
        <v>0</v>
      </c>
      <c r="BM383" s="2720">
        <f t="shared" si="227"/>
        <v>0</v>
      </c>
      <c r="BN383" s="2720">
        <f t="shared" si="228"/>
        <v>0</v>
      </c>
      <c r="BO383" s="2720">
        <f t="shared" si="229"/>
        <v>0</v>
      </c>
      <c r="BP383" s="2720">
        <f t="shared" si="230"/>
        <v>0</v>
      </c>
      <c r="BQ383" s="2720">
        <f t="shared" si="231"/>
        <v>0</v>
      </c>
      <c r="BR383" s="2720">
        <f t="shared" si="232"/>
        <v>0</v>
      </c>
      <c r="BS383" s="2720">
        <f t="shared" si="233"/>
        <v>0</v>
      </c>
      <c r="BT383" s="2772">
        <f t="shared" si="234"/>
        <v>0</v>
      </c>
    </row>
    <row r="384" spans="1:72">
      <c r="A384" s="2717"/>
      <c r="B384" s="2718"/>
      <c r="C384" s="2718"/>
      <c r="D384" s="2719"/>
      <c r="E384" s="2720">
        <f t="shared" si="235"/>
        <v>0</v>
      </c>
      <c r="F384" s="2721"/>
      <c r="G384" s="2722">
        <f t="shared" si="210"/>
        <v>0</v>
      </c>
      <c r="H384" s="2723">
        <f t="shared" si="211"/>
        <v>0</v>
      </c>
      <c r="I384" s="2730"/>
      <c r="J384" s="2730"/>
      <c r="K384" s="2730"/>
      <c r="L384" s="2730"/>
      <c r="M384" s="2730"/>
      <c r="N384" s="2730"/>
      <c r="O384" s="2730"/>
      <c r="P384" s="2730"/>
      <c r="Q384" s="2730"/>
      <c r="R384" s="2730"/>
      <c r="S384" s="2730"/>
      <c r="T384" s="2730"/>
      <c r="U384" s="2730"/>
      <c r="V384" s="2730"/>
      <c r="W384" s="2730"/>
      <c r="X384" s="2730"/>
      <c r="Y384" s="2730"/>
      <c r="Z384" s="2730"/>
      <c r="AA384" s="2730"/>
      <c r="AB384" s="2730"/>
      <c r="AC384" s="2720">
        <f t="shared" si="212"/>
        <v>0</v>
      </c>
      <c r="AD384" s="2740"/>
      <c r="AE384" s="2740"/>
      <c r="AF384" s="2740"/>
      <c r="AG384" s="2740"/>
      <c r="AH384" s="2740"/>
      <c r="AI384" s="2740"/>
      <c r="AJ384" s="2740"/>
      <c r="AK384" s="2740"/>
      <c r="AL384" s="2740"/>
      <c r="AM384" s="2740"/>
      <c r="AN384" s="2740"/>
      <c r="AO384" s="2740"/>
      <c r="AP384" s="2740"/>
      <c r="AQ384" s="2740"/>
      <c r="AR384" s="2740"/>
      <c r="AS384" s="2740"/>
      <c r="AT384" s="2750"/>
      <c r="AU384" s="2751"/>
      <c r="AV384" s="1092">
        <f t="shared" si="236"/>
        <v>0</v>
      </c>
      <c r="AW384" s="1092">
        <f t="shared" si="237"/>
        <v>0</v>
      </c>
      <c r="AX384" s="1092">
        <f t="shared" si="238"/>
        <v>0</v>
      </c>
      <c r="AY384" s="2765">
        <f t="shared" si="213"/>
        <v>0</v>
      </c>
      <c r="AZ384" s="2720">
        <f t="shared" si="214"/>
        <v>0</v>
      </c>
      <c r="BA384" s="2720">
        <f t="shared" si="215"/>
        <v>0</v>
      </c>
      <c r="BB384" s="2720">
        <f t="shared" si="216"/>
        <v>0</v>
      </c>
      <c r="BC384" s="2720">
        <f t="shared" si="217"/>
        <v>0</v>
      </c>
      <c r="BD384" s="2720">
        <f t="shared" si="218"/>
        <v>0</v>
      </c>
      <c r="BE384" s="2720">
        <f t="shared" si="219"/>
        <v>0</v>
      </c>
      <c r="BF384" s="2720">
        <f t="shared" si="220"/>
        <v>0</v>
      </c>
      <c r="BG384" s="2720">
        <f t="shared" si="221"/>
        <v>0</v>
      </c>
      <c r="BH384" s="2720">
        <f t="shared" si="222"/>
        <v>0</v>
      </c>
      <c r="BI384" s="2720">
        <f t="shared" si="223"/>
        <v>0</v>
      </c>
      <c r="BJ384" s="2720">
        <f t="shared" si="224"/>
        <v>0</v>
      </c>
      <c r="BK384" s="2720">
        <f t="shared" si="225"/>
        <v>0</v>
      </c>
      <c r="BL384" s="2720">
        <f t="shared" si="226"/>
        <v>0</v>
      </c>
      <c r="BM384" s="2720">
        <f t="shared" si="227"/>
        <v>0</v>
      </c>
      <c r="BN384" s="2720">
        <f t="shared" si="228"/>
        <v>0</v>
      </c>
      <c r="BO384" s="2720">
        <f t="shared" si="229"/>
        <v>0</v>
      </c>
      <c r="BP384" s="2720">
        <f t="shared" si="230"/>
        <v>0</v>
      </c>
      <c r="BQ384" s="2720">
        <f t="shared" si="231"/>
        <v>0</v>
      </c>
      <c r="BR384" s="2720">
        <f t="shared" si="232"/>
        <v>0</v>
      </c>
      <c r="BS384" s="2720">
        <f t="shared" si="233"/>
        <v>0</v>
      </c>
      <c r="BT384" s="2772">
        <f t="shared" si="234"/>
        <v>0</v>
      </c>
    </row>
    <row r="385" spans="1:72">
      <c r="A385" s="2717"/>
      <c r="B385" s="2718"/>
      <c r="C385" s="2718"/>
      <c r="D385" s="2719"/>
      <c r="E385" s="2720">
        <f t="shared" si="235"/>
        <v>0</v>
      </c>
      <c r="F385" s="2721"/>
      <c r="G385" s="2722">
        <f t="shared" si="210"/>
        <v>0</v>
      </c>
      <c r="H385" s="2723">
        <f t="shared" si="211"/>
        <v>0</v>
      </c>
      <c r="I385" s="2730"/>
      <c r="J385" s="2730"/>
      <c r="K385" s="2730"/>
      <c r="L385" s="2730"/>
      <c r="M385" s="2730"/>
      <c r="N385" s="2730"/>
      <c r="O385" s="2730"/>
      <c r="P385" s="2730"/>
      <c r="Q385" s="2730"/>
      <c r="R385" s="2730"/>
      <c r="S385" s="2730"/>
      <c r="T385" s="2730"/>
      <c r="U385" s="2730"/>
      <c r="V385" s="2730"/>
      <c r="W385" s="2730"/>
      <c r="X385" s="2730"/>
      <c r="Y385" s="2730"/>
      <c r="Z385" s="2730"/>
      <c r="AA385" s="2730"/>
      <c r="AB385" s="2730"/>
      <c r="AC385" s="2720">
        <f t="shared" si="212"/>
        <v>0</v>
      </c>
      <c r="AD385" s="2740"/>
      <c r="AE385" s="2740"/>
      <c r="AF385" s="2740"/>
      <c r="AG385" s="2740"/>
      <c r="AH385" s="2740"/>
      <c r="AI385" s="2740"/>
      <c r="AJ385" s="2740"/>
      <c r="AK385" s="2740"/>
      <c r="AL385" s="2740"/>
      <c r="AM385" s="2740"/>
      <c r="AN385" s="2740"/>
      <c r="AO385" s="2740"/>
      <c r="AP385" s="2740"/>
      <c r="AQ385" s="2740"/>
      <c r="AR385" s="2740"/>
      <c r="AS385" s="2740"/>
      <c r="AT385" s="2750"/>
      <c r="AU385" s="2751"/>
      <c r="AV385" s="1092">
        <f t="shared" si="236"/>
        <v>0</v>
      </c>
      <c r="AW385" s="1092">
        <f t="shared" si="237"/>
        <v>0</v>
      </c>
      <c r="AX385" s="1092">
        <f t="shared" si="238"/>
        <v>0</v>
      </c>
      <c r="AY385" s="2765">
        <f t="shared" si="213"/>
        <v>0</v>
      </c>
      <c r="AZ385" s="2720">
        <f t="shared" si="214"/>
        <v>0</v>
      </c>
      <c r="BA385" s="2720">
        <f t="shared" si="215"/>
        <v>0</v>
      </c>
      <c r="BB385" s="2720">
        <f t="shared" si="216"/>
        <v>0</v>
      </c>
      <c r="BC385" s="2720">
        <f t="shared" si="217"/>
        <v>0</v>
      </c>
      <c r="BD385" s="2720">
        <f t="shared" si="218"/>
        <v>0</v>
      </c>
      <c r="BE385" s="2720">
        <f t="shared" si="219"/>
        <v>0</v>
      </c>
      <c r="BF385" s="2720">
        <f t="shared" si="220"/>
        <v>0</v>
      </c>
      <c r="BG385" s="2720">
        <f t="shared" si="221"/>
        <v>0</v>
      </c>
      <c r="BH385" s="2720">
        <f t="shared" si="222"/>
        <v>0</v>
      </c>
      <c r="BI385" s="2720">
        <f t="shared" si="223"/>
        <v>0</v>
      </c>
      <c r="BJ385" s="2720">
        <f t="shared" si="224"/>
        <v>0</v>
      </c>
      <c r="BK385" s="2720">
        <f t="shared" si="225"/>
        <v>0</v>
      </c>
      <c r="BL385" s="2720">
        <f t="shared" si="226"/>
        <v>0</v>
      </c>
      <c r="BM385" s="2720">
        <f t="shared" si="227"/>
        <v>0</v>
      </c>
      <c r="BN385" s="2720">
        <f t="shared" si="228"/>
        <v>0</v>
      </c>
      <c r="BO385" s="2720">
        <f t="shared" si="229"/>
        <v>0</v>
      </c>
      <c r="BP385" s="2720">
        <f t="shared" si="230"/>
        <v>0</v>
      </c>
      <c r="BQ385" s="2720">
        <f t="shared" si="231"/>
        <v>0</v>
      </c>
      <c r="BR385" s="2720">
        <f t="shared" si="232"/>
        <v>0</v>
      </c>
      <c r="BS385" s="2720">
        <f t="shared" si="233"/>
        <v>0</v>
      </c>
      <c r="BT385" s="2772">
        <f t="shared" si="234"/>
        <v>0</v>
      </c>
    </row>
    <row r="386" spans="1:72">
      <c r="A386" s="2717"/>
      <c r="B386" s="2718"/>
      <c r="C386" s="2718"/>
      <c r="D386" s="2719"/>
      <c r="E386" s="2720">
        <f t="shared" si="235"/>
        <v>0</v>
      </c>
      <c r="F386" s="2721"/>
      <c r="G386" s="2722">
        <f t="shared" si="210"/>
        <v>0</v>
      </c>
      <c r="H386" s="2723">
        <f t="shared" si="211"/>
        <v>0</v>
      </c>
      <c r="I386" s="2730"/>
      <c r="J386" s="2730"/>
      <c r="K386" s="2730"/>
      <c r="L386" s="2730"/>
      <c r="M386" s="2730"/>
      <c r="N386" s="2730"/>
      <c r="O386" s="2730"/>
      <c r="P386" s="2730"/>
      <c r="Q386" s="2730"/>
      <c r="R386" s="2730"/>
      <c r="S386" s="2730"/>
      <c r="T386" s="2730"/>
      <c r="U386" s="2730"/>
      <c r="V386" s="2730"/>
      <c r="W386" s="2730"/>
      <c r="X386" s="2730"/>
      <c r="Y386" s="2730"/>
      <c r="Z386" s="2730"/>
      <c r="AA386" s="2730"/>
      <c r="AB386" s="2730"/>
      <c r="AC386" s="2720">
        <f t="shared" si="212"/>
        <v>0</v>
      </c>
      <c r="AD386" s="2740"/>
      <c r="AE386" s="2740"/>
      <c r="AF386" s="2740"/>
      <c r="AG386" s="2740"/>
      <c r="AH386" s="2740"/>
      <c r="AI386" s="2740"/>
      <c r="AJ386" s="2740"/>
      <c r="AK386" s="2740"/>
      <c r="AL386" s="2740"/>
      <c r="AM386" s="2740"/>
      <c r="AN386" s="2740"/>
      <c r="AO386" s="2740"/>
      <c r="AP386" s="2740"/>
      <c r="AQ386" s="2740"/>
      <c r="AR386" s="2740"/>
      <c r="AS386" s="2740"/>
      <c r="AT386" s="2750"/>
      <c r="AU386" s="2751"/>
      <c r="AV386" s="1092">
        <f t="shared" si="236"/>
        <v>0</v>
      </c>
      <c r="AW386" s="1092">
        <f t="shared" si="237"/>
        <v>0</v>
      </c>
      <c r="AX386" s="1092">
        <f t="shared" si="238"/>
        <v>0</v>
      </c>
      <c r="AY386" s="2765">
        <f t="shared" si="213"/>
        <v>0</v>
      </c>
      <c r="AZ386" s="2720">
        <f t="shared" si="214"/>
        <v>0</v>
      </c>
      <c r="BA386" s="2720">
        <f t="shared" si="215"/>
        <v>0</v>
      </c>
      <c r="BB386" s="2720">
        <f t="shared" si="216"/>
        <v>0</v>
      </c>
      <c r="BC386" s="2720">
        <f t="shared" si="217"/>
        <v>0</v>
      </c>
      <c r="BD386" s="2720">
        <f t="shared" si="218"/>
        <v>0</v>
      </c>
      <c r="BE386" s="2720">
        <f t="shared" si="219"/>
        <v>0</v>
      </c>
      <c r="BF386" s="2720">
        <f t="shared" si="220"/>
        <v>0</v>
      </c>
      <c r="BG386" s="2720">
        <f t="shared" si="221"/>
        <v>0</v>
      </c>
      <c r="BH386" s="2720">
        <f t="shared" si="222"/>
        <v>0</v>
      </c>
      <c r="BI386" s="2720">
        <f t="shared" si="223"/>
        <v>0</v>
      </c>
      <c r="BJ386" s="2720">
        <f t="shared" si="224"/>
        <v>0</v>
      </c>
      <c r="BK386" s="2720">
        <f t="shared" si="225"/>
        <v>0</v>
      </c>
      <c r="BL386" s="2720">
        <f t="shared" si="226"/>
        <v>0</v>
      </c>
      <c r="BM386" s="2720">
        <f t="shared" si="227"/>
        <v>0</v>
      </c>
      <c r="BN386" s="2720">
        <f t="shared" si="228"/>
        <v>0</v>
      </c>
      <c r="BO386" s="2720">
        <f t="shared" si="229"/>
        <v>0</v>
      </c>
      <c r="BP386" s="2720">
        <f t="shared" si="230"/>
        <v>0</v>
      </c>
      <c r="BQ386" s="2720">
        <f t="shared" si="231"/>
        <v>0</v>
      </c>
      <c r="BR386" s="2720">
        <f t="shared" si="232"/>
        <v>0</v>
      </c>
      <c r="BS386" s="2720">
        <f t="shared" si="233"/>
        <v>0</v>
      </c>
      <c r="BT386" s="2772">
        <f t="shared" si="234"/>
        <v>0</v>
      </c>
    </row>
    <row r="387" spans="1:72">
      <c r="A387" s="2717"/>
      <c r="B387" s="2718"/>
      <c r="C387" s="2718"/>
      <c r="D387" s="2719"/>
      <c r="E387" s="2720">
        <f t="shared" si="235"/>
        <v>0</v>
      </c>
      <c r="F387" s="2721"/>
      <c r="G387" s="2722">
        <f t="shared" si="210"/>
        <v>0</v>
      </c>
      <c r="H387" s="2723">
        <f t="shared" si="211"/>
        <v>0</v>
      </c>
      <c r="I387" s="2730"/>
      <c r="J387" s="2730"/>
      <c r="K387" s="2730"/>
      <c r="L387" s="2730"/>
      <c r="M387" s="2730"/>
      <c r="N387" s="2730"/>
      <c r="O387" s="2730"/>
      <c r="P387" s="2730"/>
      <c r="Q387" s="2730"/>
      <c r="R387" s="2730"/>
      <c r="S387" s="2730"/>
      <c r="T387" s="2730"/>
      <c r="U387" s="2730"/>
      <c r="V387" s="2730"/>
      <c r="W387" s="2730"/>
      <c r="X387" s="2730"/>
      <c r="Y387" s="2730"/>
      <c r="Z387" s="2730"/>
      <c r="AA387" s="2730"/>
      <c r="AB387" s="2730"/>
      <c r="AC387" s="2720">
        <f t="shared" si="212"/>
        <v>0</v>
      </c>
      <c r="AD387" s="2740"/>
      <c r="AE387" s="2740"/>
      <c r="AF387" s="2740"/>
      <c r="AG387" s="2740"/>
      <c r="AH387" s="2740"/>
      <c r="AI387" s="2740"/>
      <c r="AJ387" s="2740"/>
      <c r="AK387" s="2740"/>
      <c r="AL387" s="2740"/>
      <c r="AM387" s="2740"/>
      <c r="AN387" s="2740"/>
      <c r="AO387" s="2740"/>
      <c r="AP387" s="2740"/>
      <c r="AQ387" s="2740"/>
      <c r="AR387" s="2740"/>
      <c r="AS387" s="2740"/>
      <c r="AT387" s="2750"/>
      <c r="AU387" s="2751"/>
      <c r="AV387" s="1092">
        <f t="shared" si="236"/>
        <v>0</v>
      </c>
      <c r="AW387" s="1092">
        <f t="shared" si="237"/>
        <v>0</v>
      </c>
      <c r="AX387" s="1092">
        <f t="shared" si="238"/>
        <v>0</v>
      </c>
      <c r="AY387" s="2765">
        <f t="shared" si="213"/>
        <v>0</v>
      </c>
      <c r="AZ387" s="2720">
        <f t="shared" si="214"/>
        <v>0</v>
      </c>
      <c r="BA387" s="2720">
        <f t="shared" si="215"/>
        <v>0</v>
      </c>
      <c r="BB387" s="2720">
        <f t="shared" si="216"/>
        <v>0</v>
      </c>
      <c r="BC387" s="2720">
        <f t="shared" si="217"/>
        <v>0</v>
      </c>
      <c r="BD387" s="2720">
        <f t="shared" si="218"/>
        <v>0</v>
      </c>
      <c r="BE387" s="2720">
        <f t="shared" si="219"/>
        <v>0</v>
      </c>
      <c r="BF387" s="2720">
        <f t="shared" si="220"/>
        <v>0</v>
      </c>
      <c r="BG387" s="2720">
        <f t="shared" si="221"/>
        <v>0</v>
      </c>
      <c r="BH387" s="2720">
        <f t="shared" si="222"/>
        <v>0</v>
      </c>
      <c r="BI387" s="2720">
        <f t="shared" si="223"/>
        <v>0</v>
      </c>
      <c r="BJ387" s="2720">
        <f t="shared" si="224"/>
        <v>0</v>
      </c>
      <c r="BK387" s="2720">
        <f t="shared" si="225"/>
        <v>0</v>
      </c>
      <c r="BL387" s="2720">
        <f t="shared" si="226"/>
        <v>0</v>
      </c>
      <c r="BM387" s="2720">
        <f t="shared" si="227"/>
        <v>0</v>
      </c>
      <c r="BN387" s="2720">
        <f t="shared" si="228"/>
        <v>0</v>
      </c>
      <c r="BO387" s="2720">
        <f t="shared" si="229"/>
        <v>0</v>
      </c>
      <c r="BP387" s="2720">
        <f t="shared" si="230"/>
        <v>0</v>
      </c>
      <c r="BQ387" s="2720">
        <f t="shared" si="231"/>
        <v>0</v>
      </c>
      <c r="BR387" s="2720">
        <f t="shared" si="232"/>
        <v>0</v>
      </c>
      <c r="BS387" s="2720">
        <f t="shared" si="233"/>
        <v>0</v>
      </c>
      <c r="BT387" s="2772">
        <f t="shared" si="234"/>
        <v>0</v>
      </c>
    </row>
    <row r="388" spans="1:72">
      <c r="A388" s="2717"/>
      <c r="B388" s="2718"/>
      <c r="C388" s="2718"/>
      <c r="D388" s="2719"/>
      <c r="E388" s="2720">
        <f t="shared" si="235"/>
        <v>0</v>
      </c>
      <c r="F388" s="2721"/>
      <c r="G388" s="2722">
        <f t="shared" si="210"/>
        <v>0</v>
      </c>
      <c r="H388" s="2723">
        <f t="shared" si="211"/>
        <v>0</v>
      </c>
      <c r="I388" s="2730"/>
      <c r="J388" s="2730"/>
      <c r="K388" s="2730"/>
      <c r="L388" s="2730"/>
      <c r="M388" s="2730"/>
      <c r="N388" s="2730"/>
      <c r="O388" s="2730"/>
      <c r="P388" s="2730"/>
      <c r="Q388" s="2730"/>
      <c r="R388" s="2730"/>
      <c r="S388" s="2730"/>
      <c r="T388" s="2730"/>
      <c r="U388" s="2730"/>
      <c r="V388" s="2730"/>
      <c r="W388" s="2730"/>
      <c r="X388" s="2730"/>
      <c r="Y388" s="2730"/>
      <c r="Z388" s="2730"/>
      <c r="AA388" s="2730"/>
      <c r="AB388" s="2730"/>
      <c r="AC388" s="2720">
        <f t="shared" si="212"/>
        <v>0</v>
      </c>
      <c r="AD388" s="2740"/>
      <c r="AE388" s="2740"/>
      <c r="AF388" s="2740"/>
      <c r="AG388" s="2740"/>
      <c r="AH388" s="2740"/>
      <c r="AI388" s="2740"/>
      <c r="AJ388" s="2740"/>
      <c r="AK388" s="2740"/>
      <c r="AL388" s="2740"/>
      <c r="AM388" s="2740"/>
      <c r="AN388" s="2740"/>
      <c r="AO388" s="2740"/>
      <c r="AP388" s="2740"/>
      <c r="AQ388" s="2740"/>
      <c r="AR388" s="2740"/>
      <c r="AS388" s="2740"/>
      <c r="AT388" s="2750"/>
      <c r="AU388" s="2751"/>
      <c r="AV388" s="1092">
        <f t="shared" si="236"/>
        <v>0</v>
      </c>
      <c r="AW388" s="1092">
        <f t="shared" si="237"/>
        <v>0</v>
      </c>
      <c r="AX388" s="1092">
        <f t="shared" si="238"/>
        <v>0</v>
      </c>
      <c r="AY388" s="2765">
        <f t="shared" si="213"/>
        <v>0</v>
      </c>
      <c r="AZ388" s="2720">
        <f t="shared" si="214"/>
        <v>0</v>
      </c>
      <c r="BA388" s="2720">
        <f t="shared" si="215"/>
        <v>0</v>
      </c>
      <c r="BB388" s="2720">
        <f t="shared" si="216"/>
        <v>0</v>
      </c>
      <c r="BC388" s="2720">
        <f t="shared" si="217"/>
        <v>0</v>
      </c>
      <c r="BD388" s="2720">
        <f t="shared" si="218"/>
        <v>0</v>
      </c>
      <c r="BE388" s="2720">
        <f t="shared" si="219"/>
        <v>0</v>
      </c>
      <c r="BF388" s="2720">
        <f t="shared" si="220"/>
        <v>0</v>
      </c>
      <c r="BG388" s="2720">
        <f t="shared" si="221"/>
        <v>0</v>
      </c>
      <c r="BH388" s="2720">
        <f t="shared" si="222"/>
        <v>0</v>
      </c>
      <c r="BI388" s="2720">
        <f t="shared" si="223"/>
        <v>0</v>
      </c>
      <c r="BJ388" s="2720">
        <f t="shared" si="224"/>
        <v>0</v>
      </c>
      <c r="BK388" s="2720">
        <f t="shared" si="225"/>
        <v>0</v>
      </c>
      <c r="BL388" s="2720">
        <f t="shared" si="226"/>
        <v>0</v>
      </c>
      <c r="BM388" s="2720">
        <f t="shared" si="227"/>
        <v>0</v>
      </c>
      <c r="BN388" s="2720">
        <f t="shared" si="228"/>
        <v>0</v>
      </c>
      <c r="BO388" s="2720">
        <f t="shared" si="229"/>
        <v>0</v>
      </c>
      <c r="BP388" s="2720">
        <f t="shared" si="230"/>
        <v>0</v>
      </c>
      <c r="BQ388" s="2720">
        <f t="shared" si="231"/>
        <v>0</v>
      </c>
      <c r="BR388" s="2720">
        <f t="shared" si="232"/>
        <v>0</v>
      </c>
      <c r="BS388" s="2720">
        <f t="shared" si="233"/>
        <v>0</v>
      </c>
      <c r="BT388" s="2772">
        <f t="shared" si="234"/>
        <v>0</v>
      </c>
    </row>
    <row r="389" spans="1:72">
      <c r="A389" s="2717"/>
      <c r="B389" s="2718"/>
      <c r="C389" s="2718"/>
      <c r="D389" s="2719"/>
      <c r="E389" s="2720">
        <f t="shared" si="235"/>
        <v>0</v>
      </c>
      <c r="F389" s="2721"/>
      <c r="G389" s="2722">
        <f t="shared" si="210"/>
        <v>0</v>
      </c>
      <c r="H389" s="2723">
        <f t="shared" si="211"/>
        <v>0</v>
      </c>
      <c r="I389" s="2730"/>
      <c r="J389" s="2730"/>
      <c r="K389" s="2730"/>
      <c r="L389" s="2730"/>
      <c r="M389" s="2730"/>
      <c r="N389" s="2730"/>
      <c r="O389" s="2730"/>
      <c r="P389" s="2730"/>
      <c r="Q389" s="2730"/>
      <c r="R389" s="2730"/>
      <c r="S389" s="2730"/>
      <c r="T389" s="2730"/>
      <c r="U389" s="2730"/>
      <c r="V389" s="2730"/>
      <c r="W389" s="2730"/>
      <c r="X389" s="2730"/>
      <c r="Y389" s="2730"/>
      <c r="Z389" s="2730"/>
      <c r="AA389" s="2730"/>
      <c r="AB389" s="2730"/>
      <c r="AC389" s="2720">
        <f t="shared" si="212"/>
        <v>0</v>
      </c>
      <c r="AD389" s="2740"/>
      <c r="AE389" s="2740"/>
      <c r="AF389" s="2740"/>
      <c r="AG389" s="2740"/>
      <c r="AH389" s="2740"/>
      <c r="AI389" s="2740"/>
      <c r="AJ389" s="2740"/>
      <c r="AK389" s="2740"/>
      <c r="AL389" s="2740"/>
      <c r="AM389" s="2740"/>
      <c r="AN389" s="2740"/>
      <c r="AO389" s="2740"/>
      <c r="AP389" s="2740"/>
      <c r="AQ389" s="2740"/>
      <c r="AR389" s="2740"/>
      <c r="AS389" s="2740"/>
      <c r="AT389" s="2750"/>
      <c r="AU389" s="2751"/>
      <c r="AV389" s="1092">
        <f t="shared" si="236"/>
        <v>0</v>
      </c>
      <c r="AW389" s="1092">
        <f t="shared" si="237"/>
        <v>0</v>
      </c>
      <c r="AX389" s="1092">
        <f t="shared" si="238"/>
        <v>0</v>
      </c>
      <c r="AY389" s="2765">
        <f t="shared" si="213"/>
        <v>0</v>
      </c>
      <c r="AZ389" s="2720">
        <f t="shared" si="214"/>
        <v>0</v>
      </c>
      <c r="BA389" s="2720">
        <f t="shared" si="215"/>
        <v>0</v>
      </c>
      <c r="BB389" s="2720">
        <f t="shared" si="216"/>
        <v>0</v>
      </c>
      <c r="BC389" s="2720">
        <f t="shared" si="217"/>
        <v>0</v>
      </c>
      <c r="BD389" s="2720">
        <f t="shared" si="218"/>
        <v>0</v>
      </c>
      <c r="BE389" s="2720">
        <f t="shared" si="219"/>
        <v>0</v>
      </c>
      <c r="BF389" s="2720">
        <f t="shared" si="220"/>
        <v>0</v>
      </c>
      <c r="BG389" s="2720">
        <f t="shared" si="221"/>
        <v>0</v>
      </c>
      <c r="BH389" s="2720">
        <f t="shared" si="222"/>
        <v>0</v>
      </c>
      <c r="BI389" s="2720">
        <f t="shared" si="223"/>
        <v>0</v>
      </c>
      <c r="BJ389" s="2720">
        <f t="shared" si="224"/>
        <v>0</v>
      </c>
      <c r="BK389" s="2720">
        <f t="shared" si="225"/>
        <v>0</v>
      </c>
      <c r="BL389" s="2720">
        <f t="shared" si="226"/>
        <v>0</v>
      </c>
      <c r="BM389" s="2720">
        <f t="shared" si="227"/>
        <v>0</v>
      </c>
      <c r="BN389" s="2720">
        <f t="shared" si="228"/>
        <v>0</v>
      </c>
      <c r="BO389" s="2720">
        <f t="shared" si="229"/>
        <v>0</v>
      </c>
      <c r="BP389" s="2720">
        <f t="shared" si="230"/>
        <v>0</v>
      </c>
      <c r="BQ389" s="2720">
        <f t="shared" si="231"/>
        <v>0</v>
      </c>
      <c r="BR389" s="2720">
        <f t="shared" si="232"/>
        <v>0</v>
      </c>
      <c r="BS389" s="2720">
        <f t="shared" si="233"/>
        <v>0</v>
      </c>
      <c r="BT389" s="2772">
        <f t="shared" si="234"/>
        <v>0</v>
      </c>
    </row>
    <row r="390" spans="1:72">
      <c r="A390" s="2717"/>
      <c r="B390" s="2718"/>
      <c r="C390" s="2718"/>
      <c r="D390" s="2719"/>
      <c r="E390" s="2720">
        <f t="shared" si="235"/>
        <v>0</v>
      </c>
      <c r="F390" s="2721"/>
      <c r="G390" s="2722">
        <f t="shared" si="210"/>
        <v>0</v>
      </c>
      <c r="H390" s="2723">
        <f t="shared" si="211"/>
        <v>0</v>
      </c>
      <c r="I390" s="2730"/>
      <c r="J390" s="2730"/>
      <c r="K390" s="2730"/>
      <c r="L390" s="2730"/>
      <c r="M390" s="2730"/>
      <c r="N390" s="2730"/>
      <c r="O390" s="2730"/>
      <c r="P390" s="2730"/>
      <c r="Q390" s="2730"/>
      <c r="R390" s="2730"/>
      <c r="S390" s="2730"/>
      <c r="T390" s="2730"/>
      <c r="U390" s="2730"/>
      <c r="V390" s="2730"/>
      <c r="W390" s="2730"/>
      <c r="X390" s="2730"/>
      <c r="Y390" s="2730"/>
      <c r="Z390" s="2730"/>
      <c r="AA390" s="2730"/>
      <c r="AB390" s="2730"/>
      <c r="AC390" s="2720">
        <f t="shared" si="212"/>
        <v>0</v>
      </c>
      <c r="AD390" s="2740"/>
      <c r="AE390" s="2740"/>
      <c r="AF390" s="2740"/>
      <c r="AG390" s="2740"/>
      <c r="AH390" s="2740"/>
      <c r="AI390" s="2740"/>
      <c r="AJ390" s="2740"/>
      <c r="AK390" s="2740"/>
      <c r="AL390" s="2740"/>
      <c r="AM390" s="2740"/>
      <c r="AN390" s="2740"/>
      <c r="AO390" s="2740"/>
      <c r="AP390" s="2740"/>
      <c r="AQ390" s="2740"/>
      <c r="AR390" s="2740"/>
      <c r="AS390" s="2740"/>
      <c r="AT390" s="2750"/>
      <c r="AU390" s="2751"/>
      <c r="AV390" s="1092">
        <f t="shared" si="236"/>
        <v>0</v>
      </c>
      <c r="AW390" s="1092">
        <f t="shared" si="237"/>
        <v>0</v>
      </c>
      <c r="AX390" s="1092">
        <f t="shared" si="238"/>
        <v>0</v>
      </c>
      <c r="AY390" s="2765">
        <f t="shared" si="213"/>
        <v>0</v>
      </c>
      <c r="AZ390" s="2720">
        <f t="shared" si="214"/>
        <v>0</v>
      </c>
      <c r="BA390" s="2720">
        <f t="shared" si="215"/>
        <v>0</v>
      </c>
      <c r="BB390" s="2720">
        <f t="shared" si="216"/>
        <v>0</v>
      </c>
      <c r="BC390" s="2720">
        <f t="shared" si="217"/>
        <v>0</v>
      </c>
      <c r="BD390" s="2720">
        <f t="shared" si="218"/>
        <v>0</v>
      </c>
      <c r="BE390" s="2720">
        <f t="shared" si="219"/>
        <v>0</v>
      </c>
      <c r="BF390" s="2720">
        <f t="shared" si="220"/>
        <v>0</v>
      </c>
      <c r="BG390" s="2720">
        <f t="shared" si="221"/>
        <v>0</v>
      </c>
      <c r="BH390" s="2720">
        <f t="shared" si="222"/>
        <v>0</v>
      </c>
      <c r="BI390" s="2720">
        <f t="shared" si="223"/>
        <v>0</v>
      </c>
      <c r="BJ390" s="2720">
        <f t="shared" si="224"/>
        <v>0</v>
      </c>
      <c r="BK390" s="2720">
        <f t="shared" si="225"/>
        <v>0</v>
      </c>
      <c r="BL390" s="2720">
        <f t="shared" si="226"/>
        <v>0</v>
      </c>
      <c r="BM390" s="2720">
        <f t="shared" si="227"/>
        <v>0</v>
      </c>
      <c r="BN390" s="2720">
        <f t="shared" si="228"/>
        <v>0</v>
      </c>
      <c r="BO390" s="2720">
        <f t="shared" si="229"/>
        <v>0</v>
      </c>
      <c r="BP390" s="2720">
        <f t="shared" si="230"/>
        <v>0</v>
      </c>
      <c r="BQ390" s="2720">
        <f t="shared" si="231"/>
        <v>0</v>
      </c>
      <c r="BR390" s="2720">
        <f t="shared" si="232"/>
        <v>0</v>
      </c>
      <c r="BS390" s="2720">
        <f t="shared" si="233"/>
        <v>0</v>
      </c>
      <c r="BT390" s="2772">
        <f t="shared" si="234"/>
        <v>0</v>
      </c>
    </row>
    <row r="391" spans="1:72">
      <c r="A391" s="2717"/>
      <c r="B391" s="2718"/>
      <c r="C391" s="2718"/>
      <c r="D391" s="2719"/>
      <c r="E391" s="2720">
        <f t="shared" si="235"/>
        <v>0</v>
      </c>
      <c r="F391" s="2721"/>
      <c r="G391" s="2722">
        <f t="shared" si="210"/>
        <v>0</v>
      </c>
      <c r="H391" s="2723">
        <f t="shared" si="211"/>
        <v>0</v>
      </c>
      <c r="I391" s="2730"/>
      <c r="J391" s="2730"/>
      <c r="K391" s="2730"/>
      <c r="L391" s="2730"/>
      <c r="M391" s="2730"/>
      <c r="N391" s="2730"/>
      <c r="O391" s="2730"/>
      <c r="P391" s="2730"/>
      <c r="Q391" s="2730"/>
      <c r="R391" s="2730"/>
      <c r="S391" s="2730"/>
      <c r="T391" s="2730"/>
      <c r="U391" s="2730"/>
      <c r="V391" s="2730"/>
      <c r="W391" s="2730"/>
      <c r="X391" s="2730"/>
      <c r="Y391" s="2730"/>
      <c r="Z391" s="2730"/>
      <c r="AA391" s="2730"/>
      <c r="AB391" s="2730"/>
      <c r="AC391" s="2720">
        <f t="shared" si="212"/>
        <v>0</v>
      </c>
      <c r="AD391" s="2740"/>
      <c r="AE391" s="2740"/>
      <c r="AF391" s="2740"/>
      <c r="AG391" s="2740"/>
      <c r="AH391" s="2740"/>
      <c r="AI391" s="2740"/>
      <c r="AJ391" s="2740"/>
      <c r="AK391" s="2740"/>
      <c r="AL391" s="2740"/>
      <c r="AM391" s="2740"/>
      <c r="AN391" s="2740"/>
      <c r="AO391" s="2740"/>
      <c r="AP391" s="2740"/>
      <c r="AQ391" s="2740"/>
      <c r="AR391" s="2740"/>
      <c r="AS391" s="2740"/>
      <c r="AT391" s="2750"/>
      <c r="AU391" s="2751"/>
      <c r="AV391" s="1092">
        <f t="shared" si="236"/>
        <v>0</v>
      </c>
      <c r="AW391" s="1092">
        <f t="shared" si="237"/>
        <v>0</v>
      </c>
      <c r="AX391" s="1092">
        <f t="shared" si="238"/>
        <v>0</v>
      </c>
      <c r="AY391" s="2765">
        <f t="shared" si="213"/>
        <v>0</v>
      </c>
      <c r="AZ391" s="2720">
        <f t="shared" si="214"/>
        <v>0</v>
      </c>
      <c r="BA391" s="2720">
        <f t="shared" si="215"/>
        <v>0</v>
      </c>
      <c r="BB391" s="2720">
        <f t="shared" si="216"/>
        <v>0</v>
      </c>
      <c r="BC391" s="2720">
        <f t="shared" si="217"/>
        <v>0</v>
      </c>
      <c r="BD391" s="2720">
        <f t="shared" si="218"/>
        <v>0</v>
      </c>
      <c r="BE391" s="2720">
        <f t="shared" si="219"/>
        <v>0</v>
      </c>
      <c r="BF391" s="2720">
        <f t="shared" si="220"/>
        <v>0</v>
      </c>
      <c r="BG391" s="2720">
        <f t="shared" si="221"/>
        <v>0</v>
      </c>
      <c r="BH391" s="2720">
        <f t="shared" si="222"/>
        <v>0</v>
      </c>
      <c r="BI391" s="2720">
        <f t="shared" si="223"/>
        <v>0</v>
      </c>
      <c r="BJ391" s="2720">
        <f t="shared" si="224"/>
        <v>0</v>
      </c>
      <c r="BK391" s="2720">
        <f t="shared" si="225"/>
        <v>0</v>
      </c>
      <c r="BL391" s="2720">
        <f t="shared" si="226"/>
        <v>0</v>
      </c>
      <c r="BM391" s="2720">
        <f t="shared" si="227"/>
        <v>0</v>
      </c>
      <c r="BN391" s="2720">
        <f t="shared" si="228"/>
        <v>0</v>
      </c>
      <c r="BO391" s="2720">
        <f t="shared" si="229"/>
        <v>0</v>
      </c>
      <c r="BP391" s="2720">
        <f t="shared" si="230"/>
        <v>0</v>
      </c>
      <c r="BQ391" s="2720">
        <f t="shared" si="231"/>
        <v>0</v>
      </c>
      <c r="BR391" s="2720">
        <f t="shared" si="232"/>
        <v>0</v>
      </c>
      <c r="BS391" s="2720">
        <f t="shared" si="233"/>
        <v>0</v>
      </c>
      <c r="BT391" s="2772">
        <f t="shared" si="234"/>
        <v>0</v>
      </c>
    </row>
    <row r="392" spans="1:72">
      <c r="A392" s="2717"/>
      <c r="B392" s="2718"/>
      <c r="C392" s="2718"/>
      <c r="D392" s="2719"/>
      <c r="E392" s="2720">
        <f t="shared" si="235"/>
        <v>0</v>
      </c>
      <c r="F392" s="2721"/>
      <c r="G392" s="2722">
        <f t="shared" si="210"/>
        <v>0</v>
      </c>
      <c r="H392" s="2723">
        <f t="shared" si="211"/>
        <v>0</v>
      </c>
      <c r="I392" s="2730"/>
      <c r="J392" s="2730"/>
      <c r="K392" s="2730"/>
      <c r="L392" s="2730"/>
      <c r="M392" s="2730"/>
      <c r="N392" s="2730"/>
      <c r="O392" s="2730"/>
      <c r="P392" s="2730"/>
      <c r="Q392" s="2730"/>
      <c r="R392" s="2730"/>
      <c r="S392" s="2730"/>
      <c r="T392" s="2730"/>
      <c r="U392" s="2730"/>
      <c r="V392" s="2730"/>
      <c r="W392" s="2730"/>
      <c r="X392" s="2730"/>
      <c r="Y392" s="2730"/>
      <c r="Z392" s="2730"/>
      <c r="AA392" s="2730"/>
      <c r="AB392" s="2730"/>
      <c r="AC392" s="2720">
        <f t="shared" si="212"/>
        <v>0</v>
      </c>
      <c r="AD392" s="2740"/>
      <c r="AE392" s="2740"/>
      <c r="AF392" s="2740"/>
      <c r="AG392" s="2740"/>
      <c r="AH392" s="2740"/>
      <c r="AI392" s="2740"/>
      <c r="AJ392" s="2740"/>
      <c r="AK392" s="2740"/>
      <c r="AL392" s="2740"/>
      <c r="AM392" s="2740"/>
      <c r="AN392" s="2740"/>
      <c r="AO392" s="2740"/>
      <c r="AP392" s="2740"/>
      <c r="AQ392" s="2740"/>
      <c r="AR392" s="2740"/>
      <c r="AS392" s="2740"/>
      <c r="AT392" s="2750"/>
      <c r="AU392" s="2751"/>
      <c r="AV392" s="1092">
        <f t="shared" si="236"/>
        <v>0</v>
      </c>
      <c r="AW392" s="1092">
        <f t="shared" si="237"/>
        <v>0</v>
      </c>
      <c r="AX392" s="1092">
        <f t="shared" si="238"/>
        <v>0</v>
      </c>
      <c r="AY392" s="2765">
        <f t="shared" si="213"/>
        <v>0</v>
      </c>
      <c r="AZ392" s="2720">
        <f t="shared" si="214"/>
        <v>0</v>
      </c>
      <c r="BA392" s="2720">
        <f t="shared" si="215"/>
        <v>0</v>
      </c>
      <c r="BB392" s="2720">
        <f t="shared" si="216"/>
        <v>0</v>
      </c>
      <c r="BC392" s="2720">
        <f t="shared" si="217"/>
        <v>0</v>
      </c>
      <c r="BD392" s="2720">
        <f t="shared" si="218"/>
        <v>0</v>
      </c>
      <c r="BE392" s="2720">
        <f t="shared" si="219"/>
        <v>0</v>
      </c>
      <c r="BF392" s="2720">
        <f t="shared" si="220"/>
        <v>0</v>
      </c>
      <c r="BG392" s="2720">
        <f t="shared" si="221"/>
        <v>0</v>
      </c>
      <c r="BH392" s="2720">
        <f t="shared" si="222"/>
        <v>0</v>
      </c>
      <c r="BI392" s="2720">
        <f t="shared" si="223"/>
        <v>0</v>
      </c>
      <c r="BJ392" s="2720">
        <f t="shared" si="224"/>
        <v>0</v>
      </c>
      <c r="BK392" s="2720">
        <f t="shared" si="225"/>
        <v>0</v>
      </c>
      <c r="BL392" s="2720">
        <f t="shared" si="226"/>
        <v>0</v>
      </c>
      <c r="BM392" s="2720">
        <f t="shared" si="227"/>
        <v>0</v>
      </c>
      <c r="BN392" s="2720">
        <f t="shared" si="228"/>
        <v>0</v>
      </c>
      <c r="BO392" s="2720">
        <f t="shared" si="229"/>
        <v>0</v>
      </c>
      <c r="BP392" s="2720">
        <f t="shared" si="230"/>
        <v>0</v>
      </c>
      <c r="BQ392" s="2720">
        <f t="shared" si="231"/>
        <v>0</v>
      </c>
      <c r="BR392" s="2720">
        <f t="shared" si="232"/>
        <v>0</v>
      </c>
      <c r="BS392" s="2720">
        <f t="shared" si="233"/>
        <v>0</v>
      </c>
      <c r="BT392" s="2772">
        <f t="shared" si="234"/>
        <v>0</v>
      </c>
    </row>
    <row r="393" spans="1:72">
      <c r="A393" s="2717"/>
      <c r="B393" s="2718"/>
      <c r="C393" s="2718"/>
      <c r="D393" s="2719"/>
      <c r="E393" s="2720">
        <f t="shared" si="235"/>
        <v>0</v>
      </c>
      <c r="F393" s="2721"/>
      <c r="G393" s="2722">
        <f t="shared" si="210"/>
        <v>0</v>
      </c>
      <c r="H393" s="2723">
        <f t="shared" si="211"/>
        <v>0</v>
      </c>
      <c r="I393" s="2730"/>
      <c r="J393" s="2730"/>
      <c r="K393" s="2730"/>
      <c r="L393" s="2730"/>
      <c r="M393" s="2730"/>
      <c r="N393" s="2730"/>
      <c r="O393" s="2730"/>
      <c r="P393" s="2730"/>
      <c r="Q393" s="2730"/>
      <c r="R393" s="2730"/>
      <c r="S393" s="2730"/>
      <c r="T393" s="2730"/>
      <c r="U393" s="2730"/>
      <c r="V393" s="2730"/>
      <c r="W393" s="2730"/>
      <c r="X393" s="2730"/>
      <c r="Y393" s="2730"/>
      <c r="Z393" s="2730"/>
      <c r="AA393" s="2730"/>
      <c r="AB393" s="2730"/>
      <c r="AC393" s="2720">
        <f t="shared" si="212"/>
        <v>0</v>
      </c>
      <c r="AD393" s="2740"/>
      <c r="AE393" s="2740"/>
      <c r="AF393" s="2740"/>
      <c r="AG393" s="2740"/>
      <c r="AH393" s="2740"/>
      <c r="AI393" s="2740"/>
      <c r="AJ393" s="2740"/>
      <c r="AK393" s="2740"/>
      <c r="AL393" s="2740"/>
      <c r="AM393" s="2740"/>
      <c r="AN393" s="2740"/>
      <c r="AO393" s="2740"/>
      <c r="AP393" s="2740"/>
      <c r="AQ393" s="2740"/>
      <c r="AR393" s="2740"/>
      <c r="AS393" s="2740"/>
      <c r="AT393" s="2750"/>
      <c r="AU393" s="2751"/>
      <c r="AV393" s="1092">
        <f t="shared" si="236"/>
        <v>0</v>
      </c>
      <c r="AW393" s="1092">
        <f t="shared" si="237"/>
        <v>0</v>
      </c>
      <c r="AX393" s="1092">
        <f t="shared" si="238"/>
        <v>0</v>
      </c>
      <c r="AY393" s="2765">
        <f t="shared" si="213"/>
        <v>0</v>
      </c>
      <c r="AZ393" s="2720">
        <f t="shared" si="214"/>
        <v>0</v>
      </c>
      <c r="BA393" s="2720">
        <f t="shared" si="215"/>
        <v>0</v>
      </c>
      <c r="BB393" s="2720">
        <f t="shared" si="216"/>
        <v>0</v>
      </c>
      <c r="BC393" s="2720">
        <f t="shared" si="217"/>
        <v>0</v>
      </c>
      <c r="BD393" s="2720">
        <f t="shared" si="218"/>
        <v>0</v>
      </c>
      <c r="BE393" s="2720">
        <f t="shared" si="219"/>
        <v>0</v>
      </c>
      <c r="BF393" s="2720">
        <f t="shared" si="220"/>
        <v>0</v>
      </c>
      <c r="BG393" s="2720">
        <f t="shared" si="221"/>
        <v>0</v>
      </c>
      <c r="BH393" s="2720">
        <f t="shared" si="222"/>
        <v>0</v>
      </c>
      <c r="BI393" s="2720">
        <f t="shared" si="223"/>
        <v>0</v>
      </c>
      <c r="BJ393" s="2720">
        <f t="shared" si="224"/>
        <v>0</v>
      </c>
      <c r="BK393" s="2720">
        <f t="shared" si="225"/>
        <v>0</v>
      </c>
      <c r="BL393" s="2720">
        <f t="shared" si="226"/>
        <v>0</v>
      </c>
      <c r="BM393" s="2720">
        <f t="shared" si="227"/>
        <v>0</v>
      </c>
      <c r="BN393" s="2720">
        <f t="shared" si="228"/>
        <v>0</v>
      </c>
      <c r="BO393" s="2720">
        <f t="shared" si="229"/>
        <v>0</v>
      </c>
      <c r="BP393" s="2720">
        <f t="shared" si="230"/>
        <v>0</v>
      </c>
      <c r="BQ393" s="2720">
        <f t="shared" si="231"/>
        <v>0</v>
      </c>
      <c r="BR393" s="2720">
        <f t="shared" si="232"/>
        <v>0</v>
      </c>
      <c r="BS393" s="2720">
        <f t="shared" si="233"/>
        <v>0</v>
      </c>
      <c r="BT393" s="2772">
        <f t="shared" si="234"/>
        <v>0</v>
      </c>
    </row>
    <row r="394" spans="1:72">
      <c r="A394" s="2717"/>
      <c r="B394" s="2718"/>
      <c r="C394" s="2718"/>
      <c r="D394" s="2719"/>
      <c r="E394" s="2720">
        <f t="shared" si="235"/>
        <v>0</v>
      </c>
      <c r="F394" s="2721"/>
      <c r="G394" s="2722">
        <f t="shared" si="210"/>
        <v>0</v>
      </c>
      <c r="H394" s="2723">
        <f t="shared" si="211"/>
        <v>0</v>
      </c>
      <c r="I394" s="2730"/>
      <c r="J394" s="2730"/>
      <c r="K394" s="2730"/>
      <c r="L394" s="2730"/>
      <c r="M394" s="2730"/>
      <c r="N394" s="2730"/>
      <c r="O394" s="2730"/>
      <c r="P394" s="2730"/>
      <c r="Q394" s="2730"/>
      <c r="R394" s="2730"/>
      <c r="S394" s="2730"/>
      <c r="T394" s="2730"/>
      <c r="U394" s="2730"/>
      <c r="V394" s="2730"/>
      <c r="W394" s="2730"/>
      <c r="X394" s="2730"/>
      <c r="Y394" s="2730"/>
      <c r="Z394" s="2730"/>
      <c r="AA394" s="2730"/>
      <c r="AB394" s="2730"/>
      <c r="AC394" s="2720">
        <f t="shared" si="212"/>
        <v>0</v>
      </c>
      <c r="AD394" s="2740"/>
      <c r="AE394" s="2740"/>
      <c r="AF394" s="2740"/>
      <c r="AG394" s="2740"/>
      <c r="AH394" s="2740"/>
      <c r="AI394" s="2740"/>
      <c r="AJ394" s="2740"/>
      <c r="AK394" s="2740"/>
      <c r="AL394" s="2740"/>
      <c r="AM394" s="2740"/>
      <c r="AN394" s="2740"/>
      <c r="AO394" s="2740"/>
      <c r="AP394" s="2740"/>
      <c r="AQ394" s="2740"/>
      <c r="AR394" s="2740"/>
      <c r="AS394" s="2740"/>
      <c r="AT394" s="2750"/>
      <c r="AU394" s="2751"/>
      <c r="AV394" s="1092">
        <f t="shared" si="236"/>
        <v>0</v>
      </c>
      <c r="AW394" s="1092">
        <f t="shared" si="237"/>
        <v>0</v>
      </c>
      <c r="AX394" s="1092">
        <f t="shared" si="238"/>
        <v>0</v>
      </c>
      <c r="AY394" s="2765">
        <f t="shared" si="213"/>
        <v>0</v>
      </c>
      <c r="AZ394" s="2720">
        <f t="shared" si="214"/>
        <v>0</v>
      </c>
      <c r="BA394" s="2720">
        <f t="shared" si="215"/>
        <v>0</v>
      </c>
      <c r="BB394" s="2720">
        <f t="shared" si="216"/>
        <v>0</v>
      </c>
      <c r="BC394" s="2720">
        <f t="shared" si="217"/>
        <v>0</v>
      </c>
      <c r="BD394" s="2720">
        <f t="shared" si="218"/>
        <v>0</v>
      </c>
      <c r="BE394" s="2720">
        <f t="shared" si="219"/>
        <v>0</v>
      </c>
      <c r="BF394" s="2720">
        <f t="shared" si="220"/>
        <v>0</v>
      </c>
      <c r="BG394" s="2720">
        <f t="shared" si="221"/>
        <v>0</v>
      </c>
      <c r="BH394" s="2720">
        <f t="shared" si="222"/>
        <v>0</v>
      </c>
      <c r="BI394" s="2720">
        <f t="shared" si="223"/>
        <v>0</v>
      </c>
      <c r="BJ394" s="2720">
        <f t="shared" si="224"/>
        <v>0</v>
      </c>
      <c r="BK394" s="2720">
        <f t="shared" si="225"/>
        <v>0</v>
      </c>
      <c r="BL394" s="2720">
        <f t="shared" si="226"/>
        <v>0</v>
      </c>
      <c r="BM394" s="2720">
        <f t="shared" si="227"/>
        <v>0</v>
      </c>
      <c r="BN394" s="2720">
        <f t="shared" si="228"/>
        <v>0</v>
      </c>
      <c r="BO394" s="2720">
        <f t="shared" si="229"/>
        <v>0</v>
      </c>
      <c r="BP394" s="2720">
        <f t="shared" si="230"/>
        <v>0</v>
      </c>
      <c r="BQ394" s="2720">
        <f t="shared" si="231"/>
        <v>0</v>
      </c>
      <c r="BR394" s="2720">
        <f t="shared" si="232"/>
        <v>0</v>
      </c>
      <c r="BS394" s="2720">
        <f t="shared" si="233"/>
        <v>0</v>
      </c>
      <c r="BT394" s="2772">
        <f t="shared" si="234"/>
        <v>0</v>
      </c>
    </row>
    <row r="395" spans="1:72">
      <c r="A395" s="2717"/>
      <c r="B395" s="2717"/>
      <c r="C395" s="2717"/>
      <c r="D395" s="2719"/>
      <c r="E395" s="2720">
        <f t="shared" si="235"/>
        <v>0</v>
      </c>
      <c r="F395" s="2773"/>
      <c r="G395" s="2722">
        <f t="shared" si="210"/>
        <v>0</v>
      </c>
      <c r="H395" s="2723">
        <f t="shared" si="211"/>
        <v>0</v>
      </c>
      <c r="I395" s="2774"/>
      <c r="J395" s="2774"/>
      <c r="K395" s="2730"/>
      <c r="L395" s="2730"/>
      <c r="M395" s="2730"/>
      <c r="N395" s="2730"/>
      <c r="O395" s="2730"/>
      <c r="P395" s="2730"/>
      <c r="Q395" s="2730"/>
      <c r="R395" s="2730"/>
      <c r="S395" s="2730"/>
      <c r="T395" s="2730"/>
      <c r="U395" s="2730"/>
      <c r="V395" s="2730"/>
      <c r="W395" s="2730"/>
      <c r="X395" s="2730"/>
      <c r="Y395" s="2730"/>
      <c r="Z395" s="2730"/>
      <c r="AA395" s="2730"/>
      <c r="AB395" s="2730"/>
      <c r="AC395" s="2720">
        <f t="shared" si="212"/>
        <v>0</v>
      </c>
      <c r="AD395" s="2740"/>
      <c r="AE395" s="2740"/>
      <c r="AF395" s="2740"/>
      <c r="AG395" s="2740"/>
      <c r="AH395" s="2740"/>
      <c r="AI395" s="2740"/>
      <c r="AJ395" s="2740"/>
      <c r="AK395" s="2740"/>
      <c r="AL395" s="2740"/>
      <c r="AM395" s="2740"/>
      <c r="AN395" s="2740"/>
      <c r="AO395" s="2740"/>
      <c r="AP395" s="2740"/>
      <c r="AQ395" s="2740"/>
      <c r="AR395" s="2740"/>
      <c r="AS395" s="2740"/>
      <c r="AT395" s="2740"/>
      <c r="AU395" s="2775"/>
      <c r="AV395" s="1092">
        <f t="shared" si="236"/>
        <v>0</v>
      </c>
      <c r="AW395" s="1092">
        <f t="shared" si="237"/>
        <v>0</v>
      </c>
      <c r="AX395" s="1092">
        <f t="shared" si="238"/>
        <v>0</v>
      </c>
      <c r="AY395" s="2765">
        <f t="shared" si="213"/>
        <v>0</v>
      </c>
      <c r="AZ395" s="2720">
        <f t="shared" si="214"/>
        <v>0</v>
      </c>
      <c r="BA395" s="2720">
        <f t="shared" si="215"/>
        <v>0</v>
      </c>
      <c r="BB395" s="2720">
        <f t="shared" si="216"/>
        <v>0</v>
      </c>
      <c r="BC395" s="2720">
        <f t="shared" si="217"/>
        <v>0</v>
      </c>
      <c r="BD395" s="2720">
        <f t="shared" si="218"/>
        <v>0</v>
      </c>
      <c r="BE395" s="2720">
        <f t="shared" si="219"/>
        <v>0</v>
      </c>
      <c r="BF395" s="2720">
        <f t="shared" si="220"/>
        <v>0</v>
      </c>
      <c r="BG395" s="2720">
        <f t="shared" si="221"/>
        <v>0</v>
      </c>
      <c r="BH395" s="2720">
        <f t="shared" si="222"/>
        <v>0</v>
      </c>
      <c r="BI395" s="2720">
        <f t="shared" si="223"/>
        <v>0</v>
      </c>
      <c r="BJ395" s="2720">
        <f t="shared" si="224"/>
        <v>0</v>
      </c>
      <c r="BK395" s="2720">
        <f t="shared" si="225"/>
        <v>0</v>
      </c>
      <c r="BL395" s="2720">
        <f t="shared" si="226"/>
        <v>0</v>
      </c>
      <c r="BM395" s="2720">
        <f t="shared" si="227"/>
        <v>0</v>
      </c>
      <c r="BN395" s="2720">
        <f t="shared" si="228"/>
        <v>0</v>
      </c>
      <c r="BO395" s="2720">
        <f t="shared" si="229"/>
        <v>0</v>
      </c>
      <c r="BP395" s="2720">
        <f t="shared" si="230"/>
        <v>0</v>
      </c>
      <c r="BQ395" s="2720">
        <f t="shared" si="231"/>
        <v>0</v>
      </c>
      <c r="BR395" s="2720">
        <f t="shared" si="232"/>
        <v>0</v>
      </c>
      <c r="BS395" s="2720">
        <f t="shared" si="233"/>
        <v>0</v>
      </c>
      <c r="BT395" s="2772">
        <f t="shared" si="234"/>
        <v>0</v>
      </c>
    </row>
    <row r="396" spans="1:72">
      <c r="A396" s="2717"/>
      <c r="B396" s="2717"/>
      <c r="C396" s="2717"/>
      <c r="D396" s="2719"/>
      <c r="E396" s="2720">
        <f t="shared" si="235"/>
        <v>0</v>
      </c>
      <c r="F396" s="2773"/>
      <c r="G396" s="2722">
        <f t="shared" si="210"/>
        <v>0</v>
      </c>
      <c r="H396" s="2723">
        <f t="shared" si="211"/>
        <v>0</v>
      </c>
      <c r="I396" s="2730"/>
      <c r="J396" s="2730"/>
      <c r="K396" s="2730"/>
      <c r="L396" s="2730"/>
      <c r="M396" s="2730"/>
      <c r="N396" s="2730"/>
      <c r="O396" s="2730"/>
      <c r="P396" s="2730"/>
      <c r="Q396" s="2730"/>
      <c r="R396" s="2730"/>
      <c r="S396" s="2730"/>
      <c r="T396" s="2730"/>
      <c r="U396" s="2730"/>
      <c r="V396" s="2730"/>
      <c r="W396" s="2730"/>
      <c r="X396" s="2730"/>
      <c r="Y396" s="2730"/>
      <c r="Z396" s="2730"/>
      <c r="AA396" s="2730"/>
      <c r="AB396" s="2730"/>
      <c r="AC396" s="2720">
        <f t="shared" si="212"/>
        <v>0</v>
      </c>
      <c r="AD396" s="2740"/>
      <c r="AE396" s="2740"/>
      <c r="AF396" s="2740"/>
      <c r="AG396" s="2740"/>
      <c r="AH396" s="2740"/>
      <c r="AI396" s="2740"/>
      <c r="AJ396" s="2740"/>
      <c r="AK396" s="2740"/>
      <c r="AL396" s="2740"/>
      <c r="AM396" s="2740"/>
      <c r="AN396" s="2740"/>
      <c r="AO396" s="2740"/>
      <c r="AP396" s="2740"/>
      <c r="AQ396" s="2740"/>
      <c r="AR396" s="2740"/>
      <c r="AS396" s="2740"/>
      <c r="AT396" s="2740"/>
      <c r="AU396" s="2775"/>
      <c r="AV396" s="1092">
        <f t="shared" si="236"/>
        <v>0</v>
      </c>
      <c r="AW396" s="1092">
        <f t="shared" si="237"/>
        <v>0</v>
      </c>
      <c r="AX396" s="1092">
        <f t="shared" si="238"/>
        <v>0</v>
      </c>
      <c r="AY396" s="2765">
        <f t="shared" si="213"/>
        <v>0</v>
      </c>
      <c r="AZ396" s="2720">
        <f t="shared" si="214"/>
        <v>0</v>
      </c>
      <c r="BA396" s="2720">
        <f t="shared" si="215"/>
        <v>0</v>
      </c>
      <c r="BB396" s="2720">
        <f t="shared" si="216"/>
        <v>0</v>
      </c>
      <c r="BC396" s="2720">
        <f t="shared" si="217"/>
        <v>0</v>
      </c>
      <c r="BD396" s="2720">
        <f t="shared" si="218"/>
        <v>0</v>
      </c>
      <c r="BE396" s="2720">
        <f t="shared" si="219"/>
        <v>0</v>
      </c>
      <c r="BF396" s="2720">
        <f t="shared" si="220"/>
        <v>0</v>
      </c>
      <c r="BG396" s="2720">
        <f t="shared" si="221"/>
        <v>0</v>
      </c>
      <c r="BH396" s="2720">
        <f t="shared" si="222"/>
        <v>0</v>
      </c>
      <c r="BI396" s="2720">
        <f t="shared" si="223"/>
        <v>0</v>
      </c>
      <c r="BJ396" s="2720">
        <f t="shared" si="224"/>
        <v>0</v>
      </c>
      <c r="BK396" s="2720">
        <f t="shared" si="225"/>
        <v>0</v>
      </c>
      <c r="BL396" s="2720">
        <f t="shared" si="226"/>
        <v>0</v>
      </c>
      <c r="BM396" s="2720">
        <f t="shared" si="227"/>
        <v>0</v>
      </c>
      <c r="BN396" s="2720">
        <f t="shared" si="228"/>
        <v>0</v>
      </c>
      <c r="BO396" s="2720">
        <f t="shared" si="229"/>
        <v>0</v>
      </c>
      <c r="BP396" s="2720">
        <f t="shared" si="230"/>
        <v>0</v>
      </c>
      <c r="BQ396" s="2720">
        <f t="shared" si="231"/>
        <v>0</v>
      </c>
      <c r="BR396" s="2720">
        <f t="shared" si="232"/>
        <v>0</v>
      </c>
      <c r="BS396" s="2720">
        <f t="shared" si="233"/>
        <v>0</v>
      </c>
      <c r="BT396" s="2772">
        <f t="shared" si="234"/>
        <v>0</v>
      </c>
    </row>
    <row r="397" spans="1:72">
      <c r="A397" s="2717"/>
      <c r="B397" s="2717"/>
      <c r="C397" s="2717"/>
      <c r="D397" s="2719"/>
      <c r="E397" s="2720">
        <f t="shared" si="235"/>
        <v>0</v>
      </c>
      <c r="F397" s="2773"/>
      <c r="G397" s="2722">
        <f t="shared" si="210"/>
        <v>0</v>
      </c>
      <c r="H397" s="2723">
        <f t="shared" si="211"/>
        <v>0</v>
      </c>
      <c r="I397" s="2730"/>
      <c r="J397" s="2730"/>
      <c r="K397" s="2730"/>
      <c r="L397" s="2730"/>
      <c r="M397" s="2730"/>
      <c r="N397" s="2730"/>
      <c r="O397" s="2730"/>
      <c r="P397" s="2730"/>
      <c r="Q397" s="2730"/>
      <c r="R397" s="2730"/>
      <c r="S397" s="2730"/>
      <c r="T397" s="2730"/>
      <c r="U397" s="2730"/>
      <c r="V397" s="2730"/>
      <c r="W397" s="2730"/>
      <c r="X397" s="2730"/>
      <c r="Y397" s="2730"/>
      <c r="Z397" s="2730"/>
      <c r="AA397" s="2730"/>
      <c r="AB397" s="2730"/>
      <c r="AC397" s="2720">
        <f t="shared" si="212"/>
        <v>0</v>
      </c>
      <c r="AD397" s="2740"/>
      <c r="AE397" s="2740"/>
      <c r="AF397" s="2740"/>
      <c r="AG397" s="2740"/>
      <c r="AH397" s="2740"/>
      <c r="AI397" s="2740"/>
      <c r="AJ397" s="2740"/>
      <c r="AK397" s="2740"/>
      <c r="AL397" s="2740"/>
      <c r="AM397" s="2740"/>
      <c r="AN397" s="2740"/>
      <c r="AO397" s="2740"/>
      <c r="AP397" s="2740"/>
      <c r="AQ397" s="2740"/>
      <c r="AR397" s="2740"/>
      <c r="AS397" s="2740"/>
      <c r="AT397" s="2740"/>
      <c r="AU397" s="2775"/>
      <c r="AV397" s="1092">
        <f t="shared" si="236"/>
        <v>0</v>
      </c>
      <c r="AW397" s="1092">
        <f t="shared" si="237"/>
        <v>0</v>
      </c>
      <c r="AX397" s="1092">
        <f t="shared" si="238"/>
        <v>0</v>
      </c>
      <c r="AY397" s="2765">
        <f t="shared" si="213"/>
        <v>0</v>
      </c>
      <c r="AZ397" s="2720">
        <f t="shared" si="214"/>
        <v>0</v>
      </c>
      <c r="BA397" s="2720">
        <f t="shared" si="215"/>
        <v>0</v>
      </c>
      <c r="BB397" s="2720">
        <f t="shared" si="216"/>
        <v>0</v>
      </c>
      <c r="BC397" s="2720">
        <f t="shared" si="217"/>
        <v>0</v>
      </c>
      <c r="BD397" s="2720">
        <f t="shared" si="218"/>
        <v>0</v>
      </c>
      <c r="BE397" s="2720">
        <f t="shared" si="219"/>
        <v>0</v>
      </c>
      <c r="BF397" s="2720">
        <f t="shared" si="220"/>
        <v>0</v>
      </c>
      <c r="BG397" s="2720">
        <f t="shared" si="221"/>
        <v>0</v>
      </c>
      <c r="BH397" s="2720">
        <f t="shared" si="222"/>
        <v>0</v>
      </c>
      <c r="BI397" s="2720">
        <f t="shared" si="223"/>
        <v>0</v>
      </c>
      <c r="BJ397" s="2720">
        <f t="shared" si="224"/>
        <v>0</v>
      </c>
      <c r="BK397" s="2720">
        <f t="shared" si="225"/>
        <v>0</v>
      </c>
      <c r="BL397" s="2720">
        <f t="shared" si="226"/>
        <v>0</v>
      </c>
      <c r="BM397" s="2720">
        <f t="shared" si="227"/>
        <v>0</v>
      </c>
      <c r="BN397" s="2720">
        <f t="shared" si="228"/>
        <v>0</v>
      </c>
      <c r="BO397" s="2720">
        <f t="shared" si="229"/>
        <v>0</v>
      </c>
      <c r="BP397" s="2720">
        <f t="shared" si="230"/>
        <v>0</v>
      </c>
      <c r="BQ397" s="2720">
        <f t="shared" si="231"/>
        <v>0</v>
      </c>
      <c r="BR397" s="2720">
        <f t="shared" si="232"/>
        <v>0</v>
      </c>
      <c r="BS397" s="2720">
        <f t="shared" si="233"/>
        <v>0</v>
      </c>
      <c r="BT397" s="2772">
        <f t="shared" si="234"/>
        <v>0</v>
      </c>
    </row>
    <row r="398" spans="1:72">
      <c r="A398" s="2717"/>
      <c r="B398" s="2718"/>
      <c r="C398" s="2718"/>
      <c r="D398" s="2719"/>
      <c r="E398" s="2720">
        <f t="shared" ref="E398:E492" si="239">IF($C$3="是",ROUND($A$3*G398/$B$3,2),ROUND($A$3*(G398-AT398)/$B$3,2))</f>
        <v>0</v>
      </c>
      <c r="F398" s="2721"/>
      <c r="G398" s="2722">
        <f t="shared" ref="G398:G489" si="240">H398+AC398+AT398</f>
        <v>0</v>
      </c>
      <c r="H398" s="2723">
        <f t="shared" ref="H398:H489" si="241">SUMIF(I$12:AB$12,"总值",I398:AB398)</f>
        <v>0</v>
      </c>
      <c r="I398" s="2730"/>
      <c r="J398" s="2730"/>
      <c r="K398" s="2730"/>
      <c r="L398" s="2730"/>
      <c r="M398" s="2730"/>
      <c r="N398" s="2730"/>
      <c r="O398" s="2730"/>
      <c r="P398" s="2730"/>
      <c r="Q398" s="2730"/>
      <c r="R398" s="2730"/>
      <c r="S398" s="2730"/>
      <c r="T398" s="2730"/>
      <c r="U398" s="2730"/>
      <c r="V398" s="2730"/>
      <c r="W398" s="2730"/>
      <c r="X398" s="2730"/>
      <c r="Y398" s="2730"/>
      <c r="Z398" s="2730"/>
      <c r="AA398" s="2730"/>
      <c r="AB398" s="2730"/>
      <c r="AC398" s="2720">
        <f t="shared" ref="AC398:AC489" si="242">SUMIF(AD$12:AS$12,"总值",AD398:AS398)</f>
        <v>0</v>
      </c>
      <c r="AD398" s="2740"/>
      <c r="AE398" s="2740"/>
      <c r="AF398" s="2740"/>
      <c r="AG398" s="2740"/>
      <c r="AH398" s="2740"/>
      <c r="AI398" s="2740"/>
      <c r="AJ398" s="2740"/>
      <c r="AK398" s="2740"/>
      <c r="AL398" s="2740"/>
      <c r="AM398" s="2740"/>
      <c r="AN398" s="2740"/>
      <c r="AO398" s="2740"/>
      <c r="AP398" s="2740"/>
      <c r="AQ398" s="2740"/>
      <c r="AR398" s="2740"/>
      <c r="AS398" s="2740"/>
      <c r="AT398" s="2750"/>
      <c r="AU398" s="2751"/>
      <c r="AV398" s="1092">
        <f t="shared" ref="AV398:AV492" si="243">A398</f>
        <v>0</v>
      </c>
      <c r="AW398" s="1092">
        <f t="shared" ref="AW398:AW492" si="244">B398</f>
        <v>0</v>
      </c>
      <c r="AX398" s="1092">
        <f t="shared" ref="AX398:AX492" si="245">C398</f>
        <v>0</v>
      </c>
      <c r="AY398" s="2765">
        <f t="shared" ref="AY398:AY489" si="246">ROUND($AY$6*AZ398/$AZ$5,2)</f>
        <v>0</v>
      </c>
      <c r="AZ398" s="2720">
        <f t="shared" ref="AZ398:AZ489" si="247">BA398+BL398</f>
        <v>0</v>
      </c>
      <c r="BA398" s="2720">
        <f t="shared" ref="BA398:BA489" si="248">SUM(BB398:BK398)</f>
        <v>0</v>
      </c>
      <c r="BB398" s="2720">
        <f t="shared" ref="BB398:BB489" si="249">IF($D398="是",I398-J398,0)</f>
        <v>0</v>
      </c>
      <c r="BC398" s="2720">
        <f t="shared" ref="BC398:BC489" si="250">IF($D398="是",K398-L398,0)</f>
        <v>0</v>
      </c>
      <c r="BD398" s="2720">
        <f t="shared" ref="BD398:BD489" si="251">IF($D398="是",M398-N398,0)</f>
        <v>0</v>
      </c>
      <c r="BE398" s="2720">
        <f t="shared" ref="BE398:BE489" si="252">IF($D398="是",O398-P398,0)</f>
        <v>0</v>
      </c>
      <c r="BF398" s="2720">
        <f t="shared" ref="BF398:BF489" si="253">IF($D398="是",Q398-R398,0)</f>
        <v>0</v>
      </c>
      <c r="BG398" s="2720">
        <f t="shared" ref="BG398:BG489" si="254">IF($D398="是",S398-T398,0)</f>
        <v>0</v>
      </c>
      <c r="BH398" s="2720">
        <f t="shared" ref="BH398:BH489" si="255">IF($D398="是",U398-V398,0)</f>
        <v>0</v>
      </c>
      <c r="BI398" s="2720">
        <f t="shared" ref="BI398:BI489" si="256">IF($D398="是",W398-X398,0)</f>
        <v>0</v>
      </c>
      <c r="BJ398" s="2720">
        <f t="shared" ref="BJ398:BJ489" si="257">IF($D398="是",Y398-Z398,0)</f>
        <v>0</v>
      </c>
      <c r="BK398" s="2720">
        <f t="shared" ref="BK398:BK489" si="258">IF($D398="是",AA398-AB398,0)</f>
        <v>0</v>
      </c>
      <c r="BL398" s="2720">
        <f t="shared" ref="BL398:BL489" si="259">SUM(BM398:BT398)</f>
        <v>0</v>
      </c>
      <c r="BM398" s="2720">
        <f t="shared" ref="BM398:BM489" si="260">IF($D398="是",AD398-AE398,0)</f>
        <v>0</v>
      </c>
      <c r="BN398" s="2720">
        <f t="shared" ref="BN398:BN489" si="261">IF($D398="是",AF398-AG398,0)</f>
        <v>0</v>
      </c>
      <c r="BO398" s="2720">
        <f t="shared" ref="BO398:BO489" si="262">IF($D398="是",AH398-AI398,0)</f>
        <v>0</v>
      </c>
      <c r="BP398" s="2720">
        <f t="shared" ref="BP398:BP489" si="263">IF($D398="是",AJ398-AK398,0)</f>
        <v>0</v>
      </c>
      <c r="BQ398" s="2720">
        <f t="shared" ref="BQ398:BQ489" si="264">IF($D398="是",AL398-AM398,0)</f>
        <v>0</v>
      </c>
      <c r="BR398" s="2720">
        <f t="shared" ref="BR398:BR489" si="265">IF($D398="是",AN398-AO398,0)</f>
        <v>0</v>
      </c>
      <c r="BS398" s="2720">
        <f t="shared" ref="BS398:BS489" si="266">IF($D398="是",AP398-AQ398,0)</f>
        <v>0</v>
      </c>
      <c r="BT398" s="2772">
        <f t="shared" ref="BT398:BT489" si="267">IF($D398="是",AR398-AS398,0)</f>
        <v>0</v>
      </c>
    </row>
    <row r="399" spans="1:72">
      <c r="A399" s="2717"/>
      <c r="B399" s="2718"/>
      <c r="C399" s="2718"/>
      <c r="D399" s="2719"/>
      <c r="E399" s="2720">
        <f t="shared" si="239"/>
        <v>0</v>
      </c>
      <c r="F399" s="2721"/>
      <c r="G399" s="2722">
        <f t="shared" si="240"/>
        <v>0</v>
      </c>
      <c r="H399" s="2723">
        <f t="shared" si="241"/>
        <v>0</v>
      </c>
      <c r="I399" s="2730"/>
      <c r="J399" s="2730"/>
      <c r="K399" s="2730"/>
      <c r="L399" s="2730"/>
      <c r="M399" s="2730"/>
      <c r="N399" s="2730"/>
      <c r="O399" s="2730"/>
      <c r="P399" s="2730"/>
      <c r="Q399" s="2730"/>
      <c r="R399" s="2730"/>
      <c r="S399" s="2730"/>
      <c r="T399" s="2730"/>
      <c r="U399" s="2730"/>
      <c r="V399" s="2730"/>
      <c r="W399" s="2730"/>
      <c r="X399" s="2730"/>
      <c r="Y399" s="2730"/>
      <c r="Z399" s="2730"/>
      <c r="AA399" s="2730"/>
      <c r="AB399" s="2730"/>
      <c r="AC399" s="2720">
        <f t="shared" si="242"/>
        <v>0</v>
      </c>
      <c r="AD399" s="2740"/>
      <c r="AE399" s="2740"/>
      <c r="AF399" s="2740"/>
      <c r="AG399" s="2740"/>
      <c r="AH399" s="2740"/>
      <c r="AI399" s="2740"/>
      <c r="AJ399" s="2740"/>
      <c r="AK399" s="2740"/>
      <c r="AL399" s="2740"/>
      <c r="AM399" s="2740"/>
      <c r="AN399" s="2740"/>
      <c r="AO399" s="2740"/>
      <c r="AP399" s="2740"/>
      <c r="AQ399" s="2740"/>
      <c r="AR399" s="2740"/>
      <c r="AS399" s="2740"/>
      <c r="AT399" s="2750"/>
      <c r="AU399" s="2751"/>
      <c r="AV399" s="1092">
        <f t="shared" si="243"/>
        <v>0</v>
      </c>
      <c r="AW399" s="1092">
        <f t="shared" si="244"/>
        <v>0</v>
      </c>
      <c r="AX399" s="1092">
        <f t="shared" si="245"/>
        <v>0</v>
      </c>
      <c r="AY399" s="2765">
        <f t="shared" si="246"/>
        <v>0</v>
      </c>
      <c r="AZ399" s="2720">
        <f t="shared" si="247"/>
        <v>0</v>
      </c>
      <c r="BA399" s="2720">
        <f t="shared" si="248"/>
        <v>0</v>
      </c>
      <c r="BB399" s="2720">
        <f t="shared" si="249"/>
        <v>0</v>
      </c>
      <c r="BC399" s="2720">
        <f t="shared" si="250"/>
        <v>0</v>
      </c>
      <c r="BD399" s="2720">
        <f t="shared" si="251"/>
        <v>0</v>
      </c>
      <c r="BE399" s="2720">
        <f t="shared" si="252"/>
        <v>0</v>
      </c>
      <c r="BF399" s="2720">
        <f t="shared" si="253"/>
        <v>0</v>
      </c>
      <c r="BG399" s="2720">
        <f t="shared" si="254"/>
        <v>0</v>
      </c>
      <c r="BH399" s="2720">
        <f t="shared" si="255"/>
        <v>0</v>
      </c>
      <c r="BI399" s="2720">
        <f t="shared" si="256"/>
        <v>0</v>
      </c>
      <c r="BJ399" s="2720">
        <f t="shared" si="257"/>
        <v>0</v>
      </c>
      <c r="BK399" s="2720">
        <f t="shared" si="258"/>
        <v>0</v>
      </c>
      <c r="BL399" s="2720">
        <f t="shared" si="259"/>
        <v>0</v>
      </c>
      <c r="BM399" s="2720">
        <f t="shared" si="260"/>
        <v>0</v>
      </c>
      <c r="BN399" s="2720">
        <f t="shared" si="261"/>
        <v>0</v>
      </c>
      <c r="BO399" s="2720">
        <f t="shared" si="262"/>
        <v>0</v>
      </c>
      <c r="BP399" s="2720">
        <f t="shared" si="263"/>
        <v>0</v>
      </c>
      <c r="BQ399" s="2720">
        <f t="shared" si="264"/>
        <v>0</v>
      </c>
      <c r="BR399" s="2720">
        <f t="shared" si="265"/>
        <v>0</v>
      </c>
      <c r="BS399" s="2720">
        <f t="shared" si="266"/>
        <v>0</v>
      </c>
      <c r="BT399" s="2772">
        <f t="shared" si="267"/>
        <v>0</v>
      </c>
    </row>
    <row r="400" spans="1:72">
      <c r="A400" s="2717"/>
      <c r="B400" s="2718"/>
      <c r="C400" s="2718"/>
      <c r="D400" s="2719"/>
      <c r="E400" s="2720">
        <f t="shared" si="239"/>
        <v>0</v>
      </c>
      <c r="F400" s="2721"/>
      <c r="G400" s="2722">
        <f t="shared" si="240"/>
        <v>0</v>
      </c>
      <c r="H400" s="2723">
        <f t="shared" si="241"/>
        <v>0</v>
      </c>
      <c r="I400" s="2730"/>
      <c r="J400" s="2730"/>
      <c r="K400" s="2730"/>
      <c r="L400" s="2730"/>
      <c r="M400" s="2730"/>
      <c r="N400" s="2730"/>
      <c r="O400" s="2730"/>
      <c r="P400" s="2730"/>
      <c r="Q400" s="2730"/>
      <c r="R400" s="2730"/>
      <c r="S400" s="2730"/>
      <c r="T400" s="2730"/>
      <c r="U400" s="2730"/>
      <c r="V400" s="2730"/>
      <c r="W400" s="2730"/>
      <c r="X400" s="2730"/>
      <c r="Y400" s="2730"/>
      <c r="Z400" s="2730"/>
      <c r="AA400" s="2730"/>
      <c r="AB400" s="2730"/>
      <c r="AC400" s="2720">
        <f t="shared" si="242"/>
        <v>0</v>
      </c>
      <c r="AD400" s="2740"/>
      <c r="AE400" s="2740"/>
      <c r="AF400" s="2740"/>
      <c r="AG400" s="2740"/>
      <c r="AH400" s="2740"/>
      <c r="AI400" s="2740"/>
      <c r="AJ400" s="2740"/>
      <c r="AK400" s="2740"/>
      <c r="AL400" s="2740"/>
      <c r="AM400" s="2740"/>
      <c r="AN400" s="2740"/>
      <c r="AO400" s="2740"/>
      <c r="AP400" s="2740"/>
      <c r="AQ400" s="2740"/>
      <c r="AR400" s="2740"/>
      <c r="AS400" s="2740"/>
      <c r="AT400" s="2750"/>
      <c r="AU400" s="2751"/>
      <c r="AV400" s="1092">
        <f t="shared" si="243"/>
        <v>0</v>
      </c>
      <c r="AW400" s="1092">
        <f t="shared" si="244"/>
        <v>0</v>
      </c>
      <c r="AX400" s="1092">
        <f t="shared" si="245"/>
        <v>0</v>
      </c>
      <c r="AY400" s="2765">
        <f t="shared" si="246"/>
        <v>0</v>
      </c>
      <c r="AZ400" s="2720">
        <f t="shared" si="247"/>
        <v>0</v>
      </c>
      <c r="BA400" s="2720">
        <f t="shared" si="248"/>
        <v>0</v>
      </c>
      <c r="BB400" s="2720">
        <f t="shared" si="249"/>
        <v>0</v>
      </c>
      <c r="BC400" s="2720">
        <f t="shared" si="250"/>
        <v>0</v>
      </c>
      <c r="BD400" s="2720">
        <f t="shared" si="251"/>
        <v>0</v>
      </c>
      <c r="BE400" s="2720">
        <f t="shared" si="252"/>
        <v>0</v>
      </c>
      <c r="BF400" s="2720">
        <f t="shared" si="253"/>
        <v>0</v>
      </c>
      <c r="BG400" s="2720">
        <f t="shared" si="254"/>
        <v>0</v>
      </c>
      <c r="BH400" s="2720">
        <f t="shared" si="255"/>
        <v>0</v>
      </c>
      <c r="BI400" s="2720">
        <f t="shared" si="256"/>
        <v>0</v>
      </c>
      <c r="BJ400" s="2720">
        <f t="shared" si="257"/>
        <v>0</v>
      </c>
      <c r="BK400" s="2720">
        <f t="shared" si="258"/>
        <v>0</v>
      </c>
      <c r="BL400" s="2720">
        <f t="shared" si="259"/>
        <v>0</v>
      </c>
      <c r="BM400" s="2720">
        <f t="shared" si="260"/>
        <v>0</v>
      </c>
      <c r="BN400" s="2720">
        <f t="shared" si="261"/>
        <v>0</v>
      </c>
      <c r="BO400" s="2720">
        <f t="shared" si="262"/>
        <v>0</v>
      </c>
      <c r="BP400" s="2720">
        <f t="shared" si="263"/>
        <v>0</v>
      </c>
      <c r="BQ400" s="2720">
        <f t="shared" si="264"/>
        <v>0</v>
      </c>
      <c r="BR400" s="2720">
        <f t="shared" si="265"/>
        <v>0</v>
      </c>
      <c r="BS400" s="2720">
        <f t="shared" si="266"/>
        <v>0</v>
      </c>
      <c r="BT400" s="2772">
        <f t="shared" si="267"/>
        <v>0</v>
      </c>
    </row>
    <row r="401" spans="1:72">
      <c r="A401" s="2717"/>
      <c r="B401" s="2718"/>
      <c r="C401" s="2718"/>
      <c r="D401" s="2719"/>
      <c r="E401" s="2720">
        <f t="shared" si="239"/>
        <v>0</v>
      </c>
      <c r="F401" s="2721"/>
      <c r="G401" s="2722">
        <f t="shared" si="240"/>
        <v>0</v>
      </c>
      <c r="H401" s="2723">
        <f t="shared" si="241"/>
        <v>0</v>
      </c>
      <c r="I401" s="2730"/>
      <c r="J401" s="2730"/>
      <c r="K401" s="2730"/>
      <c r="L401" s="2730"/>
      <c r="M401" s="2730"/>
      <c r="N401" s="2730"/>
      <c r="O401" s="2730"/>
      <c r="P401" s="2730"/>
      <c r="Q401" s="2730"/>
      <c r="R401" s="2730"/>
      <c r="S401" s="2730"/>
      <c r="T401" s="2730"/>
      <c r="U401" s="2730"/>
      <c r="V401" s="2730"/>
      <c r="W401" s="2730"/>
      <c r="X401" s="2730"/>
      <c r="Y401" s="2730"/>
      <c r="Z401" s="2730"/>
      <c r="AA401" s="2730"/>
      <c r="AB401" s="2730"/>
      <c r="AC401" s="2720">
        <f t="shared" si="242"/>
        <v>0</v>
      </c>
      <c r="AD401" s="2740"/>
      <c r="AE401" s="2740"/>
      <c r="AF401" s="2740"/>
      <c r="AG401" s="2740"/>
      <c r="AH401" s="2740"/>
      <c r="AI401" s="2740"/>
      <c r="AJ401" s="2740"/>
      <c r="AK401" s="2740"/>
      <c r="AL401" s="2740"/>
      <c r="AM401" s="2740"/>
      <c r="AN401" s="2740"/>
      <c r="AO401" s="2740"/>
      <c r="AP401" s="2740"/>
      <c r="AQ401" s="2740"/>
      <c r="AR401" s="2740"/>
      <c r="AS401" s="2740"/>
      <c r="AT401" s="2750"/>
      <c r="AU401" s="2751"/>
      <c r="AV401" s="1092">
        <f t="shared" si="243"/>
        <v>0</v>
      </c>
      <c r="AW401" s="1092">
        <f t="shared" si="244"/>
        <v>0</v>
      </c>
      <c r="AX401" s="1092">
        <f t="shared" si="245"/>
        <v>0</v>
      </c>
      <c r="AY401" s="2765">
        <f t="shared" si="246"/>
        <v>0</v>
      </c>
      <c r="AZ401" s="2720">
        <f t="shared" si="247"/>
        <v>0</v>
      </c>
      <c r="BA401" s="2720">
        <f t="shared" si="248"/>
        <v>0</v>
      </c>
      <c r="BB401" s="2720">
        <f t="shared" si="249"/>
        <v>0</v>
      </c>
      <c r="BC401" s="2720">
        <f t="shared" si="250"/>
        <v>0</v>
      </c>
      <c r="BD401" s="2720">
        <f t="shared" si="251"/>
        <v>0</v>
      </c>
      <c r="BE401" s="2720">
        <f t="shared" si="252"/>
        <v>0</v>
      </c>
      <c r="BF401" s="2720">
        <f t="shared" si="253"/>
        <v>0</v>
      </c>
      <c r="BG401" s="2720">
        <f t="shared" si="254"/>
        <v>0</v>
      </c>
      <c r="BH401" s="2720">
        <f t="shared" si="255"/>
        <v>0</v>
      </c>
      <c r="BI401" s="2720">
        <f t="shared" si="256"/>
        <v>0</v>
      </c>
      <c r="BJ401" s="2720">
        <f t="shared" si="257"/>
        <v>0</v>
      </c>
      <c r="BK401" s="2720">
        <f t="shared" si="258"/>
        <v>0</v>
      </c>
      <c r="BL401" s="2720">
        <f t="shared" si="259"/>
        <v>0</v>
      </c>
      <c r="BM401" s="2720">
        <f t="shared" si="260"/>
        <v>0</v>
      </c>
      <c r="BN401" s="2720">
        <f t="shared" si="261"/>
        <v>0</v>
      </c>
      <c r="BO401" s="2720">
        <f t="shared" si="262"/>
        <v>0</v>
      </c>
      <c r="BP401" s="2720">
        <f t="shared" si="263"/>
        <v>0</v>
      </c>
      <c r="BQ401" s="2720">
        <f t="shared" si="264"/>
        <v>0</v>
      </c>
      <c r="BR401" s="2720">
        <f t="shared" si="265"/>
        <v>0</v>
      </c>
      <c r="BS401" s="2720">
        <f t="shared" si="266"/>
        <v>0</v>
      </c>
      <c r="BT401" s="2772">
        <f t="shared" si="267"/>
        <v>0</v>
      </c>
    </row>
    <row r="402" spans="1:72">
      <c r="A402" s="2717"/>
      <c r="B402" s="2718"/>
      <c r="C402" s="2718"/>
      <c r="D402" s="2719"/>
      <c r="E402" s="2720">
        <f t="shared" si="239"/>
        <v>0</v>
      </c>
      <c r="F402" s="2721"/>
      <c r="G402" s="2722">
        <f t="shared" si="240"/>
        <v>0</v>
      </c>
      <c r="H402" s="2723">
        <f t="shared" si="241"/>
        <v>0</v>
      </c>
      <c r="I402" s="2730"/>
      <c r="J402" s="2730"/>
      <c r="K402" s="2730"/>
      <c r="L402" s="2730"/>
      <c r="M402" s="2730"/>
      <c r="N402" s="2730"/>
      <c r="O402" s="2730"/>
      <c r="P402" s="2730"/>
      <c r="Q402" s="2730"/>
      <c r="R402" s="2730"/>
      <c r="S402" s="2730"/>
      <c r="T402" s="2730"/>
      <c r="U402" s="2730"/>
      <c r="V402" s="2730"/>
      <c r="W402" s="2730"/>
      <c r="X402" s="2730"/>
      <c r="Y402" s="2730"/>
      <c r="Z402" s="2730"/>
      <c r="AA402" s="2730"/>
      <c r="AB402" s="2730"/>
      <c r="AC402" s="2720">
        <f t="shared" si="242"/>
        <v>0</v>
      </c>
      <c r="AD402" s="2740"/>
      <c r="AE402" s="2740"/>
      <c r="AF402" s="2740"/>
      <c r="AG402" s="2740"/>
      <c r="AH402" s="2740"/>
      <c r="AI402" s="2740"/>
      <c r="AJ402" s="2740"/>
      <c r="AK402" s="2740"/>
      <c r="AL402" s="2740"/>
      <c r="AM402" s="2740"/>
      <c r="AN402" s="2740"/>
      <c r="AO402" s="2740"/>
      <c r="AP402" s="2740"/>
      <c r="AQ402" s="2740"/>
      <c r="AR402" s="2740"/>
      <c r="AS402" s="2740"/>
      <c r="AT402" s="2750"/>
      <c r="AU402" s="2751"/>
      <c r="AV402" s="1092">
        <f t="shared" si="243"/>
        <v>0</v>
      </c>
      <c r="AW402" s="1092">
        <f t="shared" si="244"/>
        <v>0</v>
      </c>
      <c r="AX402" s="1092">
        <f t="shared" si="245"/>
        <v>0</v>
      </c>
      <c r="AY402" s="2765">
        <f t="shared" si="246"/>
        <v>0</v>
      </c>
      <c r="AZ402" s="2720">
        <f t="shared" si="247"/>
        <v>0</v>
      </c>
      <c r="BA402" s="2720">
        <f t="shared" si="248"/>
        <v>0</v>
      </c>
      <c r="BB402" s="2720">
        <f t="shared" si="249"/>
        <v>0</v>
      </c>
      <c r="BC402" s="2720">
        <f t="shared" si="250"/>
        <v>0</v>
      </c>
      <c r="BD402" s="2720">
        <f t="shared" si="251"/>
        <v>0</v>
      </c>
      <c r="BE402" s="2720">
        <f t="shared" si="252"/>
        <v>0</v>
      </c>
      <c r="BF402" s="2720">
        <f t="shared" si="253"/>
        <v>0</v>
      </c>
      <c r="BG402" s="2720">
        <f t="shared" si="254"/>
        <v>0</v>
      </c>
      <c r="BH402" s="2720">
        <f t="shared" si="255"/>
        <v>0</v>
      </c>
      <c r="BI402" s="2720">
        <f t="shared" si="256"/>
        <v>0</v>
      </c>
      <c r="BJ402" s="2720">
        <f t="shared" si="257"/>
        <v>0</v>
      </c>
      <c r="BK402" s="2720">
        <f t="shared" si="258"/>
        <v>0</v>
      </c>
      <c r="BL402" s="2720">
        <f t="shared" si="259"/>
        <v>0</v>
      </c>
      <c r="BM402" s="2720">
        <f t="shared" si="260"/>
        <v>0</v>
      </c>
      <c r="BN402" s="2720">
        <f t="shared" si="261"/>
        <v>0</v>
      </c>
      <c r="BO402" s="2720">
        <f t="shared" si="262"/>
        <v>0</v>
      </c>
      <c r="BP402" s="2720">
        <f t="shared" si="263"/>
        <v>0</v>
      </c>
      <c r="BQ402" s="2720">
        <f t="shared" si="264"/>
        <v>0</v>
      </c>
      <c r="BR402" s="2720">
        <f t="shared" si="265"/>
        <v>0</v>
      </c>
      <c r="BS402" s="2720">
        <f t="shared" si="266"/>
        <v>0</v>
      </c>
      <c r="BT402" s="2772">
        <f t="shared" si="267"/>
        <v>0</v>
      </c>
    </row>
    <row r="403" spans="1:72">
      <c r="A403" s="2717"/>
      <c r="B403" s="2718"/>
      <c r="C403" s="2718"/>
      <c r="D403" s="2719"/>
      <c r="E403" s="2720">
        <f t="shared" si="239"/>
        <v>0</v>
      </c>
      <c r="F403" s="2721"/>
      <c r="G403" s="2722">
        <f t="shared" si="240"/>
        <v>0</v>
      </c>
      <c r="H403" s="2723">
        <f t="shared" si="241"/>
        <v>0</v>
      </c>
      <c r="I403" s="2730"/>
      <c r="J403" s="2730"/>
      <c r="K403" s="2730"/>
      <c r="L403" s="2730"/>
      <c r="M403" s="2730"/>
      <c r="N403" s="2730"/>
      <c r="O403" s="2730"/>
      <c r="P403" s="2730"/>
      <c r="Q403" s="2730"/>
      <c r="R403" s="2730"/>
      <c r="S403" s="2730"/>
      <c r="T403" s="2730"/>
      <c r="U403" s="2730"/>
      <c r="V403" s="2730"/>
      <c r="W403" s="2730"/>
      <c r="X403" s="2730"/>
      <c r="Y403" s="2730"/>
      <c r="Z403" s="2730"/>
      <c r="AA403" s="2730"/>
      <c r="AB403" s="2730"/>
      <c r="AC403" s="2720">
        <f t="shared" si="242"/>
        <v>0</v>
      </c>
      <c r="AD403" s="2740"/>
      <c r="AE403" s="2740"/>
      <c r="AF403" s="2740"/>
      <c r="AG403" s="2740"/>
      <c r="AH403" s="2740"/>
      <c r="AI403" s="2740"/>
      <c r="AJ403" s="2740"/>
      <c r="AK403" s="2740"/>
      <c r="AL403" s="2740"/>
      <c r="AM403" s="2740"/>
      <c r="AN403" s="2740"/>
      <c r="AO403" s="2740"/>
      <c r="AP403" s="2740"/>
      <c r="AQ403" s="2740"/>
      <c r="AR403" s="2740"/>
      <c r="AS403" s="2740"/>
      <c r="AT403" s="2750"/>
      <c r="AU403" s="2751"/>
      <c r="AV403" s="1092">
        <f t="shared" si="243"/>
        <v>0</v>
      </c>
      <c r="AW403" s="1092">
        <f t="shared" si="244"/>
        <v>0</v>
      </c>
      <c r="AX403" s="1092">
        <f t="shared" si="245"/>
        <v>0</v>
      </c>
      <c r="AY403" s="2765">
        <f t="shared" si="246"/>
        <v>0</v>
      </c>
      <c r="AZ403" s="2720">
        <f t="shared" si="247"/>
        <v>0</v>
      </c>
      <c r="BA403" s="2720">
        <f t="shared" si="248"/>
        <v>0</v>
      </c>
      <c r="BB403" s="2720">
        <f t="shared" si="249"/>
        <v>0</v>
      </c>
      <c r="BC403" s="2720">
        <f t="shared" si="250"/>
        <v>0</v>
      </c>
      <c r="BD403" s="2720">
        <f t="shared" si="251"/>
        <v>0</v>
      </c>
      <c r="BE403" s="2720">
        <f t="shared" si="252"/>
        <v>0</v>
      </c>
      <c r="BF403" s="2720">
        <f t="shared" si="253"/>
        <v>0</v>
      </c>
      <c r="BG403" s="2720">
        <f t="shared" si="254"/>
        <v>0</v>
      </c>
      <c r="BH403" s="2720">
        <f t="shared" si="255"/>
        <v>0</v>
      </c>
      <c r="BI403" s="2720">
        <f t="shared" si="256"/>
        <v>0</v>
      </c>
      <c r="BJ403" s="2720">
        <f t="shared" si="257"/>
        <v>0</v>
      </c>
      <c r="BK403" s="2720">
        <f t="shared" si="258"/>
        <v>0</v>
      </c>
      <c r="BL403" s="2720">
        <f t="shared" si="259"/>
        <v>0</v>
      </c>
      <c r="BM403" s="2720">
        <f t="shared" si="260"/>
        <v>0</v>
      </c>
      <c r="BN403" s="2720">
        <f t="shared" si="261"/>
        <v>0</v>
      </c>
      <c r="BO403" s="2720">
        <f t="shared" si="262"/>
        <v>0</v>
      </c>
      <c r="BP403" s="2720">
        <f t="shared" si="263"/>
        <v>0</v>
      </c>
      <c r="BQ403" s="2720">
        <f t="shared" si="264"/>
        <v>0</v>
      </c>
      <c r="BR403" s="2720">
        <f t="shared" si="265"/>
        <v>0</v>
      </c>
      <c r="BS403" s="2720">
        <f t="shared" si="266"/>
        <v>0</v>
      </c>
      <c r="BT403" s="2772">
        <f t="shared" si="267"/>
        <v>0</v>
      </c>
    </row>
    <row r="404" spans="1:72">
      <c r="A404" s="2717"/>
      <c r="B404" s="2718"/>
      <c r="C404" s="2718"/>
      <c r="D404" s="2719"/>
      <c r="E404" s="2720">
        <f t="shared" si="239"/>
        <v>0</v>
      </c>
      <c r="F404" s="2721"/>
      <c r="G404" s="2722">
        <f t="shared" si="240"/>
        <v>0</v>
      </c>
      <c r="H404" s="2723">
        <f t="shared" si="241"/>
        <v>0</v>
      </c>
      <c r="I404" s="2730"/>
      <c r="J404" s="2730"/>
      <c r="K404" s="2730"/>
      <c r="L404" s="2730"/>
      <c r="M404" s="2730"/>
      <c r="N404" s="2730"/>
      <c r="O404" s="2730"/>
      <c r="P404" s="2730"/>
      <c r="Q404" s="2730"/>
      <c r="R404" s="2730"/>
      <c r="S404" s="2730"/>
      <c r="T404" s="2730"/>
      <c r="U404" s="2730"/>
      <c r="V404" s="2730"/>
      <c r="W404" s="2730"/>
      <c r="X404" s="2730"/>
      <c r="Y404" s="2730"/>
      <c r="Z404" s="2730"/>
      <c r="AA404" s="2730"/>
      <c r="AB404" s="2730"/>
      <c r="AC404" s="2720">
        <f t="shared" si="242"/>
        <v>0</v>
      </c>
      <c r="AD404" s="2740"/>
      <c r="AE404" s="2740"/>
      <c r="AF404" s="2740"/>
      <c r="AG404" s="2740"/>
      <c r="AH404" s="2740"/>
      <c r="AI404" s="2740"/>
      <c r="AJ404" s="2740"/>
      <c r="AK404" s="2740"/>
      <c r="AL404" s="2740"/>
      <c r="AM404" s="2740"/>
      <c r="AN404" s="2740"/>
      <c r="AO404" s="2740"/>
      <c r="AP404" s="2740"/>
      <c r="AQ404" s="2740"/>
      <c r="AR404" s="2740"/>
      <c r="AS404" s="2740"/>
      <c r="AT404" s="2750"/>
      <c r="AU404" s="2751"/>
      <c r="AV404" s="1092">
        <f t="shared" si="243"/>
        <v>0</v>
      </c>
      <c r="AW404" s="1092">
        <f t="shared" si="244"/>
        <v>0</v>
      </c>
      <c r="AX404" s="1092">
        <f t="shared" si="245"/>
        <v>0</v>
      </c>
      <c r="AY404" s="2765">
        <f t="shared" si="246"/>
        <v>0</v>
      </c>
      <c r="AZ404" s="2720">
        <f t="shared" si="247"/>
        <v>0</v>
      </c>
      <c r="BA404" s="2720">
        <f t="shared" si="248"/>
        <v>0</v>
      </c>
      <c r="BB404" s="2720">
        <f t="shared" si="249"/>
        <v>0</v>
      </c>
      <c r="BC404" s="2720">
        <f t="shared" si="250"/>
        <v>0</v>
      </c>
      <c r="BD404" s="2720">
        <f t="shared" si="251"/>
        <v>0</v>
      </c>
      <c r="BE404" s="2720">
        <f t="shared" si="252"/>
        <v>0</v>
      </c>
      <c r="BF404" s="2720">
        <f t="shared" si="253"/>
        <v>0</v>
      </c>
      <c r="BG404" s="2720">
        <f t="shared" si="254"/>
        <v>0</v>
      </c>
      <c r="BH404" s="2720">
        <f t="shared" si="255"/>
        <v>0</v>
      </c>
      <c r="BI404" s="2720">
        <f t="shared" si="256"/>
        <v>0</v>
      </c>
      <c r="BJ404" s="2720">
        <f t="shared" si="257"/>
        <v>0</v>
      </c>
      <c r="BK404" s="2720">
        <f t="shared" si="258"/>
        <v>0</v>
      </c>
      <c r="BL404" s="2720">
        <f t="shared" si="259"/>
        <v>0</v>
      </c>
      <c r="BM404" s="2720">
        <f t="shared" si="260"/>
        <v>0</v>
      </c>
      <c r="BN404" s="2720">
        <f t="shared" si="261"/>
        <v>0</v>
      </c>
      <c r="BO404" s="2720">
        <f t="shared" si="262"/>
        <v>0</v>
      </c>
      <c r="BP404" s="2720">
        <f t="shared" si="263"/>
        <v>0</v>
      </c>
      <c r="BQ404" s="2720">
        <f t="shared" si="264"/>
        <v>0</v>
      </c>
      <c r="BR404" s="2720">
        <f t="shared" si="265"/>
        <v>0</v>
      </c>
      <c r="BS404" s="2720">
        <f t="shared" si="266"/>
        <v>0</v>
      </c>
      <c r="BT404" s="2772">
        <f t="shared" si="267"/>
        <v>0</v>
      </c>
    </row>
    <row r="405" spans="1:72">
      <c r="A405" s="2717"/>
      <c r="B405" s="2718"/>
      <c r="C405" s="2718"/>
      <c r="D405" s="2719"/>
      <c r="E405" s="2720">
        <f t="shared" si="239"/>
        <v>0</v>
      </c>
      <c r="F405" s="2721"/>
      <c r="G405" s="2722">
        <f t="shared" si="240"/>
        <v>0</v>
      </c>
      <c r="H405" s="2723">
        <f t="shared" si="241"/>
        <v>0</v>
      </c>
      <c r="I405" s="2730"/>
      <c r="J405" s="2730"/>
      <c r="K405" s="2730"/>
      <c r="L405" s="2730"/>
      <c r="M405" s="2730"/>
      <c r="N405" s="2730"/>
      <c r="O405" s="2730"/>
      <c r="P405" s="2730"/>
      <c r="Q405" s="2730"/>
      <c r="R405" s="2730"/>
      <c r="S405" s="2730"/>
      <c r="T405" s="2730"/>
      <c r="U405" s="2730"/>
      <c r="V405" s="2730"/>
      <c r="W405" s="2730"/>
      <c r="X405" s="2730"/>
      <c r="Y405" s="2730"/>
      <c r="Z405" s="2730"/>
      <c r="AA405" s="2730"/>
      <c r="AB405" s="2730"/>
      <c r="AC405" s="2720">
        <f t="shared" si="242"/>
        <v>0</v>
      </c>
      <c r="AD405" s="2740"/>
      <c r="AE405" s="2740"/>
      <c r="AF405" s="2740"/>
      <c r="AG405" s="2740"/>
      <c r="AH405" s="2740"/>
      <c r="AI405" s="2740"/>
      <c r="AJ405" s="2740"/>
      <c r="AK405" s="2740"/>
      <c r="AL405" s="2740"/>
      <c r="AM405" s="2740"/>
      <c r="AN405" s="2740"/>
      <c r="AO405" s="2740"/>
      <c r="AP405" s="2740"/>
      <c r="AQ405" s="2740"/>
      <c r="AR405" s="2740"/>
      <c r="AS405" s="2740"/>
      <c r="AT405" s="2750"/>
      <c r="AU405" s="2751"/>
      <c r="AV405" s="1092">
        <f t="shared" si="243"/>
        <v>0</v>
      </c>
      <c r="AW405" s="1092">
        <f t="shared" si="244"/>
        <v>0</v>
      </c>
      <c r="AX405" s="1092">
        <f t="shared" si="245"/>
        <v>0</v>
      </c>
      <c r="AY405" s="2765">
        <f t="shared" si="246"/>
        <v>0</v>
      </c>
      <c r="AZ405" s="2720">
        <f t="shared" si="247"/>
        <v>0</v>
      </c>
      <c r="BA405" s="2720">
        <f t="shared" si="248"/>
        <v>0</v>
      </c>
      <c r="BB405" s="2720">
        <f t="shared" si="249"/>
        <v>0</v>
      </c>
      <c r="BC405" s="2720">
        <f t="shared" si="250"/>
        <v>0</v>
      </c>
      <c r="BD405" s="2720">
        <f t="shared" si="251"/>
        <v>0</v>
      </c>
      <c r="BE405" s="2720">
        <f t="shared" si="252"/>
        <v>0</v>
      </c>
      <c r="BF405" s="2720">
        <f t="shared" si="253"/>
        <v>0</v>
      </c>
      <c r="BG405" s="2720">
        <f t="shared" si="254"/>
        <v>0</v>
      </c>
      <c r="BH405" s="2720">
        <f t="shared" si="255"/>
        <v>0</v>
      </c>
      <c r="BI405" s="2720">
        <f t="shared" si="256"/>
        <v>0</v>
      </c>
      <c r="BJ405" s="2720">
        <f t="shared" si="257"/>
        <v>0</v>
      </c>
      <c r="BK405" s="2720">
        <f t="shared" si="258"/>
        <v>0</v>
      </c>
      <c r="BL405" s="2720">
        <f t="shared" si="259"/>
        <v>0</v>
      </c>
      <c r="BM405" s="2720">
        <f t="shared" si="260"/>
        <v>0</v>
      </c>
      <c r="BN405" s="2720">
        <f t="shared" si="261"/>
        <v>0</v>
      </c>
      <c r="BO405" s="2720">
        <f t="shared" si="262"/>
        <v>0</v>
      </c>
      <c r="BP405" s="2720">
        <f t="shared" si="263"/>
        <v>0</v>
      </c>
      <c r="BQ405" s="2720">
        <f t="shared" si="264"/>
        <v>0</v>
      </c>
      <c r="BR405" s="2720">
        <f t="shared" si="265"/>
        <v>0</v>
      </c>
      <c r="BS405" s="2720">
        <f t="shared" si="266"/>
        <v>0</v>
      </c>
      <c r="BT405" s="2772">
        <f t="shared" si="267"/>
        <v>0</v>
      </c>
    </row>
    <row r="406" spans="1:72">
      <c r="A406" s="2717"/>
      <c r="B406" s="2718"/>
      <c r="C406" s="2718"/>
      <c r="D406" s="2719"/>
      <c r="E406" s="2720">
        <f t="shared" si="239"/>
        <v>0</v>
      </c>
      <c r="F406" s="2721"/>
      <c r="G406" s="2722">
        <f t="shared" si="240"/>
        <v>0</v>
      </c>
      <c r="H406" s="2723">
        <f t="shared" si="241"/>
        <v>0</v>
      </c>
      <c r="I406" s="2730"/>
      <c r="J406" s="2730"/>
      <c r="K406" s="2730"/>
      <c r="L406" s="2730"/>
      <c r="M406" s="2730"/>
      <c r="N406" s="2730"/>
      <c r="O406" s="2730"/>
      <c r="P406" s="2730"/>
      <c r="Q406" s="2730"/>
      <c r="R406" s="2730"/>
      <c r="S406" s="2730"/>
      <c r="T406" s="2730"/>
      <c r="U406" s="2730"/>
      <c r="V406" s="2730"/>
      <c r="W406" s="2730"/>
      <c r="X406" s="2730"/>
      <c r="Y406" s="2730"/>
      <c r="Z406" s="2730"/>
      <c r="AA406" s="2730"/>
      <c r="AB406" s="2730"/>
      <c r="AC406" s="2720">
        <f t="shared" si="242"/>
        <v>0</v>
      </c>
      <c r="AD406" s="2740"/>
      <c r="AE406" s="2740"/>
      <c r="AF406" s="2740"/>
      <c r="AG406" s="2740"/>
      <c r="AH406" s="2740"/>
      <c r="AI406" s="2740"/>
      <c r="AJ406" s="2740"/>
      <c r="AK406" s="2740"/>
      <c r="AL406" s="2740"/>
      <c r="AM406" s="2740"/>
      <c r="AN406" s="2740"/>
      <c r="AO406" s="2740"/>
      <c r="AP406" s="2740"/>
      <c r="AQ406" s="2740"/>
      <c r="AR406" s="2740"/>
      <c r="AS406" s="2740"/>
      <c r="AT406" s="2750"/>
      <c r="AU406" s="2751"/>
      <c r="AV406" s="1092">
        <f t="shared" si="243"/>
        <v>0</v>
      </c>
      <c r="AW406" s="1092">
        <f t="shared" si="244"/>
        <v>0</v>
      </c>
      <c r="AX406" s="1092">
        <f t="shared" si="245"/>
        <v>0</v>
      </c>
      <c r="AY406" s="2765">
        <f t="shared" si="246"/>
        <v>0</v>
      </c>
      <c r="AZ406" s="2720">
        <f t="shared" si="247"/>
        <v>0</v>
      </c>
      <c r="BA406" s="2720">
        <f t="shared" si="248"/>
        <v>0</v>
      </c>
      <c r="BB406" s="2720">
        <f t="shared" si="249"/>
        <v>0</v>
      </c>
      <c r="BC406" s="2720">
        <f t="shared" si="250"/>
        <v>0</v>
      </c>
      <c r="BD406" s="2720">
        <f t="shared" si="251"/>
        <v>0</v>
      </c>
      <c r="BE406" s="2720">
        <f t="shared" si="252"/>
        <v>0</v>
      </c>
      <c r="BF406" s="2720">
        <f t="shared" si="253"/>
        <v>0</v>
      </c>
      <c r="BG406" s="2720">
        <f t="shared" si="254"/>
        <v>0</v>
      </c>
      <c r="BH406" s="2720">
        <f t="shared" si="255"/>
        <v>0</v>
      </c>
      <c r="BI406" s="2720">
        <f t="shared" si="256"/>
        <v>0</v>
      </c>
      <c r="BJ406" s="2720">
        <f t="shared" si="257"/>
        <v>0</v>
      </c>
      <c r="BK406" s="2720">
        <f t="shared" si="258"/>
        <v>0</v>
      </c>
      <c r="BL406" s="2720">
        <f t="shared" si="259"/>
        <v>0</v>
      </c>
      <c r="BM406" s="2720">
        <f t="shared" si="260"/>
        <v>0</v>
      </c>
      <c r="BN406" s="2720">
        <f t="shared" si="261"/>
        <v>0</v>
      </c>
      <c r="BO406" s="2720">
        <f t="shared" si="262"/>
        <v>0</v>
      </c>
      <c r="BP406" s="2720">
        <f t="shared" si="263"/>
        <v>0</v>
      </c>
      <c r="BQ406" s="2720">
        <f t="shared" si="264"/>
        <v>0</v>
      </c>
      <c r="BR406" s="2720">
        <f t="shared" si="265"/>
        <v>0</v>
      </c>
      <c r="BS406" s="2720">
        <f t="shared" si="266"/>
        <v>0</v>
      </c>
      <c r="BT406" s="2772">
        <f t="shared" si="267"/>
        <v>0</v>
      </c>
    </row>
    <row r="407" spans="1:72">
      <c r="A407" s="2717"/>
      <c r="B407" s="2718"/>
      <c r="C407" s="2718"/>
      <c r="D407" s="2719"/>
      <c r="E407" s="2720">
        <f t="shared" si="239"/>
        <v>0</v>
      </c>
      <c r="F407" s="2721"/>
      <c r="G407" s="2722">
        <f t="shared" si="240"/>
        <v>0</v>
      </c>
      <c r="H407" s="2723">
        <f t="shared" si="241"/>
        <v>0</v>
      </c>
      <c r="I407" s="2730"/>
      <c r="J407" s="2730"/>
      <c r="K407" s="2730"/>
      <c r="L407" s="2730"/>
      <c r="M407" s="2730"/>
      <c r="N407" s="2730"/>
      <c r="O407" s="2730"/>
      <c r="P407" s="2730"/>
      <c r="Q407" s="2730"/>
      <c r="R407" s="2730"/>
      <c r="S407" s="2730"/>
      <c r="T407" s="2730"/>
      <c r="U407" s="2730"/>
      <c r="V407" s="2730"/>
      <c r="W407" s="2730"/>
      <c r="X407" s="2730"/>
      <c r="Y407" s="2730"/>
      <c r="Z407" s="2730"/>
      <c r="AA407" s="2730"/>
      <c r="AB407" s="2730"/>
      <c r="AC407" s="2720">
        <f t="shared" si="242"/>
        <v>0</v>
      </c>
      <c r="AD407" s="2740"/>
      <c r="AE407" s="2740"/>
      <c r="AF407" s="2740"/>
      <c r="AG407" s="2740"/>
      <c r="AH407" s="2740"/>
      <c r="AI407" s="2740"/>
      <c r="AJ407" s="2740"/>
      <c r="AK407" s="2740"/>
      <c r="AL407" s="2740"/>
      <c r="AM407" s="2740"/>
      <c r="AN407" s="2740"/>
      <c r="AO407" s="2740"/>
      <c r="AP407" s="2740"/>
      <c r="AQ407" s="2740"/>
      <c r="AR407" s="2740"/>
      <c r="AS407" s="2740"/>
      <c r="AT407" s="2750"/>
      <c r="AU407" s="2751"/>
      <c r="AV407" s="1092">
        <f t="shared" si="243"/>
        <v>0</v>
      </c>
      <c r="AW407" s="1092">
        <f t="shared" si="244"/>
        <v>0</v>
      </c>
      <c r="AX407" s="1092">
        <f t="shared" si="245"/>
        <v>0</v>
      </c>
      <c r="AY407" s="2765">
        <f t="shared" si="246"/>
        <v>0</v>
      </c>
      <c r="AZ407" s="2720">
        <f t="shared" si="247"/>
        <v>0</v>
      </c>
      <c r="BA407" s="2720">
        <f t="shared" si="248"/>
        <v>0</v>
      </c>
      <c r="BB407" s="2720">
        <f t="shared" si="249"/>
        <v>0</v>
      </c>
      <c r="BC407" s="2720">
        <f t="shared" si="250"/>
        <v>0</v>
      </c>
      <c r="BD407" s="2720">
        <f t="shared" si="251"/>
        <v>0</v>
      </c>
      <c r="BE407" s="2720">
        <f t="shared" si="252"/>
        <v>0</v>
      </c>
      <c r="BF407" s="2720">
        <f t="shared" si="253"/>
        <v>0</v>
      </c>
      <c r="BG407" s="2720">
        <f t="shared" si="254"/>
        <v>0</v>
      </c>
      <c r="BH407" s="2720">
        <f t="shared" si="255"/>
        <v>0</v>
      </c>
      <c r="BI407" s="2720">
        <f t="shared" si="256"/>
        <v>0</v>
      </c>
      <c r="BJ407" s="2720">
        <f t="shared" si="257"/>
        <v>0</v>
      </c>
      <c r="BK407" s="2720">
        <f t="shared" si="258"/>
        <v>0</v>
      </c>
      <c r="BL407" s="2720">
        <f t="shared" si="259"/>
        <v>0</v>
      </c>
      <c r="BM407" s="2720">
        <f t="shared" si="260"/>
        <v>0</v>
      </c>
      <c r="BN407" s="2720">
        <f t="shared" si="261"/>
        <v>0</v>
      </c>
      <c r="BO407" s="2720">
        <f t="shared" si="262"/>
        <v>0</v>
      </c>
      <c r="BP407" s="2720">
        <f t="shared" si="263"/>
        <v>0</v>
      </c>
      <c r="BQ407" s="2720">
        <f t="shared" si="264"/>
        <v>0</v>
      </c>
      <c r="BR407" s="2720">
        <f t="shared" si="265"/>
        <v>0</v>
      </c>
      <c r="BS407" s="2720">
        <f t="shared" si="266"/>
        <v>0</v>
      </c>
      <c r="BT407" s="2772">
        <f t="shared" si="267"/>
        <v>0</v>
      </c>
    </row>
    <row r="408" spans="1:72">
      <c r="A408" s="2717"/>
      <c r="B408" s="2718"/>
      <c r="C408" s="2718"/>
      <c r="D408" s="2719"/>
      <c r="E408" s="2720">
        <f t="shared" si="239"/>
        <v>0</v>
      </c>
      <c r="F408" s="2721"/>
      <c r="G408" s="2722">
        <f t="shared" si="240"/>
        <v>0</v>
      </c>
      <c r="H408" s="2723">
        <f t="shared" si="241"/>
        <v>0</v>
      </c>
      <c r="I408" s="2730"/>
      <c r="J408" s="2730"/>
      <c r="K408" s="2730"/>
      <c r="L408" s="2730"/>
      <c r="M408" s="2730"/>
      <c r="N408" s="2730"/>
      <c r="O408" s="2730"/>
      <c r="P408" s="2730"/>
      <c r="Q408" s="2730"/>
      <c r="R408" s="2730"/>
      <c r="S408" s="2730"/>
      <c r="T408" s="2730"/>
      <c r="U408" s="2730"/>
      <c r="V408" s="2730"/>
      <c r="W408" s="2730"/>
      <c r="X408" s="2730"/>
      <c r="Y408" s="2730"/>
      <c r="Z408" s="2730"/>
      <c r="AA408" s="2730"/>
      <c r="AB408" s="2730"/>
      <c r="AC408" s="2720">
        <f t="shared" si="242"/>
        <v>0</v>
      </c>
      <c r="AD408" s="2740"/>
      <c r="AE408" s="2740"/>
      <c r="AF408" s="2740"/>
      <c r="AG408" s="2740"/>
      <c r="AH408" s="2740"/>
      <c r="AI408" s="2740"/>
      <c r="AJ408" s="2740"/>
      <c r="AK408" s="2740"/>
      <c r="AL408" s="2740"/>
      <c r="AM408" s="2740"/>
      <c r="AN408" s="2740"/>
      <c r="AO408" s="2740"/>
      <c r="AP408" s="2740"/>
      <c r="AQ408" s="2740"/>
      <c r="AR408" s="2740"/>
      <c r="AS408" s="2740"/>
      <c r="AT408" s="2750"/>
      <c r="AU408" s="2751"/>
      <c r="AV408" s="1092">
        <f t="shared" si="243"/>
        <v>0</v>
      </c>
      <c r="AW408" s="1092">
        <f t="shared" si="244"/>
        <v>0</v>
      </c>
      <c r="AX408" s="1092">
        <f t="shared" si="245"/>
        <v>0</v>
      </c>
      <c r="AY408" s="2765">
        <f t="shared" si="246"/>
        <v>0</v>
      </c>
      <c r="AZ408" s="2720">
        <f t="shared" si="247"/>
        <v>0</v>
      </c>
      <c r="BA408" s="2720">
        <f t="shared" si="248"/>
        <v>0</v>
      </c>
      <c r="BB408" s="2720">
        <f t="shared" si="249"/>
        <v>0</v>
      </c>
      <c r="BC408" s="2720">
        <f t="shared" si="250"/>
        <v>0</v>
      </c>
      <c r="BD408" s="2720">
        <f t="shared" si="251"/>
        <v>0</v>
      </c>
      <c r="BE408" s="2720">
        <f t="shared" si="252"/>
        <v>0</v>
      </c>
      <c r="BF408" s="2720">
        <f t="shared" si="253"/>
        <v>0</v>
      </c>
      <c r="BG408" s="2720">
        <f t="shared" si="254"/>
        <v>0</v>
      </c>
      <c r="BH408" s="2720">
        <f t="shared" si="255"/>
        <v>0</v>
      </c>
      <c r="BI408" s="2720">
        <f t="shared" si="256"/>
        <v>0</v>
      </c>
      <c r="BJ408" s="2720">
        <f t="shared" si="257"/>
        <v>0</v>
      </c>
      <c r="BK408" s="2720">
        <f t="shared" si="258"/>
        <v>0</v>
      </c>
      <c r="BL408" s="2720">
        <f t="shared" si="259"/>
        <v>0</v>
      </c>
      <c r="BM408" s="2720">
        <f t="shared" si="260"/>
        <v>0</v>
      </c>
      <c r="BN408" s="2720">
        <f t="shared" si="261"/>
        <v>0</v>
      </c>
      <c r="BO408" s="2720">
        <f t="shared" si="262"/>
        <v>0</v>
      </c>
      <c r="BP408" s="2720">
        <f t="shared" si="263"/>
        <v>0</v>
      </c>
      <c r="BQ408" s="2720">
        <f t="shared" si="264"/>
        <v>0</v>
      </c>
      <c r="BR408" s="2720">
        <f t="shared" si="265"/>
        <v>0</v>
      </c>
      <c r="BS408" s="2720">
        <f t="shared" si="266"/>
        <v>0</v>
      </c>
      <c r="BT408" s="2772">
        <f t="shared" si="267"/>
        <v>0</v>
      </c>
    </row>
    <row r="409" spans="1:72">
      <c r="A409" s="2717"/>
      <c r="B409" s="2718"/>
      <c r="C409" s="2718"/>
      <c r="D409" s="2719"/>
      <c r="E409" s="2720">
        <f t="shared" si="239"/>
        <v>0</v>
      </c>
      <c r="F409" s="2721"/>
      <c r="G409" s="2722">
        <f t="shared" si="240"/>
        <v>0</v>
      </c>
      <c r="H409" s="2723">
        <f t="shared" si="241"/>
        <v>0</v>
      </c>
      <c r="I409" s="2730"/>
      <c r="J409" s="2730"/>
      <c r="K409" s="2730"/>
      <c r="L409" s="2730"/>
      <c r="M409" s="2730"/>
      <c r="N409" s="2730"/>
      <c r="O409" s="2730"/>
      <c r="P409" s="2730"/>
      <c r="Q409" s="2730"/>
      <c r="R409" s="2730"/>
      <c r="S409" s="2730"/>
      <c r="T409" s="2730"/>
      <c r="U409" s="2730"/>
      <c r="V409" s="2730"/>
      <c r="W409" s="2730"/>
      <c r="X409" s="2730"/>
      <c r="Y409" s="2730"/>
      <c r="Z409" s="2730"/>
      <c r="AA409" s="2730"/>
      <c r="AB409" s="2730"/>
      <c r="AC409" s="2720">
        <f t="shared" si="242"/>
        <v>0</v>
      </c>
      <c r="AD409" s="2740"/>
      <c r="AE409" s="2740"/>
      <c r="AF409" s="2740"/>
      <c r="AG409" s="2740"/>
      <c r="AH409" s="2740"/>
      <c r="AI409" s="2740"/>
      <c r="AJ409" s="2740"/>
      <c r="AK409" s="2740"/>
      <c r="AL409" s="2740"/>
      <c r="AM409" s="2740"/>
      <c r="AN409" s="2740"/>
      <c r="AO409" s="2740"/>
      <c r="AP409" s="2740"/>
      <c r="AQ409" s="2740"/>
      <c r="AR409" s="2740"/>
      <c r="AS409" s="2740"/>
      <c r="AT409" s="2750"/>
      <c r="AU409" s="2751"/>
      <c r="AV409" s="1092">
        <f t="shared" si="243"/>
        <v>0</v>
      </c>
      <c r="AW409" s="1092">
        <f t="shared" si="244"/>
        <v>0</v>
      </c>
      <c r="AX409" s="1092">
        <f t="shared" si="245"/>
        <v>0</v>
      </c>
      <c r="AY409" s="2765">
        <f t="shared" si="246"/>
        <v>0</v>
      </c>
      <c r="AZ409" s="2720">
        <f t="shared" si="247"/>
        <v>0</v>
      </c>
      <c r="BA409" s="2720">
        <f t="shared" si="248"/>
        <v>0</v>
      </c>
      <c r="BB409" s="2720">
        <f t="shared" si="249"/>
        <v>0</v>
      </c>
      <c r="BC409" s="2720">
        <f t="shared" si="250"/>
        <v>0</v>
      </c>
      <c r="BD409" s="2720">
        <f t="shared" si="251"/>
        <v>0</v>
      </c>
      <c r="BE409" s="2720">
        <f t="shared" si="252"/>
        <v>0</v>
      </c>
      <c r="BF409" s="2720">
        <f t="shared" si="253"/>
        <v>0</v>
      </c>
      <c r="BG409" s="2720">
        <f t="shared" si="254"/>
        <v>0</v>
      </c>
      <c r="BH409" s="2720">
        <f t="shared" si="255"/>
        <v>0</v>
      </c>
      <c r="BI409" s="2720">
        <f t="shared" si="256"/>
        <v>0</v>
      </c>
      <c r="BJ409" s="2720">
        <f t="shared" si="257"/>
        <v>0</v>
      </c>
      <c r="BK409" s="2720">
        <f t="shared" si="258"/>
        <v>0</v>
      </c>
      <c r="BL409" s="2720">
        <f t="shared" si="259"/>
        <v>0</v>
      </c>
      <c r="BM409" s="2720">
        <f t="shared" si="260"/>
        <v>0</v>
      </c>
      <c r="BN409" s="2720">
        <f t="shared" si="261"/>
        <v>0</v>
      </c>
      <c r="BO409" s="2720">
        <f t="shared" si="262"/>
        <v>0</v>
      </c>
      <c r="BP409" s="2720">
        <f t="shared" si="263"/>
        <v>0</v>
      </c>
      <c r="BQ409" s="2720">
        <f t="shared" si="264"/>
        <v>0</v>
      </c>
      <c r="BR409" s="2720">
        <f t="shared" si="265"/>
        <v>0</v>
      </c>
      <c r="BS409" s="2720">
        <f t="shared" si="266"/>
        <v>0</v>
      </c>
      <c r="BT409" s="2772">
        <f t="shared" si="267"/>
        <v>0</v>
      </c>
    </row>
    <row r="410" spans="1:72">
      <c r="A410" s="2717"/>
      <c r="B410" s="2718"/>
      <c r="C410" s="2718"/>
      <c r="D410" s="2719"/>
      <c r="E410" s="2720">
        <f t="shared" si="239"/>
        <v>0</v>
      </c>
      <c r="F410" s="2721"/>
      <c r="G410" s="2722">
        <f t="shared" si="240"/>
        <v>0</v>
      </c>
      <c r="H410" s="2723">
        <f t="shared" si="241"/>
        <v>0</v>
      </c>
      <c r="I410" s="2730"/>
      <c r="J410" s="2730"/>
      <c r="K410" s="2730"/>
      <c r="L410" s="2730"/>
      <c r="M410" s="2730"/>
      <c r="N410" s="2730"/>
      <c r="O410" s="2730"/>
      <c r="P410" s="2730"/>
      <c r="Q410" s="2730"/>
      <c r="R410" s="2730"/>
      <c r="S410" s="2730"/>
      <c r="T410" s="2730"/>
      <c r="U410" s="2730"/>
      <c r="V410" s="2730"/>
      <c r="W410" s="2730"/>
      <c r="X410" s="2730"/>
      <c r="Y410" s="2730"/>
      <c r="Z410" s="2730"/>
      <c r="AA410" s="2730"/>
      <c r="AB410" s="2730"/>
      <c r="AC410" s="2720">
        <f t="shared" si="242"/>
        <v>0</v>
      </c>
      <c r="AD410" s="2740"/>
      <c r="AE410" s="2740"/>
      <c r="AF410" s="2740"/>
      <c r="AG410" s="2740"/>
      <c r="AH410" s="2740"/>
      <c r="AI410" s="2740"/>
      <c r="AJ410" s="2740"/>
      <c r="AK410" s="2740"/>
      <c r="AL410" s="2740"/>
      <c r="AM410" s="2740"/>
      <c r="AN410" s="2740"/>
      <c r="AO410" s="2740"/>
      <c r="AP410" s="2740"/>
      <c r="AQ410" s="2740"/>
      <c r="AR410" s="2740"/>
      <c r="AS410" s="2740"/>
      <c r="AT410" s="2750"/>
      <c r="AU410" s="2751"/>
      <c r="AV410" s="1092">
        <f t="shared" si="243"/>
        <v>0</v>
      </c>
      <c r="AW410" s="1092">
        <f t="shared" si="244"/>
        <v>0</v>
      </c>
      <c r="AX410" s="1092">
        <f t="shared" si="245"/>
        <v>0</v>
      </c>
      <c r="AY410" s="2765">
        <f t="shared" si="246"/>
        <v>0</v>
      </c>
      <c r="AZ410" s="2720">
        <f t="shared" si="247"/>
        <v>0</v>
      </c>
      <c r="BA410" s="2720">
        <f t="shared" si="248"/>
        <v>0</v>
      </c>
      <c r="BB410" s="2720">
        <f t="shared" si="249"/>
        <v>0</v>
      </c>
      <c r="BC410" s="2720">
        <f t="shared" si="250"/>
        <v>0</v>
      </c>
      <c r="BD410" s="2720">
        <f t="shared" si="251"/>
        <v>0</v>
      </c>
      <c r="BE410" s="2720">
        <f t="shared" si="252"/>
        <v>0</v>
      </c>
      <c r="BF410" s="2720">
        <f t="shared" si="253"/>
        <v>0</v>
      </c>
      <c r="BG410" s="2720">
        <f t="shared" si="254"/>
        <v>0</v>
      </c>
      <c r="BH410" s="2720">
        <f t="shared" si="255"/>
        <v>0</v>
      </c>
      <c r="BI410" s="2720">
        <f t="shared" si="256"/>
        <v>0</v>
      </c>
      <c r="BJ410" s="2720">
        <f t="shared" si="257"/>
        <v>0</v>
      </c>
      <c r="BK410" s="2720">
        <f t="shared" si="258"/>
        <v>0</v>
      </c>
      <c r="BL410" s="2720">
        <f t="shared" si="259"/>
        <v>0</v>
      </c>
      <c r="BM410" s="2720">
        <f t="shared" si="260"/>
        <v>0</v>
      </c>
      <c r="BN410" s="2720">
        <f t="shared" si="261"/>
        <v>0</v>
      </c>
      <c r="BO410" s="2720">
        <f t="shared" si="262"/>
        <v>0</v>
      </c>
      <c r="BP410" s="2720">
        <f t="shared" si="263"/>
        <v>0</v>
      </c>
      <c r="BQ410" s="2720">
        <f t="shared" si="264"/>
        <v>0</v>
      </c>
      <c r="BR410" s="2720">
        <f t="shared" si="265"/>
        <v>0</v>
      </c>
      <c r="BS410" s="2720">
        <f t="shared" si="266"/>
        <v>0</v>
      </c>
      <c r="BT410" s="2772">
        <f t="shared" si="267"/>
        <v>0</v>
      </c>
    </row>
    <row r="411" spans="1:72">
      <c r="A411" s="2717"/>
      <c r="B411" s="2718"/>
      <c r="C411" s="2718"/>
      <c r="D411" s="2719"/>
      <c r="E411" s="2720">
        <f t="shared" si="239"/>
        <v>0</v>
      </c>
      <c r="F411" s="2721"/>
      <c r="G411" s="2722">
        <f t="shared" si="240"/>
        <v>0</v>
      </c>
      <c r="H411" s="2723">
        <f t="shared" si="241"/>
        <v>0</v>
      </c>
      <c r="I411" s="2730"/>
      <c r="J411" s="2730"/>
      <c r="K411" s="2730"/>
      <c r="L411" s="2730"/>
      <c r="M411" s="2730"/>
      <c r="N411" s="2730"/>
      <c r="O411" s="2730"/>
      <c r="P411" s="2730"/>
      <c r="Q411" s="2730"/>
      <c r="R411" s="2730"/>
      <c r="S411" s="2730"/>
      <c r="T411" s="2730"/>
      <c r="U411" s="2730"/>
      <c r="V411" s="2730"/>
      <c r="W411" s="2730"/>
      <c r="X411" s="2730"/>
      <c r="Y411" s="2730"/>
      <c r="Z411" s="2730"/>
      <c r="AA411" s="2730"/>
      <c r="AB411" s="2730"/>
      <c r="AC411" s="2720">
        <f t="shared" si="242"/>
        <v>0</v>
      </c>
      <c r="AD411" s="2740"/>
      <c r="AE411" s="2740"/>
      <c r="AF411" s="2740"/>
      <c r="AG411" s="2740"/>
      <c r="AH411" s="2740"/>
      <c r="AI411" s="2740"/>
      <c r="AJ411" s="2740"/>
      <c r="AK411" s="2740"/>
      <c r="AL411" s="2740"/>
      <c r="AM411" s="2740"/>
      <c r="AN411" s="2740"/>
      <c r="AO411" s="2740"/>
      <c r="AP411" s="2740"/>
      <c r="AQ411" s="2740"/>
      <c r="AR411" s="2740"/>
      <c r="AS411" s="2740"/>
      <c r="AT411" s="2750"/>
      <c r="AU411" s="2751"/>
      <c r="AV411" s="1092">
        <f t="shared" si="243"/>
        <v>0</v>
      </c>
      <c r="AW411" s="1092">
        <f t="shared" si="244"/>
        <v>0</v>
      </c>
      <c r="AX411" s="1092">
        <f t="shared" si="245"/>
        <v>0</v>
      </c>
      <c r="AY411" s="2765">
        <f t="shared" si="246"/>
        <v>0</v>
      </c>
      <c r="AZ411" s="2720">
        <f t="shared" si="247"/>
        <v>0</v>
      </c>
      <c r="BA411" s="2720">
        <f t="shared" si="248"/>
        <v>0</v>
      </c>
      <c r="BB411" s="2720">
        <f t="shared" si="249"/>
        <v>0</v>
      </c>
      <c r="BC411" s="2720">
        <f t="shared" si="250"/>
        <v>0</v>
      </c>
      <c r="BD411" s="2720">
        <f t="shared" si="251"/>
        <v>0</v>
      </c>
      <c r="BE411" s="2720">
        <f t="shared" si="252"/>
        <v>0</v>
      </c>
      <c r="BF411" s="2720">
        <f t="shared" si="253"/>
        <v>0</v>
      </c>
      <c r="BG411" s="2720">
        <f t="shared" si="254"/>
        <v>0</v>
      </c>
      <c r="BH411" s="2720">
        <f t="shared" si="255"/>
        <v>0</v>
      </c>
      <c r="BI411" s="2720">
        <f t="shared" si="256"/>
        <v>0</v>
      </c>
      <c r="BJ411" s="2720">
        <f t="shared" si="257"/>
        <v>0</v>
      </c>
      <c r="BK411" s="2720">
        <f t="shared" si="258"/>
        <v>0</v>
      </c>
      <c r="BL411" s="2720">
        <f t="shared" si="259"/>
        <v>0</v>
      </c>
      <c r="BM411" s="2720">
        <f t="shared" si="260"/>
        <v>0</v>
      </c>
      <c r="BN411" s="2720">
        <f t="shared" si="261"/>
        <v>0</v>
      </c>
      <c r="BO411" s="2720">
        <f t="shared" si="262"/>
        <v>0</v>
      </c>
      <c r="BP411" s="2720">
        <f t="shared" si="263"/>
        <v>0</v>
      </c>
      <c r="BQ411" s="2720">
        <f t="shared" si="264"/>
        <v>0</v>
      </c>
      <c r="BR411" s="2720">
        <f t="shared" si="265"/>
        <v>0</v>
      </c>
      <c r="BS411" s="2720">
        <f t="shared" si="266"/>
        <v>0</v>
      </c>
      <c r="BT411" s="2772">
        <f t="shared" si="267"/>
        <v>0</v>
      </c>
    </row>
    <row r="412" spans="1:72">
      <c r="A412" s="2717"/>
      <c r="B412" s="2718"/>
      <c r="C412" s="2718"/>
      <c r="D412" s="2719"/>
      <c r="E412" s="2720">
        <f t="shared" si="239"/>
        <v>0</v>
      </c>
      <c r="F412" s="2721"/>
      <c r="G412" s="2722">
        <f t="shared" si="240"/>
        <v>0</v>
      </c>
      <c r="H412" s="2723">
        <f t="shared" si="241"/>
        <v>0</v>
      </c>
      <c r="I412" s="2730"/>
      <c r="J412" s="2730"/>
      <c r="K412" s="2730"/>
      <c r="L412" s="2730"/>
      <c r="M412" s="2730"/>
      <c r="N412" s="2730"/>
      <c r="O412" s="2730"/>
      <c r="P412" s="2730"/>
      <c r="Q412" s="2730"/>
      <c r="R412" s="2730"/>
      <c r="S412" s="2730"/>
      <c r="T412" s="2730"/>
      <c r="U412" s="2730"/>
      <c r="V412" s="2730"/>
      <c r="W412" s="2730"/>
      <c r="X412" s="2730"/>
      <c r="Y412" s="2730"/>
      <c r="Z412" s="2730"/>
      <c r="AA412" s="2730"/>
      <c r="AB412" s="2730"/>
      <c r="AC412" s="2720">
        <f t="shared" si="242"/>
        <v>0</v>
      </c>
      <c r="AD412" s="2740"/>
      <c r="AE412" s="2740"/>
      <c r="AF412" s="2740"/>
      <c r="AG412" s="2740"/>
      <c r="AH412" s="2740"/>
      <c r="AI412" s="2740"/>
      <c r="AJ412" s="2740"/>
      <c r="AK412" s="2740"/>
      <c r="AL412" s="2740"/>
      <c r="AM412" s="2740"/>
      <c r="AN412" s="2740"/>
      <c r="AO412" s="2740"/>
      <c r="AP412" s="2740"/>
      <c r="AQ412" s="2740"/>
      <c r="AR412" s="2740"/>
      <c r="AS412" s="2740"/>
      <c r="AT412" s="2750"/>
      <c r="AU412" s="2751"/>
      <c r="AV412" s="1092">
        <f t="shared" si="243"/>
        <v>0</v>
      </c>
      <c r="AW412" s="1092">
        <f t="shared" si="244"/>
        <v>0</v>
      </c>
      <c r="AX412" s="1092">
        <f t="shared" si="245"/>
        <v>0</v>
      </c>
      <c r="AY412" s="2765">
        <f t="shared" si="246"/>
        <v>0</v>
      </c>
      <c r="AZ412" s="2720">
        <f t="shared" si="247"/>
        <v>0</v>
      </c>
      <c r="BA412" s="2720">
        <f t="shared" si="248"/>
        <v>0</v>
      </c>
      <c r="BB412" s="2720">
        <f t="shared" si="249"/>
        <v>0</v>
      </c>
      <c r="BC412" s="2720">
        <f t="shared" si="250"/>
        <v>0</v>
      </c>
      <c r="BD412" s="2720">
        <f t="shared" si="251"/>
        <v>0</v>
      </c>
      <c r="BE412" s="2720">
        <f t="shared" si="252"/>
        <v>0</v>
      </c>
      <c r="BF412" s="2720">
        <f t="shared" si="253"/>
        <v>0</v>
      </c>
      <c r="BG412" s="2720">
        <f t="shared" si="254"/>
        <v>0</v>
      </c>
      <c r="BH412" s="2720">
        <f t="shared" si="255"/>
        <v>0</v>
      </c>
      <c r="BI412" s="2720">
        <f t="shared" si="256"/>
        <v>0</v>
      </c>
      <c r="BJ412" s="2720">
        <f t="shared" si="257"/>
        <v>0</v>
      </c>
      <c r="BK412" s="2720">
        <f t="shared" si="258"/>
        <v>0</v>
      </c>
      <c r="BL412" s="2720">
        <f t="shared" si="259"/>
        <v>0</v>
      </c>
      <c r="BM412" s="2720">
        <f t="shared" si="260"/>
        <v>0</v>
      </c>
      <c r="BN412" s="2720">
        <f t="shared" si="261"/>
        <v>0</v>
      </c>
      <c r="BO412" s="2720">
        <f t="shared" si="262"/>
        <v>0</v>
      </c>
      <c r="BP412" s="2720">
        <f t="shared" si="263"/>
        <v>0</v>
      </c>
      <c r="BQ412" s="2720">
        <f t="shared" si="264"/>
        <v>0</v>
      </c>
      <c r="BR412" s="2720">
        <f t="shared" si="265"/>
        <v>0</v>
      </c>
      <c r="BS412" s="2720">
        <f t="shared" si="266"/>
        <v>0</v>
      </c>
      <c r="BT412" s="2772">
        <f t="shared" si="267"/>
        <v>0</v>
      </c>
    </row>
    <row r="413" spans="1:72">
      <c r="A413" s="2717"/>
      <c r="B413" s="2718"/>
      <c r="C413" s="2718"/>
      <c r="D413" s="2719"/>
      <c r="E413" s="2720">
        <f t="shared" si="239"/>
        <v>0</v>
      </c>
      <c r="F413" s="2721"/>
      <c r="G413" s="2722">
        <f t="shared" si="240"/>
        <v>0</v>
      </c>
      <c r="H413" s="2723">
        <f t="shared" si="241"/>
        <v>0</v>
      </c>
      <c r="I413" s="2730"/>
      <c r="J413" s="2730"/>
      <c r="K413" s="2730"/>
      <c r="L413" s="2730"/>
      <c r="M413" s="2730"/>
      <c r="N413" s="2730"/>
      <c r="O413" s="2730"/>
      <c r="P413" s="2730"/>
      <c r="Q413" s="2730"/>
      <c r="R413" s="2730"/>
      <c r="S413" s="2730"/>
      <c r="T413" s="2730"/>
      <c r="U413" s="2730"/>
      <c r="V413" s="2730"/>
      <c r="W413" s="2730"/>
      <c r="X413" s="2730"/>
      <c r="Y413" s="2730"/>
      <c r="Z413" s="2730"/>
      <c r="AA413" s="2730"/>
      <c r="AB413" s="2730"/>
      <c r="AC413" s="2720">
        <f t="shared" si="242"/>
        <v>0</v>
      </c>
      <c r="AD413" s="2740"/>
      <c r="AE413" s="2740"/>
      <c r="AF413" s="2740"/>
      <c r="AG413" s="2740"/>
      <c r="AH413" s="2740"/>
      <c r="AI413" s="2740"/>
      <c r="AJ413" s="2740"/>
      <c r="AK413" s="2740"/>
      <c r="AL413" s="2740"/>
      <c r="AM413" s="2740"/>
      <c r="AN413" s="2740"/>
      <c r="AO413" s="2740"/>
      <c r="AP413" s="2740"/>
      <c r="AQ413" s="2740"/>
      <c r="AR413" s="2740"/>
      <c r="AS413" s="2740"/>
      <c r="AT413" s="2750"/>
      <c r="AU413" s="2751"/>
      <c r="AV413" s="1092">
        <f t="shared" si="243"/>
        <v>0</v>
      </c>
      <c r="AW413" s="1092">
        <f t="shared" si="244"/>
        <v>0</v>
      </c>
      <c r="AX413" s="1092">
        <f t="shared" si="245"/>
        <v>0</v>
      </c>
      <c r="AY413" s="2765">
        <f t="shared" si="246"/>
        <v>0</v>
      </c>
      <c r="AZ413" s="2720">
        <f t="shared" si="247"/>
        <v>0</v>
      </c>
      <c r="BA413" s="2720">
        <f t="shared" si="248"/>
        <v>0</v>
      </c>
      <c r="BB413" s="2720">
        <f t="shared" si="249"/>
        <v>0</v>
      </c>
      <c r="BC413" s="2720">
        <f t="shared" si="250"/>
        <v>0</v>
      </c>
      <c r="BD413" s="2720">
        <f t="shared" si="251"/>
        <v>0</v>
      </c>
      <c r="BE413" s="2720">
        <f t="shared" si="252"/>
        <v>0</v>
      </c>
      <c r="BF413" s="2720">
        <f t="shared" si="253"/>
        <v>0</v>
      </c>
      <c r="BG413" s="2720">
        <f t="shared" si="254"/>
        <v>0</v>
      </c>
      <c r="BH413" s="2720">
        <f t="shared" si="255"/>
        <v>0</v>
      </c>
      <c r="BI413" s="2720">
        <f t="shared" si="256"/>
        <v>0</v>
      </c>
      <c r="BJ413" s="2720">
        <f t="shared" si="257"/>
        <v>0</v>
      </c>
      <c r="BK413" s="2720">
        <f t="shared" si="258"/>
        <v>0</v>
      </c>
      <c r="BL413" s="2720">
        <f t="shared" si="259"/>
        <v>0</v>
      </c>
      <c r="BM413" s="2720">
        <f t="shared" si="260"/>
        <v>0</v>
      </c>
      <c r="BN413" s="2720">
        <f t="shared" si="261"/>
        <v>0</v>
      </c>
      <c r="BO413" s="2720">
        <f t="shared" si="262"/>
        <v>0</v>
      </c>
      <c r="BP413" s="2720">
        <f t="shared" si="263"/>
        <v>0</v>
      </c>
      <c r="BQ413" s="2720">
        <f t="shared" si="264"/>
        <v>0</v>
      </c>
      <c r="BR413" s="2720">
        <f t="shared" si="265"/>
        <v>0</v>
      </c>
      <c r="BS413" s="2720">
        <f t="shared" si="266"/>
        <v>0</v>
      </c>
      <c r="BT413" s="2772">
        <f t="shared" si="267"/>
        <v>0</v>
      </c>
    </row>
    <row r="414" spans="1:72">
      <c r="A414" s="2717"/>
      <c r="B414" s="2718"/>
      <c r="C414" s="2718"/>
      <c r="D414" s="2719"/>
      <c r="E414" s="2720">
        <f t="shared" si="239"/>
        <v>0</v>
      </c>
      <c r="F414" s="2721"/>
      <c r="G414" s="2722">
        <f t="shared" si="240"/>
        <v>0</v>
      </c>
      <c r="H414" s="2723">
        <f t="shared" si="241"/>
        <v>0</v>
      </c>
      <c r="I414" s="2730"/>
      <c r="J414" s="2730"/>
      <c r="K414" s="2730"/>
      <c r="L414" s="2730"/>
      <c r="M414" s="2730"/>
      <c r="N414" s="2730"/>
      <c r="O414" s="2730"/>
      <c r="P414" s="2730"/>
      <c r="Q414" s="2730"/>
      <c r="R414" s="2730"/>
      <c r="S414" s="2730"/>
      <c r="T414" s="2730"/>
      <c r="U414" s="2730"/>
      <c r="V414" s="2730"/>
      <c r="W414" s="2730"/>
      <c r="X414" s="2730"/>
      <c r="Y414" s="2730"/>
      <c r="Z414" s="2730"/>
      <c r="AA414" s="2730"/>
      <c r="AB414" s="2730"/>
      <c r="AC414" s="2720">
        <f t="shared" si="242"/>
        <v>0</v>
      </c>
      <c r="AD414" s="2740"/>
      <c r="AE414" s="2740"/>
      <c r="AF414" s="2740"/>
      <c r="AG414" s="2740"/>
      <c r="AH414" s="2740"/>
      <c r="AI414" s="2740"/>
      <c r="AJ414" s="2740"/>
      <c r="AK414" s="2740"/>
      <c r="AL414" s="2740"/>
      <c r="AM414" s="2740"/>
      <c r="AN414" s="2740"/>
      <c r="AO414" s="2740"/>
      <c r="AP414" s="2740"/>
      <c r="AQ414" s="2740"/>
      <c r="AR414" s="2740"/>
      <c r="AS414" s="2740"/>
      <c r="AT414" s="2750"/>
      <c r="AU414" s="2751"/>
      <c r="AV414" s="1092">
        <f t="shared" si="243"/>
        <v>0</v>
      </c>
      <c r="AW414" s="1092">
        <f t="shared" si="244"/>
        <v>0</v>
      </c>
      <c r="AX414" s="1092">
        <f t="shared" si="245"/>
        <v>0</v>
      </c>
      <c r="AY414" s="2765">
        <f t="shared" si="246"/>
        <v>0</v>
      </c>
      <c r="AZ414" s="2720">
        <f t="shared" si="247"/>
        <v>0</v>
      </c>
      <c r="BA414" s="2720">
        <f t="shared" si="248"/>
        <v>0</v>
      </c>
      <c r="BB414" s="2720">
        <f t="shared" si="249"/>
        <v>0</v>
      </c>
      <c r="BC414" s="2720">
        <f t="shared" si="250"/>
        <v>0</v>
      </c>
      <c r="BD414" s="2720">
        <f t="shared" si="251"/>
        <v>0</v>
      </c>
      <c r="BE414" s="2720">
        <f t="shared" si="252"/>
        <v>0</v>
      </c>
      <c r="BF414" s="2720">
        <f t="shared" si="253"/>
        <v>0</v>
      </c>
      <c r="BG414" s="2720">
        <f t="shared" si="254"/>
        <v>0</v>
      </c>
      <c r="BH414" s="2720">
        <f t="shared" si="255"/>
        <v>0</v>
      </c>
      <c r="BI414" s="2720">
        <f t="shared" si="256"/>
        <v>0</v>
      </c>
      <c r="BJ414" s="2720">
        <f t="shared" si="257"/>
        <v>0</v>
      </c>
      <c r="BK414" s="2720">
        <f t="shared" si="258"/>
        <v>0</v>
      </c>
      <c r="BL414" s="2720">
        <f t="shared" si="259"/>
        <v>0</v>
      </c>
      <c r="BM414" s="2720">
        <f t="shared" si="260"/>
        <v>0</v>
      </c>
      <c r="BN414" s="2720">
        <f t="shared" si="261"/>
        <v>0</v>
      </c>
      <c r="BO414" s="2720">
        <f t="shared" si="262"/>
        <v>0</v>
      </c>
      <c r="BP414" s="2720">
        <f t="shared" si="263"/>
        <v>0</v>
      </c>
      <c r="BQ414" s="2720">
        <f t="shared" si="264"/>
        <v>0</v>
      </c>
      <c r="BR414" s="2720">
        <f t="shared" si="265"/>
        <v>0</v>
      </c>
      <c r="BS414" s="2720">
        <f t="shared" si="266"/>
        <v>0</v>
      </c>
      <c r="BT414" s="2772">
        <f t="shared" si="267"/>
        <v>0</v>
      </c>
    </row>
    <row r="415" spans="1:72">
      <c r="A415" s="2717"/>
      <c r="B415" s="2718"/>
      <c r="C415" s="2718"/>
      <c r="D415" s="2719"/>
      <c r="E415" s="2720">
        <f t="shared" si="239"/>
        <v>0</v>
      </c>
      <c r="F415" s="2721"/>
      <c r="G415" s="2722">
        <f t="shared" si="240"/>
        <v>0</v>
      </c>
      <c r="H415" s="2723">
        <f t="shared" si="241"/>
        <v>0</v>
      </c>
      <c r="I415" s="2730"/>
      <c r="J415" s="2730"/>
      <c r="K415" s="2730"/>
      <c r="L415" s="2730"/>
      <c r="M415" s="2730"/>
      <c r="N415" s="2730"/>
      <c r="O415" s="2730"/>
      <c r="P415" s="2730"/>
      <c r="Q415" s="2730"/>
      <c r="R415" s="2730"/>
      <c r="S415" s="2730"/>
      <c r="T415" s="2730"/>
      <c r="U415" s="2730"/>
      <c r="V415" s="2730"/>
      <c r="W415" s="2730"/>
      <c r="X415" s="2730"/>
      <c r="Y415" s="2730"/>
      <c r="Z415" s="2730"/>
      <c r="AA415" s="2730"/>
      <c r="AB415" s="2730"/>
      <c r="AC415" s="2720">
        <f t="shared" si="242"/>
        <v>0</v>
      </c>
      <c r="AD415" s="2740"/>
      <c r="AE415" s="2740"/>
      <c r="AF415" s="2740"/>
      <c r="AG415" s="2740"/>
      <c r="AH415" s="2740"/>
      <c r="AI415" s="2740"/>
      <c r="AJ415" s="2740"/>
      <c r="AK415" s="2740"/>
      <c r="AL415" s="2740"/>
      <c r="AM415" s="2740"/>
      <c r="AN415" s="2740"/>
      <c r="AO415" s="2740"/>
      <c r="AP415" s="2740"/>
      <c r="AQ415" s="2740"/>
      <c r="AR415" s="2740"/>
      <c r="AS415" s="2740"/>
      <c r="AT415" s="2750"/>
      <c r="AU415" s="2751"/>
      <c r="AV415" s="1092">
        <f t="shared" si="243"/>
        <v>0</v>
      </c>
      <c r="AW415" s="1092">
        <f t="shared" si="244"/>
        <v>0</v>
      </c>
      <c r="AX415" s="1092">
        <f t="shared" si="245"/>
        <v>0</v>
      </c>
      <c r="AY415" s="2765">
        <f t="shared" si="246"/>
        <v>0</v>
      </c>
      <c r="AZ415" s="2720">
        <f t="shared" si="247"/>
        <v>0</v>
      </c>
      <c r="BA415" s="2720">
        <f t="shared" si="248"/>
        <v>0</v>
      </c>
      <c r="BB415" s="2720">
        <f t="shared" si="249"/>
        <v>0</v>
      </c>
      <c r="BC415" s="2720">
        <f t="shared" si="250"/>
        <v>0</v>
      </c>
      <c r="BD415" s="2720">
        <f t="shared" si="251"/>
        <v>0</v>
      </c>
      <c r="BE415" s="2720">
        <f t="shared" si="252"/>
        <v>0</v>
      </c>
      <c r="BF415" s="2720">
        <f t="shared" si="253"/>
        <v>0</v>
      </c>
      <c r="BG415" s="2720">
        <f t="shared" si="254"/>
        <v>0</v>
      </c>
      <c r="BH415" s="2720">
        <f t="shared" si="255"/>
        <v>0</v>
      </c>
      <c r="BI415" s="2720">
        <f t="shared" si="256"/>
        <v>0</v>
      </c>
      <c r="BJ415" s="2720">
        <f t="shared" si="257"/>
        <v>0</v>
      </c>
      <c r="BK415" s="2720">
        <f t="shared" si="258"/>
        <v>0</v>
      </c>
      <c r="BL415" s="2720">
        <f t="shared" si="259"/>
        <v>0</v>
      </c>
      <c r="BM415" s="2720">
        <f t="shared" si="260"/>
        <v>0</v>
      </c>
      <c r="BN415" s="2720">
        <f t="shared" si="261"/>
        <v>0</v>
      </c>
      <c r="BO415" s="2720">
        <f t="shared" si="262"/>
        <v>0</v>
      </c>
      <c r="BP415" s="2720">
        <f t="shared" si="263"/>
        <v>0</v>
      </c>
      <c r="BQ415" s="2720">
        <f t="shared" si="264"/>
        <v>0</v>
      </c>
      <c r="BR415" s="2720">
        <f t="shared" si="265"/>
        <v>0</v>
      </c>
      <c r="BS415" s="2720">
        <f t="shared" si="266"/>
        <v>0</v>
      </c>
      <c r="BT415" s="2772">
        <f t="shared" si="267"/>
        <v>0</v>
      </c>
    </row>
    <row r="416" spans="1:72">
      <c r="A416" s="2717"/>
      <c r="B416" s="2718"/>
      <c r="C416" s="2718"/>
      <c r="D416" s="2719"/>
      <c r="E416" s="2720">
        <f t="shared" si="239"/>
        <v>0</v>
      </c>
      <c r="F416" s="2721"/>
      <c r="G416" s="2722">
        <f t="shared" si="240"/>
        <v>0</v>
      </c>
      <c r="H416" s="2723">
        <f t="shared" si="241"/>
        <v>0</v>
      </c>
      <c r="I416" s="2730"/>
      <c r="J416" s="2730"/>
      <c r="K416" s="2730"/>
      <c r="L416" s="2730"/>
      <c r="M416" s="2730"/>
      <c r="N416" s="2730"/>
      <c r="O416" s="2730"/>
      <c r="P416" s="2730"/>
      <c r="Q416" s="2730"/>
      <c r="R416" s="2730"/>
      <c r="S416" s="2730"/>
      <c r="T416" s="2730"/>
      <c r="U416" s="2730"/>
      <c r="V416" s="2730"/>
      <c r="W416" s="2730"/>
      <c r="X416" s="2730"/>
      <c r="Y416" s="2730"/>
      <c r="Z416" s="2730"/>
      <c r="AA416" s="2730"/>
      <c r="AB416" s="2730"/>
      <c r="AC416" s="2720">
        <f t="shared" si="242"/>
        <v>0</v>
      </c>
      <c r="AD416" s="2740"/>
      <c r="AE416" s="2740"/>
      <c r="AF416" s="2740"/>
      <c r="AG416" s="2740"/>
      <c r="AH416" s="2740"/>
      <c r="AI416" s="2740"/>
      <c r="AJ416" s="2740"/>
      <c r="AK416" s="2740"/>
      <c r="AL416" s="2740"/>
      <c r="AM416" s="2740"/>
      <c r="AN416" s="2740"/>
      <c r="AO416" s="2740"/>
      <c r="AP416" s="2740"/>
      <c r="AQ416" s="2740"/>
      <c r="AR416" s="2740"/>
      <c r="AS416" s="2740"/>
      <c r="AT416" s="2750"/>
      <c r="AU416" s="2751"/>
      <c r="AV416" s="1092">
        <f t="shared" si="243"/>
        <v>0</v>
      </c>
      <c r="AW416" s="1092">
        <f t="shared" si="244"/>
        <v>0</v>
      </c>
      <c r="AX416" s="1092">
        <f t="shared" si="245"/>
        <v>0</v>
      </c>
      <c r="AY416" s="2765">
        <f t="shared" si="246"/>
        <v>0</v>
      </c>
      <c r="AZ416" s="2720">
        <f t="shared" si="247"/>
        <v>0</v>
      </c>
      <c r="BA416" s="2720">
        <f t="shared" si="248"/>
        <v>0</v>
      </c>
      <c r="BB416" s="2720">
        <f t="shared" si="249"/>
        <v>0</v>
      </c>
      <c r="BC416" s="2720">
        <f t="shared" si="250"/>
        <v>0</v>
      </c>
      <c r="BD416" s="2720">
        <f t="shared" si="251"/>
        <v>0</v>
      </c>
      <c r="BE416" s="2720">
        <f t="shared" si="252"/>
        <v>0</v>
      </c>
      <c r="BF416" s="2720">
        <f t="shared" si="253"/>
        <v>0</v>
      </c>
      <c r="BG416" s="2720">
        <f t="shared" si="254"/>
        <v>0</v>
      </c>
      <c r="BH416" s="2720">
        <f t="shared" si="255"/>
        <v>0</v>
      </c>
      <c r="BI416" s="2720">
        <f t="shared" si="256"/>
        <v>0</v>
      </c>
      <c r="BJ416" s="2720">
        <f t="shared" si="257"/>
        <v>0</v>
      </c>
      <c r="BK416" s="2720">
        <f t="shared" si="258"/>
        <v>0</v>
      </c>
      <c r="BL416" s="2720">
        <f t="shared" si="259"/>
        <v>0</v>
      </c>
      <c r="BM416" s="2720">
        <f t="shared" si="260"/>
        <v>0</v>
      </c>
      <c r="BN416" s="2720">
        <f t="shared" si="261"/>
        <v>0</v>
      </c>
      <c r="BO416" s="2720">
        <f t="shared" si="262"/>
        <v>0</v>
      </c>
      <c r="BP416" s="2720">
        <f t="shared" si="263"/>
        <v>0</v>
      </c>
      <c r="BQ416" s="2720">
        <f t="shared" si="264"/>
        <v>0</v>
      </c>
      <c r="BR416" s="2720">
        <f t="shared" si="265"/>
        <v>0</v>
      </c>
      <c r="BS416" s="2720">
        <f t="shared" si="266"/>
        <v>0</v>
      </c>
      <c r="BT416" s="2772">
        <f t="shared" si="267"/>
        <v>0</v>
      </c>
    </row>
    <row r="417" spans="1:72">
      <c r="A417" s="2717"/>
      <c r="B417" s="2718"/>
      <c r="C417" s="2718"/>
      <c r="D417" s="2719"/>
      <c r="E417" s="2720">
        <f t="shared" si="239"/>
        <v>0</v>
      </c>
      <c r="F417" s="2721"/>
      <c r="G417" s="2722">
        <f t="shared" si="240"/>
        <v>0</v>
      </c>
      <c r="H417" s="2723">
        <f t="shared" si="241"/>
        <v>0</v>
      </c>
      <c r="I417" s="2730"/>
      <c r="J417" s="2730"/>
      <c r="K417" s="2730"/>
      <c r="L417" s="2730"/>
      <c r="M417" s="2730"/>
      <c r="N417" s="2730"/>
      <c r="O417" s="2730"/>
      <c r="P417" s="2730"/>
      <c r="Q417" s="2730"/>
      <c r="R417" s="2730"/>
      <c r="S417" s="2730"/>
      <c r="T417" s="2730"/>
      <c r="U417" s="2730"/>
      <c r="V417" s="2730"/>
      <c r="W417" s="2730"/>
      <c r="X417" s="2730"/>
      <c r="Y417" s="2730"/>
      <c r="Z417" s="2730"/>
      <c r="AA417" s="2730"/>
      <c r="AB417" s="2730"/>
      <c r="AC417" s="2720">
        <f t="shared" si="242"/>
        <v>0</v>
      </c>
      <c r="AD417" s="2740"/>
      <c r="AE417" s="2740"/>
      <c r="AF417" s="2740"/>
      <c r="AG417" s="2740"/>
      <c r="AH417" s="2740"/>
      <c r="AI417" s="2740"/>
      <c r="AJ417" s="2740"/>
      <c r="AK417" s="2740"/>
      <c r="AL417" s="2740"/>
      <c r="AM417" s="2740"/>
      <c r="AN417" s="2740"/>
      <c r="AO417" s="2740"/>
      <c r="AP417" s="2740"/>
      <c r="AQ417" s="2740"/>
      <c r="AR417" s="2740"/>
      <c r="AS417" s="2740"/>
      <c r="AT417" s="2750"/>
      <c r="AU417" s="2751"/>
      <c r="AV417" s="1092">
        <f t="shared" si="243"/>
        <v>0</v>
      </c>
      <c r="AW417" s="1092">
        <f t="shared" si="244"/>
        <v>0</v>
      </c>
      <c r="AX417" s="1092">
        <f t="shared" si="245"/>
        <v>0</v>
      </c>
      <c r="AY417" s="2765">
        <f t="shared" si="246"/>
        <v>0</v>
      </c>
      <c r="AZ417" s="2720">
        <f t="shared" si="247"/>
        <v>0</v>
      </c>
      <c r="BA417" s="2720">
        <f t="shared" si="248"/>
        <v>0</v>
      </c>
      <c r="BB417" s="2720">
        <f t="shared" si="249"/>
        <v>0</v>
      </c>
      <c r="BC417" s="2720">
        <f t="shared" si="250"/>
        <v>0</v>
      </c>
      <c r="BD417" s="2720">
        <f t="shared" si="251"/>
        <v>0</v>
      </c>
      <c r="BE417" s="2720">
        <f t="shared" si="252"/>
        <v>0</v>
      </c>
      <c r="BF417" s="2720">
        <f t="shared" si="253"/>
        <v>0</v>
      </c>
      <c r="BG417" s="2720">
        <f t="shared" si="254"/>
        <v>0</v>
      </c>
      <c r="BH417" s="2720">
        <f t="shared" si="255"/>
        <v>0</v>
      </c>
      <c r="BI417" s="2720">
        <f t="shared" si="256"/>
        <v>0</v>
      </c>
      <c r="BJ417" s="2720">
        <f t="shared" si="257"/>
        <v>0</v>
      </c>
      <c r="BK417" s="2720">
        <f t="shared" si="258"/>
        <v>0</v>
      </c>
      <c r="BL417" s="2720">
        <f t="shared" si="259"/>
        <v>0</v>
      </c>
      <c r="BM417" s="2720">
        <f t="shared" si="260"/>
        <v>0</v>
      </c>
      <c r="BN417" s="2720">
        <f t="shared" si="261"/>
        <v>0</v>
      </c>
      <c r="BO417" s="2720">
        <f t="shared" si="262"/>
        <v>0</v>
      </c>
      <c r="BP417" s="2720">
        <f t="shared" si="263"/>
        <v>0</v>
      </c>
      <c r="BQ417" s="2720">
        <f t="shared" si="264"/>
        <v>0</v>
      </c>
      <c r="BR417" s="2720">
        <f t="shared" si="265"/>
        <v>0</v>
      </c>
      <c r="BS417" s="2720">
        <f t="shared" si="266"/>
        <v>0</v>
      </c>
      <c r="BT417" s="2772">
        <f t="shared" si="267"/>
        <v>0</v>
      </c>
    </row>
    <row r="418" spans="1:72">
      <c r="A418" s="2717"/>
      <c r="B418" s="2718"/>
      <c r="C418" s="2718"/>
      <c r="D418" s="2719"/>
      <c r="E418" s="2720">
        <f t="shared" si="239"/>
        <v>0</v>
      </c>
      <c r="F418" s="2721"/>
      <c r="G418" s="2722">
        <f t="shared" si="240"/>
        <v>0</v>
      </c>
      <c r="H418" s="2723">
        <f t="shared" si="241"/>
        <v>0</v>
      </c>
      <c r="I418" s="2730"/>
      <c r="J418" s="2730"/>
      <c r="K418" s="2730"/>
      <c r="L418" s="2730"/>
      <c r="M418" s="2730"/>
      <c r="N418" s="2730"/>
      <c r="O418" s="2730"/>
      <c r="P418" s="2730"/>
      <c r="Q418" s="2730"/>
      <c r="R418" s="2730"/>
      <c r="S418" s="2730"/>
      <c r="T418" s="2730"/>
      <c r="U418" s="2730"/>
      <c r="V418" s="2730"/>
      <c r="W418" s="2730"/>
      <c r="X418" s="2730"/>
      <c r="Y418" s="2730"/>
      <c r="Z418" s="2730"/>
      <c r="AA418" s="2730"/>
      <c r="AB418" s="2730"/>
      <c r="AC418" s="2720">
        <f t="shared" si="242"/>
        <v>0</v>
      </c>
      <c r="AD418" s="2740"/>
      <c r="AE418" s="2740"/>
      <c r="AF418" s="2740"/>
      <c r="AG418" s="2740"/>
      <c r="AH418" s="2740"/>
      <c r="AI418" s="2740"/>
      <c r="AJ418" s="2740"/>
      <c r="AK418" s="2740"/>
      <c r="AL418" s="2740"/>
      <c r="AM418" s="2740"/>
      <c r="AN418" s="2740"/>
      <c r="AO418" s="2740"/>
      <c r="AP418" s="2740"/>
      <c r="AQ418" s="2740"/>
      <c r="AR418" s="2740"/>
      <c r="AS418" s="2740"/>
      <c r="AT418" s="2750"/>
      <c r="AU418" s="2751"/>
      <c r="AV418" s="1092">
        <f t="shared" si="243"/>
        <v>0</v>
      </c>
      <c r="AW418" s="1092">
        <f t="shared" si="244"/>
        <v>0</v>
      </c>
      <c r="AX418" s="1092">
        <f t="shared" si="245"/>
        <v>0</v>
      </c>
      <c r="AY418" s="2765">
        <f t="shared" si="246"/>
        <v>0</v>
      </c>
      <c r="AZ418" s="2720">
        <f t="shared" si="247"/>
        <v>0</v>
      </c>
      <c r="BA418" s="2720">
        <f t="shared" si="248"/>
        <v>0</v>
      </c>
      <c r="BB418" s="2720">
        <f t="shared" si="249"/>
        <v>0</v>
      </c>
      <c r="BC418" s="2720">
        <f t="shared" si="250"/>
        <v>0</v>
      </c>
      <c r="BD418" s="2720">
        <f t="shared" si="251"/>
        <v>0</v>
      </c>
      <c r="BE418" s="2720">
        <f t="shared" si="252"/>
        <v>0</v>
      </c>
      <c r="BF418" s="2720">
        <f t="shared" si="253"/>
        <v>0</v>
      </c>
      <c r="BG418" s="2720">
        <f t="shared" si="254"/>
        <v>0</v>
      </c>
      <c r="BH418" s="2720">
        <f t="shared" si="255"/>
        <v>0</v>
      </c>
      <c r="BI418" s="2720">
        <f t="shared" si="256"/>
        <v>0</v>
      </c>
      <c r="BJ418" s="2720">
        <f t="shared" si="257"/>
        <v>0</v>
      </c>
      <c r="BK418" s="2720">
        <f t="shared" si="258"/>
        <v>0</v>
      </c>
      <c r="BL418" s="2720">
        <f t="shared" si="259"/>
        <v>0</v>
      </c>
      <c r="BM418" s="2720">
        <f t="shared" si="260"/>
        <v>0</v>
      </c>
      <c r="BN418" s="2720">
        <f t="shared" si="261"/>
        <v>0</v>
      </c>
      <c r="BO418" s="2720">
        <f t="shared" si="262"/>
        <v>0</v>
      </c>
      <c r="BP418" s="2720">
        <f t="shared" si="263"/>
        <v>0</v>
      </c>
      <c r="BQ418" s="2720">
        <f t="shared" si="264"/>
        <v>0</v>
      </c>
      <c r="BR418" s="2720">
        <f t="shared" si="265"/>
        <v>0</v>
      </c>
      <c r="BS418" s="2720">
        <f t="shared" si="266"/>
        <v>0</v>
      </c>
      <c r="BT418" s="2772">
        <f t="shared" si="267"/>
        <v>0</v>
      </c>
    </row>
    <row r="419" spans="1:72">
      <c r="A419" s="2717"/>
      <c r="B419" s="2718"/>
      <c r="C419" s="2718"/>
      <c r="D419" s="2719"/>
      <c r="E419" s="2720">
        <f t="shared" si="239"/>
        <v>0</v>
      </c>
      <c r="F419" s="2721"/>
      <c r="G419" s="2722">
        <f t="shared" si="240"/>
        <v>0</v>
      </c>
      <c r="H419" s="2723">
        <f t="shared" si="241"/>
        <v>0</v>
      </c>
      <c r="I419" s="2730"/>
      <c r="J419" s="2730"/>
      <c r="K419" s="2730"/>
      <c r="L419" s="2730"/>
      <c r="M419" s="2730"/>
      <c r="N419" s="2730"/>
      <c r="O419" s="2730"/>
      <c r="P419" s="2730"/>
      <c r="Q419" s="2730"/>
      <c r="R419" s="2730"/>
      <c r="S419" s="2730"/>
      <c r="T419" s="2730"/>
      <c r="U419" s="2730"/>
      <c r="V419" s="2730"/>
      <c r="W419" s="2730"/>
      <c r="X419" s="2730"/>
      <c r="Y419" s="2730"/>
      <c r="Z419" s="2730"/>
      <c r="AA419" s="2730"/>
      <c r="AB419" s="2730"/>
      <c r="AC419" s="2720">
        <f t="shared" si="242"/>
        <v>0</v>
      </c>
      <c r="AD419" s="2740"/>
      <c r="AE419" s="2740"/>
      <c r="AF419" s="2740"/>
      <c r="AG419" s="2740"/>
      <c r="AH419" s="2740"/>
      <c r="AI419" s="2740"/>
      <c r="AJ419" s="2740"/>
      <c r="AK419" s="2740"/>
      <c r="AL419" s="2740"/>
      <c r="AM419" s="2740"/>
      <c r="AN419" s="2740"/>
      <c r="AO419" s="2740"/>
      <c r="AP419" s="2740"/>
      <c r="AQ419" s="2740"/>
      <c r="AR419" s="2740"/>
      <c r="AS419" s="2740"/>
      <c r="AT419" s="2750"/>
      <c r="AU419" s="2751"/>
      <c r="AV419" s="1092">
        <f t="shared" si="243"/>
        <v>0</v>
      </c>
      <c r="AW419" s="1092">
        <f t="shared" si="244"/>
        <v>0</v>
      </c>
      <c r="AX419" s="1092">
        <f t="shared" si="245"/>
        <v>0</v>
      </c>
      <c r="AY419" s="2765">
        <f t="shared" si="246"/>
        <v>0</v>
      </c>
      <c r="AZ419" s="2720">
        <f t="shared" si="247"/>
        <v>0</v>
      </c>
      <c r="BA419" s="2720">
        <f t="shared" si="248"/>
        <v>0</v>
      </c>
      <c r="BB419" s="2720">
        <f t="shared" si="249"/>
        <v>0</v>
      </c>
      <c r="BC419" s="2720">
        <f t="shared" si="250"/>
        <v>0</v>
      </c>
      <c r="BD419" s="2720">
        <f t="shared" si="251"/>
        <v>0</v>
      </c>
      <c r="BE419" s="2720">
        <f t="shared" si="252"/>
        <v>0</v>
      </c>
      <c r="BF419" s="2720">
        <f t="shared" si="253"/>
        <v>0</v>
      </c>
      <c r="BG419" s="2720">
        <f t="shared" si="254"/>
        <v>0</v>
      </c>
      <c r="BH419" s="2720">
        <f t="shared" si="255"/>
        <v>0</v>
      </c>
      <c r="BI419" s="2720">
        <f t="shared" si="256"/>
        <v>0</v>
      </c>
      <c r="BJ419" s="2720">
        <f t="shared" si="257"/>
        <v>0</v>
      </c>
      <c r="BK419" s="2720">
        <f t="shared" si="258"/>
        <v>0</v>
      </c>
      <c r="BL419" s="2720">
        <f t="shared" si="259"/>
        <v>0</v>
      </c>
      <c r="BM419" s="2720">
        <f t="shared" si="260"/>
        <v>0</v>
      </c>
      <c r="BN419" s="2720">
        <f t="shared" si="261"/>
        <v>0</v>
      </c>
      <c r="BO419" s="2720">
        <f t="shared" si="262"/>
        <v>0</v>
      </c>
      <c r="BP419" s="2720">
        <f t="shared" si="263"/>
        <v>0</v>
      </c>
      <c r="BQ419" s="2720">
        <f t="shared" si="264"/>
        <v>0</v>
      </c>
      <c r="BR419" s="2720">
        <f t="shared" si="265"/>
        <v>0</v>
      </c>
      <c r="BS419" s="2720">
        <f t="shared" si="266"/>
        <v>0</v>
      </c>
      <c r="BT419" s="2772">
        <f t="shared" si="267"/>
        <v>0</v>
      </c>
    </row>
    <row r="420" spans="1:72">
      <c r="A420" s="2717"/>
      <c r="B420" s="2718"/>
      <c r="C420" s="2718"/>
      <c r="D420" s="2719"/>
      <c r="E420" s="2720">
        <f t="shared" si="239"/>
        <v>0</v>
      </c>
      <c r="F420" s="2721"/>
      <c r="G420" s="2722">
        <f t="shared" si="240"/>
        <v>0</v>
      </c>
      <c r="H420" s="2723">
        <f t="shared" si="241"/>
        <v>0</v>
      </c>
      <c r="I420" s="2730"/>
      <c r="J420" s="2730"/>
      <c r="K420" s="2730"/>
      <c r="L420" s="2730"/>
      <c r="M420" s="2730"/>
      <c r="N420" s="2730"/>
      <c r="O420" s="2730"/>
      <c r="P420" s="2730"/>
      <c r="Q420" s="2730"/>
      <c r="R420" s="2730"/>
      <c r="S420" s="2730"/>
      <c r="T420" s="2730"/>
      <c r="U420" s="2730"/>
      <c r="V420" s="2730"/>
      <c r="W420" s="2730"/>
      <c r="X420" s="2730"/>
      <c r="Y420" s="2730"/>
      <c r="Z420" s="2730"/>
      <c r="AA420" s="2730"/>
      <c r="AB420" s="2730"/>
      <c r="AC420" s="2720">
        <f t="shared" si="242"/>
        <v>0</v>
      </c>
      <c r="AD420" s="2740"/>
      <c r="AE420" s="2740"/>
      <c r="AF420" s="2740"/>
      <c r="AG420" s="2740"/>
      <c r="AH420" s="2740"/>
      <c r="AI420" s="2740"/>
      <c r="AJ420" s="2740"/>
      <c r="AK420" s="2740"/>
      <c r="AL420" s="2740"/>
      <c r="AM420" s="2740"/>
      <c r="AN420" s="2740"/>
      <c r="AO420" s="2740"/>
      <c r="AP420" s="2740"/>
      <c r="AQ420" s="2740"/>
      <c r="AR420" s="2740"/>
      <c r="AS420" s="2740"/>
      <c r="AT420" s="2750"/>
      <c r="AU420" s="2751"/>
      <c r="AV420" s="1092">
        <f t="shared" si="243"/>
        <v>0</v>
      </c>
      <c r="AW420" s="1092">
        <f t="shared" si="244"/>
        <v>0</v>
      </c>
      <c r="AX420" s="1092">
        <f t="shared" si="245"/>
        <v>0</v>
      </c>
      <c r="AY420" s="2765">
        <f t="shared" si="246"/>
        <v>0</v>
      </c>
      <c r="AZ420" s="2720">
        <f t="shared" si="247"/>
        <v>0</v>
      </c>
      <c r="BA420" s="2720">
        <f t="shared" si="248"/>
        <v>0</v>
      </c>
      <c r="BB420" s="2720">
        <f t="shared" si="249"/>
        <v>0</v>
      </c>
      <c r="BC420" s="2720">
        <f t="shared" si="250"/>
        <v>0</v>
      </c>
      <c r="BD420" s="2720">
        <f t="shared" si="251"/>
        <v>0</v>
      </c>
      <c r="BE420" s="2720">
        <f t="shared" si="252"/>
        <v>0</v>
      </c>
      <c r="BF420" s="2720">
        <f t="shared" si="253"/>
        <v>0</v>
      </c>
      <c r="BG420" s="2720">
        <f t="shared" si="254"/>
        <v>0</v>
      </c>
      <c r="BH420" s="2720">
        <f t="shared" si="255"/>
        <v>0</v>
      </c>
      <c r="BI420" s="2720">
        <f t="shared" si="256"/>
        <v>0</v>
      </c>
      <c r="BJ420" s="2720">
        <f t="shared" si="257"/>
        <v>0</v>
      </c>
      <c r="BK420" s="2720">
        <f t="shared" si="258"/>
        <v>0</v>
      </c>
      <c r="BL420" s="2720">
        <f t="shared" si="259"/>
        <v>0</v>
      </c>
      <c r="BM420" s="2720">
        <f t="shared" si="260"/>
        <v>0</v>
      </c>
      <c r="BN420" s="2720">
        <f t="shared" si="261"/>
        <v>0</v>
      </c>
      <c r="BO420" s="2720">
        <f t="shared" si="262"/>
        <v>0</v>
      </c>
      <c r="BP420" s="2720">
        <f t="shared" si="263"/>
        <v>0</v>
      </c>
      <c r="BQ420" s="2720">
        <f t="shared" si="264"/>
        <v>0</v>
      </c>
      <c r="BR420" s="2720">
        <f t="shared" si="265"/>
        <v>0</v>
      </c>
      <c r="BS420" s="2720">
        <f t="shared" si="266"/>
        <v>0</v>
      </c>
      <c r="BT420" s="2772">
        <f t="shared" si="267"/>
        <v>0</v>
      </c>
    </row>
    <row r="421" spans="1:72">
      <c r="A421" s="2717"/>
      <c r="B421" s="2718"/>
      <c r="C421" s="2718"/>
      <c r="D421" s="2719"/>
      <c r="E421" s="2720">
        <f t="shared" si="239"/>
        <v>0</v>
      </c>
      <c r="F421" s="2721"/>
      <c r="G421" s="2722">
        <f t="shared" si="240"/>
        <v>0</v>
      </c>
      <c r="H421" s="2723">
        <f t="shared" si="241"/>
        <v>0</v>
      </c>
      <c r="I421" s="2730"/>
      <c r="J421" s="2730"/>
      <c r="K421" s="2730"/>
      <c r="L421" s="2730"/>
      <c r="M421" s="2730"/>
      <c r="N421" s="2730"/>
      <c r="O421" s="2730"/>
      <c r="P421" s="2730"/>
      <c r="Q421" s="2730"/>
      <c r="R421" s="2730"/>
      <c r="S421" s="2730"/>
      <c r="T421" s="2730"/>
      <c r="U421" s="2730"/>
      <c r="V421" s="2730"/>
      <c r="W421" s="2730"/>
      <c r="X421" s="2730"/>
      <c r="Y421" s="2730"/>
      <c r="Z421" s="2730"/>
      <c r="AA421" s="2730"/>
      <c r="AB421" s="2730"/>
      <c r="AC421" s="2720">
        <f t="shared" si="242"/>
        <v>0</v>
      </c>
      <c r="AD421" s="2740"/>
      <c r="AE421" s="2740"/>
      <c r="AF421" s="2740"/>
      <c r="AG421" s="2740"/>
      <c r="AH421" s="2740"/>
      <c r="AI421" s="2740"/>
      <c r="AJ421" s="2740"/>
      <c r="AK421" s="2740"/>
      <c r="AL421" s="2740"/>
      <c r="AM421" s="2740"/>
      <c r="AN421" s="2740"/>
      <c r="AO421" s="2740"/>
      <c r="AP421" s="2740"/>
      <c r="AQ421" s="2740"/>
      <c r="AR421" s="2740"/>
      <c r="AS421" s="2740"/>
      <c r="AT421" s="2750"/>
      <c r="AU421" s="2751"/>
      <c r="AV421" s="1092">
        <f t="shared" si="243"/>
        <v>0</v>
      </c>
      <c r="AW421" s="1092">
        <f t="shared" si="244"/>
        <v>0</v>
      </c>
      <c r="AX421" s="1092">
        <f t="shared" si="245"/>
        <v>0</v>
      </c>
      <c r="AY421" s="2765">
        <f t="shared" si="246"/>
        <v>0</v>
      </c>
      <c r="AZ421" s="2720">
        <f t="shared" si="247"/>
        <v>0</v>
      </c>
      <c r="BA421" s="2720">
        <f t="shared" si="248"/>
        <v>0</v>
      </c>
      <c r="BB421" s="2720">
        <f t="shared" si="249"/>
        <v>0</v>
      </c>
      <c r="BC421" s="2720">
        <f t="shared" si="250"/>
        <v>0</v>
      </c>
      <c r="BD421" s="2720">
        <f t="shared" si="251"/>
        <v>0</v>
      </c>
      <c r="BE421" s="2720">
        <f t="shared" si="252"/>
        <v>0</v>
      </c>
      <c r="BF421" s="2720">
        <f t="shared" si="253"/>
        <v>0</v>
      </c>
      <c r="BG421" s="2720">
        <f t="shared" si="254"/>
        <v>0</v>
      </c>
      <c r="BH421" s="2720">
        <f t="shared" si="255"/>
        <v>0</v>
      </c>
      <c r="BI421" s="2720">
        <f t="shared" si="256"/>
        <v>0</v>
      </c>
      <c r="BJ421" s="2720">
        <f t="shared" si="257"/>
        <v>0</v>
      </c>
      <c r="BK421" s="2720">
        <f t="shared" si="258"/>
        <v>0</v>
      </c>
      <c r="BL421" s="2720">
        <f t="shared" si="259"/>
        <v>0</v>
      </c>
      <c r="BM421" s="2720">
        <f t="shared" si="260"/>
        <v>0</v>
      </c>
      <c r="BN421" s="2720">
        <f t="shared" si="261"/>
        <v>0</v>
      </c>
      <c r="BO421" s="2720">
        <f t="shared" si="262"/>
        <v>0</v>
      </c>
      <c r="BP421" s="2720">
        <f t="shared" si="263"/>
        <v>0</v>
      </c>
      <c r="BQ421" s="2720">
        <f t="shared" si="264"/>
        <v>0</v>
      </c>
      <c r="BR421" s="2720">
        <f t="shared" si="265"/>
        <v>0</v>
      </c>
      <c r="BS421" s="2720">
        <f t="shared" si="266"/>
        <v>0</v>
      </c>
      <c r="BT421" s="2772">
        <f t="shared" si="267"/>
        <v>0</v>
      </c>
    </row>
    <row r="422" spans="1:72">
      <c r="A422" s="2717"/>
      <c r="B422" s="2718"/>
      <c r="C422" s="2718"/>
      <c r="D422" s="2719"/>
      <c r="E422" s="2720">
        <f t="shared" si="239"/>
        <v>0</v>
      </c>
      <c r="F422" s="2721"/>
      <c r="G422" s="2722">
        <f t="shared" si="240"/>
        <v>0</v>
      </c>
      <c r="H422" s="2723">
        <f t="shared" si="241"/>
        <v>0</v>
      </c>
      <c r="I422" s="2730"/>
      <c r="J422" s="2730"/>
      <c r="K422" s="2730"/>
      <c r="L422" s="2730"/>
      <c r="M422" s="2730"/>
      <c r="N422" s="2730"/>
      <c r="O422" s="2730"/>
      <c r="P422" s="2730"/>
      <c r="Q422" s="2730"/>
      <c r="R422" s="2730"/>
      <c r="S422" s="2730"/>
      <c r="T422" s="2730"/>
      <c r="U422" s="2730"/>
      <c r="V422" s="2730"/>
      <c r="W422" s="2730"/>
      <c r="X422" s="2730"/>
      <c r="Y422" s="2730"/>
      <c r="Z422" s="2730"/>
      <c r="AA422" s="2730"/>
      <c r="AB422" s="2730"/>
      <c r="AC422" s="2720">
        <f t="shared" si="242"/>
        <v>0</v>
      </c>
      <c r="AD422" s="2740"/>
      <c r="AE422" s="2740"/>
      <c r="AF422" s="2740"/>
      <c r="AG422" s="2740"/>
      <c r="AH422" s="2740"/>
      <c r="AI422" s="2740"/>
      <c r="AJ422" s="2740"/>
      <c r="AK422" s="2740"/>
      <c r="AL422" s="2740"/>
      <c r="AM422" s="2740"/>
      <c r="AN422" s="2740"/>
      <c r="AO422" s="2740"/>
      <c r="AP422" s="2740"/>
      <c r="AQ422" s="2740"/>
      <c r="AR422" s="2740"/>
      <c r="AS422" s="2740"/>
      <c r="AT422" s="2750"/>
      <c r="AU422" s="2751"/>
      <c r="AV422" s="1092">
        <f t="shared" si="243"/>
        <v>0</v>
      </c>
      <c r="AW422" s="1092">
        <f t="shared" si="244"/>
        <v>0</v>
      </c>
      <c r="AX422" s="1092">
        <f t="shared" si="245"/>
        <v>0</v>
      </c>
      <c r="AY422" s="2765">
        <f t="shared" si="246"/>
        <v>0</v>
      </c>
      <c r="AZ422" s="2720">
        <f t="shared" si="247"/>
        <v>0</v>
      </c>
      <c r="BA422" s="2720">
        <f t="shared" si="248"/>
        <v>0</v>
      </c>
      <c r="BB422" s="2720">
        <f t="shared" si="249"/>
        <v>0</v>
      </c>
      <c r="BC422" s="2720">
        <f t="shared" si="250"/>
        <v>0</v>
      </c>
      <c r="BD422" s="2720">
        <f t="shared" si="251"/>
        <v>0</v>
      </c>
      <c r="BE422" s="2720">
        <f t="shared" si="252"/>
        <v>0</v>
      </c>
      <c r="BF422" s="2720">
        <f t="shared" si="253"/>
        <v>0</v>
      </c>
      <c r="BG422" s="2720">
        <f t="shared" si="254"/>
        <v>0</v>
      </c>
      <c r="BH422" s="2720">
        <f t="shared" si="255"/>
        <v>0</v>
      </c>
      <c r="BI422" s="2720">
        <f t="shared" si="256"/>
        <v>0</v>
      </c>
      <c r="BJ422" s="2720">
        <f t="shared" si="257"/>
        <v>0</v>
      </c>
      <c r="BK422" s="2720">
        <f t="shared" si="258"/>
        <v>0</v>
      </c>
      <c r="BL422" s="2720">
        <f t="shared" si="259"/>
        <v>0</v>
      </c>
      <c r="BM422" s="2720">
        <f t="shared" si="260"/>
        <v>0</v>
      </c>
      <c r="BN422" s="2720">
        <f t="shared" si="261"/>
        <v>0</v>
      </c>
      <c r="BO422" s="2720">
        <f t="shared" si="262"/>
        <v>0</v>
      </c>
      <c r="BP422" s="2720">
        <f t="shared" si="263"/>
        <v>0</v>
      </c>
      <c r="BQ422" s="2720">
        <f t="shared" si="264"/>
        <v>0</v>
      </c>
      <c r="BR422" s="2720">
        <f t="shared" si="265"/>
        <v>0</v>
      </c>
      <c r="BS422" s="2720">
        <f t="shared" si="266"/>
        <v>0</v>
      </c>
      <c r="BT422" s="2772">
        <f t="shared" si="267"/>
        <v>0</v>
      </c>
    </row>
    <row r="423" spans="1:72">
      <c r="A423" s="2717"/>
      <c r="B423" s="2718"/>
      <c r="C423" s="2718"/>
      <c r="D423" s="2719"/>
      <c r="E423" s="2720">
        <f t="shared" si="239"/>
        <v>0</v>
      </c>
      <c r="F423" s="2721"/>
      <c r="G423" s="2722">
        <f t="shared" si="240"/>
        <v>0</v>
      </c>
      <c r="H423" s="2723">
        <f t="shared" si="241"/>
        <v>0</v>
      </c>
      <c r="I423" s="2730"/>
      <c r="J423" s="2730"/>
      <c r="K423" s="2730"/>
      <c r="L423" s="2730"/>
      <c r="M423" s="2730"/>
      <c r="N423" s="2730"/>
      <c r="O423" s="2730"/>
      <c r="P423" s="2730"/>
      <c r="Q423" s="2730"/>
      <c r="R423" s="2730"/>
      <c r="S423" s="2730"/>
      <c r="T423" s="2730"/>
      <c r="U423" s="2730"/>
      <c r="V423" s="2730"/>
      <c r="W423" s="2730"/>
      <c r="X423" s="2730"/>
      <c r="Y423" s="2730"/>
      <c r="Z423" s="2730"/>
      <c r="AA423" s="2730"/>
      <c r="AB423" s="2730"/>
      <c r="AC423" s="2720">
        <f t="shared" si="242"/>
        <v>0</v>
      </c>
      <c r="AD423" s="2740"/>
      <c r="AE423" s="2740"/>
      <c r="AF423" s="2740"/>
      <c r="AG423" s="2740"/>
      <c r="AH423" s="2740"/>
      <c r="AI423" s="2740"/>
      <c r="AJ423" s="2740"/>
      <c r="AK423" s="2740"/>
      <c r="AL423" s="2740"/>
      <c r="AM423" s="2740"/>
      <c r="AN423" s="2740"/>
      <c r="AO423" s="2740"/>
      <c r="AP423" s="2740"/>
      <c r="AQ423" s="2740"/>
      <c r="AR423" s="2740"/>
      <c r="AS423" s="2740"/>
      <c r="AT423" s="2750"/>
      <c r="AU423" s="2751"/>
      <c r="AV423" s="1092">
        <f t="shared" si="243"/>
        <v>0</v>
      </c>
      <c r="AW423" s="1092">
        <f t="shared" si="244"/>
        <v>0</v>
      </c>
      <c r="AX423" s="1092">
        <f t="shared" si="245"/>
        <v>0</v>
      </c>
      <c r="AY423" s="2765">
        <f t="shared" si="246"/>
        <v>0</v>
      </c>
      <c r="AZ423" s="2720">
        <f t="shared" si="247"/>
        <v>0</v>
      </c>
      <c r="BA423" s="2720">
        <f t="shared" si="248"/>
        <v>0</v>
      </c>
      <c r="BB423" s="2720">
        <f t="shared" si="249"/>
        <v>0</v>
      </c>
      <c r="BC423" s="2720">
        <f t="shared" si="250"/>
        <v>0</v>
      </c>
      <c r="BD423" s="2720">
        <f t="shared" si="251"/>
        <v>0</v>
      </c>
      <c r="BE423" s="2720">
        <f t="shared" si="252"/>
        <v>0</v>
      </c>
      <c r="BF423" s="2720">
        <f t="shared" si="253"/>
        <v>0</v>
      </c>
      <c r="BG423" s="2720">
        <f t="shared" si="254"/>
        <v>0</v>
      </c>
      <c r="BH423" s="2720">
        <f t="shared" si="255"/>
        <v>0</v>
      </c>
      <c r="BI423" s="2720">
        <f t="shared" si="256"/>
        <v>0</v>
      </c>
      <c r="BJ423" s="2720">
        <f t="shared" si="257"/>
        <v>0</v>
      </c>
      <c r="BK423" s="2720">
        <f t="shared" si="258"/>
        <v>0</v>
      </c>
      <c r="BL423" s="2720">
        <f t="shared" si="259"/>
        <v>0</v>
      </c>
      <c r="BM423" s="2720">
        <f t="shared" si="260"/>
        <v>0</v>
      </c>
      <c r="BN423" s="2720">
        <f t="shared" si="261"/>
        <v>0</v>
      </c>
      <c r="BO423" s="2720">
        <f t="shared" si="262"/>
        <v>0</v>
      </c>
      <c r="BP423" s="2720">
        <f t="shared" si="263"/>
        <v>0</v>
      </c>
      <c r="BQ423" s="2720">
        <f t="shared" si="264"/>
        <v>0</v>
      </c>
      <c r="BR423" s="2720">
        <f t="shared" si="265"/>
        <v>0</v>
      </c>
      <c r="BS423" s="2720">
        <f t="shared" si="266"/>
        <v>0</v>
      </c>
      <c r="BT423" s="2772">
        <f t="shared" si="267"/>
        <v>0</v>
      </c>
    </row>
    <row r="424" spans="1:72">
      <c r="A424" s="2717"/>
      <c r="B424" s="2718"/>
      <c r="C424" s="2718"/>
      <c r="D424" s="2719"/>
      <c r="E424" s="2720">
        <f t="shared" si="239"/>
        <v>0</v>
      </c>
      <c r="F424" s="2721"/>
      <c r="G424" s="2722">
        <f t="shared" si="240"/>
        <v>0</v>
      </c>
      <c r="H424" s="2723">
        <f t="shared" si="241"/>
        <v>0</v>
      </c>
      <c r="I424" s="2730"/>
      <c r="J424" s="2730"/>
      <c r="K424" s="2730"/>
      <c r="L424" s="2730"/>
      <c r="M424" s="2730"/>
      <c r="N424" s="2730"/>
      <c r="O424" s="2730"/>
      <c r="P424" s="2730"/>
      <c r="Q424" s="2730"/>
      <c r="R424" s="2730"/>
      <c r="S424" s="2730"/>
      <c r="T424" s="2730"/>
      <c r="U424" s="2730"/>
      <c r="V424" s="2730"/>
      <c r="W424" s="2730"/>
      <c r="X424" s="2730"/>
      <c r="Y424" s="2730"/>
      <c r="Z424" s="2730"/>
      <c r="AA424" s="2730"/>
      <c r="AB424" s="2730"/>
      <c r="AC424" s="2720">
        <f t="shared" si="242"/>
        <v>0</v>
      </c>
      <c r="AD424" s="2740"/>
      <c r="AE424" s="2740"/>
      <c r="AF424" s="2740"/>
      <c r="AG424" s="2740"/>
      <c r="AH424" s="2740"/>
      <c r="AI424" s="2740"/>
      <c r="AJ424" s="2740"/>
      <c r="AK424" s="2740"/>
      <c r="AL424" s="2740"/>
      <c r="AM424" s="2740"/>
      <c r="AN424" s="2740"/>
      <c r="AO424" s="2740"/>
      <c r="AP424" s="2740"/>
      <c r="AQ424" s="2740"/>
      <c r="AR424" s="2740"/>
      <c r="AS424" s="2740"/>
      <c r="AT424" s="2750"/>
      <c r="AU424" s="2751"/>
      <c r="AV424" s="1092">
        <f t="shared" si="243"/>
        <v>0</v>
      </c>
      <c r="AW424" s="1092">
        <f t="shared" si="244"/>
        <v>0</v>
      </c>
      <c r="AX424" s="1092">
        <f t="shared" si="245"/>
        <v>0</v>
      </c>
      <c r="AY424" s="2765">
        <f t="shared" si="246"/>
        <v>0</v>
      </c>
      <c r="AZ424" s="2720">
        <f t="shared" si="247"/>
        <v>0</v>
      </c>
      <c r="BA424" s="2720">
        <f t="shared" si="248"/>
        <v>0</v>
      </c>
      <c r="BB424" s="2720">
        <f t="shared" si="249"/>
        <v>0</v>
      </c>
      <c r="BC424" s="2720">
        <f t="shared" si="250"/>
        <v>0</v>
      </c>
      <c r="BD424" s="2720">
        <f t="shared" si="251"/>
        <v>0</v>
      </c>
      <c r="BE424" s="2720">
        <f t="shared" si="252"/>
        <v>0</v>
      </c>
      <c r="BF424" s="2720">
        <f t="shared" si="253"/>
        <v>0</v>
      </c>
      <c r="BG424" s="2720">
        <f t="shared" si="254"/>
        <v>0</v>
      </c>
      <c r="BH424" s="2720">
        <f t="shared" si="255"/>
        <v>0</v>
      </c>
      <c r="BI424" s="2720">
        <f t="shared" si="256"/>
        <v>0</v>
      </c>
      <c r="BJ424" s="2720">
        <f t="shared" si="257"/>
        <v>0</v>
      </c>
      <c r="BK424" s="2720">
        <f t="shared" si="258"/>
        <v>0</v>
      </c>
      <c r="BL424" s="2720">
        <f t="shared" si="259"/>
        <v>0</v>
      </c>
      <c r="BM424" s="2720">
        <f t="shared" si="260"/>
        <v>0</v>
      </c>
      <c r="BN424" s="2720">
        <f t="shared" si="261"/>
        <v>0</v>
      </c>
      <c r="BO424" s="2720">
        <f t="shared" si="262"/>
        <v>0</v>
      </c>
      <c r="BP424" s="2720">
        <f t="shared" si="263"/>
        <v>0</v>
      </c>
      <c r="BQ424" s="2720">
        <f t="shared" si="264"/>
        <v>0</v>
      </c>
      <c r="BR424" s="2720">
        <f t="shared" si="265"/>
        <v>0</v>
      </c>
      <c r="BS424" s="2720">
        <f t="shared" si="266"/>
        <v>0</v>
      </c>
      <c r="BT424" s="2772">
        <f t="shared" si="267"/>
        <v>0</v>
      </c>
    </row>
    <row r="425" spans="1:72">
      <c r="A425" s="2717"/>
      <c r="B425" s="2718"/>
      <c r="C425" s="2718"/>
      <c r="D425" s="2719"/>
      <c r="E425" s="2720">
        <f t="shared" si="239"/>
        <v>0</v>
      </c>
      <c r="F425" s="2721"/>
      <c r="G425" s="2722">
        <f t="shared" si="240"/>
        <v>0</v>
      </c>
      <c r="H425" s="2723">
        <f t="shared" si="241"/>
        <v>0</v>
      </c>
      <c r="I425" s="2730"/>
      <c r="J425" s="2730"/>
      <c r="K425" s="2730"/>
      <c r="L425" s="2730"/>
      <c r="M425" s="2730"/>
      <c r="N425" s="2730"/>
      <c r="O425" s="2730"/>
      <c r="P425" s="2730"/>
      <c r="Q425" s="2730"/>
      <c r="R425" s="2730"/>
      <c r="S425" s="2730"/>
      <c r="T425" s="2730"/>
      <c r="U425" s="2730"/>
      <c r="V425" s="2730"/>
      <c r="W425" s="2730"/>
      <c r="X425" s="2730"/>
      <c r="Y425" s="2730"/>
      <c r="Z425" s="2730"/>
      <c r="AA425" s="2730"/>
      <c r="AB425" s="2730"/>
      <c r="AC425" s="2720">
        <f t="shared" si="242"/>
        <v>0</v>
      </c>
      <c r="AD425" s="2740"/>
      <c r="AE425" s="2740"/>
      <c r="AF425" s="2740"/>
      <c r="AG425" s="2740"/>
      <c r="AH425" s="2740"/>
      <c r="AI425" s="2740"/>
      <c r="AJ425" s="2740"/>
      <c r="AK425" s="2740"/>
      <c r="AL425" s="2740"/>
      <c r="AM425" s="2740"/>
      <c r="AN425" s="2740"/>
      <c r="AO425" s="2740"/>
      <c r="AP425" s="2740"/>
      <c r="AQ425" s="2740"/>
      <c r="AR425" s="2740"/>
      <c r="AS425" s="2740"/>
      <c r="AT425" s="2750"/>
      <c r="AU425" s="2751"/>
      <c r="AV425" s="1092">
        <f t="shared" si="243"/>
        <v>0</v>
      </c>
      <c r="AW425" s="1092">
        <f t="shared" si="244"/>
        <v>0</v>
      </c>
      <c r="AX425" s="1092">
        <f t="shared" si="245"/>
        <v>0</v>
      </c>
      <c r="AY425" s="2765">
        <f t="shared" si="246"/>
        <v>0</v>
      </c>
      <c r="AZ425" s="2720">
        <f t="shared" si="247"/>
        <v>0</v>
      </c>
      <c r="BA425" s="2720">
        <f t="shared" si="248"/>
        <v>0</v>
      </c>
      <c r="BB425" s="2720">
        <f t="shared" si="249"/>
        <v>0</v>
      </c>
      <c r="BC425" s="2720">
        <f t="shared" si="250"/>
        <v>0</v>
      </c>
      <c r="BD425" s="2720">
        <f t="shared" si="251"/>
        <v>0</v>
      </c>
      <c r="BE425" s="2720">
        <f t="shared" si="252"/>
        <v>0</v>
      </c>
      <c r="BF425" s="2720">
        <f t="shared" si="253"/>
        <v>0</v>
      </c>
      <c r="BG425" s="2720">
        <f t="shared" si="254"/>
        <v>0</v>
      </c>
      <c r="BH425" s="2720">
        <f t="shared" si="255"/>
        <v>0</v>
      </c>
      <c r="BI425" s="2720">
        <f t="shared" si="256"/>
        <v>0</v>
      </c>
      <c r="BJ425" s="2720">
        <f t="shared" si="257"/>
        <v>0</v>
      </c>
      <c r="BK425" s="2720">
        <f t="shared" si="258"/>
        <v>0</v>
      </c>
      <c r="BL425" s="2720">
        <f t="shared" si="259"/>
        <v>0</v>
      </c>
      <c r="BM425" s="2720">
        <f t="shared" si="260"/>
        <v>0</v>
      </c>
      <c r="BN425" s="2720">
        <f t="shared" si="261"/>
        <v>0</v>
      </c>
      <c r="BO425" s="2720">
        <f t="shared" si="262"/>
        <v>0</v>
      </c>
      <c r="BP425" s="2720">
        <f t="shared" si="263"/>
        <v>0</v>
      </c>
      <c r="BQ425" s="2720">
        <f t="shared" si="264"/>
        <v>0</v>
      </c>
      <c r="BR425" s="2720">
        <f t="shared" si="265"/>
        <v>0</v>
      </c>
      <c r="BS425" s="2720">
        <f t="shared" si="266"/>
        <v>0</v>
      </c>
      <c r="BT425" s="2772">
        <f t="shared" si="267"/>
        <v>0</v>
      </c>
    </row>
    <row r="426" spans="1:72">
      <c r="A426" s="2717"/>
      <c r="B426" s="2718"/>
      <c r="C426" s="2718"/>
      <c r="D426" s="2719"/>
      <c r="E426" s="2720">
        <f t="shared" si="239"/>
        <v>0</v>
      </c>
      <c r="F426" s="2721"/>
      <c r="G426" s="2722">
        <f t="shared" si="240"/>
        <v>0</v>
      </c>
      <c r="H426" s="2723">
        <f t="shared" si="241"/>
        <v>0</v>
      </c>
      <c r="I426" s="2730"/>
      <c r="J426" s="2730"/>
      <c r="K426" s="2730"/>
      <c r="L426" s="2730"/>
      <c r="M426" s="2730"/>
      <c r="N426" s="2730"/>
      <c r="O426" s="2730"/>
      <c r="P426" s="2730"/>
      <c r="Q426" s="2730"/>
      <c r="R426" s="2730"/>
      <c r="S426" s="2730"/>
      <c r="T426" s="2730"/>
      <c r="U426" s="2730"/>
      <c r="V426" s="2730"/>
      <c r="W426" s="2730"/>
      <c r="X426" s="2730"/>
      <c r="Y426" s="2730"/>
      <c r="Z426" s="2730"/>
      <c r="AA426" s="2730"/>
      <c r="AB426" s="2730"/>
      <c r="AC426" s="2720">
        <f t="shared" si="242"/>
        <v>0</v>
      </c>
      <c r="AD426" s="2740"/>
      <c r="AE426" s="2740"/>
      <c r="AF426" s="2740"/>
      <c r="AG426" s="2740"/>
      <c r="AH426" s="2740"/>
      <c r="AI426" s="2740"/>
      <c r="AJ426" s="2740"/>
      <c r="AK426" s="2740"/>
      <c r="AL426" s="2740"/>
      <c r="AM426" s="2740"/>
      <c r="AN426" s="2740"/>
      <c r="AO426" s="2740"/>
      <c r="AP426" s="2740"/>
      <c r="AQ426" s="2740"/>
      <c r="AR426" s="2740"/>
      <c r="AS426" s="2740"/>
      <c r="AT426" s="2750"/>
      <c r="AU426" s="2751"/>
      <c r="AV426" s="1092">
        <f t="shared" si="243"/>
        <v>0</v>
      </c>
      <c r="AW426" s="1092">
        <f t="shared" si="244"/>
        <v>0</v>
      </c>
      <c r="AX426" s="1092">
        <f t="shared" si="245"/>
        <v>0</v>
      </c>
      <c r="AY426" s="2765">
        <f t="shared" si="246"/>
        <v>0</v>
      </c>
      <c r="AZ426" s="2720">
        <f t="shared" si="247"/>
        <v>0</v>
      </c>
      <c r="BA426" s="2720">
        <f t="shared" si="248"/>
        <v>0</v>
      </c>
      <c r="BB426" s="2720">
        <f t="shared" si="249"/>
        <v>0</v>
      </c>
      <c r="BC426" s="2720">
        <f t="shared" si="250"/>
        <v>0</v>
      </c>
      <c r="BD426" s="2720">
        <f t="shared" si="251"/>
        <v>0</v>
      </c>
      <c r="BE426" s="2720">
        <f t="shared" si="252"/>
        <v>0</v>
      </c>
      <c r="BF426" s="2720">
        <f t="shared" si="253"/>
        <v>0</v>
      </c>
      <c r="BG426" s="2720">
        <f t="shared" si="254"/>
        <v>0</v>
      </c>
      <c r="BH426" s="2720">
        <f t="shared" si="255"/>
        <v>0</v>
      </c>
      <c r="BI426" s="2720">
        <f t="shared" si="256"/>
        <v>0</v>
      </c>
      <c r="BJ426" s="2720">
        <f t="shared" si="257"/>
        <v>0</v>
      </c>
      <c r="BK426" s="2720">
        <f t="shared" si="258"/>
        <v>0</v>
      </c>
      <c r="BL426" s="2720">
        <f t="shared" si="259"/>
        <v>0</v>
      </c>
      <c r="BM426" s="2720">
        <f t="shared" si="260"/>
        <v>0</v>
      </c>
      <c r="BN426" s="2720">
        <f t="shared" si="261"/>
        <v>0</v>
      </c>
      <c r="BO426" s="2720">
        <f t="shared" si="262"/>
        <v>0</v>
      </c>
      <c r="BP426" s="2720">
        <f t="shared" si="263"/>
        <v>0</v>
      </c>
      <c r="BQ426" s="2720">
        <f t="shared" si="264"/>
        <v>0</v>
      </c>
      <c r="BR426" s="2720">
        <f t="shared" si="265"/>
        <v>0</v>
      </c>
      <c r="BS426" s="2720">
        <f t="shared" si="266"/>
        <v>0</v>
      </c>
      <c r="BT426" s="2772">
        <f t="shared" si="267"/>
        <v>0</v>
      </c>
    </row>
    <row r="427" spans="1:72">
      <c r="A427" s="2717"/>
      <c r="B427" s="2718"/>
      <c r="C427" s="2718"/>
      <c r="D427" s="2719"/>
      <c r="E427" s="2720">
        <f t="shared" si="239"/>
        <v>0</v>
      </c>
      <c r="F427" s="2721"/>
      <c r="G427" s="2722">
        <f t="shared" si="240"/>
        <v>0</v>
      </c>
      <c r="H427" s="2723">
        <f t="shared" si="241"/>
        <v>0</v>
      </c>
      <c r="I427" s="2730"/>
      <c r="J427" s="2730"/>
      <c r="K427" s="2730"/>
      <c r="L427" s="2730"/>
      <c r="M427" s="2730"/>
      <c r="N427" s="2730"/>
      <c r="O427" s="2730"/>
      <c r="P427" s="2730"/>
      <c r="Q427" s="2730"/>
      <c r="R427" s="2730"/>
      <c r="S427" s="2730"/>
      <c r="T427" s="2730"/>
      <c r="U427" s="2730"/>
      <c r="V427" s="2730"/>
      <c r="W427" s="2730"/>
      <c r="X427" s="2730"/>
      <c r="Y427" s="2730"/>
      <c r="Z427" s="2730"/>
      <c r="AA427" s="2730"/>
      <c r="AB427" s="2730"/>
      <c r="AC427" s="2720">
        <f t="shared" si="242"/>
        <v>0</v>
      </c>
      <c r="AD427" s="2740"/>
      <c r="AE427" s="2740"/>
      <c r="AF427" s="2740"/>
      <c r="AG427" s="2740"/>
      <c r="AH427" s="2740"/>
      <c r="AI427" s="2740"/>
      <c r="AJ427" s="2740"/>
      <c r="AK427" s="2740"/>
      <c r="AL427" s="2740"/>
      <c r="AM427" s="2740"/>
      <c r="AN427" s="2740"/>
      <c r="AO427" s="2740"/>
      <c r="AP427" s="2740"/>
      <c r="AQ427" s="2740"/>
      <c r="AR427" s="2740"/>
      <c r="AS427" s="2740"/>
      <c r="AT427" s="2750"/>
      <c r="AU427" s="2751"/>
      <c r="AV427" s="1092">
        <f t="shared" si="243"/>
        <v>0</v>
      </c>
      <c r="AW427" s="1092">
        <f t="shared" si="244"/>
        <v>0</v>
      </c>
      <c r="AX427" s="1092">
        <f t="shared" si="245"/>
        <v>0</v>
      </c>
      <c r="AY427" s="2765">
        <f t="shared" si="246"/>
        <v>0</v>
      </c>
      <c r="AZ427" s="2720">
        <f t="shared" si="247"/>
        <v>0</v>
      </c>
      <c r="BA427" s="2720">
        <f t="shared" si="248"/>
        <v>0</v>
      </c>
      <c r="BB427" s="2720">
        <f t="shared" si="249"/>
        <v>0</v>
      </c>
      <c r="BC427" s="2720">
        <f t="shared" si="250"/>
        <v>0</v>
      </c>
      <c r="BD427" s="2720">
        <f t="shared" si="251"/>
        <v>0</v>
      </c>
      <c r="BE427" s="2720">
        <f t="shared" si="252"/>
        <v>0</v>
      </c>
      <c r="BF427" s="2720">
        <f t="shared" si="253"/>
        <v>0</v>
      </c>
      <c r="BG427" s="2720">
        <f t="shared" si="254"/>
        <v>0</v>
      </c>
      <c r="BH427" s="2720">
        <f t="shared" si="255"/>
        <v>0</v>
      </c>
      <c r="BI427" s="2720">
        <f t="shared" si="256"/>
        <v>0</v>
      </c>
      <c r="BJ427" s="2720">
        <f t="shared" si="257"/>
        <v>0</v>
      </c>
      <c r="BK427" s="2720">
        <f t="shared" si="258"/>
        <v>0</v>
      </c>
      <c r="BL427" s="2720">
        <f t="shared" si="259"/>
        <v>0</v>
      </c>
      <c r="BM427" s="2720">
        <f t="shared" si="260"/>
        <v>0</v>
      </c>
      <c r="BN427" s="2720">
        <f t="shared" si="261"/>
        <v>0</v>
      </c>
      <c r="BO427" s="2720">
        <f t="shared" si="262"/>
        <v>0</v>
      </c>
      <c r="BP427" s="2720">
        <f t="shared" si="263"/>
        <v>0</v>
      </c>
      <c r="BQ427" s="2720">
        <f t="shared" si="264"/>
        <v>0</v>
      </c>
      <c r="BR427" s="2720">
        <f t="shared" si="265"/>
        <v>0</v>
      </c>
      <c r="BS427" s="2720">
        <f t="shared" si="266"/>
        <v>0</v>
      </c>
      <c r="BT427" s="2772">
        <f t="shared" si="267"/>
        <v>0</v>
      </c>
    </row>
    <row r="428" spans="1:72">
      <c r="A428" s="2717"/>
      <c r="B428" s="2718"/>
      <c r="C428" s="2718"/>
      <c r="D428" s="2719"/>
      <c r="E428" s="2720">
        <f t="shared" si="239"/>
        <v>0</v>
      </c>
      <c r="F428" s="2721"/>
      <c r="G428" s="2722">
        <f t="shared" si="240"/>
        <v>0</v>
      </c>
      <c r="H428" s="2723">
        <f t="shared" si="241"/>
        <v>0</v>
      </c>
      <c r="I428" s="2730"/>
      <c r="J428" s="2730"/>
      <c r="K428" s="2730"/>
      <c r="L428" s="2730"/>
      <c r="M428" s="2730"/>
      <c r="N428" s="2730"/>
      <c r="O428" s="2730"/>
      <c r="P428" s="2730"/>
      <c r="Q428" s="2730"/>
      <c r="R428" s="2730"/>
      <c r="S428" s="2730"/>
      <c r="T428" s="2730"/>
      <c r="U428" s="2730"/>
      <c r="V428" s="2730"/>
      <c r="W428" s="2730"/>
      <c r="X428" s="2730"/>
      <c r="Y428" s="2730"/>
      <c r="Z428" s="2730"/>
      <c r="AA428" s="2730"/>
      <c r="AB428" s="2730"/>
      <c r="AC428" s="2720">
        <f t="shared" si="242"/>
        <v>0</v>
      </c>
      <c r="AD428" s="2740"/>
      <c r="AE428" s="2740"/>
      <c r="AF428" s="2740"/>
      <c r="AG428" s="2740"/>
      <c r="AH428" s="2740"/>
      <c r="AI428" s="2740"/>
      <c r="AJ428" s="2740"/>
      <c r="AK428" s="2740"/>
      <c r="AL428" s="2740"/>
      <c r="AM428" s="2740"/>
      <c r="AN428" s="2740"/>
      <c r="AO428" s="2740"/>
      <c r="AP428" s="2740"/>
      <c r="AQ428" s="2740"/>
      <c r="AR428" s="2740"/>
      <c r="AS428" s="2740"/>
      <c r="AT428" s="2750"/>
      <c r="AU428" s="2751"/>
      <c r="AV428" s="1092">
        <f t="shared" si="243"/>
        <v>0</v>
      </c>
      <c r="AW428" s="1092">
        <f t="shared" si="244"/>
        <v>0</v>
      </c>
      <c r="AX428" s="1092">
        <f t="shared" si="245"/>
        <v>0</v>
      </c>
      <c r="AY428" s="2765">
        <f t="shared" si="246"/>
        <v>0</v>
      </c>
      <c r="AZ428" s="2720">
        <f t="shared" si="247"/>
        <v>0</v>
      </c>
      <c r="BA428" s="2720">
        <f t="shared" si="248"/>
        <v>0</v>
      </c>
      <c r="BB428" s="2720">
        <f t="shared" si="249"/>
        <v>0</v>
      </c>
      <c r="BC428" s="2720">
        <f t="shared" si="250"/>
        <v>0</v>
      </c>
      <c r="BD428" s="2720">
        <f t="shared" si="251"/>
        <v>0</v>
      </c>
      <c r="BE428" s="2720">
        <f t="shared" si="252"/>
        <v>0</v>
      </c>
      <c r="BF428" s="2720">
        <f t="shared" si="253"/>
        <v>0</v>
      </c>
      <c r="BG428" s="2720">
        <f t="shared" si="254"/>
        <v>0</v>
      </c>
      <c r="BH428" s="2720">
        <f t="shared" si="255"/>
        <v>0</v>
      </c>
      <c r="BI428" s="2720">
        <f t="shared" si="256"/>
        <v>0</v>
      </c>
      <c r="BJ428" s="2720">
        <f t="shared" si="257"/>
        <v>0</v>
      </c>
      <c r="BK428" s="2720">
        <f t="shared" si="258"/>
        <v>0</v>
      </c>
      <c r="BL428" s="2720">
        <f t="shared" si="259"/>
        <v>0</v>
      </c>
      <c r="BM428" s="2720">
        <f t="shared" si="260"/>
        <v>0</v>
      </c>
      <c r="BN428" s="2720">
        <f t="shared" si="261"/>
        <v>0</v>
      </c>
      <c r="BO428" s="2720">
        <f t="shared" si="262"/>
        <v>0</v>
      </c>
      <c r="BP428" s="2720">
        <f t="shared" si="263"/>
        <v>0</v>
      </c>
      <c r="BQ428" s="2720">
        <f t="shared" si="264"/>
        <v>0</v>
      </c>
      <c r="BR428" s="2720">
        <f t="shared" si="265"/>
        <v>0</v>
      </c>
      <c r="BS428" s="2720">
        <f t="shared" si="266"/>
        <v>0</v>
      </c>
      <c r="BT428" s="2772">
        <f t="shared" si="267"/>
        <v>0</v>
      </c>
    </row>
    <row r="429" spans="1:72">
      <c r="A429" s="2717"/>
      <c r="B429" s="2718"/>
      <c r="C429" s="2718"/>
      <c r="D429" s="2719"/>
      <c r="E429" s="2720">
        <f t="shared" si="239"/>
        <v>0</v>
      </c>
      <c r="F429" s="2721"/>
      <c r="G429" s="2722">
        <f t="shared" si="240"/>
        <v>0</v>
      </c>
      <c r="H429" s="2723">
        <f t="shared" si="241"/>
        <v>0</v>
      </c>
      <c r="I429" s="2730"/>
      <c r="J429" s="2730"/>
      <c r="K429" s="2730"/>
      <c r="L429" s="2730"/>
      <c r="M429" s="2730"/>
      <c r="N429" s="2730"/>
      <c r="O429" s="2730"/>
      <c r="P429" s="2730"/>
      <c r="Q429" s="2730"/>
      <c r="R429" s="2730"/>
      <c r="S429" s="2730"/>
      <c r="T429" s="2730"/>
      <c r="U429" s="2730"/>
      <c r="V429" s="2730"/>
      <c r="W429" s="2730"/>
      <c r="X429" s="2730"/>
      <c r="Y429" s="2730"/>
      <c r="Z429" s="2730"/>
      <c r="AA429" s="2730"/>
      <c r="AB429" s="2730"/>
      <c r="AC429" s="2720">
        <f t="shared" si="242"/>
        <v>0</v>
      </c>
      <c r="AD429" s="2740"/>
      <c r="AE429" s="2740"/>
      <c r="AF429" s="2740"/>
      <c r="AG429" s="2740"/>
      <c r="AH429" s="2740"/>
      <c r="AI429" s="2740"/>
      <c r="AJ429" s="2740"/>
      <c r="AK429" s="2740"/>
      <c r="AL429" s="2740"/>
      <c r="AM429" s="2740"/>
      <c r="AN429" s="2740"/>
      <c r="AO429" s="2740"/>
      <c r="AP429" s="2740"/>
      <c r="AQ429" s="2740"/>
      <c r="AR429" s="2740"/>
      <c r="AS429" s="2740"/>
      <c r="AT429" s="2750"/>
      <c r="AU429" s="2751"/>
      <c r="AV429" s="1092">
        <f t="shared" si="243"/>
        <v>0</v>
      </c>
      <c r="AW429" s="1092">
        <f t="shared" si="244"/>
        <v>0</v>
      </c>
      <c r="AX429" s="1092">
        <f t="shared" si="245"/>
        <v>0</v>
      </c>
      <c r="AY429" s="2765">
        <f t="shared" si="246"/>
        <v>0</v>
      </c>
      <c r="AZ429" s="2720">
        <f t="shared" si="247"/>
        <v>0</v>
      </c>
      <c r="BA429" s="2720">
        <f t="shared" si="248"/>
        <v>0</v>
      </c>
      <c r="BB429" s="2720">
        <f t="shared" si="249"/>
        <v>0</v>
      </c>
      <c r="BC429" s="2720">
        <f t="shared" si="250"/>
        <v>0</v>
      </c>
      <c r="BD429" s="2720">
        <f t="shared" si="251"/>
        <v>0</v>
      </c>
      <c r="BE429" s="2720">
        <f t="shared" si="252"/>
        <v>0</v>
      </c>
      <c r="BF429" s="2720">
        <f t="shared" si="253"/>
        <v>0</v>
      </c>
      <c r="BG429" s="2720">
        <f t="shared" si="254"/>
        <v>0</v>
      </c>
      <c r="BH429" s="2720">
        <f t="shared" si="255"/>
        <v>0</v>
      </c>
      <c r="BI429" s="2720">
        <f t="shared" si="256"/>
        <v>0</v>
      </c>
      <c r="BJ429" s="2720">
        <f t="shared" si="257"/>
        <v>0</v>
      </c>
      <c r="BK429" s="2720">
        <f t="shared" si="258"/>
        <v>0</v>
      </c>
      <c r="BL429" s="2720">
        <f t="shared" si="259"/>
        <v>0</v>
      </c>
      <c r="BM429" s="2720">
        <f t="shared" si="260"/>
        <v>0</v>
      </c>
      <c r="BN429" s="2720">
        <f t="shared" si="261"/>
        <v>0</v>
      </c>
      <c r="BO429" s="2720">
        <f t="shared" si="262"/>
        <v>0</v>
      </c>
      <c r="BP429" s="2720">
        <f t="shared" si="263"/>
        <v>0</v>
      </c>
      <c r="BQ429" s="2720">
        <f t="shared" si="264"/>
        <v>0</v>
      </c>
      <c r="BR429" s="2720">
        <f t="shared" si="265"/>
        <v>0</v>
      </c>
      <c r="BS429" s="2720">
        <f t="shared" si="266"/>
        <v>0</v>
      </c>
      <c r="BT429" s="2772">
        <f t="shared" si="267"/>
        <v>0</v>
      </c>
    </row>
    <row r="430" spans="1:72">
      <c r="A430" s="2717"/>
      <c r="B430" s="2718"/>
      <c r="C430" s="2718"/>
      <c r="D430" s="2719"/>
      <c r="E430" s="2720">
        <f t="shared" si="239"/>
        <v>0</v>
      </c>
      <c r="F430" s="2721"/>
      <c r="G430" s="2722">
        <f t="shared" si="240"/>
        <v>0</v>
      </c>
      <c r="H430" s="2723">
        <f t="shared" si="241"/>
        <v>0</v>
      </c>
      <c r="I430" s="2730"/>
      <c r="J430" s="2730"/>
      <c r="K430" s="2730"/>
      <c r="L430" s="2730"/>
      <c r="M430" s="2730"/>
      <c r="N430" s="2730"/>
      <c r="O430" s="2730"/>
      <c r="P430" s="2730"/>
      <c r="Q430" s="2730"/>
      <c r="R430" s="2730"/>
      <c r="S430" s="2730"/>
      <c r="T430" s="2730"/>
      <c r="U430" s="2730"/>
      <c r="V430" s="2730"/>
      <c r="W430" s="2730"/>
      <c r="X430" s="2730"/>
      <c r="Y430" s="2730"/>
      <c r="Z430" s="2730"/>
      <c r="AA430" s="2730"/>
      <c r="AB430" s="2730"/>
      <c r="AC430" s="2720">
        <f t="shared" si="242"/>
        <v>0</v>
      </c>
      <c r="AD430" s="2740"/>
      <c r="AE430" s="2740"/>
      <c r="AF430" s="2740"/>
      <c r="AG430" s="2740"/>
      <c r="AH430" s="2740"/>
      <c r="AI430" s="2740"/>
      <c r="AJ430" s="2740"/>
      <c r="AK430" s="2740"/>
      <c r="AL430" s="2740"/>
      <c r="AM430" s="2740"/>
      <c r="AN430" s="2740"/>
      <c r="AO430" s="2740"/>
      <c r="AP430" s="2740"/>
      <c r="AQ430" s="2740"/>
      <c r="AR430" s="2740"/>
      <c r="AS430" s="2740"/>
      <c r="AT430" s="2750"/>
      <c r="AU430" s="2751"/>
      <c r="AV430" s="1092">
        <f t="shared" si="243"/>
        <v>0</v>
      </c>
      <c r="AW430" s="1092">
        <f t="shared" si="244"/>
        <v>0</v>
      </c>
      <c r="AX430" s="1092">
        <f t="shared" si="245"/>
        <v>0</v>
      </c>
      <c r="AY430" s="2765">
        <f t="shared" si="246"/>
        <v>0</v>
      </c>
      <c r="AZ430" s="2720">
        <f t="shared" si="247"/>
        <v>0</v>
      </c>
      <c r="BA430" s="2720">
        <f t="shared" si="248"/>
        <v>0</v>
      </c>
      <c r="BB430" s="2720">
        <f t="shared" si="249"/>
        <v>0</v>
      </c>
      <c r="BC430" s="2720">
        <f t="shared" si="250"/>
        <v>0</v>
      </c>
      <c r="BD430" s="2720">
        <f t="shared" si="251"/>
        <v>0</v>
      </c>
      <c r="BE430" s="2720">
        <f t="shared" si="252"/>
        <v>0</v>
      </c>
      <c r="BF430" s="2720">
        <f t="shared" si="253"/>
        <v>0</v>
      </c>
      <c r="BG430" s="2720">
        <f t="shared" si="254"/>
        <v>0</v>
      </c>
      <c r="BH430" s="2720">
        <f t="shared" si="255"/>
        <v>0</v>
      </c>
      <c r="BI430" s="2720">
        <f t="shared" si="256"/>
        <v>0</v>
      </c>
      <c r="BJ430" s="2720">
        <f t="shared" si="257"/>
        <v>0</v>
      </c>
      <c r="BK430" s="2720">
        <f t="shared" si="258"/>
        <v>0</v>
      </c>
      <c r="BL430" s="2720">
        <f t="shared" si="259"/>
        <v>0</v>
      </c>
      <c r="BM430" s="2720">
        <f t="shared" si="260"/>
        <v>0</v>
      </c>
      <c r="BN430" s="2720">
        <f t="shared" si="261"/>
        <v>0</v>
      </c>
      <c r="BO430" s="2720">
        <f t="shared" si="262"/>
        <v>0</v>
      </c>
      <c r="BP430" s="2720">
        <f t="shared" si="263"/>
        <v>0</v>
      </c>
      <c r="BQ430" s="2720">
        <f t="shared" si="264"/>
        <v>0</v>
      </c>
      <c r="BR430" s="2720">
        <f t="shared" si="265"/>
        <v>0</v>
      </c>
      <c r="BS430" s="2720">
        <f t="shared" si="266"/>
        <v>0</v>
      </c>
      <c r="BT430" s="2772">
        <f t="shared" si="267"/>
        <v>0</v>
      </c>
    </row>
    <row r="431" spans="1:72">
      <c r="A431" s="2717"/>
      <c r="B431" s="2718"/>
      <c r="C431" s="2718"/>
      <c r="D431" s="2719"/>
      <c r="E431" s="2720">
        <f t="shared" si="239"/>
        <v>0</v>
      </c>
      <c r="F431" s="2721"/>
      <c r="G431" s="2722">
        <f t="shared" si="240"/>
        <v>0</v>
      </c>
      <c r="H431" s="2723">
        <f t="shared" si="241"/>
        <v>0</v>
      </c>
      <c r="I431" s="2730"/>
      <c r="J431" s="2730"/>
      <c r="K431" s="2730"/>
      <c r="L431" s="2730"/>
      <c r="M431" s="2730"/>
      <c r="N431" s="2730"/>
      <c r="O431" s="2730"/>
      <c r="P431" s="2730"/>
      <c r="Q431" s="2730"/>
      <c r="R431" s="2730"/>
      <c r="S431" s="2730"/>
      <c r="T431" s="2730"/>
      <c r="U431" s="2730"/>
      <c r="V431" s="2730"/>
      <c r="W431" s="2730"/>
      <c r="X431" s="2730"/>
      <c r="Y431" s="2730"/>
      <c r="Z431" s="2730"/>
      <c r="AA431" s="2730"/>
      <c r="AB431" s="2730"/>
      <c r="AC431" s="2720">
        <f t="shared" si="242"/>
        <v>0</v>
      </c>
      <c r="AD431" s="2740"/>
      <c r="AE431" s="2740"/>
      <c r="AF431" s="2740"/>
      <c r="AG431" s="2740"/>
      <c r="AH431" s="2740"/>
      <c r="AI431" s="2740"/>
      <c r="AJ431" s="2740"/>
      <c r="AK431" s="2740"/>
      <c r="AL431" s="2740"/>
      <c r="AM431" s="2740"/>
      <c r="AN431" s="2740"/>
      <c r="AO431" s="2740"/>
      <c r="AP431" s="2740"/>
      <c r="AQ431" s="2740"/>
      <c r="AR431" s="2740"/>
      <c r="AS431" s="2740"/>
      <c r="AT431" s="2750"/>
      <c r="AU431" s="2751"/>
      <c r="AV431" s="1092">
        <f t="shared" si="243"/>
        <v>0</v>
      </c>
      <c r="AW431" s="1092">
        <f t="shared" si="244"/>
        <v>0</v>
      </c>
      <c r="AX431" s="1092">
        <f t="shared" si="245"/>
        <v>0</v>
      </c>
      <c r="AY431" s="2765">
        <f t="shared" si="246"/>
        <v>0</v>
      </c>
      <c r="AZ431" s="2720">
        <f t="shared" si="247"/>
        <v>0</v>
      </c>
      <c r="BA431" s="2720">
        <f t="shared" si="248"/>
        <v>0</v>
      </c>
      <c r="BB431" s="2720">
        <f t="shared" si="249"/>
        <v>0</v>
      </c>
      <c r="BC431" s="2720">
        <f t="shared" si="250"/>
        <v>0</v>
      </c>
      <c r="BD431" s="2720">
        <f t="shared" si="251"/>
        <v>0</v>
      </c>
      <c r="BE431" s="2720">
        <f t="shared" si="252"/>
        <v>0</v>
      </c>
      <c r="BF431" s="2720">
        <f t="shared" si="253"/>
        <v>0</v>
      </c>
      <c r="BG431" s="2720">
        <f t="shared" si="254"/>
        <v>0</v>
      </c>
      <c r="BH431" s="2720">
        <f t="shared" si="255"/>
        <v>0</v>
      </c>
      <c r="BI431" s="2720">
        <f t="shared" si="256"/>
        <v>0</v>
      </c>
      <c r="BJ431" s="2720">
        <f t="shared" si="257"/>
        <v>0</v>
      </c>
      <c r="BK431" s="2720">
        <f t="shared" si="258"/>
        <v>0</v>
      </c>
      <c r="BL431" s="2720">
        <f t="shared" si="259"/>
        <v>0</v>
      </c>
      <c r="BM431" s="2720">
        <f t="shared" si="260"/>
        <v>0</v>
      </c>
      <c r="BN431" s="2720">
        <f t="shared" si="261"/>
        <v>0</v>
      </c>
      <c r="BO431" s="2720">
        <f t="shared" si="262"/>
        <v>0</v>
      </c>
      <c r="BP431" s="2720">
        <f t="shared" si="263"/>
        <v>0</v>
      </c>
      <c r="BQ431" s="2720">
        <f t="shared" si="264"/>
        <v>0</v>
      </c>
      <c r="BR431" s="2720">
        <f t="shared" si="265"/>
        <v>0</v>
      </c>
      <c r="BS431" s="2720">
        <f t="shared" si="266"/>
        <v>0</v>
      </c>
      <c r="BT431" s="2772">
        <f t="shared" si="267"/>
        <v>0</v>
      </c>
    </row>
    <row r="432" spans="1:72">
      <c r="A432" s="2717"/>
      <c r="B432" s="2718"/>
      <c r="C432" s="2718"/>
      <c r="D432" s="2719"/>
      <c r="E432" s="2720">
        <f t="shared" si="239"/>
        <v>0</v>
      </c>
      <c r="F432" s="2721"/>
      <c r="G432" s="2722">
        <f t="shared" si="240"/>
        <v>0</v>
      </c>
      <c r="H432" s="2723">
        <f t="shared" si="241"/>
        <v>0</v>
      </c>
      <c r="I432" s="2730"/>
      <c r="J432" s="2730"/>
      <c r="K432" s="2730"/>
      <c r="L432" s="2730"/>
      <c r="M432" s="2730"/>
      <c r="N432" s="2730"/>
      <c r="O432" s="2730"/>
      <c r="P432" s="2730"/>
      <c r="Q432" s="2730"/>
      <c r="R432" s="2730"/>
      <c r="S432" s="2730"/>
      <c r="T432" s="2730"/>
      <c r="U432" s="2730"/>
      <c r="V432" s="2730"/>
      <c r="W432" s="2730"/>
      <c r="X432" s="2730"/>
      <c r="Y432" s="2730"/>
      <c r="Z432" s="2730"/>
      <c r="AA432" s="2730"/>
      <c r="AB432" s="2730"/>
      <c r="AC432" s="2720">
        <f t="shared" si="242"/>
        <v>0</v>
      </c>
      <c r="AD432" s="2740"/>
      <c r="AE432" s="2740"/>
      <c r="AF432" s="2740"/>
      <c r="AG432" s="2740"/>
      <c r="AH432" s="2740"/>
      <c r="AI432" s="2740"/>
      <c r="AJ432" s="2740"/>
      <c r="AK432" s="2740"/>
      <c r="AL432" s="2740"/>
      <c r="AM432" s="2740"/>
      <c r="AN432" s="2740"/>
      <c r="AO432" s="2740"/>
      <c r="AP432" s="2740"/>
      <c r="AQ432" s="2740"/>
      <c r="AR432" s="2740"/>
      <c r="AS432" s="2740"/>
      <c r="AT432" s="2750"/>
      <c r="AU432" s="2751"/>
      <c r="AV432" s="1092">
        <f t="shared" si="243"/>
        <v>0</v>
      </c>
      <c r="AW432" s="1092">
        <f t="shared" si="244"/>
        <v>0</v>
      </c>
      <c r="AX432" s="1092">
        <f t="shared" si="245"/>
        <v>0</v>
      </c>
      <c r="AY432" s="2765">
        <f t="shared" si="246"/>
        <v>0</v>
      </c>
      <c r="AZ432" s="2720">
        <f t="shared" si="247"/>
        <v>0</v>
      </c>
      <c r="BA432" s="2720">
        <f t="shared" si="248"/>
        <v>0</v>
      </c>
      <c r="BB432" s="2720">
        <f t="shared" si="249"/>
        <v>0</v>
      </c>
      <c r="BC432" s="2720">
        <f t="shared" si="250"/>
        <v>0</v>
      </c>
      <c r="BD432" s="2720">
        <f t="shared" si="251"/>
        <v>0</v>
      </c>
      <c r="BE432" s="2720">
        <f t="shared" si="252"/>
        <v>0</v>
      </c>
      <c r="BF432" s="2720">
        <f t="shared" si="253"/>
        <v>0</v>
      </c>
      <c r="BG432" s="2720">
        <f t="shared" si="254"/>
        <v>0</v>
      </c>
      <c r="BH432" s="2720">
        <f t="shared" si="255"/>
        <v>0</v>
      </c>
      <c r="BI432" s="2720">
        <f t="shared" si="256"/>
        <v>0</v>
      </c>
      <c r="BJ432" s="2720">
        <f t="shared" si="257"/>
        <v>0</v>
      </c>
      <c r="BK432" s="2720">
        <f t="shared" si="258"/>
        <v>0</v>
      </c>
      <c r="BL432" s="2720">
        <f t="shared" si="259"/>
        <v>0</v>
      </c>
      <c r="BM432" s="2720">
        <f t="shared" si="260"/>
        <v>0</v>
      </c>
      <c r="BN432" s="2720">
        <f t="shared" si="261"/>
        <v>0</v>
      </c>
      <c r="BO432" s="2720">
        <f t="shared" si="262"/>
        <v>0</v>
      </c>
      <c r="BP432" s="2720">
        <f t="shared" si="263"/>
        <v>0</v>
      </c>
      <c r="BQ432" s="2720">
        <f t="shared" si="264"/>
        <v>0</v>
      </c>
      <c r="BR432" s="2720">
        <f t="shared" si="265"/>
        <v>0</v>
      </c>
      <c r="BS432" s="2720">
        <f t="shared" si="266"/>
        <v>0</v>
      </c>
      <c r="BT432" s="2772">
        <f t="shared" si="267"/>
        <v>0</v>
      </c>
    </row>
    <row r="433" spans="1:72">
      <c r="A433" s="2717"/>
      <c r="B433" s="2718"/>
      <c r="C433" s="2718"/>
      <c r="D433" s="2719"/>
      <c r="E433" s="2720">
        <f t="shared" si="239"/>
        <v>0</v>
      </c>
      <c r="F433" s="2721"/>
      <c r="G433" s="2722">
        <f t="shared" si="240"/>
        <v>0</v>
      </c>
      <c r="H433" s="2723">
        <f t="shared" si="241"/>
        <v>0</v>
      </c>
      <c r="I433" s="2730"/>
      <c r="J433" s="2730"/>
      <c r="K433" s="2730"/>
      <c r="L433" s="2730"/>
      <c r="M433" s="2730"/>
      <c r="N433" s="2730"/>
      <c r="O433" s="2730"/>
      <c r="P433" s="2730"/>
      <c r="Q433" s="2730"/>
      <c r="R433" s="2730"/>
      <c r="S433" s="2730"/>
      <c r="T433" s="2730"/>
      <c r="U433" s="2730"/>
      <c r="V433" s="2730"/>
      <c r="W433" s="2730"/>
      <c r="X433" s="2730"/>
      <c r="Y433" s="2730"/>
      <c r="Z433" s="2730"/>
      <c r="AA433" s="2730"/>
      <c r="AB433" s="2730"/>
      <c r="AC433" s="2720">
        <f t="shared" si="242"/>
        <v>0</v>
      </c>
      <c r="AD433" s="2740"/>
      <c r="AE433" s="2740"/>
      <c r="AF433" s="2740"/>
      <c r="AG433" s="2740"/>
      <c r="AH433" s="2740"/>
      <c r="AI433" s="2740"/>
      <c r="AJ433" s="2740"/>
      <c r="AK433" s="2740"/>
      <c r="AL433" s="2740"/>
      <c r="AM433" s="2740"/>
      <c r="AN433" s="2740"/>
      <c r="AO433" s="2740"/>
      <c r="AP433" s="2740"/>
      <c r="AQ433" s="2740"/>
      <c r="AR433" s="2740"/>
      <c r="AS433" s="2740"/>
      <c r="AT433" s="2750"/>
      <c r="AU433" s="2751"/>
      <c r="AV433" s="1092">
        <f t="shared" si="243"/>
        <v>0</v>
      </c>
      <c r="AW433" s="1092">
        <f t="shared" si="244"/>
        <v>0</v>
      </c>
      <c r="AX433" s="1092">
        <f t="shared" si="245"/>
        <v>0</v>
      </c>
      <c r="AY433" s="2765">
        <f t="shared" si="246"/>
        <v>0</v>
      </c>
      <c r="AZ433" s="2720">
        <f t="shared" si="247"/>
        <v>0</v>
      </c>
      <c r="BA433" s="2720">
        <f t="shared" si="248"/>
        <v>0</v>
      </c>
      <c r="BB433" s="2720">
        <f t="shared" si="249"/>
        <v>0</v>
      </c>
      <c r="BC433" s="2720">
        <f t="shared" si="250"/>
        <v>0</v>
      </c>
      <c r="BD433" s="2720">
        <f t="shared" si="251"/>
        <v>0</v>
      </c>
      <c r="BE433" s="2720">
        <f t="shared" si="252"/>
        <v>0</v>
      </c>
      <c r="BF433" s="2720">
        <f t="shared" si="253"/>
        <v>0</v>
      </c>
      <c r="BG433" s="2720">
        <f t="shared" si="254"/>
        <v>0</v>
      </c>
      <c r="BH433" s="2720">
        <f t="shared" si="255"/>
        <v>0</v>
      </c>
      <c r="BI433" s="2720">
        <f t="shared" si="256"/>
        <v>0</v>
      </c>
      <c r="BJ433" s="2720">
        <f t="shared" si="257"/>
        <v>0</v>
      </c>
      <c r="BK433" s="2720">
        <f t="shared" si="258"/>
        <v>0</v>
      </c>
      <c r="BL433" s="2720">
        <f t="shared" si="259"/>
        <v>0</v>
      </c>
      <c r="BM433" s="2720">
        <f t="shared" si="260"/>
        <v>0</v>
      </c>
      <c r="BN433" s="2720">
        <f t="shared" si="261"/>
        <v>0</v>
      </c>
      <c r="BO433" s="2720">
        <f t="shared" si="262"/>
        <v>0</v>
      </c>
      <c r="BP433" s="2720">
        <f t="shared" si="263"/>
        <v>0</v>
      </c>
      <c r="BQ433" s="2720">
        <f t="shared" si="264"/>
        <v>0</v>
      </c>
      <c r="BR433" s="2720">
        <f t="shared" si="265"/>
        <v>0</v>
      </c>
      <c r="BS433" s="2720">
        <f t="shared" si="266"/>
        <v>0</v>
      </c>
      <c r="BT433" s="2772">
        <f t="shared" si="267"/>
        <v>0</v>
      </c>
    </row>
    <row r="434" spans="1:72">
      <c r="A434" s="2717"/>
      <c r="B434" s="2718"/>
      <c r="C434" s="2718"/>
      <c r="D434" s="2719"/>
      <c r="E434" s="2720">
        <f t="shared" si="239"/>
        <v>0</v>
      </c>
      <c r="F434" s="2721"/>
      <c r="G434" s="2722">
        <f t="shared" si="240"/>
        <v>0</v>
      </c>
      <c r="H434" s="2723">
        <f t="shared" si="241"/>
        <v>0</v>
      </c>
      <c r="I434" s="2730"/>
      <c r="J434" s="2730"/>
      <c r="K434" s="2730"/>
      <c r="L434" s="2730"/>
      <c r="M434" s="2730"/>
      <c r="N434" s="2730"/>
      <c r="O434" s="2730"/>
      <c r="P434" s="2730"/>
      <c r="Q434" s="2730"/>
      <c r="R434" s="2730"/>
      <c r="S434" s="2730"/>
      <c r="T434" s="2730"/>
      <c r="U434" s="2730"/>
      <c r="V434" s="2730"/>
      <c r="W434" s="2730"/>
      <c r="X434" s="2730"/>
      <c r="Y434" s="2730"/>
      <c r="Z434" s="2730"/>
      <c r="AA434" s="2730"/>
      <c r="AB434" s="2730"/>
      <c r="AC434" s="2720">
        <f t="shared" si="242"/>
        <v>0</v>
      </c>
      <c r="AD434" s="2740"/>
      <c r="AE434" s="2740"/>
      <c r="AF434" s="2740"/>
      <c r="AG434" s="2740"/>
      <c r="AH434" s="2740"/>
      <c r="AI434" s="2740"/>
      <c r="AJ434" s="2740"/>
      <c r="AK434" s="2740"/>
      <c r="AL434" s="2740"/>
      <c r="AM434" s="2740"/>
      <c r="AN434" s="2740"/>
      <c r="AO434" s="2740"/>
      <c r="AP434" s="2740"/>
      <c r="AQ434" s="2740"/>
      <c r="AR434" s="2740"/>
      <c r="AS434" s="2740"/>
      <c r="AT434" s="2750"/>
      <c r="AU434" s="2751"/>
      <c r="AV434" s="1092">
        <f t="shared" si="243"/>
        <v>0</v>
      </c>
      <c r="AW434" s="1092">
        <f t="shared" si="244"/>
        <v>0</v>
      </c>
      <c r="AX434" s="1092">
        <f t="shared" si="245"/>
        <v>0</v>
      </c>
      <c r="AY434" s="2765">
        <f t="shared" si="246"/>
        <v>0</v>
      </c>
      <c r="AZ434" s="2720">
        <f t="shared" si="247"/>
        <v>0</v>
      </c>
      <c r="BA434" s="2720">
        <f t="shared" si="248"/>
        <v>0</v>
      </c>
      <c r="BB434" s="2720">
        <f t="shared" si="249"/>
        <v>0</v>
      </c>
      <c r="BC434" s="2720">
        <f t="shared" si="250"/>
        <v>0</v>
      </c>
      <c r="BD434" s="2720">
        <f t="shared" si="251"/>
        <v>0</v>
      </c>
      <c r="BE434" s="2720">
        <f t="shared" si="252"/>
        <v>0</v>
      </c>
      <c r="BF434" s="2720">
        <f t="shared" si="253"/>
        <v>0</v>
      </c>
      <c r="BG434" s="2720">
        <f t="shared" si="254"/>
        <v>0</v>
      </c>
      <c r="BH434" s="2720">
        <f t="shared" si="255"/>
        <v>0</v>
      </c>
      <c r="BI434" s="2720">
        <f t="shared" si="256"/>
        <v>0</v>
      </c>
      <c r="BJ434" s="2720">
        <f t="shared" si="257"/>
        <v>0</v>
      </c>
      <c r="BK434" s="2720">
        <f t="shared" si="258"/>
        <v>0</v>
      </c>
      <c r="BL434" s="2720">
        <f t="shared" si="259"/>
        <v>0</v>
      </c>
      <c r="BM434" s="2720">
        <f t="shared" si="260"/>
        <v>0</v>
      </c>
      <c r="BN434" s="2720">
        <f t="shared" si="261"/>
        <v>0</v>
      </c>
      <c r="BO434" s="2720">
        <f t="shared" si="262"/>
        <v>0</v>
      </c>
      <c r="BP434" s="2720">
        <f t="shared" si="263"/>
        <v>0</v>
      </c>
      <c r="BQ434" s="2720">
        <f t="shared" si="264"/>
        <v>0</v>
      </c>
      <c r="BR434" s="2720">
        <f t="shared" si="265"/>
        <v>0</v>
      </c>
      <c r="BS434" s="2720">
        <f t="shared" si="266"/>
        <v>0</v>
      </c>
      <c r="BT434" s="2772">
        <f t="shared" si="267"/>
        <v>0</v>
      </c>
    </row>
    <row r="435" spans="1:72">
      <c r="A435" s="2717"/>
      <c r="B435" s="2718"/>
      <c r="C435" s="2718"/>
      <c r="D435" s="2719"/>
      <c r="E435" s="2720">
        <f t="shared" si="239"/>
        <v>0</v>
      </c>
      <c r="F435" s="2721"/>
      <c r="G435" s="2722">
        <f t="shared" si="240"/>
        <v>0</v>
      </c>
      <c r="H435" s="2723">
        <f t="shared" si="241"/>
        <v>0</v>
      </c>
      <c r="I435" s="2730"/>
      <c r="J435" s="2730"/>
      <c r="K435" s="2730"/>
      <c r="L435" s="2730"/>
      <c r="M435" s="2730"/>
      <c r="N435" s="2730"/>
      <c r="O435" s="2730"/>
      <c r="P435" s="2730"/>
      <c r="Q435" s="2730"/>
      <c r="R435" s="2730"/>
      <c r="S435" s="2730"/>
      <c r="T435" s="2730"/>
      <c r="U435" s="2730"/>
      <c r="V435" s="2730"/>
      <c r="W435" s="2730"/>
      <c r="X435" s="2730"/>
      <c r="Y435" s="2730"/>
      <c r="Z435" s="2730"/>
      <c r="AA435" s="2730"/>
      <c r="AB435" s="2730"/>
      <c r="AC435" s="2720">
        <f t="shared" si="242"/>
        <v>0</v>
      </c>
      <c r="AD435" s="2740"/>
      <c r="AE435" s="2740"/>
      <c r="AF435" s="2740"/>
      <c r="AG435" s="2740"/>
      <c r="AH435" s="2740"/>
      <c r="AI435" s="2740"/>
      <c r="AJ435" s="2740"/>
      <c r="AK435" s="2740"/>
      <c r="AL435" s="2740"/>
      <c r="AM435" s="2740"/>
      <c r="AN435" s="2740"/>
      <c r="AO435" s="2740"/>
      <c r="AP435" s="2740"/>
      <c r="AQ435" s="2740"/>
      <c r="AR435" s="2740"/>
      <c r="AS435" s="2740"/>
      <c r="AT435" s="2750"/>
      <c r="AU435" s="2751"/>
      <c r="AV435" s="1092">
        <f t="shared" si="243"/>
        <v>0</v>
      </c>
      <c r="AW435" s="1092">
        <f t="shared" si="244"/>
        <v>0</v>
      </c>
      <c r="AX435" s="1092">
        <f t="shared" si="245"/>
        <v>0</v>
      </c>
      <c r="AY435" s="2765">
        <f t="shared" si="246"/>
        <v>0</v>
      </c>
      <c r="AZ435" s="2720">
        <f t="shared" si="247"/>
        <v>0</v>
      </c>
      <c r="BA435" s="2720">
        <f t="shared" si="248"/>
        <v>0</v>
      </c>
      <c r="BB435" s="2720">
        <f t="shared" si="249"/>
        <v>0</v>
      </c>
      <c r="BC435" s="2720">
        <f t="shared" si="250"/>
        <v>0</v>
      </c>
      <c r="BD435" s="2720">
        <f t="shared" si="251"/>
        <v>0</v>
      </c>
      <c r="BE435" s="2720">
        <f t="shared" si="252"/>
        <v>0</v>
      </c>
      <c r="BF435" s="2720">
        <f t="shared" si="253"/>
        <v>0</v>
      </c>
      <c r="BG435" s="2720">
        <f t="shared" si="254"/>
        <v>0</v>
      </c>
      <c r="BH435" s="2720">
        <f t="shared" si="255"/>
        <v>0</v>
      </c>
      <c r="BI435" s="2720">
        <f t="shared" si="256"/>
        <v>0</v>
      </c>
      <c r="BJ435" s="2720">
        <f t="shared" si="257"/>
        <v>0</v>
      </c>
      <c r="BK435" s="2720">
        <f t="shared" si="258"/>
        <v>0</v>
      </c>
      <c r="BL435" s="2720">
        <f t="shared" si="259"/>
        <v>0</v>
      </c>
      <c r="BM435" s="2720">
        <f t="shared" si="260"/>
        <v>0</v>
      </c>
      <c r="BN435" s="2720">
        <f t="shared" si="261"/>
        <v>0</v>
      </c>
      <c r="BO435" s="2720">
        <f t="shared" si="262"/>
        <v>0</v>
      </c>
      <c r="BP435" s="2720">
        <f t="shared" si="263"/>
        <v>0</v>
      </c>
      <c r="BQ435" s="2720">
        <f t="shared" si="264"/>
        <v>0</v>
      </c>
      <c r="BR435" s="2720">
        <f t="shared" si="265"/>
        <v>0</v>
      </c>
      <c r="BS435" s="2720">
        <f t="shared" si="266"/>
        <v>0</v>
      </c>
      <c r="BT435" s="2772">
        <f t="shared" si="267"/>
        <v>0</v>
      </c>
    </row>
    <row r="436" spans="1:72">
      <c r="A436" s="2717"/>
      <c r="B436" s="2718"/>
      <c r="C436" s="2718"/>
      <c r="D436" s="2719"/>
      <c r="E436" s="2720">
        <f t="shared" si="239"/>
        <v>0</v>
      </c>
      <c r="F436" s="2721"/>
      <c r="G436" s="2722">
        <f t="shared" si="240"/>
        <v>0</v>
      </c>
      <c r="H436" s="2723">
        <f t="shared" si="241"/>
        <v>0</v>
      </c>
      <c r="I436" s="2730"/>
      <c r="J436" s="2730"/>
      <c r="K436" s="2730"/>
      <c r="L436" s="2730"/>
      <c r="M436" s="2730"/>
      <c r="N436" s="2730"/>
      <c r="O436" s="2730"/>
      <c r="P436" s="2730"/>
      <c r="Q436" s="2730"/>
      <c r="R436" s="2730"/>
      <c r="S436" s="2730"/>
      <c r="T436" s="2730"/>
      <c r="U436" s="2730"/>
      <c r="V436" s="2730"/>
      <c r="W436" s="2730"/>
      <c r="X436" s="2730"/>
      <c r="Y436" s="2730"/>
      <c r="Z436" s="2730"/>
      <c r="AA436" s="2730"/>
      <c r="AB436" s="2730"/>
      <c r="AC436" s="2720">
        <f t="shared" si="242"/>
        <v>0</v>
      </c>
      <c r="AD436" s="2740"/>
      <c r="AE436" s="2740"/>
      <c r="AF436" s="2740"/>
      <c r="AG436" s="2740"/>
      <c r="AH436" s="2740"/>
      <c r="AI436" s="2740"/>
      <c r="AJ436" s="2740"/>
      <c r="AK436" s="2740"/>
      <c r="AL436" s="2740"/>
      <c r="AM436" s="2740"/>
      <c r="AN436" s="2740"/>
      <c r="AO436" s="2740"/>
      <c r="AP436" s="2740"/>
      <c r="AQ436" s="2740"/>
      <c r="AR436" s="2740"/>
      <c r="AS436" s="2740"/>
      <c r="AT436" s="2750"/>
      <c r="AU436" s="2751"/>
      <c r="AV436" s="1092">
        <f t="shared" si="243"/>
        <v>0</v>
      </c>
      <c r="AW436" s="1092">
        <f t="shared" si="244"/>
        <v>0</v>
      </c>
      <c r="AX436" s="1092">
        <f t="shared" si="245"/>
        <v>0</v>
      </c>
      <c r="AY436" s="2765">
        <f t="shared" si="246"/>
        <v>0</v>
      </c>
      <c r="AZ436" s="2720">
        <f t="shared" si="247"/>
        <v>0</v>
      </c>
      <c r="BA436" s="2720">
        <f t="shared" si="248"/>
        <v>0</v>
      </c>
      <c r="BB436" s="2720">
        <f t="shared" si="249"/>
        <v>0</v>
      </c>
      <c r="BC436" s="2720">
        <f t="shared" si="250"/>
        <v>0</v>
      </c>
      <c r="BD436" s="2720">
        <f t="shared" si="251"/>
        <v>0</v>
      </c>
      <c r="BE436" s="2720">
        <f t="shared" si="252"/>
        <v>0</v>
      </c>
      <c r="BF436" s="2720">
        <f t="shared" si="253"/>
        <v>0</v>
      </c>
      <c r="BG436" s="2720">
        <f t="shared" si="254"/>
        <v>0</v>
      </c>
      <c r="BH436" s="2720">
        <f t="shared" si="255"/>
        <v>0</v>
      </c>
      <c r="BI436" s="2720">
        <f t="shared" si="256"/>
        <v>0</v>
      </c>
      <c r="BJ436" s="2720">
        <f t="shared" si="257"/>
        <v>0</v>
      </c>
      <c r="BK436" s="2720">
        <f t="shared" si="258"/>
        <v>0</v>
      </c>
      <c r="BL436" s="2720">
        <f t="shared" si="259"/>
        <v>0</v>
      </c>
      <c r="BM436" s="2720">
        <f t="shared" si="260"/>
        <v>0</v>
      </c>
      <c r="BN436" s="2720">
        <f t="shared" si="261"/>
        <v>0</v>
      </c>
      <c r="BO436" s="2720">
        <f t="shared" si="262"/>
        <v>0</v>
      </c>
      <c r="BP436" s="2720">
        <f t="shared" si="263"/>
        <v>0</v>
      </c>
      <c r="BQ436" s="2720">
        <f t="shared" si="264"/>
        <v>0</v>
      </c>
      <c r="BR436" s="2720">
        <f t="shared" si="265"/>
        <v>0</v>
      </c>
      <c r="BS436" s="2720">
        <f t="shared" si="266"/>
        <v>0</v>
      </c>
      <c r="BT436" s="2772">
        <f t="shared" si="267"/>
        <v>0</v>
      </c>
    </row>
    <row r="437" spans="1:72">
      <c r="A437" s="2717"/>
      <c r="B437" s="2718"/>
      <c r="C437" s="2718"/>
      <c r="D437" s="2719"/>
      <c r="E437" s="2720">
        <f t="shared" si="239"/>
        <v>0</v>
      </c>
      <c r="F437" s="2721"/>
      <c r="G437" s="2722">
        <f t="shared" si="240"/>
        <v>0</v>
      </c>
      <c r="H437" s="2723">
        <f t="shared" si="241"/>
        <v>0</v>
      </c>
      <c r="I437" s="2730"/>
      <c r="J437" s="2730"/>
      <c r="K437" s="2730"/>
      <c r="L437" s="2730"/>
      <c r="M437" s="2730"/>
      <c r="N437" s="2730"/>
      <c r="O437" s="2730"/>
      <c r="P437" s="2730"/>
      <c r="Q437" s="2730"/>
      <c r="R437" s="2730"/>
      <c r="S437" s="2730"/>
      <c r="T437" s="2730"/>
      <c r="U437" s="2730"/>
      <c r="V437" s="2730"/>
      <c r="W437" s="2730"/>
      <c r="X437" s="2730"/>
      <c r="Y437" s="2730"/>
      <c r="Z437" s="2730"/>
      <c r="AA437" s="2730"/>
      <c r="AB437" s="2730"/>
      <c r="AC437" s="2720">
        <f t="shared" si="242"/>
        <v>0</v>
      </c>
      <c r="AD437" s="2740"/>
      <c r="AE437" s="2740"/>
      <c r="AF437" s="2740"/>
      <c r="AG437" s="2740"/>
      <c r="AH437" s="2740"/>
      <c r="AI437" s="2740"/>
      <c r="AJ437" s="2740"/>
      <c r="AK437" s="2740"/>
      <c r="AL437" s="2740"/>
      <c r="AM437" s="2740"/>
      <c r="AN437" s="2740"/>
      <c r="AO437" s="2740"/>
      <c r="AP437" s="2740"/>
      <c r="AQ437" s="2740"/>
      <c r="AR437" s="2740"/>
      <c r="AS437" s="2740"/>
      <c r="AT437" s="2750"/>
      <c r="AU437" s="2751"/>
      <c r="AV437" s="1092">
        <f t="shared" si="243"/>
        <v>0</v>
      </c>
      <c r="AW437" s="1092">
        <f t="shared" si="244"/>
        <v>0</v>
      </c>
      <c r="AX437" s="1092">
        <f t="shared" si="245"/>
        <v>0</v>
      </c>
      <c r="AY437" s="2765">
        <f t="shared" si="246"/>
        <v>0</v>
      </c>
      <c r="AZ437" s="2720">
        <f t="shared" si="247"/>
        <v>0</v>
      </c>
      <c r="BA437" s="2720">
        <f t="shared" si="248"/>
        <v>0</v>
      </c>
      <c r="BB437" s="2720">
        <f t="shared" si="249"/>
        <v>0</v>
      </c>
      <c r="BC437" s="2720">
        <f t="shared" si="250"/>
        <v>0</v>
      </c>
      <c r="BD437" s="2720">
        <f t="shared" si="251"/>
        <v>0</v>
      </c>
      <c r="BE437" s="2720">
        <f t="shared" si="252"/>
        <v>0</v>
      </c>
      <c r="BF437" s="2720">
        <f t="shared" si="253"/>
        <v>0</v>
      </c>
      <c r="BG437" s="2720">
        <f t="shared" si="254"/>
        <v>0</v>
      </c>
      <c r="BH437" s="2720">
        <f t="shared" si="255"/>
        <v>0</v>
      </c>
      <c r="BI437" s="2720">
        <f t="shared" si="256"/>
        <v>0</v>
      </c>
      <c r="BJ437" s="2720">
        <f t="shared" si="257"/>
        <v>0</v>
      </c>
      <c r="BK437" s="2720">
        <f t="shared" si="258"/>
        <v>0</v>
      </c>
      <c r="BL437" s="2720">
        <f t="shared" si="259"/>
        <v>0</v>
      </c>
      <c r="BM437" s="2720">
        <f t="shared" si="260"/>
        <v>0</v>
      </c>
      <c r="BN437" s="2720">
        <f t="shared" si="261"/>
        <v>0</v>
      </c>
      <c r="BO437" s="2720">
        <f t="shared" si="262"/>
        <v>0</v>
      </c>
      <c r="BP437" s="2720">
        <f t="shared" si="263"/>
        <v>0</v>
      </c>
      <c r="BQ437" s="2720">
        <f t="shared" si="264"/>
        <v>0</v>
      </c>
      <c r="BR437" s="2720">
        <f t="shared" si="265"/>
        <v>0</v>
      </c>
      <c r="BS437" s="2720">
        <f t="shared" si="266"/>
        <v>0</v>
      </c>
      <c r="BT437" s="2772">
        <f t="shared" si="267"/>
        <v>0</v>
      </c>
    </row>
    <row r="438" spans="1:72">
      <c r="A438" s="2717"/>
      <c r="B438" s="2718"/>
      <c r="C438" s="2718"/>
      <c r="D438" s="2719"/>
      <c r="E438" s="2720">
        <f t="shared" si="239"/>
        <v>0</v>
      </c>
      <c r="F438" s="2721"/>
      <c r="G438" s="2722">
        <f t="shared" si="240"/>
        <v>0</v>
      </c>
      <c r="H438" s="2723">
        <f t="shared" si="241"/>
        <v>0</v>
      </c>
      <c r="I438" s="2730"/>
      <c r="J438" s="2730"/>
      <c r="K438" s="2730"/>
      <c r="L438" s="2730"/>
      <c r="M438" s="2730"/>
      <c r="N438" s="2730"/>
      <c r="O438" s="2730"/>
      <c r="P438" s="2730"/>
      <c r="Q438" s="2730"/>
      <c r="R438" s="2730"/>
      <c r="S438" s="2730"/>
      <c r="T438" s="2730"/>
      <c r="U438" s="2730"/>
      <c r="V438" s="2730"/>
      <c r="W438" s="2730"/>
      <c r="X438" s="2730"/>
      <c r="Y438" s="2730"/>
      <c r="Z438" s="2730"/>
      <c r="AA438" s="2730"/>
      <c r="AB438" s="2730"/>
      <c r="AC438" s="2720">
        <f t="shared" si="242"/>
        <v>0</v>
      </c>
      <c r="AD438" s="2740"/>
      <c r="AE438" s="2740"/>
      <c r="AF438" s="2740"/>
      <c r="AG438" s="2740"/>
      <c r="AH438" s="2740"/>
      <c r="AI438" s="2740"/>
      <c r="AJ438" s="2740"/>
      <c r="AK438" s="2740"/>
      <c r="AL438" s="2740"/>
      <c r="AM438" s="2740"/>
      <c r="AN438" s="2740"/>
      <c r="AO438" s="2740"/>
      <c r="AP438" s="2740"/>
      <c r="AQ438" s="2740"/>
      <c r="AR438" s="2740"/>
      <c r="AS438" s="2740"/>
      <c r="AT438" s="2750"/>
      <c r="AU438" s="2751"/>
      <c r="AV438" s="1092">
        <f t="shared" si="243"/>
        <v>0</v>
      </c>
      <c r="AW438" s="1092">
        <f t="shared" si="244"/>
        <v>0</v>
      </c>
      <c r="AX438" s="1092">
        <f t="shared" si="245"/>
        <v>0</v>
      </c>
      <c r="AY438" s="2765">
        <f t="shared" si="246"/>
        <v>0</v>
      </c>
      <c r="AZ438" s="2720">
        <f t="shared" si="247"/>
        <v>0</v>
      </c>
      <c r="BA438" s="2720">
        <f t="shared" si="248"/>
        <v>0</v>
      </c>
      <c r="BB438" s="2720">
        <f t="shared" si="249"/>
        <v>0</v>
      </c>
      <c r="BC438" s="2720">
        <f t="shared" si="250"/>
        <v>0</v>
      </c>
      <c r="BD438" s="2720">
        <f t="shared" si="251"/>
        <v>0</v>
      </c>
      <c r="BE438" s="2720">
        <f t="shared" si="252"/>
        <v>0</v>
      </c>
      <c r="BF438" s="2720">
        <f t="shared" si="253"/>
        <v>0</v>
      </c>
      <c r="BG438" s="2720">
        <f t="shared" si="254"/>
        <v>0</v>
      </c>
      <c r="BH438" s="2720">
        <f t="shared" si="255"/>
        <v>0</v>
      </c>
      <c r="BI438" s="2720">
        <f t="shared" si="256"/>
        <v>0</v>
      </c>
      <c r="BJ438" s="2720">
        <f t="shared" si="257"/>
        <v>0</v>
      </c>
      <c r="BK438" s="2720">
        <f t="shared" si="258"/>
        <v>0</v>
      </c>
      <c r="BL438" s="2720">
        <f t="shared" si="259"/>
        <v>0</v>
      </c>
      <c r="BM438" s="2720">
        <f t="shared" si="260"/>
        <v>0</v>
      </c>
      <c r="BN438" s="2720">
        <f t="shared" si="261"/>
        <v>0</v>
      </c>
      <c r="BO438" s="2720">
        <f t="shared" si="262"/>
        <v>0</v>
      </c>
      <c r="BP438" s="2720">
        <f t="shared" si="263"/>
        <v>0</v>
      </c>
      <c r="BQ438" s="2720">
        <f t="shared" si="264"/>
        <v>0</v>
      </c>
      <c r="BR438" s="2720">
        <f t="shared" si="265"/>
        <v>0</v>
      </c>
      <c r="BS438" s="2720">
        <f t="shared" si="266"/>
        <v>0</v>
      </c>
      <c r="BT438" s="2772">
        <f t="shared" si="267"/>
        <v>0</v>
      </c>
    </row>
    <row r="439" spans="1:72">
      <c r="A439" s="2717"/>
      <c r="B439" s="2718"/>
      <c r="C439" s="2718"/>
      <c r="D439" s="2719"/>
      <c r="E439" s="2720">
        <f t="shared" si="239"/>
        <v>0</v>
      </c>
      <c r="F439" s="2721"/>
      <c r="G439" s="2722">
        <f t="shared" si="240"/>
        <v>0</v>
      </c>
      <c r="H439" s="2723">
        <f t="shared" si="241"/>
        <v>0</v>
      </c>
      <c r="I439" s="2730"/>
      <c r="J439" s="2730"/>
      <c r="K439" s="2730"/>
      <c r="L439" s="2730"/>
      <c r="M439" s="2730"/>
      <c r="N439" s="2730"/>
      <c r="O439" s="2730"/>
      <c r="P439" s="2730"/>
      <c r="Q439" s="2730"/>
      <c r="R439" s="2730"/>
      <c r="S439" s="2730"/>
      <c r="T439" s="2730"/>
      <c r="U439" s="2730"/>
      <c r="V439" s="2730"/>
      <c r="W439" s="2730"/>
      <c r="X439" s="2730"/>
      <c r="Y439" s="2730"/>
      <c r="Z439" s="2730"/>
      <c r="AA439" s="2730"/>
      <c r="AB439" s="2730"/>
      <c r="AC439" s="2720">
        <f t="shared" si="242"/>
        <v>0</v>
      </c>
      <c r="AD439" s="2740"/>
      <c r="AE439" s="2740"/>
      <c r="AF439" s="2740"/>
      <c r="AG439" s="2740"/>
      <c r="AH439" s="2740"/>
      <c r="AI439" s="2740"/>
      <c r="AJ439" s="2740"/>
      <c r="AK439" s="2740"/>
      <c r="AL439" s="2740"/>
      <c r="AM439" s="2740"/>
      <c r="AN439" s="2740"/>
      <c r="AO439" s="2740"/>
      <c r="AP439" s="2740"/>
      <c r="AQ439" s="2740"/>
      <c r="AR439" s="2740"/>
      <c r="AS439" s="2740"/>
      <c r="AT439" s="2750"/>
      <c r="AU439" s="2751"/>
      <c r="AV439" s="1092">
        <f t="shared" si="243"/>
        <v>0</v>
      </c>
      <c r="AW439" s="1092">
        <f t="shared" si="244"/>
        <v>0</v>
      </c>
      <c r="AX439" s="1092">
        <f t="shared" si="245"/>
        <v>0</v>
      </c>
      <c r="AY439" s="2765">
        <f t="shared" si="246"/>
        <v>0</v>
      </c>
      <c r="AZ439" s="2720">
        <f t="shared" si="247"/>
        <v>0</v>
      </c>
      <c r="BA439" s="2720">
        <f t="shared" si="248"/>
        <v>0</v>
      </c>
      <c r="BB439" s="2720">
        <f t="shared" si="249"/>
        <v>0</v>
      </c>
      <c r="BC439" s="2720">
        <f t="shared" si="250"/>
        <v>0</v>
      </c>
      <c r="BD439" s="2720">
        <f t="shared" si="251"/>
        <v>0</v>
      </c>
      <c r="BE439" s="2720">
        <f t="shared" si="252"/>
        <v>0</v>
      </c>
      <c r="BF439" s="2720">
        <f t="shared" si="253"/>
        <v>0</v>
      </c>
      <c r="BG439" s="2720">
        <f t="shared" si="254"/>
        <v>0</v>
      </c>
      <c r="BH439" s="2720">
        <f t="shared" si="255"/>
        <v>0</v>
      </c>
      <c r="BI439" s="2720">
        <f t="shared" si="256"/>
        <v>0</v>
      </c>
      <c r="BJ439" s="2720">
        <f t="shared" si="257"/>
        <v>0</v>
      </c>
      <c r="BK439" s="2720">
        <f t="shared" si="258"/>
        <v>0</v>
      </c>
      <c r="BL439" s="2720">
        <f t="shared" si="259"/>
        <v>0</v>
      </c>
      <c r="BM439" s="2720">
        <f t="shared" si="260"/>
        <v>0</v>
      </c>
      <c r="BN439" s="2720">
        <f t="shared" si="261"/>
        <v>0</v>
      </c>
      <c r="BO439" s="2720">
        <f t="shared" si="262"/>
        <v>0</v>
      </c>
      <c r="BP439" s="2720">
        <f t="shared" si="263"/>
        <v>0</v>
      </c>
      <c r="BQ439" s="2720">
        <f t="shared" si="264"/>
        <v>0</v>
      </c>
      <c r="BR439" s="2720">
        <f t="shared" si="265"/>
        <v>0</v>
      </c>
      <c r="BS439" s="2720">
        <f t="shared" si="266"/>
        <v>0</v>
      </c>
      <c r="BT439" s="2772">
        <f t="shared" si="267"/>
        <v>0</v>
      </c>
    </row>
    <row r="440" spans="1:72">
      <c r="A440" s="2717"/>
      <c r="B440" s="2718"/>
      <c r="C440" s="2718"/>
      <c r="D440" s="2719"/>
      <c r="E440" s="2720">
        <f t="shared" si="239"/>
        <v>0</v>
      </c>
      <c r="F440" s="2721"/>
      <c r="G440" s="2722">
        <f t="shared" si="240"/>
        <v>0</v>
      </c>
      <c r="H440" s="2723">
        <f t="shared" si="241"/>
        <v>0</v>
      </c>
      <c r="I440" s="2730"/>
      <c r="J440" s="2730"/>
      <c r="K440" s="2730"/>
      <c r="L440" s="2730"/>
      <c r="M440" s="2730"/>
      <c r="N440" s="2730"/>
      <c r="O440" s="2730"/>
      <c r="P440" s="2730"/>
      <c r="Q440" s="2730"/>
      <c r="R440" s="2730"/>
      <c r="S440" s="2730"/>
      <c r="T440" s="2730"/>
      <c r="U440" s="2730"/>
      <c r="V440" s="2730"/>
      <c r="W440" s="2730"/>
      <c r="X440" s="2730"/>
      <c r="Y440" s="2730"/>
      <c r="Z440" s="2730"/>
      <c r="AA440" s="2730"/>
      <c r="AB440" s="2730"/>
      <c r="AC440" s="2720">
        <f t="shared" si="242"/>
        <v>0</v>
      </c>
      <c r="AD440" s="2740"/>
      <c r="AE440" s="2740"/>
      <c r="AF440" s="2740"/>
      <c r="AG440" s="2740"/>
      <c r="AH440" s="2740"/>
      <c r="AI440" s="2740"/>
      <c r="AJ440" s="2740"/>
      <c r="AK440" s="2740"/>
      <c r="AL440" s="2740"/>
      <c r="AM440" s="2740"/>
      <c r="AN440" s="2740"/>
      <c r="AO440" s="2740"/>
      <c r="AP440" s="2740"/>
      <c r="AQ440" s="2740"/>
      <c r="AR440" s="2740"/>
      <c r="AS440" s="2740"/>
      <c r="AT440" s="2750"/>
      <c r="AU440" s="2751"/>
      <c r="AV440" s="1092">
        <f t="shared" si="243"/>
        <v>0</v>
      </c>
      <c r="AW440" s="1092">
        <f t="shared" si="244"/>
        <v>0</v>
      </c>
      <c r="AX440" s="1092">
        <f t="shared" si="245"/>
        <v>0</v>
      </c>
      <c r="AY440" s="2765">
        <f t="shared" si="246"/>
        <v>0</v>
      </c>
      <c r="AZ440" s="2720">
        <f t="shared" si="247"/>
        <v>0</v>
      </c>
      <c r="BA440" s="2720">
        <f t="shared" si="248"/>
        <v>0</v>
      </c>
      <c r="BB440" s="2720">
        <f t="shared" si="249"/>
        <v>0</v>
      </c>
      <c r="BC440" s="2720">
        <f t="shared" si="250"/>
        <v>0</v>
      </c>
      <c r="BD440" s="2720">
        <f t="shared" si="251"/>
        <v>0</v>
      </c>
      <c r="BE440" s="2720">
        <f t="shared" si="252"/>
        <v>0</v>
      </c>
      <c r="BF440" s="2720">
        <f t="shared" si="253"/>
        <v>0</v>
      </c>
      <c r="BG440" s="2720">
        <f t="shared" si="254"/>
        <v>0</v>
      </c>
      <c r="BH440" s="2720">
        <f t="shared" si="255"/>
        <v>0</v>
      </c>
      <c r="BI440" s="2720">
        <f t="shared" si="256"/>
        <v>0</v>
      </c>
      <c r="BJ440" s="2720">
        <f t="shared" si="257"/>
        <v>0</v>
      </c>
      <c r="BK440" s="2720">
        <f t="shared" si="258"/>
        <v>0</v>
      </c>
      <c r="BL440" s="2720">
        <f t="shared" si="259"/>
        <v>0</v>
      </c>
      <c r="BM440" s="2720">
        <f t="shared" si="260"/>
        <v>0</v>
      </c>
      <c r="BN440" s="2720">
        <f t="shared" si="261"/>
        <v>0</v>
      </c>
      <c r="BO440" s="2720">
        <f t="shared" si="262"/>
        <v>0</v>
      </c>
      <c r="BP440" s="2720">
        <f t="shared" si="263"/>
        <v>0</v>
      </c>
      <c r="BQ440" s="2720">
        <f t="shared" si="264"/>
        <v>0</v>
      </c>
      <c r="BR440" s="2720">
        <f t="shared" si="265"/>
        <v>0</v>
      </c>
      <c r="BS440" s="2720">
        <f t="shared" si="266"/>
        <v>0</v>
      </c>
      <c r="BT440" s="2772">
        <f t="shared" si="267"/>
        <v>0</v>
      </c>
    </row>
    <row r="441" spans="1:72">
      <c r="A441" s="2717"/>
      <c r="B441" s="2718"/>
      <c r="C441" s="2718"/>
      <c r="D441" s="2719"/>
      <c r="E441" s="2720">
        <f t="shared" si="239"/>
        <v>0</v>
      </c>
      <c r="F441" s="2721"/>
      <c r="G441" s="2722">
        <f t="shared" si="240"/>
        <v>0</v>
      </c>
      <c r="H441" s="2723">
        <f t="shared" si="241"/>
        <v>0</v>
      </c>
      <c r="I441" s="2730"/>
      <c r="J441" s="2730"/>
      <c r="K441" s="2730"/>
      <c r="L441" s="2730"/>
      <c r="M441" s="2730"/>
      <c r="N441" s="2730"/>
      <c r="O441" s="2730"/>
      <c r="P441" s="2730"/>
      <c r="Q441" s="2730"/>
      <c r="R441" s="2730"/>
      <c r="S441" s="2730"/>
      <c r="T441" s="2730"/>
      <c r="U441" s="2730"/>
      <c r="V441" s="2730"/>
      <c r="W441" s="2730"/>
      <c r="X441" s="2730"/>
      <c r="Y441" s="2730"/>
      <c r="Z441" s="2730"/>
      <c r="AA441" s="2730"/>
      <c r="AB441" s="2730"/>
      <c r="AC441" s="2720">
        <f t="shared" si="242"/>
        <v>0</v>
      </c>
      <c r="AD441" s="2740"/>
      <c r="AE441" s="2740"/>
      <c r="AF441" s="2740"/>
      <c r="AG441" s="2740"/>
      <c r="AH441" s="2740"/>
      <c r="AI441" s="2740"/>
      <c r="AJ441" s="2740"/>
      <c r="AK441" s="2740"/>
      <c r="AL441" s="2740"/>
      <c r="AM441" s="2740"/>
      <c r="AN441" s="2740"/>
      <c r="AO441" s="2740"/>
      <c r="AP441" s="2740"/>
      <c r="AQ441" s="2740"/>
      <c r="AR441" s="2740"/>
      <c r="AS441" s="2740"/>
      <c r="AT441" s="2750"/>
      <c r="AU441" s="2751"/>
      <c r="AV441" s="1092">
        <f t="shared" si="243"/>
        <v>0</v>
      </c>
      <c r="AW441" s="1092">
        <f t="shared" si="244"/>
        <v>0</v>
      </c>
      <c r="AX441" s="1092">
        <f t="shared" si="245"/>
        <v>0</v>
      </c>
      <c r="AY441" s="2765">
        <f t="shared" si="246"/>
        <v>0</v>
      </c>
      <c r="AZ441" s="2720">
        <f t="shared" si="247"/>
        <v>0</v>
      </c>
      <c r="BA441" s="2720">
        <f t="shared" si="248"/>
        <v>0</v>
      </c>
      <c r="BB441" s="2720">
        <f t="shared" si="249"/>
        <v>0</v>
      </c>
      <c r="BC441" s="2720">
        <f t="shared" si="250"/>
        <v>0</v>
      </c>
      <c r="BD441" s="2720">
        <f t="shared" si="251"/>
        <v>0</v>
      </c>
      <c r="BE441" s="2720">
        <f t="shared" si="252"/>
        <v>0</v>
      </c>
      <c r="BF441" s="2720">
        <f t="shared" si="253"/>
        <v>0</v>
      </c>
      <c r="BG441" s="2720">
        <f t="shared" si="254"/>
        <v>0</v>
      </c>
      <c r="BH441" s="2720">
        <f t="shared" si="255"/>
        <v>0</v>
      </c>
      <c r="BI441" s="2720">
        <f t="shared" si="256"/>
        <v>0</v>
      </c>
      <c r="BJ441" s="2720">
        <f t="shared" si="257"/>
        <v>0</v>
      </c>
      <c r="BK441" s="2720">
        <f t="shared" si="258"/>
        <v>0</v>
      </c>
      <c r="BL441" s="2720">
        <f t="shared" si="259"/>
        <v>0</v>
      </c>
      <c r="BM441" s="2720">
        <f t="shared" si="260"/>
        <v>0</v>
      </c>
      <c r="BN441" s="2720">
        <f t="shared" si="261"/>
        <v>0</v>
      </c>
      <c r="BO441" s="2720">
        <f t="shared" si="262"/>
        <v>0</v>
      </c>
      <c r="BP441" s="2720">
        <f t="shared" si="263"/>
        <v>0</v>
      </c>
      <c r="BQ441" s="2720">
        <f t="shared" si="264"/>
        <v>0</v>
      </c>
      <c r="BR441" s="2720">
        <f t="shared" si="265"/>
        <v>0</v>
      </c>
      <c r="BS441" s="2720">
        <f t="shared" si="266"/>
        <v>0</v>
      </c>
      <c r="BT441" s="2772">
        <f t="shared" si="267"/>
        <v>0</v>
      </c>
    </row>
    <row r="442" spans="1:72">
      <c r="A442" s="2717"/>
      <c r="B442" s="2718"/>
      <c r="C442" s="2718"/>
      <c r="D442" s="2719"/>
      <c r="E442" s="2720">
        <f t="shared" si="239"/>
        <v>0</v>
      </c>
      <c r="F442" s="2721"/>
      <c r="G442" s="2722">
        <f t="shared" si="240"/>
        <v>0</v>
      </c>
      <c r="H442" s="2723">
        <f t="shared" si="241"/>
        <v>0</v>
      </c>
      <c r="I442" s="2730"/>
      <c r="J442" s="2730"/>
      <c r="K442" s="2730"/>
      <c r="L442" s="2730"/>
      <c r="M442" s="2730"/>
      <c r="N442" s="2730"/>
      <c r="O442" s="2730"/>
      <c r="P442" s="2730"/>
      <c r="Q442" s="2730"/>
      <c r="R442" s="2730"/>
      <c r="S442" s="2730"/>
      <c r="T442" s="2730"/>
      <c r="U442" s="2730"/>
      <c r="V442" s="2730"/>
      <c r="W442" s="2730"/>
      <c r="X442" s="2730"/>
      <c r="Y442" s="2730"/>
      <c r="Z442" s="2730"/>
      <c r="AA442" s="2730"/>
      <c r="AB442" s="2730"/>
      <c r="AC442" s="2720">
        <f t="shared" si="242"/>
        <v>0</v>
      </c>
      <c r="AD442" s="2740"/>
      <c r="AE442" s="2740"/>
      <c r="AF442" s="2740"/>
      <c r="AG442" s="2740"/>
      <c r="AH442" s="2740"/>
      <c r="AI442" s="2740"/>
      <c r="AJ442" s="2740"/>
      <c r="AK442" s="2740"/>
      <c r="AL442" s="2740"/>
      <c r="AM442" s="2740"/>
      <c r="AN442" s="2740"/>
      <c r="AO442" s="2740"/>
      <c r="AP442" s="2740"/>
      <c r="AQ442" s="2740"/>
      <c r="AR442" s="2740"/>
      <c r="AS442" s="2740"/>
      <c r="AT442" s="2750"/>
      <c r="AU442" s="2751"/>
      <c r="AV442" s="1092">
        <f t="shared" si="243"/>
        <v>0</v>
      </c>
      <c r="AW442" s="1092">
        <f t="shared" si="244"/>
        <v>0</v>
      </c>
      <c r="AX442" s="1092">
        <f t="shared" si="245"/>
        <v>0</v>
      </c>
      <c r="AY442" s="2765">
        <f t="shared" si="246"/>
        <v>0</v>
      </c>
      <c r="AZ442" s="2720">
        <f t="shared" si="247"/>
        <v>0</v>
      </c>
      <c r="BA442" s="2720">
        <f t="shared" si="248"/>
        <v>0</v>
      </c>
      <c r="BB442" s="2720">
        <f t="shared" si="249"/>
        <v>0</v>
      </c>
      <c r="BC442" s="2720">
        <f t="shared" si="250"/>
        <v>0</v>
      </c>
      <c r="BD442" s="2720">
        <f t="shared" si="251"/>
        <v>0</v>
      </c>
      <c r="BE442" s="2720">
        <f t="shared" si="252"/>
        <v>0</v>
      </c>
      <c r="BF442" s="2720">
        <f t="shared" si="253"/>
        <v>0</v>
      </c>
      <c r="BG442" s="2720">
        <f t="shared" si="254"/>
        <v>0</v>
      </c>
      <c r="BH442" s="2720">
        <f t="shared" si="255"/>
        <v>0</v>
      </c>
      <c r="BI442" s="2720">
        <f t="shared" si="256"/>
        <v>0</v>
      </c>
      <c r="BJ442" s="2720">
        <f t="shared" si="257"/>
        <v>0</v>
      </c>
      <c r="BK442" s="2720">
        <f t="shared" si="258"/>
        <v>0</v>
      </c>
      <c r="BL442" s="2720">
        <f t="shared" si="259"/>
        <v>0</v>
      </c>
      <c r="BM442" s="2720">
        <f t="shared" si="260"/>
        <v>0</v>
      </c>
      <c r="BN442" s="2720">
        <f t="shared" si="261"/>
        <v>0</v>
      </c>
      <c r="BO442" s="2720">
        <f t="shared" si="262"/>
        <v>0</v>
      </c>
      <c r="BP442" s="2720">
        <f t="shared" si="263"/>
        <v>0</v>
      </c>
      <c r="BQ442" s="2720">
        <f t="shared" si="264"/>
        <v>0</v>
      </c>
      <c r="BR442" s="2720">
        <f t="shared" si="265"/>
        <v>0</v>
      </c>
      <c r="BS442" s="2720">
        <f t="shared" si="266"/>
        <v>0</v>
      </c>
      <c r="BT442" s="2772">
        <f t="shared" si="267"/>
        <v>0</v>
      </c>
    </row>
    <row r="443" spans="1:72">
      <c r="A443" s="2717"/>
      <c r="B443" s="2718"/>
      <c r="C443" s="2718"/>
      <c r="D443" s="2719"/>
      <c r="E443" s="2720">
        <f t="shared" si="239"/>
        <v>0</v>
      </c>
      <c r="F443" s="2721"/>
      <c r="G443" s="2722">
        <f t="shared" si="240"/>
        <v>0</v>
      </c>
      <c r="H443" s="2723">
        <f t="shared" si="241"/>
        <v>0</v>
      </c>
      <c r="I443" s="2730"/>
      <c r="J443" s="2730"/>
      <c r="K443" s="2730"/>
      <c r="L443" s="2730"/>
      <c r="M443" s="2730"/>
      <c r="N443" s="2730"/>
      <c r="O443" s="2730"/>
      <c r="P443" s="2730"/>
      <c r="Q443" s="2730"/>
      <c r="R443" s="2730"/>
      <c r="S443" s="2730"/>
      <c r="T443" s="2730"/>
      <c r="U443" s="2730"/>
      <c r="V443" s="2730"/>
      <c r="W443" s="2730"/>
      <c r="X443" s="2730"/>
      <c r="Y443" s="2730"/>
      <c r="Z443" s="2730"/>
      <c r="AA443" s="2730"/>
      <c r="AB443" s="2730"/>
      <c r="AC443" s="2720">
        <f t="shared" si="242"/>
        <v>0</v>
      </c>
      <c r="AD443" s="2740"/>
      <c r="AE443" s="2740"/>
      <c r="AF443" s="2740"/>
      <c r="AG443" s="2740"/>
      <c r="AH443" s="2740"/>
      <c r="AI443" s="2740"/>
      <c r="AJ443" s="2740"/>
      <c r="AK443" s="2740"/>
      <c r="AL443" s="2740"/>
      <c r="AM443" s="2740"/>
      <c r="AN443" s="2740"/>
      <c r="AO443" s="2740"/>
      <c r="AP443" s="2740"/>
      <c r="AQ443" s="2740"/>
      <c r="AR443" s="2740"/>
      <c r="AS443" s="2740"/>
      <c r="AT443" s="2750"/>
      <c r="AU443" s="2751"/>
      <c r="AV443" s="1092">
        <f t="shared" si="243"/>
        <v>0</v>
      </c>
      <c r="AW443" s="1092">
        <f t="shared" si="244"/>
        <v>0</v>
      </c>
      <c r="AX443" s="1092">
        <f t="shared" si="245"/>
        <v>0</v>
      </c>
      <c r="AY443" s="2765">
        <f t="shared" si="246"/>
        <v>0</v>
      </c>
      <c r="AZ443" s="2720">
        <f t="shared" si="247"/>
        <v>0</v>
      </c>
      <c r="BA443" s="2720">
        <f t="shared" si="248"/>
        <v>0</v>
      </c>
      <c r="BB443" s="2720">
        <f t="shared" si="249"/>
        <v>0</v>
      </c>
      <c r="BC443" s="2720">
        <f t="shared" si="250"/>
        <v>0</v>
      </c>
      <c r="BD443" s="2720">
        <f t="shared" si="251"/>
        <v>0</v>
      </c>
      <c r="BE443" s="2720">
        <f t="shared" si="252"/>
        <v>0</v>
      </c>
      <c r="BF443" s="2720">
        <f t="shared" si="253"/>
        <v>0</v>
      </c>
      <c r="BG443" s="2720">
        <f t="shared" si="254"/>
        <v>0</v>
      </c>
      <c r="BH443" s="2720">
        <f t="shared" si="255"/>
        <v>0</v>
      </c>
      <c r="BI443" s="2720">
        <f t="shared" si="256"/>
        <v>0</v>
      </c>
      <c r="BJ443" s="2720">
        <f t="shared" si="257"/>
        <v>0</v>
      </c>
      <c r="BK443" s="2720">
        <f t="shared" si="258"/>
        <v>0</v>
      </c>
      <c r="BL443" s="2720">
        <f t="shared" si="259"/>
        <v>0</v>
      </c>
      <c r="BM443" s="2720">
        <f t="shared" si="260"/>
        <v>0</v>
      </c>
      <c r="BN443" s="2720">
        <f t="shared" si="261"/>
        <v>0</v>
      </c>
      <c r="BO443" s="2720">
        <f t="shared" si="262"/>
        <v>0</v>
      </c>
      <c r="BP443" s="2720">
        <f t="shared" si="263"/>
        <v>0</v>
      </c>
      <c r="BQ443" s="2720">
        <f t="shared" si="264"/>
        <v>0</v>
      </c>
      <c r="BR443" s="2720">
        <f t="shared" si="265"/>
        <v>0</v>
      </c>
      <c r="BS443" s="2720">
        <f t="shared" si="266"/>
        <v>0</v>
      </c>
      <c r="BT443" s="2772">
        <f t="shared" si="267"/>
        <v>0</v>
      </c>
    </row>
    <row r="444" spans="1:72">
      <c r="A444" s="2717"/>
      <c r="B444" s="2718"/>
      <c r="C444" s="2718"/>
      <c r="D444" s="2719"/>
      <c r="E444" s="2720">
        <f t="shared" si="239"/>
        <v>0</v>
      </c>
      <c r="F444" s="2721"/>
      <c r="G444" s="2722">
        <f t="shared" si="240"/>
        <v>0</v>
      </c>
      <c r="H444" s="2723">
        <f t="shared" si="241"/>
        <v>0</v>
      </c>
      <c r="I444" s="2730"/>
      <c r="J444" s="2730"/>
      <c r="K444" s="2730"/>
      <c r="L444" s="2730"/>
      <c r="M444" s="2730"/>
      <c r="N444" s="2730"/>
      <c r="O444" s="2730"/>
      <c r="P444" s="2730"/>
      <c r="Q444" s="2730"/>
      <c r="R444" s="2730"/>
      <c r="S444" s="2730"/>
      <c r="T444" s="2730"/>
      <c r="U444" s="2730"/>
      <c r="V444" s="2730"/>
      <c r="W444" s="2730"/>
      <c r="X444" s="2730"/>
      <c r="Y444" s="2730"/>
      <c r="Z444" s="2730"/>
      <c r="AA444" s="2730"/>
      <c r="AB444" s="2730"/>
      <c r="AC444" s="2720">
        <f t="shared" si="242"/>
        <v>0</v>
      </c>
      <c r="AD444" s="2740"/>
      <c r="AE444" s="2740"/>
      <c r="AF444" s="2740"/>
      <c r="AG444" s="2740"/>
      <c r="AH444" s="2740"/>
      <c r="AI444" s="2740"/>
      <c r="AJ444" s="2740"/>
      <c r="AK444" s="2740"/>
      <c r="AL444" s="2740"/>
      <c r="AM444" s="2740"/>
      <c r="AN444" s="2740"/>
      <c r="AO444" s="2740"/>
      <c r="AP444" s="2740"/>
      <c r="AQ444" s="2740"/>
      <c r="AR444" s="2740"/>
      <c r="AS444" s="2740"/>
      <c r="AT444" s="2750"/>
      <c r="AU444" s="2751"/>
      <c r="AV444" s="1092">
        <f t="shared" si="243"/>
        <v>0</v>
      </c>
      <c r="AW444" s="1092">
        <f t="shared" si="244"/>
        <v>0</v>
      </c>
      <c r="AX444" s="1092">
        <f t="shared" si="245"/>
        <v>0</v>
      </c>
      <c r="AY444" s="2765">
        <f t="shared" si="246"/>
        <v>0</v>
      </c>
      <c r="AZ444" s="2720">
        <f t="shared" si="247"/>
        <v>0</v>
      </c>
      <c r="BA444" s="2720">
        <f t="shared" si="248"/>
        <v>0</v>
      </c>
      <c r="BB444" s="2720">
        <f t="shared" si="249"/>
        <v>0</v>
      </c>
      <c r="BC444" s="2720">
        <f t="shared" si="250"/>
        <v>0</v>
      </c>
      <c r="BD444" s="2720">
        <f t="shared" si="251"/>
        <v>0</v>
      </c>
      <c r="BE444" s="2720">
        <f t="shared" si="252"/>
        <v>0</v>
      </c>
      <c r="BF444" s="2720">
        <f t="shared" si="253"/>
        <v>0</v>
      </c>
      <c r="BG444" s="2720">
        <f t="shared" si="254"/>
        <v>0</v>
      </c>
      <c r="BH444" s="2720">
        <f t="shared" si="255"/>
        <v>0</v>
      </c>
      <c r="BI444" s="2720">
        <f t="shared" si="256"/>
        <v>0</v>
      </c>
      <c r="BJ444" s="2720">
        <f t="shared" si="257"/>
        <v>0</v>
      </c>
      <c r="BK444" s="2720">
        <f t="shared" si="258"/>
        <v>0</v>
      </c>
      <c r="BL444" s="2720">
        <f t="shared" si="259"/>
        <v>0</v>
      </c>
      <c r="BM444" s="2720">
        <f t="shared" si="260"/>
        <v>0</v>
      </c>
      <c r="BN444" s="2720">
        <f t="shared" si="261"/>
        <v>0</v>
      </c>
      <c r="BO444" s="2720">
        <f t="shared" si="262"/>
        <v>0</v>
      </c>
      <c r="BP444" s="2720">
        <f t="shared" si="263"/>
        <v>0</v>
      </c>
      <c r="BQ444" s="2720">
        <f t="shared" si="264"/>
        <v>0</v>
      </c>
      <c r="BR444" s="2720">
        <f t="shared" si="265"/>
        <v>0</v>
      </c>
      <c r="BS444" s="2720">
        <f t="shared" si="266"/>
        <v>0</v>
      </c>
      <c r="BT444" s="2772">
        <f t="shared" si="267"/>
        <v>0</v>
      </c>
    </row>
    <row r="445" spans="1:72">
      <c r="A445" s="2717"/>
      <c r="B445" s="2718"/>
      <c r="C445" s="2718"/>
      <c r="D445" s="2719"/>
      <c r="E445" s="2720">
        <f t="shared" si="239"/>
        <v>0</v>
      </c>
      <c r="F445" s="2721"/>
      <c r="G445" s="2722">
        <f t="shared" si="240"/>
        <v>0</v>
      </c>
      <c r="H445" s="2723">
        <f t="shared" si="241"/>
        <v>0</v>
      </c>
      <c r="I445" s="2730"/>
      <c r="J445" s="2730"/>
      <c r="K445" s="2730"/>
      <c r="L445" s="2730"/>
      <c r="M445" s="2730"/>
      <c r="N445" s="2730"/>
      <c r="O445" s="2730"/>
      <c r="P445" s="2730"/>
      <c r="Q445" s="2730"/>
      <c r="R445" s="2730"/>
      <c r="S445" s="2730"/>
      <c r="T445" s="2730"/>
      <c r="U445" s="2730"/>
      <c r="V445" s="2730"/>
      <c r="W445" s="2730"/>
      <c r="X445" s="2730"/>
      <c r="Y445" s="2730"/>
      <c r="Z445" s="2730"/>
      <c r="AA445" s="2730"/>
      <c r="AB445" s="2730"/>
      <c r="AC445" s="2720">
        <f t="shared" si="242"/>
        <v>0</v>
      </c>
      <c r="AD445" s="2740"/>
      <c r="AE445" s="2740"/>
      <c r="AF445" s="2740"/>
      <c r="AG445" s="2740"/>
      <c r="AH445" s="2740"/>
      <c r="AI445" s="2740"/>
      <c r="AJ445" s="2740"/>
      <c r="AK445" s="2740"/>
      <c r="AL445" s="2740"/>
      <c r="AM445" s="2740"/>
      <c r="AN445" s="2740"/>
      <c r="AO445" s="2740"/>
      <c r="AP445" s="2740"/>
      <c r="AQ445" s="2740"/>
      <c r="AR445" s="2740"/>
      <c r="AS445" s="2740"/>
      <c r="AT445" s="2750"/>
      <c r="AU445" s="2751"/>
      <c r="AV445" s="1092">
        <f t="shared" si="243"/>
        <v>0</v>
      </c>
      <c r="AW445" s="1092">
        <f t="shared" si="244"/>
        <v>0</v>
      </c>
      <c r="AX445" s="1092">
        <f t="shared" si="245"/>
        <v>0</v>
      </c>
      <c r="AY445" s="2765">
        <f t="shared" si="246"/>
        <v>0</v>
      </c>
      <c r="AZ445" s="2720">
        <f t="shared" si="247"/>
        <v>0</v>
      </c>
      <c r="BA445" s="2720">
        <f t="shared" si="248"/>
        <v>0</v>
      </c>
      <c r="BB445" s="2720">
        <f t="shared" si="249"/>
        <v>0</v>
      </c>
      <c r="BC445" s="2720">
        <f t="shared" si="250"/>
        <v>0</v>
      </c>
      <c r="BD445" s="2720">
        <f t="shared" si="251"/>
        <v>0</v>
      </c>
      <c r="BE445" s="2720">
        <f t="shared" si="252"/>
        <v>0</v>
      </c>
      <c r="BF445" s="2720">
        <f t="shared" si="253"/>
        <v>0</v>
      </c>
      <c r="BG445" s="2720">
        <f t="shared" si="254"/>
        <v>0</v>
      </c>
      <c r="BH445" s="2720">
        <f t="shared" si="255"/>
        <v>0</v>
      </c>
      <c r="BI445" s="2720">
        <f t="shared" si="256"/>
        <v>0</v>
      </c>
      <c r="BJ445" s="2720">
        <f t="shared" si="257"/>
        <v>0</v>
      </c>
      <c r="BK445" s="2720">
        <f t="shared" si="258"/>
        <v>0</v>
      </c>
      <c r="BL445" s="2720">
        <f t="shared" si="259"/>
        <v>0</v>
      </c>
      <c r="BM445" s="2720">
        <f t="shared" si="260"/>
        <v>0</v>
      </c>
      <c r="BN445" s="2720">
        <f t="shared" si="261"/>
        <v>0</v>
      </c>
      <c r="BO445" s="2720">
        <f t="shared" si="262"/>
        <v>0</v>
      </c>
      <c r="BP445" s="2720">
        <f t="shared" si="263"/>
        <v>0</v>
      </c>
      <c r="BQ445" s="2720">
        <f t="shared" si="264"/>
        <v>0</v>
      </c>
      <c r="BR445" s="2720">
        <f t="shared" si="265"/>
        <v>0</v>
      </c>
      <c r="BS445" s="2720">
        <f t="shared" si="266"/>
        <v>0</v>
      </c>
      <c r="BT445" s="2772">
        <f t="shared" si="267"/>
        <v>0</v>
      </c>
    </row>
    <row r="446" spans="1:72">
      <c r="A446" s="2717"/>
      <c r="B446" s="2718"/>
      <c r="C446" s="2718"/>
      <c r="D446" s="2719"/>
      <c r="E446" s="2720">
        <f t="shared" si="239"/>
        <v>0</v>
      </c>
      <c r="F446" s="2721"/>
      <c r="G446" s="2722">
        <f t="shared" si="240"/>
        <v>0</v>
      </c>
      <c r="H446" s="2723">
        <f t="shared" si="241"/>
        <v>0</v>
      </c>
      <c r="I446" s="2730"/>
      <c r="J446" s="2730"/>
      <c r="K446" s="2730"/>
      <c r="L446" s="2730"/>
      <c r="M446" s="2730"/>
      <c r="N446" s="2730"/>
      <c r="O446" s="2730"/>
      <c r="P446" s="2730"/>
      <c r="Q446" s="2730"/>
      <c r="R446" s="2730"/>
      <c r="S446" s="2730"/>
      <c r="T446" s="2730"/>
      <c r="U446" s="2730"/>
      <c r="V446" s="2730"/>
      <c r="W446" s="2730"/>
      <c r="X446" s="2730"/>
      <c r="Y446" s="2730"/>
      <c r="Z446" s="2730"/>
      <c r="AA446" s="2730"/>
      <c r="AB446" s="2730"/>
      <c r="AC446" s="2720">
        <f t="shared" si="242"/>
        <v>0</v>
      </c>
      <c r="AD446" s="2740"/>
      <c r="AE446" s="2740"/>
      <c r="AF446" s="2740"/>
      <c r="AG446" s="2740"/>
      <c r="AH446" s="2740"/>
      <c r="AI446" s="2740"/>
      <c r="AJ446" s="2740"/>
      <c r="AK446" s="2740"/>
      <c r="AL446" s="2740"/>
      <c r="AM446" s="2740"/>
      <c r="AN446" s="2740"/>
      <c r="AO446" s="2740"/>
      <c r="AP446" s="2740"/>
      <c r="AQ446" s="2740"/>
      <c r="AR446" s="2740"/>
      <c r="AS446" s="2740"/>
      <c r="AT446" s="2750"/>
      <c r="AU446" s="2751"/>
      <c r="AV446" s="1092">
        <f t="shared" si="243"/>
        <v>0</v>
      </c>
      <c r="AW446" s="1092">
        <f t="shared" si="244"/>
        <v>0</v>
      </c>
      <c r="AX446" s="1092">
        <f t="shared" si="245"/>
        <v>0</v>
      </c>
      <c r="AY446" s="2765">
        <f t="shared" si="246"/>
        <v>0</v>
      </c>
      <c r="AZ446" s="2720">
        <f t="shared" si="247"/>
        <v>0</v>
      </c>
      <c r="BA446" s="2720">
        <f t="shared" si="248"/>
        <v>0</v>
      </c>
      <c r="BB446" s="2720">
        <f t="shared" si="249"/>
        <v>0</v>
      </c>
      <c r="BC446" s="2720">
        <f t="shared" si="250"/>
        <v>0</v>
      </c>
      <c r="BD446" s="2720">
        <f t="shared" si="251"/>
        <v>0</v>
      </c>
      <c r="BE446" s="2720">
        <f t="shared" si="252"/>
        <v>0</v>
      </c>
      <c r="BF446" s="2720">
        <f t="shared" si="253"/>
        <v>0</v>
      </c>
      <c r="BG446" s="2720">
        <f t="shared" si="254"/>
        <v>0</v>
      </c>
      <c r="BH446" s="2720">
        <f t="shared" si="255"/>
        <v>0</v>
      </c>
      <c r="BI446" s="2720">
        <f t="shared" si="256"/>
        <v>0</v>
      </c>
      <c r="BJ446" s="2720">
        <f t="shared" si="257"/>
        <v>0</v>
      </c>
      <c r="BK446" s="2720">
        <f t="shared" si="258"/>
        <v>0</v>
      </c>
      <c r="BL446" s="2720">
        <f t="shared" si="259"/>
        <v>0</v>
      </c>
      <c r="BM446" s="2720">
        <f t="shared" si="260"/>
        <v>0</v>
      </c>
      <c r="BN446" s="2720">
        <f t="shared" si="261"/>
        <v>0</v>
      </c>
      <c r="BO446" s="2720">
        <f t="shared" si="262"/>
        <v>0</v>
      </c>
      <c r="BP446" s="2720">
        <f t="shared" si="263"/>
        <v>0</v>
      </c>
      <c r="BQ446" s="2720">
        <f t="shared" si="264"/>
        <v>0</v>
      </c>
      <c r="BR446" s="2720">
        <f t="shared" si="265"/>
        <v>0</v>
      </c>
      <c r="BS446" s="2720">
        <f t="shared" si="266"/>
        <v>0</v>
      </c>
      <c r="BT446" s="2772">
        <f t="shared" si="267"/>
        <v>0</v>
      </c>
    </row>
    <row r="447" spans="1:72">
      <c r="A447" s="2717"/>
      <c r="B447" s="2718"/>
      <c r="C447" s="2718"/>
      <c r="D447" s="2719"/>
      <c r="E447" s="2720">
        <f t="shared" si="239"/>
        <v>0</v>
      </c>
      <c r="F447" s="2721"/>
      <c r="G447" s="2722">
        <f t="shared" si="240"/>
        <v>0</v>
      </c>
      <c r="H447" s="2723">
        <f t="shared" si="241"/>
        <v>0</v>
      </c>
      <c r="I447" s="2730"/>
      <c r="J447" s="2730"/>
      <c r="K447" s="2730"/>
      <c r="L447" s="2730"/>
      <c r="M447" s="2730"/>
      <c r="N447" s="2730"/>
      <c r="O447" s="2730"/>
      <c r="P447" s="2730"/>
      <c r="Q447" s="2730"/>
      <c r="R447" s="2730"/>
      <c r="S447" s="2730"/>
      <c r="T447" s="2730"/>
      <c r="U447" s="2730"/>
      <c r="V447" s="2730"/>
      <c r="W447" s="2730"/>
      <c r="X447" s="2730"/>
      <c r="Y447" s="2730"/>
      <c r="Z447" s="2730"/>
      <c r="AA447" s="2730"/>
      <c r="AB447" s="2730"/>
      <c r="AC447" s="2720">
        <f t="shared" si="242"/>
        <v>0</v>
      </c>
      <c r="AD447" s="2740"/>
      <c r="AE447" s="2740"/>
      <c r="AF447" s="2740"/>
      <c r="AG447" s="2740"/>
      <c r="AH447" s="2740"/>
      <c r="AI447" s="2740"/>
      <c r="AJ447" s="2740"/>
      <c r="AK447" s="2740"/>
      <c r="AL447" s="2740"/>
      <c r="AM447" s="2740"/>
      <c r="AN447" s="2740"/>
      <c r="AO447" s="2740"/>
      <c r="AP447" s="2740"/>
      <c r="AQ447" s="2740"/>
      <c r="AR447" s="2740"/>
      <c r="AS447" s="2740"/>
      <c r="AT447" s="2750"/>
      <c r="AU447" s="2751"/>
      <c r="AV447" s="1092">
        <f t="shared" si="243"/>
        <v>0</v>
      </c>
      <c r="AW447" s="1092">
        <f t="shared" si="244"/>
        <v>0</v>
      </c>
      <c r="AX447" s="1092">
        <f t="shared" si="245"/>
        <v>0</v>
      </c>
      <c r="AY447" s="2765">
        <f t="shared" si="246"/>
        <v>0</v>
      </c>
      <c r="AZ447" s="2720">
        <f t="shared" si="247"/>
        <v>0</v>
      </c>
      <c r="BA447" s="2720">
        <f t="shared" si="248"/>
        <v>0</v>
      </c>
      <c r="BB447" s="2720">
        <f t="shared" si="249"/>
        <v>0</v>
      </c>
      <c r="BC447" s="2720">
        <f t="shared" si="250"/>
        <v>0</v>
      </c>
      <c r="BD447" s="2720">
        <f t="shared" si="251"/>
        <v>0</v>
      </c>
      <c r="BE447" s="2720">
        <f t="shared" si="252"/>
        <v>0</v>
      </c>
      <c r="BF447" s="2720">
        <f t="shared" si="253"/>
        <v>0</v>
      </c>
      <c r="BG447" s="2720">
        <f t="shared" si="254"/>
        <v>0</v>
      </c>
      <c r="BH447" s="2720">
        <f t="shared" si="255"/>
        <v>0</v>
      </c>
      <c r="BI447" s="2720">
        <f t="shared" si="256"/>
        <v>0</v>
      </c>
      <c r="BJ447" s="2720">
        <f t="shared" si="257"/>
        <v>0</v>
      </c>
      <c r="BK447" s="2720">
        <f t="shared" si="258"/>
        <v>0</v>
      </c>
      <c r="BL447" s="2720">
        <f t="shared" si="259"/>
        <v>0</v>
      </c>
      <c r="BM447" s="2720">
        <f t="shared" si="260"/>
        <v>0</v>
      </c>
      <c r="BN447" s="2720">
        <f t="shared" si="261"/>
        <v>0</v>
      </c>
      <c r="BO447" s="2720">
        <f t="shared" si="262"/>
        <v>0</v>
      </c>
      <c r="BP447" s="2720">
        <f t="shared" si="263"/>
        <v>0</v>
      </c>
      <c r="BQ447" s="2720">
        <f t="shared" si="264"/>
        <v>0</v>
      </c>
      <c r="BR447" s="2720">
        <f t="shared" si="265"/>
        <v>0</v>
      </c>
      <c r="BS447" s="2720">
        <f t="shared" si="266"/>
        <v>0</v>
      </c>
      <c r="BT447" s="2772">
        <f t="shared" si="267"/>
        <v>0</v>
      </c>
    </row>
    <row r="448" spans="1:72">
      <c r="A448" s="2717"/>
      <c r="B448" s="2718"/>
      <c r="C448" s="2718"/>
      <c r="D448" s="2719"/>
      <c r="E448" s="2720">
        <f t="shared" si="239"/>
        <v>0</v>
      </c>
      <c r="F448" s="2721"/>
      <c r="G448" s="2722">
        <f t="shared" si="240"/>
        <v>0</v>
      </c>
      <c r="H448" s="2723">
        <f t="shared" si="241"/>
        <v>0</v>
      </c>
      <c r="I448" s="2730"/>
      <c r="J448" s="2730"/>
      <c r="K448" s="2730"/>
      <c r="L448" s="2730"/>
      <c r="M448" s="2730"/>
      <c r="N448" s="2730"/>
      <c r="O448" s="2730"/>
      <c r="P448" s="2730"/>
      <c r="Q448" s="2730"/>
      <c r="R448" s="2730"/>
      <c r="S448" s="2730"/>
      <c r="T448" s="2730"/>
      <c r="U448" s="2730"/>
      <c r="V448" s="2730"/>
      <c r="W448" s="2730"/>
      <c r="X448" s="2730"/>
      <c r="Y448" s="2730"/>
      <c r="Z448" s="2730"/>
      <c r="AA448" s="2730"/>
      <c r="AB448" s="2730"/>
      <c r="AC448" s="2720">
        <f t="shared" si="242"/>
        <v>0</v>
      </c>
      <c r="AD448" s="2740"/>
      <c r="AE448" s="2740"/>
      <c r="AF448" s="2740"/>
      <c r="AG448" s="2740"/>
      <c r="AH448" s="2740"/>
      <c r="AI448" s="2740"/>
      <c r="AJ448" s="2740"/>
      <c r="AK448" s="2740"/>
      <c r="AL448" s="2740"/>
      <c r="AM448" s="2740"/>
      <c r="AN448" s="2740"/>
      <c r="AO448" s="2740"/>
      <c r="AP448" s="2740"/>
      <c r="AQ448" s="2740"/>
      <c r="AR448" s="2740"/>
      <c r="AS448" s="2740"/>
      <c r="AT448" s="2750"/>
      <c r="AU448" s="2751"/>
      <c r="AV448" s="1092">
        <f t="shared" si="243"/>
        <v>0</v>
      </c>
      <c r="AW448" s="1092">
        <f t="shared" si="244"/>
        <v>0</v>
      </c>
      <c r="AX448" s="1092">
        <f t="shared" si="245"/>
        <v>0</v>
      </c>
      <c r="AY448" s="2765">
        <f t="shared" si="246"/>
        <v>0</v>
      </c>
      <c r="AZ448" s="2720">
        <f t="shared" si="247"/>
        <v>0</v>
      </c>
      <c r="BA448" s="2720">
        <f t="shared" si="248"/>
        <v>0</v>
      </c>
      <c r="BB448" s="2720">
        <f t="shared" si="249"/>
        <v>0</v>
      </c>
      <c r="BC448" s="2720">
        <f t="shared" si="250"/>
        <v>0</v>
      </c>
      <c r="BD448" s="2720">
        <f t="shared" si="251"/>
        <v>0</v>
      </c>
      <c r="BE448" s="2720">
        <f t="shared" si="252"/>
        <v>0</v>
      </c>
      <c r="BF448" s="2720">
        <f t="shared" si="253"/>
        <v>0</v>
      </c>
      <c r="BG448" s="2720">
        <f t="shared" si="254"/>
        <v>0</v>
      </c>
      <c r="BH448" s="2720">
        <f t="shared" si="255"/>
        <v>0</v>
      </c>
      <c r="BI448" s="2720">
        <f t="shared" si="256"/>
        <v>0</v>
      </c>
      <c r="BJ448" s="2720">
        <f t="shared" si="257"/>
        <v>0</v>
      </c>
      <c r="BK448" s="2720">
        <f t="shared" si="258"/>
        <v>0</v>
      </c>
      <c r="BL448" s="2720">
        <f t="shared" si="259"/>
        <v>0</v>
      </c>
      <c r="BM448" s="2720">
        <f t="shared" si="260"/>
        <v>0</v>
      </c>
      <c r="BN448" s="2720">
        <f t="shared" si="261"/>
        <v>0</v>
      </c>
      <c r="BO448" s="2720">
        <f t="shared" si="262"/>
        <v>0</v>
      </c>
      <c r="BP448" s="2720">
        <f t="shared" si="263"/>
        <v>0</v>
      </c>
      <c r="BQ448" s="2720">
        <f t="shared" si="264"/>
        <v>0</v>
      </c>
      <c r="BR448" s="2720">
        <f t="shared" si="265"/>
        <v>0</v>
      </c>
      <c r="BS448" s="2720">
        <f t="shared" si="266"/>
        <v>0</v>
      </c>
      <c r="BT448" s="2772">
        <f t="shared" si="267"/>
        <v>0</v>
      </c>
    </row>
    <row r="449" spans="1:72">
      <c r="A449" s="2717"/>
      <c r="B449" s="2718"/>
      <c r="C449" s="2718"/>
      <c r="D449" s="2719"/>
      <c r="E449" s="2720">
        <f t="shared" si="239"/>
        <v>0</v>
      </c>
      <c r="F449" s="2721"/>
      <c r="G449" s="2722">
        <f t="shared" si="240"/>
        <v>0</v>
      </c>
      <c r="H449" s="2723">
        <f t="shared" si="241"/>
        <v>0</v>
      </c>
      <c r="I449" s="2730"/>
      <c r="J449" s="2730"/>
      <c r="K449" s="2730"/>
      <c r="L449" s="2730"/>
      <c r="M449" s="2730"/>
      <c r="N449" s="2730"/>
      <c r="O449" s="2730"/>
      <c r="P449" s="2730"/>
      <c r="Q449" s="2730"/>
      <c r="R449" s="2730"/>
      <c r="S449" s="2730"/>
      <c r="T449" s="2730"/>
      <c r="U449" s="2730"/>
      <c r="V449" s="2730"/>
      <c r="W449" s="2730"/>
      <c r="X449" s="2730"/>
      <c r="Y449" s="2730"/>
      <c r="Z449" s="2730"/>
      <c r="AA449" s="2730"/>
      <c r="AB449" s="2730"/>
      <c r="AC449" s="2720">
        <f t="shared" si="242"/>
        <v>0</v>
      </c>
      <c r="AD449" s="2740"/>
      <c r="AE449" s="2740"/>
      <c r="AF449" s="2740"/>
      <c r="AG449" s="2740"/>
      <c r="AH449" s="2740"/>
      <c r="AI449" s="2740"/>
      <c r="AJ449" s="2740"/>
      <c r="AK449" s="2740"/>
      <c r="AL449" s="2740"/>
      <c r="AM449" s="2740"/>
      <c r="AN449" s="2740"/>
      <c r="AO449" s="2740"/>
      <c r="AP449" s="2740"/>
      <c r="AQ449" s="2740"/>
      <c r="AR449" s="2740"/>
      <c r="AS449" s="2740"/>
      <c r="AT449" s="2750"/>
      <c r="AU449" s="2751"/>
      <c r="AV449" s="1092">
        <f t="shared" si="243"/>
        <v>0</v>
      </c>
      <c r="AW449" s="1092">
        <f t="shared" si="244"/>
        <v>0</v>
      </c>
      <c r="AX449" s="1092">
        <f t="shared" si="245"/>
        <v>0</v>
      </c>
      <c r="AY449" s="2765">
        <f t="shared" si="246"/>
        <v>0</v>
      </c>
      <c r="AZ449" s="2720">
        <f t="shared" si="247"/>
        <v>0</v>
      </c>
      <c r="BA449" s="2720">
        <f t="shared" si="248"/>
        <v>0</v>
      </c>
      <c r="BB449" s="2720">
        <f t="shared" si="249"/>
        <v>0</v>
      </c>
      <c r="BC449" s="2720">
        <f t="shared" si="250"/>
        <v>0</v>
      </c>
      <c r="BD449" s="2720">
        <f t="shared" si="251"/>
        <v>0</v>
      </c>
      <c r="BE449" s="2720">
        <f t="shared" si="252"/>
        <v>0</v>
      </c>
      <c r="BF449" s="2720">
        <f t="shared" si="253"/>
        <v>0</v>
      </c>
      <c r="BG449" s="2720">
        <f t="shared" si="254"/>
        <v>0</v>
      </c>
      <c r="BH449" s="2720">
        <f t="shared" si="255"/>
        <v>0</v>
      </c>
      <c r="BI449" s="2720">
        <f t="shared" si="256"/>
        <v>0</v>
      </c>
      <c r="BJ449" s="2720">
        <f t="shared" si="257"/>
        <v>0</v>
      </c>
      <c r="BK449" s="2720">
        <f t="shared" si="258"/>
        <v>0</v>
      </c>
      <c r="BL449" s="2720">
        <f t="shared" si="259"/>
        <v>0</v>
      </c>
      <c r="BM449" s="2720">
        <f t="shared" si="260"/>
        <v>0</v>
      </c>
      <c r="BN449" s="2720">
        <f t="shared" si="261"/>
        <v>0</v>
      </c>
      <c r="BO449" s="2720">
        <f t="shared" si="262"/>
        <v>0</v>
      </c>
      <c r="BP449" s="2720">
        <f t="shared" si="263"/>
        <v>0</v>
      </c>
      <c r="BQ449" s="2720">
        <f t="shared" si="264"/>
        <v>0</v>
      </c>
      <c r="BR449" s="2720">
        <f t="shared" si="265"/>
        <v>0</v>
      </c>
      <c r="BS449" s="2720">
        <f t="shared" si="266"/>
        <v>0</v>
      </c>
      <c r="BT449" s="2772">
        <f t="shared" si="267"/>
        <v>0</v>
      </c>
    </row>
    <row r="450" spans="1:72">
      <c r="A450" s="2717"/>
      <c r="B450" s="2718"/>
      <c r="C450" s="2718"/>
      <c r="D450" s="2719"/>
      <c r="E450" s="2720">
        <f t="shared" si="239"/>
        <v>0</v>
      </c>
      <c r="F450" s="2721"/>
      <c r="G450" s="2722">
        <f t="shared" si="240"/>
        <v>0</v>
      </c>
      <c r="H450" s="2723">
        <f t="shared" si="241"/>
        <v>0</v>
      </c>
      <c r="I450" s="2730"/>
      <c r="J450" s="2730"/>
      <c r="K450" s="2730"/>
      <c r="L450" s="2730"/>
      <c r="M450" s="2730"/>
      <c r="N450" s="2730"/>
      <c r="O450" s="2730"/>
      <c r="P450" s="2730"/>
      <c r="Q450" s="2730"/>
      <c r="R450" s="2730"/>
      <c r="S450" s="2730"/>
      <c r="T450" s="2730"/>
      <c r="U450" s="2730"/>
      <c r="V450" s="2730"/>
      <c r="W450" s="2730"/>
      <c r="X450" s="2730"/>
      <c r="Y450" s="2730"/>
      <c r="Z450" s="2730"/>
      <c r="AA450" s="2730"/>
      <c r="AB450" s="2730"/>
      <c r="AC450" s="2720">
        <f t="shared" si="242"/>
        <v>0</v>
      </c>
      <c r="AD450" s="2740"/>
      <c r="AE450" s="2740"/>
      <c r="AF450" s="2740"/>
      <c r="AG450" s="2740"/>
      <c r="AH450" s="2740"/>
      <c r="AI450" s="2740"/>
      <c r="AJ450" s="2740"/>
      <c r="AK450" s="2740"/>
      <c r="AL450" s="2740"/>
      <c r="AM450" s="2740"/>
      <c r="AN450" s="2740"/>
      <c r="AO450" s="2740"/>
      <c r="AP450" s="2740"/>
      <c r="AQ450" s="2740"/>
      <c r="AR450" s="2740"/>
      <c r="AS450" s="2740"/>
      <c r="AT450" s="2750"/>
      <c r="AU450" s="2751"/>
      <c r="AV450" s="1092">
        <f t="shared" si="243"/>
        <v>0</v>
      </c>
      <c r="AW450" s="1092">
        <f t="shared" si="244"/>
        <v>0</v>
      </c>
      <c r="AX450" s="1092">
        <f t="shared" si="245"/>
        <v>0</v>
      </c>
      <c r="AY450" s="2765">
        <f t="shared" si="246"/>
        <v>0</v>
      </c>
      <c r="AZ450" s="2720">
        <f t="shared" si="247"/>
        <v>0</v>
      </c>
      <c r="BA450" s="2720">
        <f t="shared" si="248"/>
        <v>0</v>
      </c>
      <c r="BB450" s="2720">
        <f t="shared" si="249"/>
        <v>0</v>
      </c>
      <c r="BC450" s="2720">
        <f t="shared" si="250"/>
        <v>0</v>
      </c>
      <c r="BD450" s="2720">
        <f t="shared" si="251"/>
        <v>0</v>
      </c>
      <c r="BE450" s="2720">
        <f t="shared" si="252"/>
        <v>0</v>
      </c>
      <c r="BF450" s="2720">
        <f t="shared" si="253"/>
        <v>0</v>
      </c>
      <c r="BG450" s="2720">
        <f t="shared" si="254"/>
        <v>0</v>
      </c>
      <c r="BH450" s="2720">
        <f t="shared" si="255"/>
        <v>0</v>
      </c>
      <c r="BI450" s="2720">
        <f t="shared" si="256"/>
        <v>0</v>
      </c>
      <c r="BJ450" s="2720">
        <f t="shared" si="257"/>
        <v>0</v>
      </c>
      <c r="BK450" s="2720">
        <f t="shared" si="258"/>
        <v>0</v>
      </c>
      <c r="BL450" s="2720">
        <f t="shared" si="259"/>
        <v>0</v>
      </c>
      <c r="BM450" s="2720">
        <f t="shared" si="260"/>
        <v>0</v>
      </c>
      <c r="BN450" s="2720">
        <f t="shared" si="261"/>
        <v>0</v>
      </c>
      <c r="BO450" s="2720">
        <f t="shared" si="262"/>
        <v>0</v>
      </c>
      <c r="BP450" s="2720">
        <f t="shared" si="263"/>
        <v>0</v>
      </c>
      <c r="BQ450" s="2720">
        <f t="shared" si="264"/>
        <v>0</v>
      </c>
      <c r="BR450" s="2720">
        <f t="shared" si="265"/>
        <v>0</v>
      </c>
      <c r="BS450" s="2720">
        <f t="shared" si="266"/>
        <v>0</v>
      </c>
      <c r="BT450" s="2772">
        <f t="shared" si="267"/>
        <v>0</v>
      </c>
    </row>
    <row r="451" spans="1:72">
      <c r="A451" s="2717"/>
      <c r="B451" s="2718"/>
      <c r="C451" s="2718"/>
      <c r="D451" s="2719"/>
      <c r="E451" s="2720">
        <f t="shared" si="239"/>
        <v>0</v>
      </c>
      <c r="F451" s="2721"/>
      <c r="G451" s="2722">
        <f t="shared" si="240"/>
        <v>0</v>
      </c>
      <c r="H451" s="2723">
        <f t="shared" si="241"/>
        <v>0</v>
      </c>
      <c r="I451" s="2730"/>
      <c r="J451" s="2730"/>
      <c r="K451" s="2730"/>
      <c r="L451" s="2730"/>
      <c r="M451" s="2730"/>
      <c r="N451" s="2730"/>
      <c r="O451" s="2730"/>
      <c r="P451" s="2730"/>
      <c r="Q451" s="2730"/>
      <c r="R451" s="2730"/>
      <c r="S451" s="2730"/>
      <c r="T451" s="2730"/>
      <c r="U451" s="2730"/>
      <c r="V451" s="2730"/>
      <c r="W451" s="2730"/>
      <c r="X451" s="2730"/>
      <c r="Y451" s="2730"/>
      <c r="Z451" s="2730"/>
      <c r="AA451" s="2730"/>
      <c r="AB451" s="2730"/>
      <c r="AC451" s="2720">
        <f t="shared" si="242"/>
        <v>0</v>
      </c>
      <c r="AD451" s="2740"/>
      <c r="AE451" s="2740"/>
      <c r="AF451" s="2740"/>
      <c r="AG451" s="2740"/>
      <c r="AH451" s="2740"/>
      <c r="AI451" s="2740"/>
      <c r="AJ451" s="2740"/>
      <c r="AK451" s="2740"/>
      <c r="AL451" s="2740"/>
      <c r="AM451" s="2740"/>
      <c r="AN451" s="2740"/>
      <c r="AO451" s="2740"/>
      <c r="AP451" s="2740"/>
      <c r="AQ451" s="2740"/>
      <c r="AR451" s="2740"/>
      <c r="AS451" s="2740"/>
      <c r="AT451" s="2750"/>
      <c r="AU451" s="2751"/>
      <c r="AV451" s="1092">
        <f t="shared" si="243"/>
        <v>0</v>
      </c>
      <c r="AW451" s="1092">
        <f t="shared" si="244"/>
        <v>0</v>
      </c>
      <c r="AX451" s="1092">
        <f t="shared" si="245"/>
        <v>0</v>
      </c>
      <c r="AY451" s="2765">
        <f t="shared" si="246"/>
        <v>0</v>
      </c>
      <c r="AZ451" s="2720">
        <f t="shared" si="247"/>
        <v>0</v>
      </c>
      <c r="BA451" s="2720">
        <f t="shared" si="248"/>
        <v>0</v>
      </c>
      <c r="BB451" s="2720">
        <f t="shared" si="249"/>
        <v>0</v>
      </c>
      <c r="BC451" s="2720">
        <f t="shared" si="250"/>
        <v>0</v>
      </c>
      <c r="BD451" s="2720">
        <f t="shared" si="251"/>
        <v>0</v>
      </c>
      <c r="BE451" s="2720">
        <f t="shared" si="252"/>
        <v>0</v>
      </c>
      <c r="BF451" s="2720">
        <f t="shared" si="253"/>
        <v>0</v>
      </c>
      <c r="BG451" s="2720">
        <f t="shared" si="254"/>
        <v>0</v>
      </c>
      <c r="BH451" s="2720">
        <f t="shared" si="255"/>
        <v>0</v>
      </c>
      <c r="BI451" s="2720">
        <f t="shared" si="256"/>
        <v>0</v>
      </c>
      <c r="BJ451" s="2720">
        <f t="shared" si="257"/>
        <v>0</v>
      </c>
      <c r="BK451" s="2720">
        <f t="shared" si="258"/>
        <v>0</v>
      </c>
      <c r="BL451" s="2720">
        <f t="shared" si="259"/>
        <v>0</v>
      </c>
      <c r="BM451" s="2720">
        <f t="shared" si="260"/>
        <v>0</v>
      </c>
      <c r="BN451" s="2720">
        <f t="shared" si="261"/>
        <v>0</v>
      </c>
      <c r="BO451" s="2720">
        <f t="shared" si="262"/>
        <v>0</v>
      </c>
      <c r="BP451" s="2720">
        <f t="shared" si="263"/>
        <v>0</v>
      </c>
      <c r="BQ451" s="2720">
        <f t="shared" si="264"/>
        <v>0</v>
      </c>
      <c r="BR451" s="2720">
        <f t="shared" si="265"/>
        <v>0</v>
      </c>
      <c r="BS451" s="2720">
        <f t="shared" si="266"/>
        <v>0</v>
      </c>
      <c r="BT451" s="2772">
        <f t="shared" si="267"/>
        <v>0</v>
      </c>
    </row>
    <row r="452" spans="1:72">
      <c r="A452" s="2717"/>
      <c r="B452" s="2718"/>
      <c r="C452" s="2718"/>
      <c r="D452" s="2719"/>
      <c r="E452" s="2720">
        <f t="shared" si="239"/>
        <v>0</v>
      </c>
      <c r="F452" s="2721"/>
      <c r="G452" s="2722">
        <f t="shared" si="240"/>
        <v>0</v>
      </c>
      <c r="H452" s="2723">
        <f t="shared" si="241"/>
        <v>0</v>
      </c>
      <c r="I452" s="2730"/>
      <c r="J452" s="2730"/>
      <c r="K452" s="2730"/>
      <c r="L452" s="2730"/>
      <c r="M452" s="2730"/>
      <c r="N452" s="2730"/>
      <c r="O452" s="2730"/>
      <c r="P452" s="2730"/>
      <c r="Q452" s="2730"/>
      <c r="R452" s="2730"/>
      <c r="S452" s="2730"/>
      <c r="T452" s="2730"/>
      <c r="U452" s="2730"/>
      <c r="V452" s="2730"/>
      <c r="W452" s="2730"/>
      <c r="X452" s="2730"/>
      <c r="Y452" s="2730"/>
      <c r="Z452" s="2730"/>
      <c r="AA452" s="2730"/>
      <c r="AB452" s="2730"/>
      <c r="AC452" s="2720">
        <f t="shared" si="242"/>
        <v>0</v>
      </c>
      <c r="AD452" s="2740"/>
      <c r="AE452" s="2740"/>
      <c r="AF452" s="2740"/>
      <c r="AG452" s="2740"/>
      <c r="AH452" s="2740"/>
      <c r="AI452" s="2740"/>
      <c r="AJ452" s="2740"/>
      <c r="AK452" s="2740"/>
      <c r="AL452" s="2740"/>
      <c r="AM452" s="2740"/>
      <c r="AN452" s="2740"/>
      <c r="AO452" s="2740"/>
      <c r="AP452" s="2740"/>
      <c r="AQ452" s="2740"/>
      <c r="AR452" s="2740"/>
      <c r="AS452" s="2740"/>
      <c r="AT452" s="2750"/>
      <c r="AU452" s="2751"/>
      <c r="AV452" s="1092">
        <f t="shared" si="243"/>
        <v>0</v>
      </c>
      <c r="AW452" s="1092">
        <f t="shared" si="244"/>
        <v>0</v>
      </c>
      <c r="AX452" s="1092">
        <f t="shared" si="245"/>
        <v>0</v>
      </c>
      <c r="AY452" s="2765">
        <f t="shared" si="246"/>
        <v>0</v>
      </c>
      <c r="AZ452" s="2720">
        <f t="shared" si="247"/>
        <v>0</v>
      </c>
      <c r="BA452" s="2720">
        <f t="shared" si="248"/>
        <v>0</v>
      </c>
      <c r="BB452" s="2720">
        <f t="shared" si="249"/>
        <v>0</v>
      </c>
      <c r="BC452" s="2720">
        <f t="shared" si="250"/>
        <v>0</v>
      </c>
      <c r="BD452" s="2720">
        <f t="shared" si="251"/>
        <v>0</v>
      </c>
      <c r="BE452" s="2720">
        <f t="shared" si="252"/>
        <v>0</v>
      </c>
      <c r="BF452" s="2720">
        <f t="shared" si="253"/>
        <v>0</v>
      </c>
      <c r="BG452" s="2720">
        <f t="shared" si="254"/>
        <v>0</v>
      </c>
      <c r="BH452" s="2720">
        <f t="shared" si="255"/>
        <v>0</v>
      </c>
      <c r="BI452" s="2720">
        <f t="shared" si="256"/>
        <v>0</v>
      </c>
      <c r="BJ452" s="2720">
        <f t="shared" si="257"/>
        <v>0</v>
      </c>
      <c r="BK452" s="2720">
        <f t="shared" si="258"/>
        <v>0</v>
      </c>
      <c r="BL452" s="2720">
        <f t="shared" si="259"/>
        <v>0</v>
      </c>
      <c r="BM452" s="2720">
        <f t="shared" si="260"/>
        <v>0</v>
      </c>
      <c r="BN452" s="2720">
        <f t="shared" si="261"/>
        <v>0</v>
      </c>
      <c r="BO452" s="2720">
        <f t="shared" si="262"/>
        <v>0</v>
      </c>
      <c r="BP452" s="2720">
        <f t="shared" si="263"/>
        <v>0</v>
      </c>
      <c r="BQ452" s="2720">
        <f t="shared" si="264"/>
        <v>0</v>
      </c>
      <c r="BR452" s="2720">
        <f t="shared" si="265"/>
        <v>0</v>
      </c>
      <c r="BS452" s="2720">
        <f t="shared" si="266"/>
        <v>0</v>
      </c>
      <c r="BT452" s="2772">
        <f t="shared" si="267"/>
        <v>0</v>
      </c>
    </row>
    <row r="453" spans="1:72">
      <c r="A453" s="2717"/>
      <c r="B453" s="2718"/>
      <c r="C453" s="2718"/>
      <c r="D453" s="2719"/>
      <c r="E453" s="2720">
        <f t="shared" si="239"/>
        <v>0</v>
      </c>
      <c r="F453" s="2721"/>
      <c r="G453" s="2722">
        <f t="shared" si="240"/>
        <v>0</v>
      </c>
      <c r="H453" s="2723">
        <f t="shared" si="241"/>
        <v>0</v>
      </c>
      <c r="I453" s="2730"/>
      <c r="J453" s="2730"/>
      <c r="K453" s="2730"/>
      <c r="L453" s="2730"/>
      <c r="M453" s="2730"/>
      <c r="N453" s="2730"/>
      <c r="O453" s="2730"/>
      <c r="P453" s="2730"/>
      <c r="Q453" s="2730"/>
      <c r="R453" s="2730"/>
      <c r="S453" s="2730"/>
      <c r="T453" s="2730"/>
      <c r="U453" s="2730"/>
      <c r="V453" s="2730"/>
      <c r="W453" s="2730"/>
      <c r="X453" s="2730"/>
      <c r="Y453" s="2730"/>
      <c r="Z453" s="2730"/>
      <c r="AA453" s="2730"/>
      <c r="AB453" s="2730"/>
      <c r="AC453" s="2720">
        <f t="shared" si="242"/>
        <v>0</v>
      </c>
      <c r="AD453" s="2740"/>
      <c r="AE453" s="2740"/>
      <c r="AF453" s="2740"/>
      <c r="AG453" s="2740"/>
      <c r="AH453" s="2740"/>
      <c r="AI453" s="2740"/>
      <c r="AJ453" s="2740"/>
      <c r="AK453" s="2740"/>
      <c r="AL453" s="2740"/>
      <c r="AM453" s="2740"/>
      <c r="AN453" s="2740"/>
      <c r="AO453" s="2740"/>
      <c r="AP453" s="2740"/>
      <c r="AQ453" s="2740"/>
      <c r="AR453" s="2740"/>
      <c r="AS453" s="2740"/>
      <c r="AT453" s="2750"/>
      <c r="AU453" s="2751"/>
      <c r="AV453" s="1092">
        <f t="shared" si="243"/>
        <v>0</v>
      </c>
      <c r="AW453" s="1092">
        <f t="shared" si="244"/>
        <v>0</v>
      </c>
      <c r="AX453" s="1092">
        <f t="shared" si="245"/>
        <v>0</v>
      </c>
      <c r="AY453" s="2765">
        <f t="shared" si="246"/>
        <v>0</v>
      </c>
      <c r="AZ453" s="2720">
        <f t="shared" si="247"/>
        <v>0</v>
      </c>
      <c r="BA453" s="2720">
        <f t="shared" si="248"/>
        <v>0</v>
      </c>
      <c r="BB453" s="2720">
        <f t="shared" si="249"/>
        <v>0</v>
      </c>
      <c r="BC453" s="2720">
        <f t="shared" si="250"/>
        <v>0</v>
      </c>
      <c r="BD453" s="2720">
        <f t="shared" si="251"/>
        <v>0</v>
      </c>
      <c r="BE453" s="2720">
        <f t="shared" si="252"/>
        <v>0</v>
      </c>
      <c r="BF453" s="2720">
        <f t="shared" si="253"/>
        <v>0</v>
      </c>
      <c r="BG453" s="2720">
        <f t="shared" si="254"/>
        <v>0</v>
      </c>
      <c r="BH453" s="2720">
        <f t="shared" si="255"/>
        <v>0</v>
      </c>
      <c r="BI453" s="2720">
        <f t="shared" si="256"/>
        <v>0</v>
      </c>
      <c r="BJ453" s="2720">
        <f t="shared" si="257"/>
        <v>0</v>
      </c>
      <c r="BK453" s="2720">
        <f t="shared" si="258"/>
        <v>0</v>
      </c>
      <c r="BL453" s="2720">
        <f t="shared" si="259"/>
        <v>0</v>
      </c>
      <c r="BM453" s="2720">
        <f t="shared" si="260"/>
        <v>0</v>
      </c>
      <c r="BN453" s="2720">
        <f t="shared" si="261"/>
        <v>0</v>
      </c>
      <c r="BO453" s="2720">
        <f t="shared" si="262"/>
        <v>0</v>
      </c>
      <c r="BP453" s="2720">
        <f t="shared" si="263"/>
        <v>0</v>
      </c>
      <c r="BQ453" s="2720">
        <f t="shared" si="264"/>
        <v>0</v>
      </c>
      <c r="BR453" s="2720">
        <f t="shared" si="265"/>
        <v>0</v>
      </c>
      <c r="BS453" s="2720">
        <f t="shared" si="266"/>
        <v>0</v>
      </c>
      <c r="BT453" s="2772">
        <f t="shared" si="267"/>
        <v>0</v>
      </c>
    </row>
    <row r="454" spans="1:72">
      <c r="A454" s="2717"/>
      <c r="B454" s="2718"/>
      <c r="C454" s="2718"/>
      <c r="D454" s="2719"/>
      <c r="E454" s="2720">
        <f t="shared" si="239"/>
        <v>0</v>
      </c>
      <c r="F454" s="2721"/>
      <c r="G454" s="2722">
        <f t="shared" si="240"/>
        <v>0</v>
      </c>
      <c r="H454" s="2723">
        <f t="shared" si="241"/>
        <v>0</v>
      </c>
      <c r="I454" s="2730"/>
      <c r="J454" s="2730"/>
      <c r="K454" s="2730"/>
      <c r="L454" s="2730"/>
      <c r="M454" s="2730"/>
      <c r="N454" s="2730"/>
      <c r="O454" s="2730"/>
      <c r="P454" s="2730"/>
      <c r="Q454" s="2730"/>
      <c r="R454" s="2730"/>
      <c r="S454" s="2730"/>
      <c r="T454" s="2730"/>
      <c r="U454" s="2730"/>
      <c r="V454" s="2730"/>
      <c r="W454" s="2730"/>
      <c r="X454" s="2730"/>
      <c r="Y454" s="2730"/>
      <c r="Z454" s="2730"/>
      <c r="AA454" s="2730"/>
      <c r="AB454" s="2730"/>
      <c r="AC454" s="2720">
        <f t="shared" si="242"/>
        <v>0</v>
      </c>
      <c r="AD454" s="2740"/>
      <c r="AE454" s="2740"/>
      <c r="AF454" s="2740"/>
      <c r="AG454" s="2740"/>
      <c r="AH454" s="2740"/>
      <c r="AI454" s="2740"/>
      <c r="AJ454" s="2740"/>
      <c r="AK454" s="2740"/>
      <c r="AL454" s="2740"/>
      <c r="AM454" s="2740"/>
      <c r="AN454" s="2740"/>
      <c r="AO454" s="2740"/>
      <c r="AP454" s="2740"/>
      <c r="AQ454" s="2740"/>
      <c r="AR454" s="2740"/>
      <c r="AS454" s="2740"/>
      <c r="AT454" s="2750"/>
      <c r="AU454" s="2751"/>
      <c r="AV454" s="1092">
        <f t="shared" si="243"/>
        <v>0</v>
      </c>
      <c r="AW454" s="1092">
        <f t="shared" si="244"/>
        <v>0</v>
      </c>
      <c r="AX454" s="1092">
        <f t="shared" si="245"/>
        <v>0</v>
      </c>
      <c r="AY454" s="2765">
        <f t="shared" si="246"/>
        <v>0</v>
      </c>
      <c r="AZ454" s="2720">
        <f t="shared" si="247"/>
        <v>0</v>
      </c>
      <c r="BA454" s="2720">
        <f t="shared" si="248"/>
        <v>0</v>
      </c>
      <c r="BB454" s="2720">
        <f t="shared" si="249"/>
        <v>0</v>
      </c>
      <c r="BC454" s="2720">
        <f t="shared" si="250"/>
        <v>0</v>
      </c>
      <c r="BD454" s="2720">
        <f t="shared" si="251"/>
        <v>0</v>
      </c>
      <c r="BE454" s="2720">
        <f t="shared" si="252"/>
        <v>0</v>
      </c>
      <c r="BF454" s="2720">
        <f t="shared" si="253"/>
        <v>0</v>
      </c>
      <c r="BG454" s="2720">
        <f t="shared" si="254"/>
        <v>0</v>
      </c>
      <c r="BH454" s="2720">
        <f t="shared" si="255"/>
        <v>0</v>
      </c>
      <c r="BI454" s="2720">
        <f t="shared" si="256"/>
        <v>0</v>
      </c>
      <c r="BJ454" s="2720">
        <f t="shared" si="257"/>
        <v>0</v>
      </c>
      <c r="BK454" s="2720">
        <f t="shared" si="258"/>
        <v>0</v>
      </c>
      <c r="BL454" s="2720">
        <f t="shared" si="259"/>
        <v>0</v>
      </c>
      <c r="BM454" s="2720">
        <f t="shared" si="260"/>
        <v>0</v>
      </c>
      <c r="BN454" s="2720">
        <f t="shared" si="261"/>
        <v>0</v>
      </c>
      <c r="BO454" s="2720">
        <f t="shared" si="262"/>
        <v>0</v>
      </c>
      <c r="BP454" s="2720">
        <f t="shared" si="263"/>
        <v>0</v>
      </c>
      <c r="BQ454" s="2720">
        <f t="shared" si="264"/>
        <v>0</v>
      </c>
      <c r="BR454" s="2720">
        <f t="shared" si="265"/>
        <v>0</v>
      </c>
      <c r="BS454" s="2720">
        <f t="shared" si="266"/>
        <v>0</v>
      </c>
      <c r="BT454" s="2772">
        <f t="shared" si="267"/>
        <v>0</v>
      </c>
    </row>
    <row r="455" spans="1:72">
      <c r="A455" s="2717"/>
      <c r="B455" s="2718"/>
      <c r="C455" s="2718"/>
      <c r="D455" s="2719"/>
      <c r="E455" s="2720">
        <f t="shared" si="239"/>
        <v>0</v>
      </c>
      <c r="F455" s="2721"/>
      <c r="G455" s="2722">
        <f t="shared" si="240"/>
        <v>0</v>
      </c>
      <c r="H455" s="2723">
        <f t="shared" si="241"/>
        <v>0</v>
      </c>
      <c r="I455" s="2730"/>
      <c r="J455" s="2730"/>
      <c r="K455" s="2730"/>
      <c r="L455" s="2730"/>
      <c r="M455" s="2730"/>
      <c r="N455" s="2730"/>
      <c r="O455" s="2730"/>
      <c r="P455" s="2730"/>
      <c r="Q455" s="2730"/>
      <c r="R455" s="2730"/>
      <c r="S455" s="2730"/>
      <c r="T455" s="2730"/>
      <c r="U455" s="2730"/>
      <c r="V455" s="2730"/>
      <c r="W455" s="2730"/>
      <c r="X455" s="2730"/>
      <c r="Y455" s="2730"/>
      <c r="Z455" s="2730"/>
      <c r="AA455" s="2730"/>
      <c r="AB455" s="2730"/>
      <c r="AC455" s="2720">
        <f t="shared" si="242"/>
        <v>0</v>
      </c>
      <c r="AD455" s="2740"/>
      <c r="AE455" s="2740"/>
      <c r="AF455" s="2740"/>
      <c r="AG455" s="2740"/>
      <c r="AH455" s="2740"/>
      <c r="AI455" s="2740"/>
      <c r="AJ455" s="2740"/>
      <c r="AK455" s="2740"/>
      <c r="AL455" s="2740"/>
      <c r="AM455" s="2740"/>
      <c r="AN455" s="2740"/>
      <c r="AO455" s="2740"/>
      <c r="AP455" s="2740"/>
      <c r="AQ455" s="2740"/>
      <c r="AR455" s="2740"/>
      <c r="AS455" s="2740"/>
      <c r="AT455" s="2750"/>
      <c r="AU455" s="2751"/>
      <c r="AV455" s="1092">
        <f t="shared" si="243"/>
        <v>0</v>
      </c>
      <c r="AW455" s="1092">
        <f t="shared" si="244"/>
        <v>0</v>
      </c>
      <c r="AX455" s="1092">
        <f t="shared" si="245"/>
        <v>0</v>
      </c>
      <c r="AY455" s="2765">
        <f t="shared" si="246"/>
        <v>0</v>
      </c>
      <c r="AZ455" s="2720">
        <f t="shared" si="247"/>
        <v>0</v>
      </c>
      <c r="BA455" s="2720">
        <f t="shared" si="248"/>
        <v>0</v>
      </c>
      <c r="BB455" s="2720">
        <f t="shared" si="249"/>
        <v>0</v>
      </c>
      <c r="BC455" s="2720">
        <f t="shared" si="250"/>
        <v>0</v>
      </c>
      <c r="BD455" s="2720">
        <f t="shared" si="251"/>
        <v>0</v>
      </c>
      <c r="BE455" s="2720">
        <f t="shared" si="252"/>
        <v>0</v>
      </c>
      <c r="BF455" s="2720">
        <f t="shared" si="253"/>
        <v>0</v>
      </c>
      <c r="BG455" s="2720">
        <f t="shared" si="254"/>
        <v>0</v>
      </c>
      <c r="BH455" s="2720">
        <f t="shared" si="255"/>
        <v>0</v>
      </c>
      <c r="BI455" s="2720">
        <f t="shared" si="256"/>
        <v>0</v>
      </c>
      <c r="BJ455" s="2720">
        <f t="shared" si="257"/>
        <v>0</v>
      </c>
      <c r="BK455" s="2720">
        <f t="shared" si="258"/>
        <v>0</v>
      </c>
      <c r="BL455" s="2720">
        <f t="shared" si="259"/>
        <v>0</v>
      </c>
      <c r="BM455" s="2720">
        <f t="shared" si="260"/>
        <v>0</v>
      </c>
      <c r="BN455" s="2720">
        <f t="shared" si="261"/>
        <v>0</v>
      </c>
      <c r="BO455" s="2720">
        <f t="shared" si="262"/>
        <v>0</v>
      </c>
      <c r="BP455" s="2720">
        <f t="shared" si="263"/>
        <v>0</v>
      </c>
      <c r="BQ455" s="2720">
        <f t="shared" si="264"/>
        <v>0</v>
      </c>
      <c r="BR455" s="2720">
        <f t="shared" si="265"/>
        <v>0</v>
      </c>
      <c r="BS455" s="2720">
        <f t="shared" si="266"/>
        <v>0</v>
      </c>
      <c r="BT455" s="2772">
        <f t="shared" si="267"/>
        <v>0</v>
      </c>
    </row>
    <row r="456" spans="1:72">
      <c r="A456" s="2717"/>
      <c r="B456" s="2718"/>
      <c r="C456" s="2718"/>
      <c r="D456" s="2719"/>
      <c r="E456" s="2720">
        <f t="shared" si="239"/>
        <v>0</v>
      </c>
      <c r="F456" s="2721"/>
      <c r="G456" s="2722">
        <f t="shared" si="240"/>
        <v>0</v>
      </c>
      <c r="H456" s="2723">
        <f t="shared" si="241"/>
        <v>0</v>
      </c>
      <c r="I456" s="2730"/>
      <c r="J456" s="2730"/>
      <c r="K456" s="2730"/>
      <c r="L456" s="2730"/>
      <c r="M456" s="2730"/>
      <c r="N456" s="2730"/>
      <c r="O456" s="2730"/>
      <c r="P456" s="2730"/>
      <c r="Q456" s="2730"/>
      <c r="R456" s="2730"/>
      <c r="S456" s="2730"/>
      <c r="T456" s="2730"/>
      <c r="U456" s="2730"/>
      <c r="V456" s="2730"/>
      <c r="W456" s="2730"/>
      <c r="X456" s="2730"/>
      <c r="Y456" s="2730"/>
      <c r="Z456" s="2730"/>
      <c r="AA456" s="2730"/>
      <c r="AB456" s="2730"/>
      <c r="AC456" s="2720">
        <f t="shared" si="242"/>
        <v>0</v>
      </c>
      <c r="AD456" s="2740"/>
      <c r="AE456" s="2740"/>
      <c r="AF456" s="2740"/>
      <c r="AG456" s="2740"/>
      <c r="AH456" s="2740"/>
      <c r="AI456" s="2740"/>
      <c r="AJ456" s="2740"/>
      <c r="AK456" s="2740"/>
      <c r="AL456" s="2740"/>
      <c r="AM456" s="2740"/>
      <c r="AN456" s="2740"/>
      <c r="AO456" s="2740"/>
      <c r="AP456" s="2740"/>
      <c r="AQ456" s="2740"/>
      <c r="AR456" s="2740"/>
      <c r="AS456" s="2740"/>
      <c r="AT456" s="2750"/>
      <c r="AU456" s="2751"/>
      <c r="AV456" s="1092">
        <f t="shared" si="243"/>
        <v>0</v>
      </c>
      <c r="AW456" s="1092">
        <f t="shared" si="244"/>
        <v>0</v>
      </c>
      <c r="AX456" s="1092">
        <f t="shared" si="245"/>
        <v>0</v>
      </c>
      <c r="AY456" s="2765">
        <f t="shared" si="246"/>
        <v>0</v>
      </c>
      <c r="AZ456" s="2720">
        <f t="shared" si="247"/>
        <v>0</v>
      </c>
      <c r="BA456" s="2720">
        <f t="shared" si="248"/>
        <v>0</v>
      </c>
      <c r="BB456" s="2720">
        <f t="shared" si="249"/>
        <v>0</v>
      </c>
      <c r="BC456" s="2720">
        <f t="shared" si="250"/>
        <v>0</v>
      </c>
      <c r="BD456" s="2720">
        <f t="shared" si="251"/>
        <v>0</v>
      </c>
      <c r="BE456" s="2720">
        <f t="shared" si="252"/>
        <v>0</v>
      </c>
      <c r="BF456" s="2720">
        <f t="shared" si="253"/>
        <v>0</v>
      </c>
      <c r="BG456" s="2720">
        <f t="shared" si="254"/>
        <v>0</v>
      </c>
      <c r="BH456" s="2720">
        <f t="shared" si="255"/>
        <v>0</v>
      </c>
      <c r="BI456" s="2720">
        <f t="shared" si="256"/>
        <v>0</v>
      </c>
      <c r="BJ456" s="2720">
        <f t="shared" si="257"/>
        <v>0</v>
      </c>
      <c r="BK456" s="2720">
        <f t="shared" si="258"/>
        <v>0</v>
      </c>
      <c r="BL456" s="2720">
        <f t="shared" si="259"/>
        <v>0</v>
      </c>
      <c r="BM456" s="2720">
        <f t="shared" si="260"/>
        <v>0</v>
      </c>
      <c r="BN456" s="2720">
        <f t="shared" si="261"/>
        <v>0</v>
      </c>
      <c r="BO456" s="2720">
        <f t="shared" si="262"/>
        <v>0</v>
      </c>
      <c r="BP456" s="2720">
        <f t="shared" si="263"/>
        <v>0</v>
      </c>
      <c r="BQ456" s="2720">
        <f t="shared" si="264"/>
        <v>0</v>
      </c>
      <c r="BR456" s="2720">
        <f t="shared" si="265"/>
        <v>0</v>
      </c>
      <c r="BS456" s="2720">
        <f t="shared" si="266"/>
        <v>0</v>
      </c>
      <c r="BT456" s="2772">
        <f t="shared" si="267"/>
        <v>0</v>
      </c>
    </row>
    <row r="457" spans="1:72">
      <c r="A457" s="2717"/>
      <c r="B457" s="2718"/>
      <c r="C457" s="2718"/>
      <c r="D457" s="2719"/>
      <c r="E457" s="2720">
        <f t="shared" si="239"/>
        <v>0</v>
      </c>
      <c r="F457" s="2721"/>
      <c r="G457" s="2722">
        <f t="shared" si="240"/>
        <v>0</v>
      </c>
      <c r="H457" s="2723">
        <f t="shared" si="241"/>
        <v>0</v>
      </c>
      <c r="I457" s="2730"/>
      <c r="J457" s="2730"/>
      <c r="K457" s="2730"/>
      <c r="L457" s="2730"/>
      <c r="M457" s="2730"/>
      <c r="N457" s="2730"/>
      <c r="O457" s="2730"/>
      <c r="P457" s="2730"/>
      <c r="Q457" s="2730"/>
      <c r="R457" s="2730"/>
      <c r="S457" s="2730"/>
      <c r="T457" s="2730"/>
      <c r="U457" s="2730"/>
      <c r="V457" s="2730"/>
      <c r="W457" s="2730"/>
      <c r="X457" s="2730"/>
      <c r="Y457" s="2730"/>
      <c r="Z457" s="2730"/>
      <c r="AA457" s="2730"/>
      <c r="AB457" s="2730"/>
      <c r="AC457" s="2720">
        <f t="shared" si="242"/>
        <v>0</v>
      </c>
      <c r="AD457" s="2740"/>
      <c r="AE457" s="2740"/>
      <c r="AF457" s="2740"/>
      <c r="AG457" s="2740"/>
      <c r="AH457" s="2740"/>
      <c r="AI457" s="2740"/>
      <c r="AJ457" s="2740"/>
      <c r="AK457" s="2740"/>
      <c r="AL457" s="2740"/>
      <c r="AM457" s="2740"/>
      <c r="AN457" s="2740"/>
      <c r="AO457" s="2740"/>
      <c r="AP457" s="2740"/>
      <c r="AQ457" s="2740"/>
      <c r="AR457" s="2740"/>
      <c r="AS457" s="2740"/>
      <c r="AT457" s="2750"/>
      <c r="AU457" s="2751"/>
      <c r="AV457" s="1092">
        <f t="shared" si="243"/>
        <v>0</v>
      </c>
      <c r="AW457" s="1092">
        <f t="shared" si="244"/>
        <v>0</v>
      </c>
      <c r="AX457" s="1092">
        <f t="shared" si="245"/>
        <v>0</v>
      </c>
      <c r="AY457" s="2765">
        <f t="shared" si="246"/>
        <v>0</v>
      </c>
      <c r="AZ457" s="2720">
        <f t="shared" si="247"/>
        <v>0</v>
      </c>
      <c r="BA457" s="2720">
        <f t="shared" si="248"/>
        <v>0</v>
      </c>
      <c r="BB457" s="2720">
        <f t="shared" si="249"/>
        <v>0</v>
      </c>
      <c r="BC457" s="2720">
        <f t="shared" si="250"/>
        <v>0</v>
      </c>
      <c r="BD457" s="2720">
        <f t="shared" si="251"/>
        <v>0</v>
      </c>
      <c r="BE457" s="2720">
        <f t="shared" si="252"/>
        <v>0</v>
      </c>
      <c r="BF457" s="2720">
        <f t="shared" si="253"/>
        <v>0</v>
      </c>
      <c r="BG457" s="2720">
        <f t="shared" si="254"/>
        <v>0</v>
      </c>
      <c r="BH457" s="2720">
        <f t="shared" si="255"/>
        <v>0</v>
      </c>
      <c r="BI457" s="2720">
        <f t="shared" si="256"/>
        <v>0</v>
      </c>
      <c r="BJ457" s="2720">
        <f t="shared" si="257"/>
        <v>0</v>
      </c>
      <c r="BK457" s="2720">
        <f t="shared" si="258"/>
        <v>0</v>
      </c>
      <c r="BL457" s="2720">
        <f t="shared" si="259"/>
        <v>0</v>
      </c>
      <c r="BM457" s="2720">
        <f t="shared" si="260"/>
        <v>0</v>
      </c>
      <c r="BN457" s="2720">
        <f t="shared" si="261"/>
        <v>0</v>
      </c>
      <c r="BO457" s="2720">
        <f t="shared" si="262"/>
        <v>0</v>
      </c>
      <c r="BP457" s="2720">
        <f t="shared" si="263"/>
        <v>0</v>
      </c>
      <c r="BQ457" s="2720">
        <f t="shared" si="264"/>
        <v>0</v>
      </c>
      <c r="BR457" s="2720">
        <f t="shared" si="265"/>
        <v>0</v>
      </c>
      <c r="BS457" s="2720">
        <f t="shared" si="266"/>
        <v>0</v>
      </c>
      <c r="BT457" s="2772">
        <f t="shared" si="267"/>
        <v>0</v>
      </c>
    </row>
    <row r="458" spans="1:72">
      <c r="A458" s="2717"/>
      <c r="B458" s="2718"/>
      <c r="C458" s="2718"/>
      <c r="D458" s="2719"/>
      <c r="E458" s="2720">
        <f t="shared" si="239"/>
        <v>0</v>
      </c>
      <c r="F458" s="2721"/>
      <c r="G458" s="2722">
        <f t="shared" si="240"/>
        <v>0</v>
      </c>
      <c r="H458" s="2723">
        <f t="shared" si="241"/>
        <v>0</v>
      </c>
      <c r="I458" s="2730"/>
      <c r="J458" s="2730"/>
      <c r="K458" s="2730"/>
      <c r="L458" s="2730"/>
      <c r="M458" s="2730"/>
      <c r="N458" s="2730"/>
      <c r="O458" s="2730"/>
      <c r="P458" s="2730"/>
      <c r="Q458" s="2730"/>
      <c r="R458" s="2730"/>
      <c r="S458" s="2730"/>
      <c r="T458" s="2730"/>
      <c r="U458" s="2730"/>
      <c r="V458" s="2730"/>
      <c r="W458" s="2730"/>
      <c r="X458" s="2730"/>
      <c r="Y458" s="2730"/>
      <c r="Z458" s="2730"/>
      <c r="AA458" s="2730"/>
      <c r="AB458" s="2730"/>
      <c r="AC458" s="2720">
        <f t="shared" si="242"/>
        <v>0</v>
      </c>
      <c r="AD458" s="2740"/>
      <c r="AE458" s="2740"/>
      <c r="AF458" s="2740"/>
      <c r="AG458" s="2740"/>
      <c r="AH458" s="2740"/>
      <c r="AI458" s="2740"/>
      <c r="AJ458" s="2740"/>
      <c r="AK458" s="2740"/>
      <c r="AL458" s="2740"/>
      <c r="AM458" s="2740"/>
      <c r="AN458" s="2740"/>
      <c r="AO458" s="2740"/>
      <c r="AP458" s="2740"/>
      <c r="AQ458" s="2740"/>
      <c r="AR458" s="2740"/>
      <c r="AS458" s="2740"/>
      <c r="AT458" s="2750"/>
      <c r="AU458" s="2751"/>
      <c r="AV458" s="1092">
        <f t="shared" si="243"/>
        <v>0</v>
      </c>
      <c r="AW458" s="1092">
        <f t="shared" si="244"/>
        <v>0</v>
      </c>
      <c r="AX458" s="1092">
        <f t="shared" si="245"/>
        <v>0</v>
      </c>
      <c r="AY458" s="2765">
        <f t="shared" si="246"/>
        <v>0</v>
      </c>
      <c r="AZ458" s="2720">
        <f t="shared" si="247"/>
        <v>0</v>
      </c>
      <c r="BA458" s="2720">
        <f t="shared" si="248"/>
        <v>0</v>
      </c>
      <c r="BB458" s="2720">
        <f t="shared" si="249"/>
        <v>0</v>
      </c>
      <c r="BC458" s="2720">
        <f t="shared" si="250"/>
        <v>0</v>
      </c>
      <c r="BD458" s="2720">
        <f t="shared" si="251"/>
        <v>0</v>
      </c>
      <c r="BE458" s="2720">
        <f t="shared" si="252"/>
        <v>0</v>
      </c>
      <c r="BF458" s="2720">
        <f t="shared" si="253"/>
        <v>0</v>
      </c>
      <c r="BG458" s="2720">
        <f t="shared" si="254"/>
        <v>0</v>
      </c>
      <c r="BH458" s="2720">
        <f t="shared" si="255"/>
        <v>0</v>
      </c>
      <c r="BI458" s="2720">
        <f t="shared" si="256"/>
        <v>0</v>
      </c>
      <c r="BJ458" s="2720">
        <f t="shared" si="257"/>
        <v>0</v>
      </c>
      <c r="BK458" s="2720">
        <f t="shared" si="258"/>
        <v>0</v>
      </c>
      <c r="BL458" s="2720">
        <f t="shared" si="259"/>
        <v>0</v>
      </c>
      <c r="BM458" s="2720">
        <f t="shared" si="260"/>
        <v>0</v>
      </c>
      <c r="BN458" s="2720">
        <f t="shared" si="261"/>
        <v>0</v>
      </c>
      <c r="BO458" s="2720">
        <f t="shared" si="262"/>
        <v>0</v>
      </c>
      <c r="BP458" s="2720">
        <f t="shared" si="263"/>
        <v>0</v>
      </c>
      <c r="BQ458" s="2720">
        <f t="shared" si="264"/>
        <v>0</v>
      </c>
      <c r="BR458" s="2720">
        <f t="shared" si="265"/>
        <v>0</v>
      </c>
      <c r="BS458" s="2720">
        <f t="shared" si="266"/>
        <v>0</v>
      </c>
      <c r="BT458" s="2772">
        <f t="shared" si="267"/>
        <v>0</v>
      </c>
    </row>
    <row r="459" spans="1:72">
      <c r="A459" s="2717"/>
      <c r="B459" s="2718"/>
      <c r="C459" s="2718"/>
      <c r="D459" s="2719"/>
      <c r="E459" s="2720">
        <f t="shared" si="239"/>
        <v>0</v>
      </c>
      <c r="F459" s="2721"/>
      <c r="G459" s="2722">
        <f t="shared" si="240"/>
        <v>0</v>
      </c>
      <c r="H459" s="2723">
        <f t="shared" si="241"/>
        <v>0</v>
      </c>
      <c r="I459" s="2730"/>
      <c r="J459" s="2730"/>
      <c r="K459" s="2730"/>
      <c r="L459" s="2730"/>
      <c r="M459" s="2730"/>
      <c r="N459" s="2730"/>
      <c r="O459" s="2730"/>
      <c r="P459" s="2730"/>
      <c r="Q459" s="2730"/>
      <c r="R459" s="2730"/>
      <c r="S459" s="2730"/>
      <c r="T459" s="2730"/>
      <c r="U459" s="2730"/>
      <c r="V459" s="2730"/>
      <c r="W459" s="2730"/>
      <c r="X459" s="2730"/>
      <c r="Y459" s="2730"/>
      <c r="Z459" s="2730"/>
      <c r="AA459" s="2730"/>
      <c r="AB459" s="2730"/>
      <c r="AC459" s="2720">
        <f t="shared" si="242"/>
        <v>0</v>
      </c>
      <c r="AD459" s="2740"/>
      <c r="AE459" s="2740"/>
      <c r="AF459" s="2740"/>
      <c r="AG459" s="2740"/>
      <c r="AH459" s="2740"/>
      <c r="AI459" s="2740"/>
      <c r="AJ459" s="2740"/>
      <c r="AK459" s="2740"/>
      <c r="AL459" s="2740"/>
      <c r="AM459" s="2740"/>
      <c r="AN459" s="2740"/>
      <c r="AO459" s="2740"/>
      <c r="AP459" s="2740"/>
      <c r="AQ459" s="2740"/>
      <c r="AR459" s="2740"/>
      <c r="AS459" s="2740"/>
      <c r="AT459" s="2750"/>
      <c r="AU459" s="2751"/>
      <c r="AV459" s="1092">
        <f t="shared" si="243"/>
        <v>0</v>
      </c>
      <c r="AW459" s="1092">
        <f t="shared" si="244"/>
        <v>0</v>
      </c>
      <c r="AX459" s="1092">
        <f t="shared" si="245"/>
        <v>0</v>
      </c>
      <c r="AY459" s="2765">
        <f t="shared" si="246"/>
        <v>0</v>
      </c>
      <c r="AZ459" s="2720">
        <f t="shared" si="247"/>
        <v>0</v>
      </c>
      <c r="BA459" s="2720">
        <f t="shared" si="248"/>
        <v>0</v>
      </c>
      <c r="BB459" s="2720">
        <f t="shared" si="249"/>
        <v>0</v>
      </c>
      <c r="BC459" s="2720">
        <f t="shared" si="250"/>
        <v>0</v>
      </c>
      <c r="BD459" s="2720">
        <f t="shared" si="251"/>
        <v>0</v>
      </c>
      <c r="BE459" s="2720">
        <f t="shared" si="252"/>
        <v>0</v>
      </c>
      <c r="BF459" s="2720">
        <f t="shared" si="253"/>
        <v>0</v>
      </c>
      <c r="BG459" s="2720">
        <f t="shared" si="254"/>
        <v>0</v>
      </c>
      <c r="BH459" s="2720">
        <f t="shared" si="255"/>
        <v>0</v>
      </c>
      <c r="BI459" s="2720">
        <f t="shared" si="256"/>
        <v>0</v>
      </c>
      <c r="BJ459" s="2720">
        <f t="shared" si="257"/>
        <v>0</v>
      </c>
      <c r="BK459" s="2720">
        <f t="shared" si="258"/>
        <v>0</v>
      </c>
      <c r="BL459" s="2720">
        <f t="shared" si="259"/>
        <v>0</v>
      </c>
      <c r="BM459" s="2720">
        <f t="shared" si="260"/>
        <v>0</v>
      </c>
      <c r="BN459" s="2720">
        <f t="shared" si="261"/>
        <v>0</v>
      </c>
      <c r="BO459" s="2720">
        <f t="shared" si="262"/>
        <v>0</v>
      </c>
      <c r="BP459" s="2720">
        <f t="shared" si="263"/>
        <v>0</v>
      </c>
      <c r="BQ459" s="2720">
        <f t="shared" si="264"/>
        <v>0</v>
      </c>
      <c r="BR459" s="2720">
        <f t="shared" si="265"/>
        <v>0</v>
      </c>
      <c r="BS459" s="2720">
        <f t="shared" si="266"/>
        <v>0</v>
      </c>
      <c r="BT459" s="2772">
        <f t="shared" si="267"/>
        <v>0</v>
      </c>
    </row>
    <row r="460" spans="1:72">
      <c r="A460" s="2717"/>
      <c r="B460" s="2718"/>
      <c r="C460" s="2718"/>
      <c r="D460" s="2719"/>
      <c r="E460" s="2720">
        <f t="shared" si="239"/>
        <v>0</v>
      </c>
      <c r="F460" s="2721"/>
      <c r="G460" s="2722">
        <f t="shared" si="240"/>
        <v>0</v>
      </c>
      <c r="H460" s="2723">
        <f t="shared" si="241"/>
        <v>0</v>
      </c>
      <c r="I460" s="2730"/>
      <c r="J460" s="2730"/>
      <c r="K460" s="2730"/>
      <c r="L460" s="2730"/>
      <c r="M460" s="2730"/>
      <c r="N460" s="2730"/>
      <c r="O460" s="2730"/>
      <c r="P460" s="2730"/>
      <c r="Q460" s="2730"/>
      <c r="R460" s="2730"/>
      <c r="S460" s="2730"/>
      <c r="T460" s="2730"/>
      <c r="U460" s="2730"/>
      <c r="V460" s="2730"/>
      <c r="W460" s="2730"/>
      <c r="X460" s="2730"/>
      <c r="Y460" s="2730"/>
      <c r="Z460" s="2730"/>
      <c r="AA460" s="2730"/>
      <c r="AB460" s="2730"/>
      <c r="AC460" s="2720">
        <f t="shared" si="242"/>
        <v>0</v>
      </c>
      <c r="AD460" s="2740"/>
      <c r="AE460" s="2740"/>
      <c r="AF460" s="2740"/>
      <c r="AG460" s="2740"/>
      <c r="AH460" s="2740"/>
      <c r="AI460" s="2740"/>
      <c r="AJ460" s="2740"/>
      <c r="AK460" s="2740"/>
      <c r="AL460" s="2740"/>
      <c r="AM460" s="2740"/>
      <c r="AN460" s="2740"/>
      <c r="AO460" s="2740"/>
      <c r="AP460" s="2740"/>
      <c r="AQ460" s="2740"/>
      <c r="AR460" s="2740"/>
      <c r="AS460" s="2740"/>
      <c r="AT460" s="2750"/>
      <c r="AU460" s="2751"/>
      <c r="AV460" s="1092">
        <f t="shared" si="243"/>
        <v>0</v>
      </c>
      <c r="AW460" s="1092">
        <f t="shared" si="244"/>
        <v>0</v>
      </c>
      <c r="AX460" s="1092">
        <f t="shared" si="245"/>
        <v>0</v>
      </c>
      <c r="AY460" s="2765">
        <f t="shared" si="246"/>
        <v>0</v>
      </c>
      <c r="AZ460" s="2720">
        <f t="shared" si="247"/>
        <v>0</v>
      </c>
      <c r="BA460" s="2720">
        <f t="shared" si="248"/>
        <v>0</v>
      </c>
      <c r="BB460" s="2720">
        <f t="shared" si="249"/>
        <v>0</v>
      </c>
      <c r="BC460" s="2720">
        <f t="shared" si="250"/>
        <v>0</v>
      </c>
      <c r="BD460" s="2720">
        <f t="shared" si="251"/>
        <v>0</v>
      </c>
      <c r="BE460" s="2720">
        <f t="shared" si="252"/>
        <v>0</v>
      </c>
      <c r="BF460" s="2720">
        <f t="shared" si="253"/>
        <v>0</v>
      </c>
      <c r="BG460" s="2720">
        <f t="shared" si="254"/>
        <v>0</v>
      </c>
      <c r="BH460" s="2720">
        <f t="shared" si="255"/>
        <v>0</v>
      </c>
      <c r="BI460" s="2720">
        <f t="shared" si="256"/>
        <v>0</v>
      </c>
      <c r="BJ460" s="2720">
        <f t="shared" si="257"/>
        <v>0</v>
      </c>
      <c r="BK460" s="2720">
        <f t="shared" si="258"/>
        <v>0</v>
      </c>
      <c r="BL460" s="2720">
        <f t="shared" si="259"/>
        <v>0</v>
      </c>
      <c r="BM460" s="2720">
        <f t="shared" si="260"/>
        <v>0</v>
      </c>
      <c r="BN460" s="2720">
        <f t="shared" si="261"/>
        <v>0</v>
      </c>
      <c r="BO460" s="2720">
        <f t="shared" si="262"/>
        <v>0</v>
      </c>
      <c r="BP460" s="2720">
        <f t="shared" si="263"/>
        <v>0</v>
      </c>
      <c r="BQ460" s="2720">
        <f t="shared" si="264"/>
        <v>0</v>
      </c>
      <c r="BR460" s="2720">
        <f t="shared" si="265"/>
        <v>0</v>
      </c>
      <c r="BS460" s="2720">
        <f t="shared" si="266"/>
        <v>0</v>
      </c>
      <c r="BT460" s="2772">
        <f t="shared" si="267"/>
        <v>0</v>
      </c>
    </row>
    <row r="461" spans="1:72">
      <c r="A461" s="2717"/>
      <c r="B461" s="2718"/>
      <c r="C461" s="2718"/>
      <c r="D461" s="2719"/>
      <c r="E461" s="2720">
        <f t="shared" si="239"/>
        <v>0</v>
      </c>
      <c r="F461" s="2721"/>
      <c r="G461" s="2722">
        <f t="shared" si="240"/>
        <v>0</v>
      </c>
      <c r="H461" s="2723">
        <f t="shared" si="241"/>
        <v>0</v>
      </c>
      <c r="I461" s="2730"/>
      <c r="J461" s="2730"/>
      <c r="K461" s="2730"/>
      <c r="L461" s="2730"/>
      <c r="M461" s="2730"/>
      <c r="N461" s="2730"/>
      <c r="O461" s="2730"/>
      <c r="P461" s="2730"/>
      <c r="Q461" s="2730"/>
      <c r="R461" s="2730"/>
      <c r="S461" s="2730"/>
      <c r="T461" s="2730"/>
      <c r="U461" s="2730"/>
      <c r="V461" s="2730"/>
      <c r="W461" s="2730"/>
      <c r="X461" s="2730"/>
      <c r="Y461" s="2730"/>
      <c r="Z461" s="2730"/>
      <c r="AA461" s="2730"/>
      <c r="AB461" s="2730"/>
      <c r="AC461" s="2720">
        <f t="shared" si="242"/>
        <v>0</v>
      </c>
      <c r="AD461" s="2740"/>
      <c r="AE461" s="2740"/>
      <c r="AF461" s="2740"/>
      <c r="AG461" s="2740"/>
      <c r="AH461" s="2740"/>
      <c r="AI461" s="2740"/>
      <c r="AJ461" s="2740"/>
      <c r="AK461" s="2740"/>
      <c r="AL461" s="2740"/>
      <c r="AM461" s="2740"/>
      <c r="AN461" s="2740"/>
      <c r="AO461" s="2740"/>
      <c r="AP461" s="2740"/>
      <c r="AQ461" s="2740"/>
      <c r="AR461" s="2740"/>
      <c r="AS461" s="2740"/>
      <c r="AT461" s="2750"/>
      <c r="AU461" s="2751"/>
      <c r="AV461" s="1092">
        <f t="shared" si="243"/>
        <v>0</v>
      </c>
      <c r="AW461" s="1092">
        <f t="shared" si="244"/>
        <v>0</v>
      </c>
      <c r="AX461" s="1092">
        <f t="shared" si="245"/>
        <v>0</v>
      </c>
      <c r="AY461" s="2765">
        <f t="shared" si="246"/>
        <v>0</v>
      </c>
      <c r="AZ461" s="2720">
        <f t="shared" si="247"/>
        <v>0</v>
      </c>
      <c r="BA461" s="2720">
        <f t="shared" si="248"/>
        <v>0</v>
      </c>
      <c r="BB461" s="2720">
        <f t="shared" si="249"/>
        <v>0</v>
      </c>
      <c r="BC461" s="2720">
        <f t="shared" si="250"/>
        <v>0</v>
      </c>
      <c r="BD461" s="2720">
        <f t="shared" si="251"/>
        <v>0</v>
      </c>
      <c r="BE461" s="2720">
        <f t="shared" si="252"/>
        <v>0</v>
      </c>
      <c r="BF461" s="2720">
        <f t="shared" si="253"/>
        <v>0</v>
      </c>
      <c r="BG461" s="2720">
        <f t="shared" si="254"/>
        <v>0</v>
      </c>
      <c r="BH461" s="2720">
        <f t="shared" si="255"/>
        <v>0</v>
      </c>
      <c r="BI461" s="2720">
        <f t="shared" si="256"/>
        <v>0</v>
      </c>
      <c r="BJ461" s="2720">
        <f t="shared" si="257"/>
        <v>0</v>
      </c>
      <c r="BK461" s="2720">
        <f t="shared" si="258"/>
        <v>0</v>
      </c>
      <c r="BL461" s="2720">
        <f t="shared" si="259"/>
        <v>0</v>
      </c>
      <c r="BM461" s="2720">
        <f t="shared" si="260"/>
        <v>0</v>
      </c>
      <c r="BN461" s="2720">
        <f t="shared" si="261"/>
        <v>0</v>
      </c>
      <c r="BO461" s="2720">
        <f t="shared" si="262"/>
        <v>0</v>
      </c>
      <c r="BP461" s="2720">
        <f t="shared" si="263"/>
        <v>0</v>
      </c>
      <c r="BQ461" s="2720">
        <f t="shared" si="264"/>
        <v>0</v>
      </c>
      <c r="BR461" s="2720">
        <f t="shared" si="265"/>
        <v>0</v>
      </c>
      <c r="BS461" s="2720">
        <f t="shared" si="266"/>
        <v>0</v>
      </c>
      <c r="BT461" s="2772">
        <f t="shared" si="267"/>
        <v>0</v>
      </c>
    </row>
    <row r="462" spans="1:72">
      <c r="A462" s="2717"/>
      <c r="B462" s="2718"/>
      <c r="C462" s="2718"/>
      <c r="D462" s="2719"/>
      <c r="E462" s="2720">
        <f t="shared" si="239"/>
        <v>0</v>
      </c>
      <c r="F462" s="2721"/>
      <c r="G462" s="2722">
        <f t="shared" si="240"/>
        <v>0</v>
      </c>
      <c r="H462" s="2723">
        <f t="shared" si="241"/>
        <v>0</v>
      </c>
      <c r="I462" s="2730"/>
      <c r="J462" s="2730"/>
      <c r="K462" s="2730"/>
      <c r="L462" s="2730"/>
      <c r="M462" s="2730"/>
      <c r="N462" s="2730"/>
      <c r="O462" s="2730"/>
      <c r="P462" s="2730"/>
      <c r="Q462" s="2730"/>
      <c r="R462" s="2730"/>
      <c r="S462" s="2730"/>
      <c r="T462" s="2730"/>
      <c r="U462" s="2730"/>
      <c r="V462" s="2730"/>
      <c r="W462" s="2730"/>
      <c r="X462" s="2730"/>
      <c r="Y462" s="2730"/>
      <c r="Z462" s="2730"/>
      <c r="AA462" s="2730"/>
      <c r="AB462" s="2730"/>
      <c r="AC462" s="2720">
        <f t="shared" si="242"/>
        <v>0</v>
      </c>
      <c r="AD462" s="2740"/>
      <c r="AE462" s="2740"/>
      <c r="AF462" s="2740"/>
      <c r="AG462" s="2740"/>
      <c r="AH462" s="2740"/>
      <c r="AI462" s="2740"/>
      <c r="AJ462" s="2740"/>
      <c r="AK462" s="2740"/>
      <c r="AL462" s="2740"/>
      <c r="AM462" s="2740"/>
      <c r="AN462" s="2740"/>
      <c r="AO462" s="2740"/>
      <c r="AP462" s="2740"/>
      <c r="AQ462" s="2740"/>
      <c r="AR462" s="2740"/>
      <c r="AS462" s="2740"/>
      <c r="AT462" s="2750"/>
      <c r="AU462" s="2751"/>
      <c r="AV462" s="1092">
        <f t="shared" si="243"/>
        <v>0</v>
      </c>
      <c r="AW462" s="1092">
        <f t="shared" si="244"/>
        <v>0</v>
      </c>
      <c r="AX462" s="1092">
        <f t="shared" si="245"/>
        <v>0</v>
      </c>
      <c r="AY462" s="2765">
        <f t="shared" si="246"/>
        <v>0</v>
      </c>
      <c r="AZ462" s="2720">
        <f t="shared" si="247"/>
        <v>0</v>
      </c>
      <c r="BA462" s="2720">
        <f t="shared" si="248"/>
        <v>0</v>
      </c>
      <c r="BB462" s="2720">
        <f t="shared" si="249"/>
        <v>0</v>
      </c>
      <c r="BC462" s="2720">
        <f t="shared" si="250"/>
        <v>0</v>
      </c>
      <c r="BD462" s="2720">
        <f t="shared" si="251"/>
        <v>0</v>
      </c>
      <c r="BE462" s="2720">
        <f t="shared" si="252"/>
        <v>0</v>
      </c>
      <c r="BF462" s="2720">
        <f t="shared" si="253"/>
        <v>0</v>
      </c>
      <c r="BG462" s="2720">
        <f t="shared" si="254"/>
        <v>0</v>
      </c>
      <c r="BH462" s="2720">
        <f t="shared" si="255"/>
        <v>0</v>
      </c>
      <c r="BI462" s="2720">
        <f t="shared" si="256"/>
        <v>0</v>
      </c>
      <c r="BJ462" s="2720">
        <f t="shared" si="257"/>
        <v>0</v>
      </c>
      <c r="BK462" s="2720">
        <f t="shared" si="258"/>
        <v>0</v>
      </c>
      <c r="BL462" s="2720">
        <f t="shared" si="259"/>
        <v>0</v>
      </c>
      <c r="BM462" s="2720">
        <f t="shared" si="260"/>
        <v>0</v>
      </c>
      <c r="BN462" s="2720">
        <f t="shared" si="261"/>
        <v>0</v>
      </c>
      <c r="BO462" s="2720">
        <f t="shared" si="262"/>
        <v>0</v>
      </c>
      <c r="BP462" s="2720">
        <f t="shared" si="263"/>
        <v>0</v>
      </c>
      <c r="BQ462" s="2720">
        <f t="shared" si="264"/>
        <v>0</v>
      </c>
      <c r="BR462" s="2720">
        <f t="shared" si="265"/>
        <v>0</v>
      </c>
      <c r="BS462" s="2720">
        <f t="shared" si="266"/>
        <v>0</v>
      </c>
      <c r="BT462" s="2772">
        <f t="shared" si="267"/>
        <v>0</v>
      </c>
    </row>
    <row r="463" spans="1:72">
      <c r="A463" s="2717"/>
      <c r="B463" s="2718"/>
      <c r="C463" s="2718"/>
      <c r="D463" s="2719"/>
      <c r="E463" s="2720">
        <f t="shared" si="239"/>
        <v>0</v>
      </c>
      <c r="F463" s="2721"/>
      <c r="G463" s="2722">
        <f t="shared" si="240"/>
        <v>0</v>
      </c>
      <c r="H463" s="2723">
        <f t="shared" si="241"/>
        <v>0</v>
      </c>
      <c r="I463" s="2730"/>
      <c r="J463" s="2730"/>
      <c r="K463" s="2730"/>
      <c r="L463" s="2730"/>
      <c r="M463" s="2730"/>
      <c r="N463" s="2730"/>
      <c r="O463" s="2730"/>
      <c r="P463" s="2730"/>
      <c r="Q463" s="2730"/>
      <c r="R463" s="2730"/>
      <c r="S463" s="2730"/>
      <c r="T463" s="2730"/>
      <c r="U463" s="2730"/>
      <c r="V463" s="2730"/>
      <c r="W463" s="2730"/>
      <c r="X463" s="2730"/>
      <c r="Y463" s="2730"/>
      <c r="Z463" s="2730"/>
      <c r="AA463" s="2730"/>
      <c r="AB463" s="2730"/>
      <c r="AC463" s="2720">
        <f t="shared" si="242"/>
        <v>0</v>
      </c>
      <c r="AD463" s="2740"/>
      <c r="AE463" s="2740"/>
      <c r="AF463" s="2740"/>
      <c r="AG463" s="2740"/>
      <c r="AH463" s="2740"/>
      <c r="AI463" s="2740"/>
      <c r="AJ463" s="2740"/>
      <c r="AK463" s="2740"/>
      <c r="AL463" s="2740"/>
      <c r="AM463" s="2740"/>
      <c r="AN463" s="2740"/>
      <c r="AO463" s="2740"/>
      <c r="AP463" s="2740"/>
      <c r="AQ463" s="2740"/>
      <c r="AR463" s="2740"/>
      <c r="AS463" s="2740"/>
      <c r="AT463" s="2750"/>
      <c r="AU463" s="2751"/>
      <c r="AV463" s="1092">
        <f t="shared" si="243"/>
        <v>0</v>
      </c>
      <c r="AW463" s="1092">
        <f t="shared" si="244"/>
        <v>0</v>
      </c>
      <c r="AX463" s="1092">
        <f t="shared" si="245"/>
        <v>0</v>
      </c>
      <c r="AY463" s="2765">
        <f t="shared" si="246"/>
        <v>0</v>
      </c>
      <c r="AZ463" s="2720">
        <f t="shared" si="247"/>
        <v>0</v>
      </c>
      <c r="BA463" s="2720">
        <f t="shared" si="248"/>
        <v>0</v>
      </c>
      <c r="BB463" s="2720">
        <f t="shared" si="249"/>
        <v>0</v>
      </c>
      <c r="BC463" s="2720">
        <f t="shared" si="250"/>
        <v>0</v>
      </c>
      <c r="BD463" s="2720">
        <f t="shared" si="251"/>
        <v>0</v>
      </c>
      <c r="BE463" s="2720">
        <f t="shared" si="252"/>
        <v>0</v>
      </c>
      <c r="BF463" s="2720">
        <f t="shared" si="253"/>
        <v>0</v>
      </c>
      <c r="BG463" s="2720">
        <f t="shared" si="254"/>
        <v>0</v>
      </c>
      <c r="BH463" s="2720">
        <f t="shared" si="255"/>
        <v>0</v>
      </c>
      <c r="BI463" s="2720">
        <f t="shared" si="256"/>
        <v>0</v>
      </c>
      <c r="BJ463" s="2720">
        <f t="shared" si="257"/>
        <v>0</v>
      </c>
      <c r="BK463" s="2720">
        <f t="shared" si="258"/>
        <v>0</v>
      </c>
      <c r="BL463" s="2720">
        <f t="shared" si="259"/>
        <v>0</v>
      </c>
      <c r="BM463" s="2720">
        <f t="shared" si="260"/>
        <v>0</v>
      </c>
      <c r="BN463" s="2720">
        <f t="shared" si="261"/>
        <v>0</v>
      </c>
      <c r="BO463" s="2720">
        <f t="shared" si="262"/>
        <v>0</v>
      </c>
      <c r="BP463" s="2720">
        <f t="shared" si="263"/>
        <v>0</v>
      </c>
      <c r="BQ463" s="2720">
        <f t="shared" si="264"/>
        <v>0</v>
      </c>
      <c r="BR463" s="2720">
        <f t="shared" si="265"/>
        <v>0</v>
      </c>
      <c r="BS463" s="2720">
        <f t="shared" si="266"/>
        <v>0</v>
      </c>
      <c r="BT463" s="2772">
        <f t="shared" si="267"/>
        <v>0</v>
      </c>
    </row>
    <row r="464" spans="1:72">
      <c r="A464" s="2717"/>
      <c r="B464" s="2718"/>
      <c r="C464" s="2718"/>
      <c r="D464" s="2719"/>
      <c r="E464" s="2720">
        <f t="shared" si="239"/>
        <v>0</v>
      </c>
      <c r="F464" s="2721"/>
      <c r="G464" s="2722">
        <f t="shared" si="240"/>
        <v>0</v>
      </c>
      <c r="H464" s="2723">
        <f t="shared" si="241"/>
        <v>0</v>
      </c>
      <c r="I464" s="2730"/>
      <c r="J464" s="2730"/>
      <c r="K464" s="2730"/>
      <c r="L464" s="2730"/>
      <c r="M464" s="2730"/>
      <c r="N464" s="2730"/>
      <c r="O464" s="2730"/>
      <c r="P464" s="2730"/>
      <c r="Q464" s="2730"/>
      <c r="R464" s="2730"/>
      <c r="S464" s="2730"/>
      <c r="T464" s="2730"/>
      <c r="U464" s="2730"/>
      <c r="V464" s="2730"/>
      <c r="W464" s="2730"/>
      <c r="X464" s="2730"/>
      <c r="Y464" s="2730"/>
      <c r="Z464" s="2730"/>
      <c r="AA464" s="2730"/>
      <c r="AB464" s="2730"/>
      <c r="AC464" s="2720">
        <f t="shared" si="242"/>
        <v>0</v>
      </c>
      <c r="AD464" s="2740"/>
      <c r="AE464" s="2740"/>
      <c r="AF464" s="2740"/>
      <c r="AG464" s="2740"/>
      <c r="AH464" s="2740"/>
      <c r="AI464" s="2740"/>
      <c r="AJ464" s="2740"/>
      <c r="AK464" s="2740"/>
      <c r="AL464" s="2740"/>
      <c r="AM464" s="2740"/>
      <c r="AN464" s="2740"/>
      <c r="AO464" s="2740"/>
      <c r="AP464" s="2740"/>
      <c r="AQ464" s="2740"/>
      <c r="AR464" s="2740"/>
      <c r="AS464" s="2740"/>
      <c r="AT464" s="2750"/>
      <c r="AU464" s="2751"/>
      <c r="AV464" s="1092">
        <f t="shared" si="243"/>
        <v>0</v>
      </c>
      <c r="AW464" s="1092">
        <f t="shared" si="244"/>
        <v>0</v>
      </c>
      <c r="AX464" s="1092">
        <f t="shared" si="245"/>
        <v>0</v>
      </c>
      <c r="AY464" s="2765">
        <f t="shared" si="246"/>
        <v>0</v>
      </c>
      <c r="AZ464" s="2720">
        <f t="shared" si="247"/>
        <v>0</v>
      </c>
      <c r="BA464" s="2720">
        <f t="shared" si="248"/>
        <v>0</v>
      </c>
      <c r="BB464" s="2720">
        <f t="shared" si="249"/>
        <v>0</v>
      </c>
      <c r="BC464" s="2720">
        <f t="shared" si="250"/>
        <v>0</v>
      </c>
      <c r="BD464" s="2720">
        <f t="shared" si="251"/>
        <v>0</v>
      </c>
      <c r="BE464" s="2720">
        <f t="shared" si="252"/>
        <v>0</v>
      </c>
      <c r="BF464" s="2720">
        <f t="shared" si="253"/>
        <v>0</v>
      </c>
      <c r="BG464" s="2720">
        <f t="shared" si="254"/>
        <v>0</v>
      </c>
      <c r="BH464" s="2720">
        <f t="shared" si="255"/>
        <v>0</v>
      </c>
      <c r="BI464" s="2720">
        <f t="shared" si="256"/>
        <v>0</v>
      </c>
      <c r="BJ464" s="2720">
        <f t="shared" si="257"/>
        <v>0</v>
      </c>
      <c r="BK464" s="2720">
        <f t="shared" si="258"/>
        <v>0</v>
      </c>
      <c r="BL464" s="2720">
        <f t="shared" si="259"/>
        <v>0</v>
      </c>
      <c r="BM464" s="2720">
        <f t="shared" si="260"/>
        <v>0</v>
      </c>
      <c r="BN464" s="2720">
        <f t="shared" si="261"/>
        <v>0</v>
      </c>
      <c r="BO464" s="2720">
        <f t="shared" si="262"/>
        <v>0</v>
      </c>
      <c r="BP464" s="2720">
        <f t="shared" si="263"/>
        <v>0</v>
      </c>
      <c r="BQ464" s="2720">
        <f t="shared" si="264"/>
        <v>0</v>
      </c>
      <c r="BR464" s="2720">
        <f t="shared" si="265"/>
        <v>0</v>
      </c>
      <c r="BS464" s="2720">
        <f t="shared" si="266"/>
        <v>0</v>
      </c>
      <c r="BT464" s="2772">
        <f t="shared" si="267"/>
        <v>0</v>
      </c>
    </row>
    <row r="465" spans="1:72">
      <c r="A465" s="2717"/>
      <c r="B465" s="2718"/>
      <c r="C465" s="2718"/>
      <c r="D465" s="2719"/>
      <c r="E465" s="2720">
        <f t="shared" si="239"/>
        <v>0</v>
      </c>
      <c r="F465" s="2721"/>
      <c r="G465" s="2722">
        <f t="shared" si="240"/>
        <v>0</v>
      </c>
      <c r="H465" s="2723">
        <f t="shared" si="241"/>
        <v>0</v>
      </c>
      <c r="I465" s="2730"/>
      <c r="J465" s="2730"/>
      <c r="K465" s="2730"/>
      <c r="L465" s="2730"/>
      <c r="M465" s="2730"/>
      <c r="N465" s="2730"/>
      <c r="O465" s="2730"/>
      <c r="P465" s="2730"/>
      <c r="Q465" s="2730"/>
      <c r="R465" s="2730"/>
      <c r="S465" s="2730"/>
      <c r="T465" s="2730"/>
      <c r="U465" s="2730"/>
      <c r="V465" s="2730"/>
      <c r="W465" s="2730"/>
      <c r="X465" s="2730"/>
      <c r="Y465" s="2730"/>
      <c r="Z465" s="2730"/>
      <c r="AA465" s="2730"/>
      <c r="AB465" s="2730"/>
      <c r="AC465" s="2720">
        <f t="shared" si="242"/>
        <v>0</v>
      </c>
      <c r="AD465" s="2740"/>
      <c r="AE465" s="2740"/>
      <c r="AF465" s="2740"/>
      <c r="AG465" s="2740"/>
      <c r="AH465" s="2740"/>
      <c r="AI465" s="2740"/>
      <c r="AJ465" s="2740"/>
      <c r="AK465" s="2740"/>
      <c r="AL465" s="2740"/>
      <c r="AM465" s="2740"/>
      <c r="AN465" s="2740"/>
      <c r="AO465" s="2740"/>
      <c r="AP465" s="2740"/>
      <c r="AQ465" s="2740"/>
      <c r="AR465" s="2740"/>
      <c r="AS465" s="2740"/>
      <c r="AT465" s="2750"/>
      <c r="AU465" s="2751"/>
      <c r="AV465" s="1092">
        <f t="shared" si="243"/>
        <v>0</v>
      </c>
      <c r="AW465" s="1092">
        <f t="shared" si="244"/>
        <v>0</v>
      </c>
      <c r="AX465" s="1092">
        <f t="shared" si="245"/>
        <v>0</v>
      </c>
      <c r="AY465" s="2765">
        <f t="shared" si="246"/>
        <v>0</v>
      </c>
      <c r="AZ465" s="2720">
        <f t="shared" si="247"/>
        <v>0</v>
      </c>
      <c r="BA465" s="2720">
        <f t="shared" si="248"/>
        <v>0</v>
      </c>
      <c r="BB465" s="2720">
        <f t="shared" si="249"/>
        <v>0</v>
      </c>
      <c r="BC465" s="2720">
        <f t="shared" si="250"/>
        <v>0</v>
      </c>
      <c r="BD465" s="2720">
        <f t="shared" si="251"/>
        <v>0</v>
      </c>
      <c r="BE465" s="2720">
        <f t="shared" si="252"/>
        <v>0</v>
      </c>
      <c r="BF465" s="2720">
        <f t="shared" si="253"/>
        <v>0</v>
      </c>
      <c r="BG465" s="2720">
        <f t="shared" si="254"/>
        <v>0</v>
      </c>
      <c r="BH465" s="2720">
        <f t="shared" si="255"/>
        <v>0</v>
      </c>
      <c r="BI465" s="2720">
        <f t="shared" si="256"/>
        <v>0</v>
      </c>
      <c r="BJ465" s="2720">
        <f t="shared" si="257"/>
        <v>0</v>
      </c>
      <c r="BK465" s="2720">
        <f t="shared" si="258"/>
        <v>0</v>
      </c>
      <c r="BL465" s="2720">
        <f t="shared" si="259"/>
        <v>0</v>
      </c>
      <c r="BM465" s="2720">
        <f t="shared" si="260"/>
        <v>0</v>
      </c>
      <c r="BN465" s="2720">
        <f t="shared" si="261"/>
        <v>0</v>
      </c>
      <c r="BO465" s="2720">
        <f t="shared" si="262"/>
        <v>0</v>
      </c>
      <c r="BP465" s="2720">
        <f t="shared" si="263"/>
        <v>0</v>
      </c>
      <c r="BQ465" s="2720">
        <f t="shared" si="264"/>
        <v>0</v>
      </c>
      <c r="BR465" s="2720">
        <f t="shared" si="265"/>
        <v>0</v>
      </c>
      <c r="BS465" s="2720">
        <f t="shared" si="266"/>
        <v>0</v>
      </c>
      <c r="BT465" s="2772">
        <f t="shared" si="267"/>
        <v>0</v>
      </c>
    </row>
    <row r="466" spans="1:72">
      <c r="A466" s="2717"/>
      <c r="B466" s="2718"/>
      <c r="C466" s="2718"/>
      <c r="D466" s="2719"/>
      <c r="E466" s="2720">
        <f t="shared" si="239"/>
        <v>0</v>
      </c>
      <c r="F466" s="2721"/>
      <c r="G466" s="2722">
        <f t="shared" si="240"/>
        <v>0</v>
      </c>
      <c r="H466" s="2723">
        <f t="shared" si="241"/>
        <v>0</v>
      </c>
      <c r="I466" s="2730"/>
      <c r="J466" s="2730"/>
      <c r="K466" s="2730"/>
      <c r="L466" s="2730"/>
      <c r="M466" s="2730"/>
      <c r="N466" s="2730"/>
      <c r="O466" s="2730"/>
      <c r="P466" s="2730"/>
      <c r="Q466" s="2730"/>
      <c r="R466" s="2730"/>
      <c r="S466" s="2730"/>
      <c r="T466" s="2730"/>
      <c r="U466" s="2730"/>
      <c r="V466" s="2730"/>
      <c r="W466" s="2730"/>
      <c r="X466" s="2730"/>
      <c r="Y466" s="2730"/>
      <c r="Z466" s="2730"/>
      <c r="AA466" s="2730"/>
      <c r="AB466" s="2730"/>
      <c r="AC466" s="2720">
        <f t="shared" si="242"/>
        <v>0</v>
      </c>
      <c r="AD466" s="2740"/>
      <c r="AE466" s="2740"/>
      <c r="AF466" s="2740"/>
      <c r="AG466" s="2740"/>
      <c r="AH466" s="2740"/>
      <c r="AI466" s="2740"/>
      <c r="AJ466" s="2740"/>
      <c r="AK466" s="2740"/>
      <c r="AL466" s="2740"/>
      <c r="AM466" s="2740"/>
      <c r="AN466" s="2740"/>
      <c r="AO466" s="2740"/>
      <c r="AP466" s="2740"/>
      <c r="AQ466" s="2740"/>
      <c r="AR466" s="2740"/>
      <c r="AS466" s="2740"/>
      <c r="AT466" s="2750"/>
      <c r="AU466" s="2751"/>
      <c r="AV466" s="1092">
        <f t="shared" si="243"/>
        <v>0</v>
      </c>
      <c r="AW466" s="1092">
        <f t="shared" si="244"/>
        <v>0</v>
      </c>
      <c r="AX466" s="1092">
        <f t="shared" si="245"/>
        <v>0</v>
      </c>
      <c r="AY466" s="2765">
        <f t="shared" si="246"/>
        <v>0</v>
      </c>
      <c r="AZ466" s="2720">
        <f t="shared" si="247"/>
        <v>0</v>
      </c>
      <c r="BA466" s="2720">
        <f t="shared" si="248"/>
        <v>0</v>
      </c>
      <c r="BB466" s="2720">
        <f t="shared" si="249"/>
        <v>0</v>
      </c>
      <c r="BC466" s="2720">
        <f t="shared" si="250"/>
        <v>0</v>
      </c>
      <c r="BD466" s="2720">
        <f t="shared" si="251"/>
        <v>0</v>
      </c>
      <c r="BE466" s="2720">
        <f t="shared" si="252"/>
        <v>0</v>
      </c>
      <c r="BF466" s="2720">
        <f t="shared" si="253"/>
        <v>0</v>
      </c>
      <c r="BG466" s="2720">
        <f t="shared" si="254"/>
        <v>0</v>
      </c>
      <c r="BH466" s="2720">
        <f t="shared" si="255"/>
        <v>0</v>
      </c>
      <c r="BI466" s="2720">
        <f t="shared" si="256"/>
        <v>0</v>
      </c>
      <c r="BJ466" s="2720">
        <f t="shared" si="257"/>
        <v>0</v>
      </c>
      <c r="BK466" s="2720">
        <f t="shared" si="258"/>
        <v>0</v>
      </c>
      <c r="BL466" s="2720">
        <f t="shared" si="259"/>
        <v>0</v>
      </c>
      <c r="BM466" s="2720">
        <f t="shared" si="260"/>
        <v>0</v>
      </c>
      <c r="BN466" s="2720">
        <f t="shared" si="261"/>
        <v>0</v>
      </c>
      <c r="BO466" s="2720">
        <f t="shared" si="262"/>
        <v>0</v>
      </c>
      <c r="BP466" s="2720">
        <f t="shared" si="263"/>
        <v>0</v>
      </c>
      <c r="BQ466" s="2720">
        <f t="shared" si="264"/>
        <v>0</v>
      </c>
      <c r="BR466" s="2720">
        <f t="shared" si="265"/>
        <v>0</v>
      </c>
      <c r="BS466" s="2720">
        <f t="shared" si="266"/>
        <v>0</v>
      </c>
      <c r="BT466" s="2772">
        <f t="shared" si="267"/>
        <v>0</v>
      </c>
    </row>
    <row r="467" spans="1:72">
      <c r="A467" s="2717"/>
      <c r="B467" s="2718"/>
      <c r="C467" s="2718"/>
      <c r="D467" s="2719"/>
      <c r="E467" s="2720">
        <f t="shared" si="239"/>
        <v>0</v>
      </c>
      <c r="F467" s="2721"/>
      <c r="G467" s="2722">
        <f t="shared" si="240"/>
        <v>0</v>
      </c>
      <c r="H467" s="2723">
        <f t="shared" si="241"/>
        <v>0</v>
      </c>
      <c r="I467" s="2730"/>
      <c r="J467" s="2730"/>
      <c r="K467" s="2730"/>
      <c r="L467" s="2730"/>
      <c r="M467" s="2730"/>
      <c r="N467" s="2730"/>
      <c r="O467" s="2730"/>
      <c r="P467" s="2730"/>
      <c r="Q467" s="2730"/>
      <c r="R467" s="2730"/>
      <c r="S467" s="2730"/>
      <c r="T467" s="2730"/>
      <c r="U467" s="2730"/>
      <c r="V467" s="2730"/>
      <c r="W467" s="2730"/>
      <c r="X467" s="2730"/>
      <c r="Y467" s="2730"/>
      <c r="Z467" s="2730"/>
      <c r="AA467" s="2730"/>
      <c r="AB467" s="2730"/>
      <c r="AC467" s="2720">
        <f t="shared" si="242"/>
        <v>0</v>
      </c>
      <c r="AD467" s="2740"/>
      <c r="AE467" s="2740"/>
      <c r="AF467" s="2740"/>
      <c r="AG467" s="2740"/>
      <c r="AH467" s="2740"/>
      <c r="AI467" s="2740"/>
      <c r="AJ467" s="2740"/>
      <c r="AK467" s="2740"/>
      <c r="AL467" s="2740"/>
      <c r="AM467" s="2740"/>
      <c r="AN467" s="2740"/>
      <c r="AO467" s="2740"/>
      <c r="AP467" s="2740"/>
      <c r="AQ467" s="2740"/>
      <c r="AR467" s="2740"/>
      <c r="AS467" s="2740"/>
      <c r="AT467" s="2750"/>
      <c r="AU467" s="2751"/>
      <c r="AV467" s="1092">
        <f t="shared" si="243"/>
        <v>0</v>
      </c>
      <c r="AW467" s="1092">
        <f t="shared" si="244"/>
        <v>0</v>
      </c>
      <c r="AX467" s="1092">
        <f t="shared" si="245"/>
        <v>0</v>
      </c>
      <c r="AY467" s="2765">
        <f t="shared" si="246"/>
        <v>0</v>
      </c>
      <c r="AZ467" s="2720">
        <f t="shared" si="247"/>
        <v>0</v>
      </c>
      <c r="BA467" s="2720">
        <f t="shared" si="248"/>
        <v>0</v>
      </c>
      <c r="BB467" s="2720">
        <f t="shared" si="249"/>
        <v>0</v>
      </c>
      <c r="BC467" s="2720">
        <f t="shared" si="250"/>
        <v>0</v>
      </c>
      <c r="BD467" s="2720">
        <f t="shared" si="251"/>
        <v>0</v>
      </c>
      <c r="BE467" s="2720">
        <f t="shared" si="252"/>
        <v>0</v>
      </c>
      <c r="BF467" s="2720">
        <f t="shared" si="253"/>
        <v>0</v>
      </c>
      <c r="BG467" s="2720">
        <f t="shared" si="254"/>
        <v>0</v>
      </c>
      <c r="BH467" s="2720">
        <f t="shared" si="255"/>
        <v>0</v>
      </c>
      <c r="BI467" s="2720">
        <f t="shared" si="256"/>
        <v>0</v>
      </c>
      <c r="BJ467" s="2720">
        <f t="shared" si="257"/>
        <v>0</v>
      </c>
      <c r="BK467" s="2720">
        <f t="shared" si="258"/>
        <v>0</v>
      </c>
      <c r="BL467" s="2720">
        <f t="shared" si="259"/>
        <v>0</v>
      </c>
      <c r="BM467" s="2720">
        <f t="shared" si="260"/>
        <v>0</v>
      </c>
      <c r="BN467" s="2720">
        <f t="shared" si="261"/>
        <v>0</v>
      </c>
      <c r="BO467" s="2720">
        <f t="shared" si="262"/>
        <v>0</v>
      </c>
      <c r="BP467" s="2720">
        <f t="shared" si="263"/>
        <v>0</v>
      </c>
      <c r="BQ467" s="2720">
        <f t="shared" si="264"/>
        <v>0</v>
      </c>
      <c r="BR467" s="2720">
        <f t="shared" si="265"/>
        <v>0</v>
      </c>
      <c r="BS467" s="2720">
        <f t="shared" si="266"/>
        <v>0</v>
      </c>
      <c r="BT467" s="2772">
        <f t="shared" si="267"/>
        <v>0</v>
      </c>
    </row>
    <row r="468" spans="1:72">
      <c r="A468" s="2717"/>
      <c r="B468" s="2718"/>
      <c r="C468" s="2718"/>
      <c r="D468" s="2719"/>
      <c r="E468" s="2720">
        <f t="shared" si="239"/>
        <v>0</v>
      </c>
      <c r="F468" s="2721"/>
      <c r="G468" s="2722">
        <f t="shared" si="240"/>
        <v>0</v>
      </c>
      <c r="H468" s="2723">
        <f t="shared" si="241"/>
        <v>0</v>
      </c>
      <c r="I468" s="2730"/>
      <c r="J468" s="2730"/>
      <c r="K468" s="2730"/>
      <c r="L468" s="2730"/>
      <c r="M468" s="2730"/>
      <c r="N468" s="2730"/>
      <c r="O468" s="2730"/>
      <c r="P468" s="2730"/>
      <c r="Q468" s="2730"/>
      <c r="R468" s="2730"/>
      <c r="S468" s="2730"/>
      <c r="T468" s="2730"/>
      <c r="U468" s="2730"/>
      <c r="V468" s="2730"/>
      <c r="W468" s="2730"/>
      <c r="X468" s="2730"/>
      <c r="Y468" s="2730"/>
      <c r="Z468" s="2730"/>
      <c r="AA468" s="2730"/>
      <c r="AB468" s="2730"/>
      <c r="AC468" s="2720">
        <f t="shared" si="242"/>
        <v>0</v>
      </c>
      <c r="AD468" s="2740"/>
      <c r="AE468" s="2740"/>
      <c r="AF468" s="2740"/>
      <c r="AG468" s="2740"/>
      <c r="AH468" s="2740"/>
      <c r="AI468" s="2740"/>
      <c r="AJ468" s="2740"/>
      <c r="AK468" s="2740"/>
      <c r="AL468" s="2740"/>
      <c r="AM468" s="2740"/>
      <c r="AN468" s="2740"/>
      <c r="AO468" s="2740"/>
      <c r="AP468" s="2740"/>
      <c r="AQ468" s="2740"/>
      <c r="AR468" s="2740"/>
      <c r="AS468" s="2740"/>
      <c r="AT468" s="2750"/>
      <c r="AU468" s="2751"/>
      <c r="AV468" s="1092">
        <f t="shared" si="243"/>
        <v>0</v>
      </c>
      <c r="AW468" s="1092">
        <f t="shared" si="244"/>
        <v>0</v>
      </c>
      <c r="AX468" s="1092">
        <f t="shared" si="245"/>
        <v>0</v>
      </c>
      <c r="AY468" s="2765">
        <f t="shared" si="246"/>
        <v>0</v>
      </c>
      <c r="AZ468" s="2720">
        <f t="shared" si="247"/>
        <v>0</v>
      </c>
      <c r="BA468" s="2720">
        <f t="shared" si="248"/>
        <v>0</v>
      </c>
      <c r="BB468" s="2720">
        <f t="shared" si="249"/>
        <v>0</v>
      </c>
      <c r="BC468" s="2720">
        <f t="shared" si="250"/>
        <v>0</v>
      </c>
      <c r="BD468" s="2720">
        <f t="shared" si="251"/>
        <v>0</v>
      </c>
      <c r="BE468" s="2720">
        <f t="shared" si="252"/>
        <v>0</v>
      </c>
      <c r="BF468" s="2720">
        <f t="shared" si="253"/>
        <v>0</v>
      </c>
      <c r="BG468" s="2720">
        <f t="shared" si="254"/>
        <v>0</v>
      </c>
      <c r="BH468" s="2720">
        <f t="shared" si="255"/>
        <v>0</v>
      </c>
      <c r="BI468" s="2720">
        <f t="shared" si="256"/>
        <v>0</v>
      </c>
      <c r="BJ468" s="2720">
        <f t="shared" si="257"/>
        <v>0</v>
      </c>
      <c r="BK468" s="2720">
        <f t="shared" si="258"/>
        <v>0</v>
      </c>
      <c r="BL468" s="2720">
        <f t="shared" si="259"/>
        <v>0</v>
      </c>
      <c r="BM468" s="2720">
        <f t="shared" si="260"/>
        <v>0</v>
      </c>
      <c r="BN468" s="2720">
        <f t="shared" si="261"/>
        <v>0</v>
      </c>
      <c r="BO468" s="2720">
        <f t="shared" si="262"/>
        <v>0</v>
      </c>
      <c r="BP468" s="2720">
        <f t="shared" si="263"/>
        <v>0</v>
      </c>
      <c r="BQ468" s="2720">
        <f t="shared" si="264"/>
        <v>0</v>
      </c>
      <c r="BR468" s="2720">
        <f t="shared" si="265"/>
        <v>0</v>
      </c>
      <c r="BS468" s="2720">
        <f t="shared" si="266"/>
        <v>0</v>
      </c>
      <c r="BT468" s="2772">
        <f t="shared" si="267"/>
        <v>0</v>
      </c>
    </row>
    <row r="469" spans="1:72">
      <c r="A469" s="2717"/>
      <c r="B469" s="2718"/>
      <c r="C469" s="2718"/>
      <c r="D469" s="2719"/>
      <c r="E469" s="2720">
        <f t="shared" si="239"/>
        <v>0</v>
      </c>
      <c r="F469" s="2721"/>
      <c r="G469" s="2722">
        <f t="shared" si="240"/>
        <v>0</v>
      </c>
      <c r="H469" s="2723">
        <f t="shared" si="241"/>
        <v>0</v>
      </c>
      <c r="I469" s="2730"/>
      <c r="J469" s="2730"/>
      <c r="K469" s="2730"/>
      <c r="L469" s="2730"/>
      <c r="M469" s="2730"/>
      <c r="N469" s="2730"/>
      <c r="O469" s="2730"/>
      <c r="P469" s="2730"/>
      <c r="Q469" s="2730"/>
      <c r="R469" s="2730"/>
      <c r="S469" s="2730"/>
      <c r="T469" s="2730"/>
      <c r="U469" s="2730"/>
      <c r="V469" s="2730"/>
      <c r="W469" s="2730"/>
      <c r="X469" s="2730"/>
      <c r="Y469" s="2730"/>
      <c r="Z469" s="2730"/>
      <c r="AA469" s="2730"/>
      <c r="AB469" s="2730"/>
      <c r="AC469" s="2720">
        <f t="shared" si="242"/>
        <v>0</v>
      </c>
      <c r="AD469" s="2740"/>
      <c r="AE469" s="2740"/>
      <c r="AF469" s="2740"/>
      <c r="AG469" s="2740"/>
      <c r="AH469" s="2740"/>
      <c r="AI469" s="2740"/>
      <c r="AJ469" s="2740"/>
      <c r="AK469" s="2740"/>
      <c r="AL469" s="2740"/>
      <c r="AM469" s="2740"/>
      <c r="AN469" s="2740"/>
      <c r="AO469" s="2740"/>
      <c r="AP469" s="2740"/>
      <c r="AQ469" s="2740"/>
      <c r="AR469" s="2740"/>
      <c r="AS469" s="2740"/>
      <c r="AT469" s="2750"/>
      <c r="AU469" s="2751"/>
      <c r="AV469" s="1092">
        <f t="shared" si="243"/>
        <v>0</v>
      </c>
      <c r="AW469" s="1092">
        <f t="shared" si="244"/>
        <v>0</v>
      </c>
      <c r="AX469" s="1092">
        <f t="shared" si="245"/>
        <v>0</v>
      </c>
      <c r="AY469" s="2765">
        <f t="shared" si="246"/>
        <v>0</v>
      </c>
      <c r="AZ469" s="2720">
        <f t="shared" si="247"/>
        <v>0</v>
      </c>
      <c r="BA469" s="2720">
        <f t="shared" si="248"/>
        <v>0</v>
      </c>
      <c r="BB469" s="2720">
        <f t="shared" si="249"/>
        <v>0</v>
      </c>
      <c r="BC469" s="2720">
        <f t="shared" si="250"/>
        <v>0</v>
      </c>
      <c r="BD469" s="2720">
        <f t="shared" si="251"/>
        <v>0</v>
      </c>
      <c r="BE469" s="2720">
        <f t="shared" si="252"/>
        <v>0</v>
      </c>
      <c r="BF469" s="2720">
        <f t="shared" si="253"/>
        <v>0</v>
      </c>
      <c r="BG469" s="2720">
        <f t="shared" si="254"/>
        <v>0</v>
      </c>
      <c r="BH469" s="2720">
        <f t="shared" si="255"/>
        <v>0</v>
      </c>
      <c r="BI469" s="2720">
        <f t="shared" si="256"/>
        <v>0</v>
      </c>
      <c r="BJ469" s="2720">
        <f t="shared" si="257"/>
        <v>0</v>
      </c>
      <c r="BK469" s="2720">
        <f t="shared" si="258"/>
        <v>0</v>
      </c>
      <c r="BL469" s="2720">
        <f t="shared" si="259"/>
        <v>0</v>
      </c>
      <c r="BM469" s="2720">
        <f t="shared" si="260"/>
        <v>0</v>
      </c>
      <c r="BN469" s="2720">
        <f t="shared" si="261"/>
        <v>0</v>
      </c>
      <c r="BO469" s="2720">
        <f t="shared" si="262"/>
        <v>0</v>
      </c>
      <c r="BP469" s="2720">
        <f t="shared" si="263"/>
        <v>0</v>
      </c>
      <c r="BQ469" s="2720">
        <f t="shared" si="264"/>
        <v>0</v>
      </c>
      <c r="BR469" s="2720">
        <f t="shared" si="265"/>
        <v>0</v>
      </c>
      <c r="BS469" s="2720">
        <f t="shared" si="266"/>
        <v>0</v>
      </c>
      <c r="BT469" s="2772">
        <f t="shared" si="267"/>
        <v>0</v>
      </c>
    </row>
    <row r="470" spans="1:72">
      <c r="A470" s="2717"/>
      <c r="B470" s="2718"/>
      <c r="C470" s="2718"/>
      <c r="D470" s="2719"/>
      <c r="E470" s="2720">
        <f t="shared" si="239"/>
        <v>0</v>
      </c>
      <c r="F470" s="2721"/>
      <c r="G470" s="2722">
        <f t="shared" si="240"/>
        <v>0</v>
      </c>
      <c r="H470" s="2723">
        <f t="shared" si="241"/>
        <v>0</v>
      </c>
      <c r="I470" s="2730"/>
      <c r="J470" s="2730"/>
      <c r="K470" s="2730"/>
      <c r="L470" s="2730"/>
      <c r="M470" s="2730"/>
      <c r="N470" s="2730"/>
      <c r="O470" s="2730"/>
      <c r="P470" s="2730"/>
      <c r="Q470" s="2730"/>
      <c r="R470" s="2730"/>
      <c r="S470" s="2730"/>
      <c r="T470" s="2730"/>
      <c r="U470" s="2730"/>
      <c r="V470" s="2730"/>
      <c r="W470" s="2730"/>
      <c r="X470" s="2730"/>
      <c r="Y470" s="2730"/>
      <c r="Z470" s="2730"/>
      <c r="AA470" s="2730"/>
      <c r="AB470" s="2730"/>
      <c r="AC470" s="2720">
        <f t="shared" si="242"/>
        <v>0</v>
      </c>
      <c r="AD470" s="2740"/>
      <c r="AE470" s="2740"/>
      <c r="AF470" s="2740"/>
      <c r="AG470" s="2740"/>
      <c r="AH470" s="2740"/>
      <c r="AI470" s="2740"/>
      <c r="AJ470" s="2740"/>
      <c r="AK470" s="2740"/>
      <c r="AL470" s="2740"/>
      <c r="AM470" s="2740"/>
      <c r="AN470" s="2740"/>
      <c r="AO470" s="2740"/>
      <c r="AP470" s="2740"/>
      <c r="AQ470" s="2740"/>
      <c r="AR470" s="2740"/>
      <c r="AS470" s="2740"/>
      <c r="AT470" s="2750"/>
      <c r="AU470" s="2751"/>
      <c r="AV470" s="1092">
        <f t="shared" si="243"/>
        <v>0</v>
      </c>
      <c r="AW470" s="1092">
        <f t="shared" si="244"/>
        <v>0</v>
      </c>
      <c r="AX470" s="1092">
        <f t="shared" si="245"/>
        <v>0</v>
      </c>
      <c r="AY470" s="2765">
        <f t="shared" si="246"/>
        <v>0</v>
      </c>
      <c r="AZ470" s="2720">
        <f t="shared" si="247"/>
        <v>0</v>
      </c>
      <c r="BA470" s="2720">
        <f t="shared" si="248"/>
        <v>0</v>
      </c>
      <c r="BB470" s="2720">
        <f t="shared" si="249"/>
        <v>0</v>
      </c>
      <c r="BC470" s="2720">
        <f t="shared" si="250"/>
        <v>0</v>
      </c>
      <c r="BD470" s="2720">
        <f t="shared" si="251"/>
        <v>0</v>
      </c>
      <c r="BE470" s="2720">
        <f t="shared" si="252"/>
        <v>0</v>
      </c>
      <c r="BF470" s="2720">
        <f t="shared" si="253"/>
        <v>0</v>
      </c>
      <c r="BG470" s="2720">
        <f t="shared" si="254"/>
        <v>0</v>
      </c>
      <c r="BH470" s="2720">
        <f t="shared" si="255"/>
        <v>0</v>
      </c>
      <c r="BI470" s="2720">
        <f t="shared" si="256"/>
        <v>0</v>
      </c>
      <c r="BJ470" s="2720">
        <f t="shared" si="257"/>
        <v>0</v>
      </c>
      <c r="BK470" s="2720">
        <f t="shared" si="258"/>
        <v>0</v>
      </c>
      <c r="BL470" s="2720">
        <f t="shared" si="259"/>
        <v>0</v>
      </c>
      <c r="BM470" s="2720">
        <f t="shared" si="260"/>
        <v>0</v>
      </c>
      <c r="BN470" s="2720">
        <f t="shared" si="261"/>
        <v>0</v>
      </c>
      <c r="BO470" s="2720">
        <f t="shared" si="262"/>
        <v>0</v>
      </c>
      <c r="BP470" s="2720">
        <f t="shared" si="263"/>
        <v>0</v>
      </c>
      <c r="BQ470" s="2720">
        <f t="shared" si="264"/>
        <v>0</v>
      </c>
      <c r="BR470" s="2720">
        <f t="shared" si="265"/>
        <v>0</v>
      </c>
      <c r="BS470" s="2720">
        <f t="shared" si="266"/>
        <v>0</v>
      </c>
      <c r="BT470" s="2772">
        <f t="shared" si="267"/>
        <v>0</v>
      </c>
    </row>
    <row r="471" spans="1:72">
      <c r="A471" s="2717"/>
      <c r="B471" s="2718"/>
      <c r="C471" s="2718"/>
      <c r="D471" s="2719"/>
      <c r="E471" s="2720">
        <f t="shared" si="239"/>
        <v>0</v>
      </c>
      <c r="F471" s="2721"/>
      <c r="G471" s="2722">
        <f t="shared" si="240"/>
        <v>0</v>
      </c>
      <c r="H471" s="2723">
        <f t="shared" si="241"/>
        <v>0</v>
      </c>
      <c r="I471" s="2730"/>
      <c r="J471" s="2730"/>
      <c r="K471" s="2730"/>
      <c r="L471" s="2730"/>
      <c r="M471" s="2730"/>
      <c r="N471" s="2730"/>
      <c r="O471" s="2730"/>
      <c r="P471" s="2730"/>
      <c r="Q471" s="2730"/>
      <c r="R471" s="2730"/>
      <c r="S471" s="2730"/>
      <c r="T471" s="2730"/>
      <c r="U471" s="2730"/>
      <c r="V471" s="2730"/>
      <c r="W471" s="2730"/>
      <c r="X471" s="2730"/>
      <c r="Y471" s="2730"/>
      <c r="Z471" s="2730"/>
      <c r="AA471" s="2730"/>
      <c r="AB471" s="2730"/>
      <c r="AC471" s="2720">
        <f t="shared" si="242"/>
        <v>0</v>
      </c>
      <c r="AD471" s="2740"/>
      <c r="AE471" s="2740"/>
      <c r="AF471" s="2740"/>
      <c r="AG471" s="2740"/>
      <c r="AH471" s="2740"/>
      <c r="AI471" s="2740"/>
      <c r="AJ471" s="2740"/>
      <c r="AK471" s="2740"/>
      <c r="AL471" s="2740"/>
      <c r="AM471" s="2740"/>
      <c r="AN471" s="2740"/>
      <c r="AO471" s="2740"/>
      <c r="AP471" s="2740"/>
      <c r="AQ471" s="2740"/>
      <c r="AR471" s="2740"/>
      <c r="AS471" s="2740"/>
      <c r="AT471" s="2750"/>
      <c r="AU471" s="2751"/>
      <c r="AV471" s="1092">
        <f t="shared" si="243"/>
        <v>0</v>
      </c>
      <c r="AW471" s="1092">
        <f t="shared" si="244"/>
        <v>0</v>
      </c>
      <c r="AX471" s="1092">
        <f t="shared" si="245"/>
        <v>0</v>
      </c>
      <c r="AY471" s="2765">
        <f t="shared" si="246"/>
        <v>0</v>
      </c>
      <c r="AZ471" s="2720">
        <f t="shared" si="247"/>
        <v>0</v>
      </c>
      <c r="BA471" s="2720">
        <f t="shared" si="248"/>
        <v>0</v>
      </c>
      <c r="BB471" s="2720">
        <f t="shared" si="249"/>
        <v>0</v>
      </c>
      <c r="BC471" s="2720">
        <f t="shared" si="250"/>
        <v>0</v>
      </c>
      <c r="BD471" s="2720">
        <f t="shared" si="251"/>
        <v>0</v>
      </c>
      <c r="BE471" s="2720">
        <f t="shared" si="252"/>
        <v>0</v>
      </c>
      <c r="BF471" s="2720">
        <f t="shared" si="253"/>
        <v>0</v>
      </c>
      <c r="BG471" s="2720">
        <f t="shared" si="254"/>
        <v>0</v>
      </c>
      <c r="BH471" s="2720">
        <f t="shared" si="255"/>
        <v>0</v>
      </c>
      <c r="BI471" s="2720">
        <f t="shared" si="256"/>
        <v>0</v>
      </c>
      <c r="BJ471" s="2720">
        <f t="shared" si="257"/>
        <v>0</v>
      </c>
      <c r="BK471" s="2720">
        <f t="shared" si="258"/>
        <v>0</v>
      </c>
      <c r="BL471" s="2720">
        <f t="shared" si="259"/>
        <v>0</v>
      </c>
      <c r="BM471" s="2720">
        <f t="shared" si="260"/>
        <v>0</v>
      </c>
      <c r="BN471" s="2720">
        <f t="shared" si="261"/>
        <v>0</v>
      </c>
      <c r="BO471" s="2720">
        <f t="shared" si="262"/>
        <v>0</v>
      </c>
      <c r="BP471" s="2720">
        <f t="shared" si="263"/>
        <v>0</v>
      </c>
      <c r="BQ471" s="2720">
        <f t="shared" si="264"/>
        <v>0</v>
      </c>
      <c r="BR471" s="2720">
        <f t="shared" si="265"/>
        <v>0</v>
      </c>
      <c r="BS471" s="2720">
        <f t="shared" si="266"/>
        <v>0</v>
      </c>
      <c r="BT471" s="2772">
        <f t="shared" si="267"/>
        <v>0</v>
      </c>
    </row>
    <row r="472" spans="1:72">
      <c r="A472" s="2717"/>
      <c r="B472" s="2718"/>
      <c r="C472" s="2718"/>
      <c r="D472" s="2719"/>
      <c r="E472" s="2720">
        <f t="shared" si="239"/>
        <v>0</v>
      </c>
      <c r="F472" s="2721"/>
      <c r="G472" s="2722">
        <f t="shared" si="240"/>
        <v>0</v>
      </c>
      <c r="H472" s="2723">
        <f t="shared" si="241"/>
        <v>0</v>
      </c>
      <c r="I472" s="2730"/>
      <c r="J472" s="2730"/>
      <c r="K472" s="2730"/>
      <c r="L472" s="2730"/>
      <c r="M472" s="2730"/>
      <c r="N472" s="2730"/>
      <c r="O472" s="2730"/>
      <c r="P472" s="2730"/>
      <c r="Q472" s="2730"/>
      <c r="R472" s="2730"/>
      <c r="S472" s="2730"/>
      <c r="T472" s="2730"/>
      <c r="U472" s="2730"/>
      <c r="V472" s="2730"/>
      <c r="W472" s="2730"/>
      <c r="X472" s="2730"/>
      <c r="Y472" s="2730"/>
      <c r="Z472" s="2730"/>
      <c r="AA472" s="2730"/>
      <c r="AB472" s="2730"/>
      <c r="AC472" s="2720">
        <f t="shared" si="242"/>
        <v>0</v>
      </c>
      <c r="AD472" s="2740"/>
      <c r="AE472" s="2740"/>
      <c r="AF472" s="2740"/>
      <c r="AG472" s="2740"/>
      <c r="AH472" s="2740"/>
      <c r="AI472" s="2740"/>
      <c r="AJ472" s="2740"/>
      <c r="AK472" s="2740"/>
      <c r="AL472" s="2740"/>
      <c r="AM472" s="2740"/>
      <c r="AN472" s="2740"/>
      <c r="AO472" s="2740"/>
      <c r="AP472" s="2740"/>
      <c r="AQ472" s="2740"/>
      <c r="AR472" s="2740"/>
      <c r="AS472" s="2740"/>
      <c r="AT472" s="2750"/>
      <c r="AU472" s="2751"/>
      <c r="AV472" s="1092">
        <f t="shared" si="243"/>
        <v>0</v>
      </c>
      <c r="AW472" s="1092">
        <f t="shared" si="244"/>
        <v>0</v>
      </c>
      <c r="AX472" s="1092">
        <f t="shared" si="245"/>
        <v>0</v>
      </c>
      <c r="AY472" s="2765">
        <f t="shared" si="246"/>
        <v>0</v>
      </c>
      <c r="AZ472" s="2720">
        <f t="shared" si="247"/>
        <v>0</v>
      </c>
      <c r="BA472" s="2720">
        <f t="shared" si="248"/>
        <v>0</v>
      </c>
      <c r="BB472" s="2720">
        <f t="shared" si="249"/>
        <v>0</v>
      </c>
      <c r="BC472" s="2720">
        <f t="shared" si="250"/>
        <v>0</v>
      </c>
      <c r="BD472" s="2720">
        <f t="shared" si="251"/>
        <v>0</v>
      </c>
      <c r="BE472" s="2720">
        <f t="shared" si="252"/>
        <v>0</v>
      </c>
      <c r="BF472" s="2720">
        <f t="shared" si="253"/>
        <v>0</v>
      </c>
      <c r="BG472" s="2720">
        <f t="shared" si="254"/>
        <v>0</v>
      </c>
      <c r="BH472" s="2720">
        <f t="shared" si="255"/>
        <v>0</v>
      </c>
      <c r="BI472" s="2720">
        <f t="shared" si="256"/>
        <v>0</v>
      </c>
      <c r="BJ472" s="2720">
        <f t="shared" si="257"/>
        <v>0</v>
      </c>
      <c r="BK472" s="2720">
        <f t="shared" si="258"/>
        <v>0</v>
      </c>
      <c r="BL472" s="2720">
        <f t="shared" si="259"/>
        <v>0</v>
      </c>
      <c r="BM472" s="2720">
        <f t="shared" si="260"/>
        <v>0</v>
      </c>
      <c r="BN472" s="2720">
        <f t="shared" si="261"/>
        <v>0</v>
      </c>
      <c r="BO472" s="2720">
        <f t="shared" si="262"/>
        <v>0</v>
      </c>
      <c r="BP472" s="2720">
        <f t="shared" si="263"/>
        <v>0</v>
      </c>
      <c r="BQ472" s="2720">
        <f t="shared" si="264"/>
        <v>0</v>
      </c>
      <c r="BR472" s="2720">
        <f t="shared" si="265"/>
        <v>0</v>
      </c>
      <c r="BS472" s="2720">
        <f t="shared" si="266"/>
        <v>0</v>
      </c>
      <c r="BT472" s="2772">
        <f t="shared" si="267"/>
        <v>0</v>
      </c>
    </row>
    <row r="473" spans="1:72">
      <c r="A473" s="2717"/>
      <c r="B473" s="2718"/>
      <c r="C473" s="2718"/>
      <c r="D473" s="2719"/>
      <c r="E473" s="2720">
        <f t="shared" si="239"/>
        <v>0</v>
      </c>
      <c r="F473" s="2721"/>
      <c r="G473" s="2722">
        <f t="shared" si="240"/>
        <v>0</v>
      </c>
      <c r="H473" s="2723">
        <f t="shared" si="241"/>
        <v>0</v>
      </c>
      <c r="I473" s="2730"/>
      <c r="J473" s="2730"/>
      <c r="K473" s="2730"/>
      <c r="L473" s="2730"/>
      <c r="M473" s="2730"/>
      <c r="N473" s="2730"/>
      <c r="O473" s="2730"/>
      <c r="P473" s="2730"/>
      <c r="Q473" s="2730"/>
      <c r="R473" s="2730"/>
      <c r="S473" s="2730"/>
      <c r="T473" s="2730"/>
      <c r="U473" s="2730"/>
      <c r="V473" s="2730"/>
      <c r="W473" s="2730"/>
      <c r="X473" s="2730"/>
      <c r="Y473" s="2730"/>
      <c r="Z473" s="2730"/>
      <c r="AA473" s="2730"/>
      <c r="AB473" s="2730"/>
      <c r="AC473" s="2720">
        <f t="shared" si="242"/>
        <v>0</v>
      </c>
      <c r="AD473" s="2740"/>
      <c r="AE473" s="2740"/>
      <c r="AF473" s="2740"/>
      <c r="AG473" s="2740"/>
      <c r="AH473" s="2740"/>
      <c r="AI473" s="2740"/>
      <c r="AJ473" s="2740"/>
      <c r="AK473" s="2740"/>
      <c r="AL473" s="2740"/>
      <c r="AM473" s="2740"/>
      <c r="AN473" s="2740"/>
      <c r="AO473" s="2740"/>
      <c r="AP473" s="2740"/>
      <c r="AQ473" s="2740"/>
      <c r="AR473" s="2740"/>
      <c r="AS473" s="2740"/>
      <c r="AT473" s="2750"/>
      <c r="AU473" s="2751"/>
      <c r="AV473" s="1092">
        <f t="shared" si="243"/>
        <v>0</v>
      </c>
      <c r="AW473" s="1092">
        <f t="shared" si="244"/>
        <v>0</v>
      </c>
      <c r="AX473" s="1092">
        <f t="shared" si="245"/>
        <v>0</v>
      </c>
      <c r="AY473" s="2765">
        <f t="shared" si="246"/>
        <v>0</v>
      </c>
      <c r="AZ473" s="2720">
        <f t="shared" si="247"/>
        <v>0</v>
      </c>
      <c r="BA473" s="2720">
        <f t="shared" si="248"/>
        <v>0</v>
      </c>
      <c r="BB473" s="2720">
        <f t="shared" si="249"/>
        <v>0</v>
      </c>
      <c r="BC473" s="2720">
        <f t="shared" si="250"/>
        <v>0</v>
      </c>
      <c r="BD473" s="2720">
        <f t="shared" si="251"/>
        <v>0</v>
      </c>
      <c r="BE473" s="2720">
        <f t="shared" si="252"/>
        <v>0</v>
      </c>
      <c r="BF473" s="2720">
        <f t="shared" si="253"/>
        <v>0</v>
      </c>
      <c r="BG473" s="2720">
        <f t="shared" si="254"/>
        <v>0</v>
      </c>
      <c r="BH473" s="2720">
        <f t="shared" si="255"/>
        <v>0</v>
      </c>
      <c r="BI473" s="2720">
        <f t="shared" si="256"/>
        <v>0</v>
      </c>
      <c r="BJ473" s="2720">
        <f t="shared" si="257"/>
        <v>0</v>
      </c>
      <c r="BK473" s="2720">
        <f t="shared" si="258"/>
        <v>0</v>
      </c>
      <c r="BL473" s="2720">
        <f t="shared" si="259"/>
        <v>0</v>
      </c>
      <c r="BM473" s="2720">
        <f t="shared" si="260"/>
        <v>0</v>
      </c>
      <c r="BN473" s="2720">
        <f t="shared" si="261"/>
        <v>0</v>
      </c>
      <c r="BO473" s="2720">
        <f t="shared" si="262"/>
        <v>0</v>
      </c>
      <c r="BP473" s="2720">
        <f t="shared" si="263"/>
        <v>0</v>
      </c>
      <c r="BQ473" s="2720">
        <f t="shared" si="264"/>
        <v>0</v>
      </c>
      <c r="BR473" s="2720">
        <f t="shared" si="265"/>
        <v>0</v>
      </c>
      <c r="BS473" s="2720">
        <f t="shared" si="266"/>
        <v>0</v>
      </c>
      <c r="BT473" s="2772">
        <f t="shared" si="267"/>
        <v>0</v>
      </c>
    </row>
    <row r="474" spans="1:72">
      <c r="A474" s="2717"/>
      <c r="B474" s="2718"/>
      <c r="C474" s="2718"/>
      <c r="D474" s="2719"/>
      <c r="E474" s="2720">
        <f t="shared" si="239"/>
        <v>0</v>
      </c>
      <c r="F474" s="2721"/>
      <c r="G474" s="2722">
        <f t="shared" si="240"/>
        <v>0</v>
      </c>
      <c r="H474" s="2723">
        <f t="shared" si="241"/>
        <v>0</v>
      </c>
      <c r="I474" s="2730"/>
      <c r="J474" s="2730"/>
      <c r="K474" s="2730"/>
      <c r="L474" s="2730"/>
      <c r="M474" s="2730"/>
      <c r="N474" s="2730"/>
      <c r="O474" s="2730"/>
      <c r="P474" s="2730"/>
      <c r="Q474" s="2730"/>
      <c r="R474" s="2730"/>
      <c r="S474" s="2730"/>
      <c r="T474" s="2730"/>
      <c r="U474" s="2730"/>
      <c r="V474" s="2730"/>
      <c r="W474" s="2730"/>
      <c r="X474" s="2730"/>
      <c r="Y474" s="2730"/>
      <c r="Z474" s="2730"/>
      <c r="AA474" s="2730"/>
      <c r="AB474" s="2730"/>
      <c r="AC474" s="2720">
        <f t="shared" si="242"/>
        <v>0</v>
      </c>
      <c r="AD474" s="2740"/>
      <c r="AE474" s="2740"/>
      <c r="AF474" s="2740"/>
      <c r="AG474" s="2740"/>
      <c r="AH474" s="2740"/>
      <c r="AI474" s="2740"/>
      <c r="AJ474" s="2740"/>
      <c r="AK474" s="2740"/>
      <c r="AL474" s="2740"/>
      <c r="AM474" s="2740"/>
      <c r="AN474" s="2740"/>
      <c r="AO474" s="2740"/>
      <c r="AP474" s="2740"/>
      <c r="AQ474" s="2740"/>
      <c r="AR474" s="2740"/>
      <c r="AS474" s="2740"/>
      <c r="AT474" s="2750"/>
      <c r="AU474" s="2751"/>
      <c r="AV474" s="1092">
        <f t="shared" si="243"/>
        <v>0</v>
      </c>
      <c r="AW474" s="1092">
        <f t="shared" si="244"/>
        <v>0</v>
      </c>
      <c r="AX474" s="1092">
        <f t="shared" si="245"/>
        <v>0</v>
      </c>
      <c r="AY474" s="2765">
        <f t="shared" si="246"/>
        <v>0</v>
      </c>
      <c r="AZ474" s="2720">
        <f t="shared" si="247"/>
        <v>0</v>
      </c>
      <c r="BA474" s="2720">
        <f t="shared" si="248"/>
        <v>0</v>
      </c>
      <c r="BB474" s="2720">
        <f t="shared" si="249"/>
        <v>0</v>
      </c>
      <c r="BC474" s="2720">
        <f t="shared" si="250"/>
        <v>0</v>
      </c>
      <c r="BD474" s="2720">
        <f t="shared" si="251"/>
        <v>0</v>
      </c>
      <c r="BE474" s="2720">
        <f t="shared" si="252"/>
        <v>0</v>
      </c>
      <c r="BF474" s="2720">
        <f t="shared" si="253"/>
        <v>0</v>
      </c>
      <c r="BG474" s="2720">
        <f t="shared" si="254"/>
        <v>0</v>
      </c>
      <c r="BH474" s="2720">
        <f t="shared" si="255"/>
        <v>0</v>
      </c>
      <c r="BI474" s="2720">
        <f t="shared" si="256"/>
        <v>0</v>
      </c>
      <c r="BJ474" s="2720">
        <f t="shared" si="257"/>
        <v>0</v>
      </c>
      <c r="BK474" s="2720">
        <f t="shared" si="258"/>
        <v>0</v>
      </c>
      <c r="BL474" s="2720">
        <f t="shared" si="259"/>
        <v>0</v>
      </c>
      <c r="BM474" s="2720">
        <f t="shared" si="260"/>
        <v>0</v>
      </c>
      <c r="BN474" s="2720">
        <f t="shared" si="261"/>
        <v>0</v>
      </c>
      <c r="BO474" s="2720">
        <f t="shared" si="262"/>
        <v>0</v>
      </c>
      <c r="BP474" s="2720">
        <f t="shared" si="263"/>
        <v>0</v>
      </c>
      <c r="BQ474" s="2720">
        <f t="shared" si="264"/>
        <v>0</v>
      </c>
      <c r="BR474" s="2720">
        <f t="shared" si="265"/>
        <v>0</v>
      </c>
      <c r="BS474" s="2720">
        <f t="shared" si="266"/>
        <v>0</v>
      </c>
      <c r="BT474" s="2772">
        <f t="shared" si="267"/>
        <v>0</v>
      </c>
    </row>
    <row r="475" spans="1:72">
      <c r="A475" s="2717"/>
      <c r="B475" s="2718"/>
      <c r="C475" s="2718"/>
      <c r="D475" s="2719"/>
      <c r="E475" s="2720">
        <f t="shared" si="239"/>
        <v>0</v>
      </c>
      <c r="F475" s="2721"/>
      <c r="G475" s="2722">
        <f t="shared" si="240"/>
        <v>0</v>
      </c>
      <c r="H475" s="2723">
        <f t="shared" si="241"/>
        <v>0</v>
      </c>
      <c r="I475" s="2730"/>
      <c r="J475" s="2730"/>
      <c r="K475" s="2730"/>
      <c r="L475" s="2730"/>
      <c r="M475" s="2730"/>
      <c r="N475" s="2730"/>
      <c r="O475" s="2730"/>
      <c r="P475" s="2730"/>
      <c r="Q475" s="2730"/>
      <c r="R475" s="2730"/>
      <c r="S475" s="2730"/>
      <c r="T475" s="2730"/>
      <c r="U475" s="2730"/>
      <c r="V475" s="2730"/>
      <c r="W475" s="2730"/>
      <c r="X475" s="2730"/>
      <c r="Y475" s="2730"/>
      <c r="Z475" s="2730"/>
      <c r="AA475" s="2730"/>
      <c r="AB475" s="2730"/>
      <c r="AC475" s="2720">
        <f t="shared" si="242"/>
        <v>0</v>
      </c>
      <c r="AD475" s="2740"/>
      <c r="AE475" s="2740"/>
      <c r="AF475" s="2740"/>
      <c r="AG475" s="2740"/>
      <c r="AH475" s="2740"/>
      <c r="AI475" s="2740"/>
      <c r="AJ475" s="2740"/>
      <c r="AK475" s="2740"/>
      <c r="AL475" s="2740"/>
      <c r="AM475" s="2740"/>
      <c r="AN475" s="2740"/>
      <c r="AO475" s="2740"/>
      <c r="AP475" s="2740"/>
      <c r="AQ475" s="2740"/>
      <c r="AR475" s="2740"/>
      <c r="AS475" s="2740"/>
      <c r="AT475" s="2750"/>
      <c r="AU475" s="2751"/>
      <c r="AV475" s="1092">
        <f t="shared" si="243"/>
        <v>0</v>
      </c>
      <c r="AW475" s="1092">
        <f t="shared" si="244"/>
        <v>0</v>
      </c>
      <c r="AX475" s="1092">
        <f t="shared" si="245"/>
        <v>0</v>
      </c>
      <c r="AY475" s="2765">
        <f t="shared" si="246"/>
        <v>0</v>
      </c>
      <c r="AZ475" s="2720">
        <f t="shared" si="247"/>
        <v>0</v>
      </c>
      <c r="BA475" s="2720">
        <f t="shared" si="248"/>
        <v>0</v>
      </c>
      <c r="BB475" s="2720">
        <f t="shared" si="249"/>
        <v>0</v>
      </c>
      <c r="BC475" s="2720">
        <f t="shared" si="250"/>
        <v>0</v>
      </c>
      <c r="BD475" s="2720">
        <f t="shared" si="251"/>
        <v>0</v>
      </c>
      <c r="BE475" s="2720">
        <f t="shared" si="252"/>
        <v>0</v>
      </c>
      <c r="BF475" s="2720">
        <f t="shared" si="253"/>
        <v>0</v>
      </c>
      <c r="BG475" s="2720">
        <f t="shared" si="254"/>
        <v>0</v>
      </c>
      <c r="BH475" s="2720">
        <f t="shared" si="255"/>
        <v>0</v>
      </c>
      <c r="BI475" s="2720">
        <f t="shared" si="256"/>
        <v>0</v>
      </c>
      <c r="BJ475" s="2720">
        <f t="shared" si="257"/>
        <v>0</v>
      </c>
      <c r="BK475" s="2720">
        <f t="shared" si="258"/>
        <v>0</v>
      </c>
      <c r="BL475" s="2720">
        <f t="shared" si="259"/>
        <v>0</v>
      </c>
      <c r="BM475" s="2720">
        <f t="shared" si="260"/>
        <v>0</v>
      </c>
      <c r="BN475" s="2720">
        <f t="shared" si="261"/>
        <v>0</v>
      </c>
      <c r="BO475" s="2720">
        <f t="shared" si="262"/>
        <v>0</v>
      </c>
      <c r="BP475" s="2720">
        <f t="shared" si="263"/>
        <v>0</v>
      </c>
      <c r="BQ475" s="2720">
        <f t="shared" si="264"/>
        <v>0</v>
      </c>
      <c r="BR475" s="2720">
        <f t="shared" si="265"/>
        <v>0</v>
      </c>
      <c r="BS475" s="2720">
        <f t="shared" si="266"/>
        <v>0</v>
      </c>
      <c r="BT475" s="2772">
        <f t="shared" si="267"/>
        <v>0</v>
      </c>
    </row>
    <row r="476" spans="1:72">
      <c r="A476" s="2717"/>
      <c r="B476" s="2718"/>
      <c r="C476" s="2718"/>
      <c r="D476" s="2719"/>
      <c r="E476" s="2720">
        <f t="shared" si="239"/>
        <v>0</v>
      </c>
      <c r="F476" s="2721"/>
      <c r="G476" s="2722">
        <f t="shared" si="240"/>
        <v>0</v>
      </c>
      <c r="H476" s="2723">
        <f t="shared" si="241"/>
        <v>0</v>
      </c>
      <c r="I476" s="2730"/>
      <c r="J476" s="2730"/>
      <c r="K476" s="2730"/>
      <c r="L476" s="2730"/>
      <c r="M476" s="2730"/>
      <c r="N476" s="2730"/>
      <c r="O476" s="2730"/>
      <c r="P476" s="2730"/>
      <c r="Q476" s="2730"/>
      <c r="R476" s="2730"/>
      <c r="S476" s="2730"/>
      <c r="T476" s="2730"/>
      <c r="U476" s="2730"/>
      <c r="V476" s="2730"/>
      <c r="W476" s="2730"/>
      <c r="X476" s="2730"/>
      <c r="Y476" s="2730"/>
      <c r="Z476" s="2730"/>
      <c r="AA476" s="2730"/>
      <c r="AB476" s="2730"/>
      <c r="AC476" s="2720">
        <f t="shared" si="242"/>
        <v>0</v>
      </c>
      <c r="AD476" s="2740"/>
      <c r="AE476" s="2740"/>
      <c r="AF476" s="2740"/>
      <c r="AG476" s="2740"/>
      <c r="AH476" s="2740"/>
      <c r="AI476" s="2740"/>
      <c r="AJ476" s="2740"/>
      <c r="AK476" s="2740"/>
      <c r="AL476" s="2740"/>
      <c r="AM476" s="2740"/>
      <c r="AN476" s="2740"/>
      <c r="AO476" s="2740"/>
      <c r="AP476" s="2740"/>
      <c r="AQ476" s="2740"/>
      <c r="AR476" s="2740"/>
      <c r="AS476" s="2740"/>
      <c r="AT476" s="2750"/>
      <c r="AU476" s="2751"/>
      <c r="AV476" s="1092">
        <f t="shared" si="243"/>
        <v>0</v>
      </c>
      <c r="AW476" s="1092">
        <f t="shared" si="244"/>
        <v>0</v>
      </c>
      <c r="AX476" s="1092">
        <f t="shared" si="245"/>
        <v>0</v>
      </c>
      <c r="AY476" s="2765">
        <f t="shared" si="246"/>
        <v>0</v>
      </c>
      <c r="AZ476" s="2720">
        <f t="shared" si="247"/>
        <v>0</v>
      </c>
      <c r="BA476" s="2720">
        <f t="shared" si="248"/>
        <v>0</v>
      </c>
      <c r="BB476" s="2720">
        <f t="shared" si="249"/>
        <v>0</v>
      </c>
      <c r="BC476" s="2720">
        <f t="shared" si="250"/>
        <v>0</v>
      </c>
      <c r="BD476" s="2720">
        <f t="shared" si="251"/>
        <v>0</v>
      </c>
      <c r="BE476" s="2720">
        <f t="shared" si="252"/>
        <v>0</v>
      </c>
      <c r="BF476" s="2720">
        <f t="shared" si="253"/>
        <v>0</v>
      </c>
      <c r="BG476" s="2720">
        <f t="shared" si="254"/>
        <v>0</v>
      </c>
      <c r="BH476" s="2720">
        <f t="shared" si="255"/>
        <v>0</v>
      </c>
      <c r="BI476" s="2720">
        <f t="shared" si="256"/>
        <v>0</v>
      </c>
      <c r="BJ476" s="2720">
        <f t="shared" si="257"/>
        <v>0</v>
      </c>
      <c r="BK476" s="2720">
        <f t="shared" si="258"/>
        <v>0</v>
      </c>
      <c r="BL476" s="2720">
        <f t="shared" si="259"/>
        <v>0</v>
      </c>
      <c r="BM476" s="2720">
        <f t="shared" si="260"/>
        <v>0</v>
      </c>
      <c r="BN476" s="2720">
        <f t="shared" si="261"/>
        <v>0</v>
      </c>
      <c r="BO476" s="2720">
        <f t="shared" si="262"/>
        <v>0</v>
      </c>
      <c r="BP476" s="2720">
        <f t="shared" si="263"/>
        <v>0</v>
      </c>
      <c r="BQ476" s="2720">
        <f t="shared" si="264"/>
        <v>0</v>
      </c>
      <c r="BR476" s="2720">
        <f t="shared" si="265"/>
        <v>0</v>
      </c>
      <c r="BS476" s="2720">
        <f t="shared" si="266"/>
        <v>0</v>
      </c>
      <c r="BT476" s="2772">
        <f t="shared" si="267"/>
        <v>0</v>
      </c>
    </row>
    <row r="477" spans="1:72">
      <c r="A477" s="2717"/>
      <c r="B477" s="2718"/>
      <c r="C477" s="2718"/>
      <c r="D477" s="2719"/>
      <c r="E477" s="2720">
        <f t="shared" si="239"/>
        <v>0</v>
      </c>
      <c r="F477" s="2721"/>
      <c r="G477" s="2722">
        <f t="shared" si="240"/>
        <v>0</v>
      </c>
      <c r="H477" s="2723">
        <f t="shared" si="241"/>
        <v>0</v>
      </c>
      <c r="I477" s="2730"/>
      <c r="J477" s="2730"/>
      <c r="K477" s="2730"/>
      <c r="L477" s="2730"/>
      <c r="M477" s="2730"/>
      <c r="N477" s="2730"/>
      <c r="O477" s="2730"/>
      <c r="P477" s="2730"/>
      <c r="Q477" s="2730"/>
      <c r="R477" s="2730"/>
      <c r="S477" s="2730"/>
      <c r="T477" s="2730"/>
      <c r="U477" s="2730"/>
      <c r="V477" s="2730"/>
      <c r="W477" s="2730"/>
      <c r="X477" s="2730"/>
      <c r="Y477" s="2730"/>
      <c r="Z477" s="2730"/>
      <c r="AA477" s="2730"/>
      <c r="AB477" s="2730"/>
      <c r="AC477" s="2720">
        <f t="shared" si="242"/>
        <v>0</v>
      </c>
      <c r="AD477" s="2740"/>
      <c r="AE477" s="2740"/>
      <c r="AF477" s="2740"/>
      <c r="AG477" s="2740"/>
      <c r="AH477" s="2740"/>
      <c r="AI477" s="2740"/>
      <c r="AJ477" s="2740"/>
      <c r="AK477" s="2740"/>
      <c r="AL477" s="2740"/>
      <c r="AM477" s="2740"/>
      <c r="AN477" s="2740"/>
      <c r="AO477" s="2740"/>
      <c r="AP477" s="2740"/>
      <c r="AQ477" s="2740"/>
      <c r="AR477" s="2740"/>
      <c r="AS477" s="2740"/>
      <c r="AT477" s="2750"/>
      <c r="AU477" s="2751"/>
      <c r="AV477" s="1092">
        <f t="shared" si="243"/>
        <v>0</v>
      </c>
      <c r="AW477" s="1092">
        <f t="shared" si="244"/>
        <v>0</v>
      </c>
      <c r="AX477" s="1092">
        <f t="shared" si="245"/>
        <v>0</v>
      </c>
      <c r="AY477" s="2765">
        <f t="shared" si="246"/>
        <v>0</v>
      </c>
      <c r="AZ477" s="2720">
        <f t="shared" si="247"/>
        <v>0</v>
      </c>
      <c r="BA477" s="2720">
        <f t="shared" si="248"/>
        <v>0</v>
      </c>
      <c r="BB477" s="2720">
        <f t="shared" si="249"/>
        <v>0</v>
      </c>
      <c r="BC477" s="2720">
        <f t="shared" si="250"/>
        <v>0</v>
      </c>
      <c r="BD477" s="2720">
        <f t="shared" si="251"/>
        <v>0</v>
      </c>
      <c r="BE477" s="2720">
        <f t="shared" si="252"/>
        <v>0</v>
      </c>
      <c r="BF477" s="2720">
        <f t="shared" si="253"/>
        <v>0</v>
      </c>
      <c r="BG477" s="2720">
        <f t="shared" si="254"/>
        <v>0</v>
      </c>
      <c r="BH477" s="2720">
        <f t="shared" si="255"/>
        <v>0</v>
      </c>
      <c r="BI477" s="2720">
        <f t="shared" si="256"/>
        <v>0</v>
      </c>
      <c r="BJ477" s="2720">
        <f t="shared" si="257"/>
        <v>0</v>
      </c>
      <c r="BK477" s="2720">
        <f t="shared" si="258"/>
        <v>0</v>
      </c>
      <c r="BL477" s="2720">
        <f t="shared" si="259"/>
        <v>0</v>
      </c>
      <c r="BM477" s="2720">
        <f t="shared" si="260"/>
        <v>0</v>
      </c>
      <c r="BN477" s="2720">
        <f t="shared" si="261"/>
        <v>0</v>
      </c>
      <c r="BO477" s="2720">
        <f t="shared" si="262"/>
        <v>0</v>
      </c>
      <c r="BP477" s="2720">
        <f t="shared" si="263"/>
        <v>0</v>
      </c>
      <c r="BQ477" s="2720">
        <f t="shared" si="264"/>
        <v>0</v>
      </c>
      <c r="BR477" s="2720">
        <f t="shared" si="265"/>
        <v>0</v>
      </c>
      <c r="BS477" s="2720">
        <f t="shared" si="266"/>
        <v>0</v>
      </c>
      <c r="BT477" s="2772">
        <f t="shared" si="267"/>
        <v>0</v>
      </c>
    </row>
    <row r="478" spans="1:72">
      <c r="A478" s="2717"/>
      <c r="B478" s="2718"/>
      <c r="C478" s="2718"/>
      <c r="D478" s="2719"/>
      <c r="E478" s="2720">
        <f t="shared" si="239"/>
        <v>0</v>
      </c>
      <c r="F478" s="2721"/>
      <c r="G478" s="2722">
        <f t="shared" si="240"/>
        <v>0</v>
      </c>
      <c r="H478" s="2723">
        <f t="shared" si="241"/>
        <v>0</v>
      </c>
      <c r="I478" s="2730"/>
      <c r="J478" s="2730"/>
      <c r="K478" s="2730"/>
      <c r="L478" s="2730"/>
      <c r="M478" s="2730"/>
      <c r="N478" s="2730"/>
      <c r="O478" s="2730"/>
      <c r="P478" s="2730"/>
      <c r="Q478" s="2730"/>
      <c r="R478" s="2730"/>
      <c r="S478" s="2730"/>
      <c r="T478" s="2730"/>
      <c r="U478" s="2730"/>
      <c r="V478" s="2730"/>
      <c r="W478" s="2730"/>
      <c r="X478" s="2730"/>
      <c r="Y478" s="2730"/>
      <c r="Z478" s="2730"/>
      <c r="AA478" s="2730"/>
      <c r="AB478" s="2730"/>
      <c r="AC478" s="2720">
        <f t="shared" si="242"/>
        <v>0</v>
      </c>
      <c r="AD478" s="2740"/>
      <c r="AE478" s="2740"/>
      <c r="AF478" s="2740"/>
      <c r="AG478" s="2740"/>
      <c r="AH478" s="2740"/>
      <c r="AI478" s="2740"/>
      <c r="AJ478" s="2740"/>
      <c r="AK478" s="2740"/>
      <c r="AL478" s="2740"/>
      <c r="AM478" s="2740"/>
      <c r="AN478" s="2740"/>
      <c r="AO478" s="2740"/>
      <c r="AP478" s="2740"/>
      <c r="AQ478" s="2740"/>
      <c r="AR478" s="2740"/>
      <c r="AS478" s="2740"/>
      <c r="AT478" s="2750"/>
      <c r="AU478" s="2751"/>
      <c r="AV478" s="1092">
        <f t="shared" si="243"/>
        <v>0</v>
      </c>
      <c r="AW478" s="1092">
        <f t="shared" si="244"/>
        <v>0</v>
      </c>
      <c r="AX478" s="1092">
        <f t="shared" si="245"/>
        <v>0</v>
      </c>
      <c r="AY478" s="2765">
        <f t="shared" si="246"/>
        <v>0</v>
      </c>
      <c r="AZ478" s="2720">
        <f t="shared" si="247"/>
        <v>0</v>
      </c>
      <c r="BA478" s="2720">
        <f t="shared" si="248"/>
        <v>0</v>
      </c>
      <c r="BB478" s="2720">
        <f t="shared" si="249"/>
        <v>0</v>
      </c>
      <c r="BC478" s="2720">
        <f t="shared" si="250"/>
        <v>0</v>
      </c>
      <c r="BD478" s="2720">
        <f t="shared" si="251"/>
        <v>0</v>
      </c>
      <c r="BE478" s="2720">
        <f t="shared" si="252"/>
        <v>0</v>
      </c>
      <c r="BF478" s="2720">
        <f t="shared" si="253"/>
        <v>0</v>
      </c>
      <c r="BG478" s="2720">
        <f t="shared" si="254"/>
        <v>0</v>
      </c>
      <c r="BH478" s="2720">
        <f t="shared" si="255"/>
        <v>0</v>
      </c>
      <c r="BI478" s="2720">
        <f t="shared" si="256"/>
        <v>0</v>
      </c>
      <c r="BJ478" s="2720">
        <f t="shared" si="257"/>
        <v>0</v>
      </c>
      <c r="BK478" s="2720">
        <f t="shared" si="258"/>
        <v>0</v>
      </c>
      <c r="BL478" s="2720">
        <f t="shared" si="259"/>
        <v>0</v>
      </c>
      <c r="BM478" s="2720">
        <f t="shared" si="260"/>
        <v>0</v>
      </c>
      <c r="BN478" s="2720">
        <f t="shared" si="261"/>
        <v>0</v>
      </c>
      <c r="BO478" s="2720">
        <f t="shared" si="262"/>
        <v>0</v>
      </c>
      <c r="BP478" s="2720">
        <f t="shared" si="263"/>
        <v>0</v>
      </c>
      <c r="BQ478" s="2720">
        <f t="shared" si="264"/>
        <v>0</v>
      </c>
      <c r="BR478" s="2720">
        <f t="shared" si="265"/>
        <v>0</v>
      </c>
      <c r="BS478" s="2720">
        <f t="shared" si="266"/>
        <v>0</v>
      </c>
      <c r="BT478" s="2772">
        <f t="shared" si="267"/>
        <v>0</v>
      </c>
    </row>
    <row r="479" spans="1:72">
      <c r="A479" s="2717"/>
      <c r="B479" s="2718"/>
      <c r="C479" s="2718"/>
      <c r="D479" s="2719"/>
      <c r="E479" s="2720">
        <f t="shared" si="239"/>
        <v>0</v>
      </c>
      <c r="F479" s="2721"/>
      <c r="G479" s="2722">
        <f t="shared" si="240"/>
        <v>0</v>
      </c>
      <c r="H479" s="2723">
        <f t="shared" si="241"/>
        <v>0</v>
      </c>
      <c r="I479" s="2730"/>
      <c r="J479" s="2730"/>
      <c r="K479" s="2730"/>
      <c r="L479" s="2730"/>
      <c r="M479" s="2730"/>
      <c r="N479" s="2730"/>
      <c r="O479" s="2730"/>
      <c r="P479" s="2730"/>
      <c r="Q479" s="2730"/>
      <c r="R479" s="2730"/>
      <c r="S479" s="2730"/>
      <c r="T479" s="2730"/>
      <c r="U479" s="2730"/>
      <c r="V479" s="2730"/>
      <c r="W479" s="2730"/>
      <c r="X479" s="2730"/>
      <c r="Y479" s="2730"/>
      <c r="Z479" s="2730"/>
      <c r="AA479" s="2730"/>
      <c r="AB479" s="2730"/>
      <c r="AC479" s="2720">
        <f t="shared" si="242"/>
        <v>0</v>
      </c>
      <c r="AD479" s="2740"/>
      <c r="AE479" s="2740"/>
      <c r="AF479" s="2740"/>
      <c r="AG479" s="2740"/>
      <c r="AH479" s="2740"/>
      <c r="AI479" s="2740"/>
      <c r="AJ479" s="2740"/>
      <c r="AK479" s="2740"/>
      <c r="AL479" s="2740"/>
      <c r="AM479" s="2740"/>
      <c r="AN479" s="2740"/>
      <c r="AO479" s="2740"/>
      <c r="AP479" s="2740"/>
      <c r="AQ479" s="2740"/>
      <c r="AR479" s="2740"/>
      <c r="AS479" s="2740"/>
      <c r="AT479" s="2750"/>
      <c r="AU479" s="2751"/>
      <c r="AV479" s="1092">
        <f t="shared" si="243"/>
        <v>0</v>
      </c>
      <c r="AW479" s="1092">
        <f t="shared" si="244"/>
        <v>0</v>
      </c>
      <c r="AX479" s="1092">
        <f t="shared" si="245"/>
        <v>0</v>
      </c>
      <c r="AY479" s="2765">
        <f t="shared" si="246"/>
        <v>0</v>
      </c>
      <c r="AZ479" s="2720">
        <f t="shared" si="247"/>
        <v>0</v>
      </c>
      <c r="BA479" s="2720">
        <f t="shared" si="248"/>
        <v>0</v>
      </c>
      <c r="BB479" s="2720">
        <f t="shared" si="249"/>
        <v>0</v>
      </c>
      <c r="BC479" s="2720">
        <f t="shared" si="250"/>
        <v>0</v>
      </c>
      <c r="BD479" s="2720">
        <f t="shared" si="251"/>
        <v>0</v>
      </c>
      <c r="BE479" s="2720">
        <f t="shared" si="252"/>
        <v>0</v>
      </c>
      <c r="BF479" s="2720">
        <f t="shared" si="253"/>
        <v>0</v>
      </c>
      <c r="BG479" s="2720">
        <f t="shared" si="254"/>
        <v>0</v>
      </c>
      <c r="BH479" s="2720">
        <f t="shared" si="255"/>
        <v>0</v>
      </c>
      <c r="BI479" s="2720">
        <f t="shared" si="256"/>
        <v>0</v>
      </c>
      <c r="BJ479" s="2720">
        <f t="shared" si="257"/>
        <v>0</v>
      </c>
      <c r="BK479" s="2720">
        <f t="shared" si="258"/>
        <v>0</v>
      </c>
      <c r="BL479" s="2720">
        <f t="shared" si="259"/>
        <v>0</v>
      </c>
      <c r="BM479" s="2720">
        <f t="shared" si="260"/>
        <v>0</v>
      </c>
      <c r="BN479" s="2720">
        <f t="shared" si="261"/>
        <v>0</v>
      </c>
      <c r="BO479" s="2720">
        <f t="shared" si="262"/>
        <v>0</v>
      </c>
      <c r="BP479" s="2720">
        <f t="shared" si="263"/>
        <v>0</v>
      </c>
      <c r="BQ479" s="2720">
        <f t="shared" si="264"/>
        <v>0</v>
      </c>
      <c r="BR479" s="2720">
        <f t="shared" si="265"/>
        <v>0</v>
      </c>
      <c r="BS479" s="2720">
        <f t="shared" si="266"/>
        <v>0</v>
      </c>
      <c r="BT479" s="2772">
        <f t="shared" si="267"/>
        <v>0</v>
      </c>
    </row>
    <row r="480" spans="1:72">
      <c r="A480" s="2717"/>
      <c r="B480" s="2718"/>
      <c r="C480" s="2718"/>
      <c r="D480" s="2719"/>
      <c r="E480" s="2720">
        <f t="shared" si="239"/>
        <v>0</v>
      </c>
      <c r="F480" s="2721"/>
      <c r="G480" s="2722">
        <f t="shared" si="240"/>
        <v>0</v>
      </c>
      <c r="H480" s="2723">
        <f t="shared" si="241"/>
        <v>0</v>
      </c>
      <c r="I480" s="2730"/>
      <c r="J480" s="2730"/>
      <c r="K480" s="2730"/>
      <c r="L480" s="2730"/>
      <c r="M480" s="2730"/>
      <c r="N480" s="2730"/>
      <c r="O480" s="2730"/>
      <c r="P480" s="2730"/>
      <c r="Q480" s="2730"/>
      <c r="R480" s="2730"/>
      <c r="S480" s="2730"/>
      <c r="T480" s="2730"/>
      <c r="U480" s="2730"/>
      <c r="V480" s="2730"/>
      <c r="W480" s="2730"/>
      <c r="X480" s="2730"/>
      <c r="Y480" s="2730"/>
      <c r="Z480" s="2730"/>
      <c r="AA480" s="2730"/>
      <c r="AB480" s="2730"/>
      <c r="AC480" s="2720">
        <f t="shared" si="242"/>
        <v>0</v>
      </c>
      <c r="AD480" s="2740"/>
      <c r="AE480" s="2740"/>
      <c r="AF480" s="2740"/>
      <c r="AG480" s="2740"/>
      <c r="AH480" s="2740"/>
      <c r="AI480" s="2740"/>
      <c r="AJ480" s="2740"/>
      <c r="AK480" s="2740"/>
      <c r="AL480" s="2740"/>
      <c r="AM480" s="2740"/>
      <c r="AN480" s="2740"/>
      <c r="AO480" s="2740"/>
      <c r="AP480" s="2740"/>
      <c r="AQ480" s="2740"/>
      <c r="AR480" s="2740"/>
      <c r="AS480" s="2740"/>
      <c r="AT480" s="2750"/>
      <c r="AU480" s="2751"/>
      <c r="AV480" s="1092">
        <f t="shared" si="243"/>
        <v>0</v>
      </c>
      <c r="AW480" s="1092">
        <f t="shared" si="244"/>
        <v>0</v>
      </c>
      <c r="AX480" s="1092">
        <f t="shared" si="245"/>
        <v>0</v>
      </c>
      <c r="AY480" s="2765">
        <f t="shared" si="246"/>
        <v>0</v>
      </c>
      <c r="AZ480" s="2720">
        <f t="shared" si="247"/>
        <v>0</v>
      </c>
      <c r="BA480" s="2720">
        <f t="shared" si="248"/>
        <v>0</v>
      </c>
      <c r="BB480" s="2720">
        <f t="shared" si="249"/>
        <v>0</v>
      </c>
      <c r="BC480" s="2720">
        <f t="shared" si="250"/>
        <v>0</v>
      </c>
      <c r="BD480" s="2720">
        <f t="shared" si="251"/>
        <v>0</v>
      </c>
      <c r="BE480" s="2720">
        <f t="shared" si="252"/>
        <v>0</v>
      </c>
      <c r="BF480" s="2720">
        <f t="shared" si="253"/>
        <v>0</v>
      </c>
      <c r="BG480" s="2720">
        <f t="shared" si="254"/>
        <v>0</v>
      </c>
      <c r="BH480" s="2720">
        <f t="shared" si="255"/>
        <v>0</v>
      </c>
      <c r="BI480" s="2720">
        <f t="shared" si="256"/>
        <v>0</v>
      </c>
      <c r="BJ480" s="2720">
        <f t="shared" si="257"/>
        <v>0</v>
      </c>
      <c r="BK480" s="2720">
        <f t="shared" si="258"/>
        <v>0</v>
      </c>
      <c r="BL480" s="2720">
        <f t="shared" si="259"/>
        <v>0</v>
      </c>
      <c r="BM480" s="2720">
        <f t="shared" si="260"/>
        <v>0</v>
      </c>
      <c r="BN480" s="2720">
        <f t="shared" si="261"/>
        <v>0</v>
      </c>
      <c r="BO480" s="2720">
        <f t="shared" si="262"/>
        <v>0</v>
      </c>
      <c r="BP480" s="2720">
        <f t="shared" si="263"/>
        <v>0</v>
      </c>
      <c r="BQ480" s="2720">
        <f t="shared" si="264"/>
        <v>0</v>
      </c>
      <c r="BR480" s="2720">
        <f t="shared" si="265"/>
        <v>0</v>
      </c>
      <c r="BS480" s="2720">
        <f t="shared" si="266"/>
        <v>0</v>
      </c>
      <c r="BT480" s="2772">
        <f t="shared" si="267"/>
        <v>0</v>
      </c>
    </row>
    <row r="481" spans="1:72">
      <c r="A481" s="2717"/>
      <c r="B481" s="2718"/>
      <c r="C481" s="2718"/>
      <c r="D481" s="2719"/>
      <c r="E481" s="2720">
        <f t="shared" si="239"/>
        <v>0</v>
      </c>
      <c r="F481" s="2721"/>
      <c r="G481" s="2722">
        <f t="shared" si="240"/>
        <v>0</v>
      </c>
      <c r="H481" s="2723">
        <f t="shared" si="241"/>
        <v>0</v>
      </c>
      <c r="I481" s="2730"/>
      <c r="J481" s="2730"/>
      <c r="K481" s="2730"/>
      <c r="L481" s="2730"/>
      <c r="M481" s="2730"/>
      <c r="N481" s="2730"/>
      <c r="O481" s="2730"/>
      <c r="P481" s="2730"/>
      <c r="Q481" s="2730"/>
      <c r="R481" s="2730"/>
      <c r="S481" s="2730"/>
      <c r="T481" s="2730"/>
      <c r="U481" s="2730"/>
      <c r="V481" s="2730"/>
      <c r="W481" s="2730"/>
      <c r="X481" s="2730"/>
      <c r="Y481" s="2730"/>
      <c r="Z481" s="2730"/>
      <c r="AA481" s="2730"/>
      <c r="AB481" s="2730"/>
      <c r="AC481" s="2720">
        <f t="shared" si="242"/>
        <v>0</v>
      </c>
      <c r="AD481" s="2740"/>
      <c r="AE481" s="2740"/>
      <c r="AF481" s="2740"/>
      <c r="AG481" s="2740"/>
      <c r="AH481" s="2740"/>
      <c r="AI481" s="2740"/>
      <c r="AJ481" s="2740"/>
      <c r="AK481" s="2740"/>
      <c r="AL481" s="2740"/>
      <c r="AM481" s="2740"/>
      <c r="AN481" s="2740"/>
      <c r="AO481" s="2740"/>
      <c r="AP481" s="2740"/>
      <c r="AQ481" s="2740"/>
      <c r="AR481" s="2740"/>
      <c r="AS481" s="2740"/>
      <c r="AT481" s="2750"/>
      <c r="AU481" s="2751"/>
      <c r="AV481" s="1092">
        <f t="shared" si="243"/>
        <v>0</v>
      </c>
      <c r="AW481" s="1092">
        <f t="shared" si="244"/>
        <v>0</v>
      </c>
      <c r="AX481" s="1092">
        <f t="shared" si="245"/>
        <v>0</v>
      </c>
      <c r="AY481" s="2765">
        <f t="shared" si="246"/>
        <v>0</v>
      </c>
      <c r="AZ481" s="2720">
        <f t="shared" si="247"/>
        <v>0</v>
      </c>
      <c r="BA481" s="2720">
        <f t="shared" si="248"/>
        <v>0</v>
      </c>
      <c r="BB481" s="2720">
        <f t="shared" si="249"/>
        <v>0</v>
      </c>
      <c r="BC481" s="2720">
        <f t="shared" si="250"/>
        <v>0</v>
      </c>
      <c r="BD481" s="2720">
        <f t="shared" si="251"/>
        <v>0</v>
      </c>
      <c r="BE481" s="2720">
        <f t="shared" si="252"/>
        <v>0</v>
      </c>
      <c r="BF481" s="2720">
        <f t="shared" si="253"/>
        <v>0</v>
      </c>
      <c r="BG481" s="2720">
        <f t="shared" si="254"/>
        <v>0</v>
      </c>
      <c r="BH481" s="2720">
        <f t="shared" si="255"/>
        <v>0</v>
      </c>
      <c r="BI481" s="2720">
        <f t="shared" si="256"/>
        <v>0</v>
      </c>
      <c r="BJ481" s="2720">
        <f t="shared" si="257"/>
        <v>0</v>
      </c>
      <c r="BK481" s="2720">
        <f t="shared" si="258"/>
        <v>0</v>
      </c>
      <c r="BL481" s="2720">
        <f t="shared" si="259"/>
        <v>0</v>
      </c>
      <c r="BM481" s="2720">
        <f t="shared" si="260"/>
        <v>0</v>
      </c>
      <c r="BN481" s="2720">
        <f t="shared" si="261"/>
        <v>0</v>
      </c>
      <c r="BO481" s="2720">
        <f t="shared" si="262"/>
        <v>0</v>
      </c>
      <c r="BP481" s="2720">
        <f t="shared" si="263"/>
        <v>0</v>
      </c>
      <c r="BQ481" s="2720">
        <f t="shared" si="264"/>
        <v>0</v>
      </c>
      <c r="BR481" s="2720">
        <f t="shared" si="265"/>
        <v>0</v>
      </c>
      <c r="BS481" s="2720">
        <f t="shared" si="266"/>
        <v>0</v>
      </c>
      <c r="BT481" s="2772">
        <f t="shared" si="267"/>
        <v>0</v>
      </c>
    </row>
    <row r="482" spans="1:72">
      <c r="A482" s="2717"/>
      <c r="B482" s="2718"/>
      <c r="C482" s="2718"/>
      <c r="D482" s="2719"/>
      <c r="E482" s="2720">
        <f t="shared" si="239"/>
        <v>0</v>
      </c>
      <c r="F482" s="2721"/>
      <c r="G482" s="2722">
        <f t="shared" si="240"/>
        <v>0</v>
      </c>
      <c r="H482" s="2723">
        <f t="shared" si="241"/>
        <v>0</v>
      </c>
      <c r="I482" s="2730"/>
      <c r="J482" s="2730"/>
      <c r="K482" s="2730"/>
      <c r="L482" s="2730"/>
      <c r="M482" s="2730"/>
      <c r="N482" s="2730"/>
      <c r="O482" s="2730"/>
      <c r="P482" s="2730"/>
      <c r="Q482" s="2730"/>
      <c r="R482" s="2730"/>
      <c r="S482" s="2730"/>
      <c r="T482" s="2730"/>
      <c r="U482" s="2730"/>
      <c r="V482" s="2730"/>
      <c r="W482" s="2730"/>
      <c r="X482" s="2730"/>
      <c r="Y482" s="2730"/>
      <c r="Z482" s="2730"/>
      <c r="AA482" s="2730"/>
      <c r="AB482" s="2730"/>
      <c r="AC482" s="2720">
        <f t="shared" si="242"/>
        <v>0</v>
      </c>
      <c r="AD482" s="2740"/>
      <c r="AE482" s="2740"/>
      <c r="AF482" s="2740"/>
      <c r="AG482" s="2740"/>
      <c r="AH482" s="2740"/>
      <c r="AI482" s="2740"/>
      <c r="AJ482" s="2740"/>
      <c r="AK482" s="2740"/>
      <c r="AL482" s="2740"/>
      <c r="AM482" s="2740"/>
      <c r="AN482" s="2740"/>
      <c r="AO482" s="2740"/>
      <c r="AP482" s="2740"/>
      <c r="AQ482" s="2740"/>
      <c r="AR482" s="2740"/>
      <c r="AS482" s="2740"/>
      <c r="AT482" s="2750"/>
      <c r="AU482" s="2751"/>
      <c r="AV482" s="1092">
        <f t="shared" si="243"/>
        <v>0</v>
      </c>
      <c r="AW482" s="1092">
        <f t="shared" si="244"/>
        <v>0</v>
      </c>
      <c r="AX482" s="1092">
        <f t="shared" si="245"/>
        <v>0</v>
      </c>
      <c r="AY482" s="2765">
        <f t="shared" si="246"/>
        <v>0</v>
      </c>
      <c r="AZ482" s="2720">
        <f t="shared" si="247"/>
        <v>0</v>
      </c>
      <c r="BA482" s="2720">
        <f t="shared" si="248"/>
        <v>0</v>
      </c>
      <c r="BB482" s="2720">
        <f t="shared" si="249"/>
        <v>0</v>
      </c>
      <c r="BC482" s="2720">
        <f t="shared" si="250"/>
        <v>0</v>
      </c>
      <c r="BD482" s="2720">
        <f t="shared" si="251"/>
        <v>0</v>
      </c>
      <c r="BE482" s="2720">
        <f t="shared" si="252"/>
        <v>0</v>
      </c>
      <c r="BF482" s="2720">
        <f t="shared" si="253"/>
        <v>0</v>
      </c>
      <c r="BG482" s="2720">
        <f t="shared" si="254"/>
        <v>0</v>
      </c>
      <c r="BH482" s="2720">
        <f t="shared" si="255"/>
        <v>0</v>
      </c>
      <c r="BI482" s="2720">
        <f t="shared" si="256"/>
        <v>0</v>
      </c>
      <c r="BJ482" s="2720">
        <f t="shared" si="257"/>
        <v>0</v>
      </c>
      <c r="BK482" s="2720">
        <f t="shared" si="258"/>
        <v>0</v>
      </c>
      <c r="BL482" s="2720">
        <f t="shared" si="259"/>
        <v>0</v>
      </c>
      <c r="BM482" s="2720">
        <f t="shared" si="260"/>
        <v>0</v>
      </c>
      <c r="BN482" s="2720">
        <f t="shared" si="261"/>
        <v>0</v>
      </c>
      <c r="BO482" s="2720">
        <f t="shared" si="262"/>
        <v>0</v>
      </c>
      <c r="BP482" s="2720">
        <f t="shared" si="263"/>
        <v>0</v>
      </c>
      <c r="BQ482" s="2720">
        <f t="shared" si="264"/>
        <v>0</v>
      </c>
      <c r="BR482" s="2720">
        <f t="shared" si="265"/>
        <v>0</v>
      </c>
      <c r="BS482" s="2720">
        <f t="shared" si="266"/>
        <v>0</v>
      </c>
      <c r="BT482" s="2772">
        <f t="shared" si="267"/>
        <v>0</v>
      </c>
    </row>
    <row r="483" spans="1:72">
      <c r="A483" s="2717"/>
      <c r="B483" s="2718"/>
      <c r="C483" s="2718"/>
      <c r="D483" s="2719"/>
      <c r="E483" s="2720">
        <f t="shared" si="239"/>
        <v>0</v>
      </c>
      <c r="F483" s="2721"/>
      <c r="G483" s="2722">
        <f t="shared" si="240"/>
        <v>0</v>
      </c>
      <c r="H483" s="2723">
        <f t="shared" si="241"/>
        <v>0</v>
      </c>
      <c r="I483" s="2730"/>
      <c r="J483" s="2730"/>
      <c r="K483" s="2730"/>
      <c r="L483" s="2730"/>
      <c r="M483" s="2730"/>
      <c r="N483" s="2730"/>
      <c r="O483" s="2730"/>
      <c r="P483" s="2730"/>
      <c r="Q483" s="2730"/>
      <c r="R483" s="2730"/>
      <c r="S483" s="2730"/>
      <c r="T483" s="2730"/>
      <c r="U483" s="2730"/>
      <c r="V483" s="2730"/>
      <c r="W483" s="2730"/>
      <c r="X483" s="2730"/>
      <c r="Y483" s="2730"/>
      <c r="Z483" s="2730"/>
      <c r="AA483" s="2730"/>
      <c r="AB483" s="2730"/>
      <c r="AC483" s="2720">
        <f t="shared" si="242"/>
        <v>0</v>
      </c>
      <c r="AD483" s="2740"/>
      <c r="AE483" s="2740"/>
      <c r="AF483" s="2740"/>
      <c r="AG483" s="2740"/>
      <c r="AH483" s="2740"/>
      <c r="AI483" s="2740"/>
      <c r="AJ483" s="2740"/>
      <c r="AK483" s="2740"/>
      <c r="AL483" s="2740"/>
      <c r="AM483" s="2740"/>
      <c r="AN483" s="2740"/>
      <c r="AO483" s="2740"/>
      <c r="AP483" s="2740"/>
      <c r="AQ483" s="2740"/>
      <c r="AR483" s="2740"/>
      <c r="AS483" s="2740"/>
      <c r="AT483" s="2750"/>
      <c r="AU483" s="2751"/>
      <c r="AV483" s="1092">
        <f t="shared" si="243"/>
        <v>0</v>
      </c>
      <c r="AW483" s="1092">
        <f t="shared" si="244"/>
        <v>0</v>
      </c>
      <c r="AX483" s="1092">
        <f t="shared" si="245"/>
        <v>0</v>
      </c>
      <c r="AY483" s="2765">
        <f t="shared" si="246"/>
        <v>0</v>
      </c>
      <c r="AZ483" s="2720">
        <f t="shared" si="247"/>
        <v>0</v>
      </c>
      <c r="BA483" s="2720">
        <f t="shared" si="248"/>
        <v>0</v>
      </c>
      <c r="BB483" s="2720">
        <f t="shared" si="249"/>
        <v>0</v>
      </c>
      <c r="BC483" s="2720">
        <f t="shared" si="250"/>
        <v>0</v>
      </c>
      <c r="BD483" s="2720">
        <f t="shared" si="251"/>
        <v>0</v>
      </c>
      <c r="BE483" s="2720">
        <f t="shared" si="252"/>
        <v>0</v>
      </c>
      <c r="BF483" s="2720">
        <f t="shared" si="253"/>
        <v>0</v>
      </c>
      <c r="BG483" s="2720">
        <f t="shared" si="254"/>
        <v>0</v>
      </c>
      <c r="BH483" s="2720">
        <f t="shared" si="255"/>
        <v>0</v>
      </c>
      <c r="BI483" s="2720">
        <f t="shared" si="256"/>
        <v>0</v>
      </c>
      <c r="BJ483" s="2720">
        <f t="shared" si="257"/>
        <v>0</v>
      </c>
      <c r="BK483" s="2720">
        <f t="shared" si="258"/>
        <v>0</v>
      </c>
      <c r="BL483" s="2720">
        <f t="shared" si="259"/>
        <v>0</v>
      </c>
      <c r="BM483" s="2720">
        <f t="shared" si="260"/>
        <v>0</v>
      </c>
      <c r="BN483" s="2720">
        <f t="shared" si="261"/>
        <v>0</v>
      </c>
      <c r="BO483" s="2720">
        <f t="shared" si="262"/>
        <v>0</v>
      </c>
      <c r="BP483" s="2720">
        <f t="shared" si="263"/>
        <v>0</v>
      </c>
      <c r="BQ483" s="2720">
        <f t="shared" si="264"/>
        <v>0</v>
      </c>
      <c r="BR483" s="2720">
        <f t="shared" si="265"/>
        <v>0</v>
      </c>
      <c r="BS483" s="2720">
        <f t="shared" si="266"/>
        <v>0</v>
      </c>
      <c r="BT483" s="2772">
        <f t="shared" si="267"/>
        <v>0</v>
      </c>
    </row>
    <row r="484" spans="1:72">
      <c r="A484" s="2717"/>
      <c r="B484" s="2718"/>
      <c r="C484" s="2718"/>
      <c r="D484" s="2719"/>
      <c r="E484" s="2720">
        <f t="shared" si="239"/>
        <v>0</v>
      </c>
      <c r="F484" s="2721"/>
      <c r="G484" s="2722">
        <f t="shared" si="240"/>
        <v>0</v>
      </c>
      <c r="H484" s="2723">
        <f t="shared" si="241"/>
        <v>0</v>
      </c>
      <c r="I484" s="2730"/>
      <c r="J484" s="2730"/>
      <c r="K484" s="2730"/>
      <c r="L484" s="2730"/>
      <c r="M484" s="2730"/>
      <c r="N484" s="2730"/>
      <c r="O484" s="2730"/>
      <c r="P484" s="2730"/>
      <c r="Q484" s="2730"/>
      <c r="R484" s="2730"/>
      <c r="S484" s="2730"/>
      <c r="T484" s="2730"/>
      <c r="U484" s="2730"/>
      <c r="V484" s="2730"/>
      <c r="W484" s="2730"/>
      <c r="X484" s="2730"/>
      <c r="Y484" s="2730"/>
      <c r="Z484" s="2730"/>
      <c r="AA484" s="2730"/>
      <c r="AB484" s="2730"/>
      <c r="AC484" s="2720">
        <f t="shared" si="242"/>
        <v>0</v>
      </c>
      <c r="AD484" s="2740"/>
      <c r="AE484" s="2740"/>
      <c r="AF484" s="2740"/>
      <c r="AG484" s="2740"/>
      <c r="AH484" s="2740"/>
      <c r="AI484" s="2740"/>
      <c r="AJ484" s="2740"/>
      <c r="AK484" s="2740"/>
      <c r="AL484" s="2740"/>
      <c r="AM484" s="2740"/>
      <c r="AN484" s="2740"/>
      <c r="AO484" s="2740"/>
      <c r="AP484" s="2740"/>
      <c r="AQ484" s="2740"/>
      <c r="AR484" s="2740"/>
      <c r="AS484" s="2740"/>
      <c r="AT484" s="2750"/>
      <c r="AU484" s="2751"/>
      <c r="AV484" s="1092">
        <f t="shared" si="243"/>
        <v>0</v>
      </c>
      <c r="AW484" s="1092">
        <f t="shared" si="244"/>
        <v>0</v>
      </c>
      <c r="AX484" s="1092">
        <f t="shared" si="245"/>
        <v>0</v>
      </c>
      <c r="AY484" s="2765">
        <f t="shared" si="246"/>
        <v>0</v>
      </c>
      <c r="AZ484" s="2720">
        <f t="shared" si="247"/>
        <v>0</v>
      </c>
      <c r="BA484" s="2720">
        <f t="shared" si="248"/>
        <v>0</v>
      </c>
      <c r="BB484" s="2720">
        <f t="shared" si="249"/>
        <v>0</v>
      </c>
      <c r="BC484" s="2720">
        <f t="shared" si="250"/>
        <v>0</v>
      </c>
      <c r="BD484" s="2720">
        <f t="shared" si="251"/>
        <v>0</v>
      </c>
      <c r="BE484" s="2720">
        <f t="shared" si="252"/>
        <v>0</v>
      </c>
      <c r="BF484" s="2720">
        <f t="shared" si="253"/>
        <v>0</v>
      </c>
      <c r="BG484" s="2720">
        <f t="shared" si="254"/>
        <v>0</v>
      </c>
      <c r="BH484" s="2720">
        <f t="shared" si="255"/>
        <v>0</v>
      </c>
      <c r="BI484" s="2720">
        <f t="shared" si="256"/>
        <v>0</v>
      </c>
      <c r="BJ484" s="2720">
        <f t="shared" si="257"/>
        <v>0</v>
      </c>
      <c r="BK484" s="2720">
        <f t="shared" si="258"/>
        <v>0</v>
      </c>
      <c r="BL484" s="2720">
        <f t="shared" si="259"/>
        <v>0</v>
      </c>
      <c r="BM484" s="2720">
        <f t="shared" si="260"/>
        <v>0</v>
      </c>
      <c r="BN484" s="2720">
        <f t="shared" si="261"/>
        <v>0</v>
      </c>
      <c r="BO484" s="2720">
        <f t="shared" si="262"/>
        <v>0</v>
      </c>
      <c r="BP484" s="2720">
        <f t="shared" si="263"/>
        <v>0</v>
      </c>
      <c r="BQ484" s="2720">
        <f t="shared" si="264"/>
        <v>0</v>
      </c>
      <c r="BR484" s="2720">
        <f t="shared" si="265"/>
        <v>0</v>
      </c>
      <c r="BS484" s="2720">
        <f t="shared" si="266"/>
        <v>0</v>
      </c>
      <c r="BT484" s="2772">
        <f t="shared" si="267"/>
        <v>0</v>
      </c>
    </row>
    <row r="485" spans="1:72">
      <c r="A485" s="2717"/>
      <c r="B485" s="2718"/>
      <c r="C485" s="2718"/>
      <c r="D485" s="2719"/>
      <c r="E485" s="2720">
        <f t="shared" si="239"/>
        <v>0</v>
      </c>
      <c r="F485" s="2721"/>
      <c r="G485" s="2722">
        <f t="shared" si="240"/>
        <v>0</v>
      </c>
      <c r="H485" s="2723">
        <f t="shared" si="241"/>
        <v>0</v>
      </c>
      <c r="I485" s="2730"/>
      <c r="J485" s="2730"/>
      <c r="K485" s="2730"/>
      <c r="L485" s="2730"/>
      <c r="M485" s="2730"/>
      <c r="N485" s="2730"/>
      <c r="O485" s="2730"/>
      <c r="P485" s="2730"/>
      <c r="Q485" s="2730"/>
      <c r="R485" s="2730"/>
      <c r="S485" s="2730"/>
      <c r="T485" s="2730"/>
      <c r="U485" s="2730"/>
      <c r="V485" s="2730"/>
      <c r="W485" s="2730"/>
      <c r="X485" s="2730"/>
      <c r="Y485" s="2730"/>
      <c r="Z485" s="2730"/>
      <c r="AA485" s="2730"/>
      <c r="AB485" s="2730"/>
      <c r="AC485" s="2720">
        <f t="shared" si="242"/>
        <v>0</v>
      </c>
      <c r="AD485" s="2740"/>
      <c r="AE485" s="2740"/>
      <c r="AF485" s="2740"/>
      <c r="AG485" s="2740"/>
      <c r="AH485" s="2740"/>
      <c r="AI485" s="2740"/>
      <c r="AJ485" s="2740"/>
      <c r="AK485" s="2740"/>
      <c r="AL485" s="2740"/>
      <c r="AM485" s="2740"/>
      <c r="AN485" s="2740"/>
      <c r="AO485" s="2740"/>
      <c r="AP485" s="2740"/>
      <c r="AQ485" s="2740"/>
      <c r="AR485" s="2740"/>
      <c r="AS485" s="2740"/>
      <c r="AT485" s="2750"/>
      <c r="AU485" s="2751"/>
      <c r="AV485" s="1092">
        <f t="shared" si="243"/>
        <v>0</v>
      </c>
      <c r="AW485" s="1092">
        <f t="shared" si="244"/>
        <v>0</v>
      </c>
      <c r="AX485" s="1092">
        <f t="shared" si="245"/>
        <v>0</v>
      </c>
      <c r="AY485" s="2765">
        <f t="shared" si="246"/>
        <v>0</v>
      </c>
      <c r="AZ485" s="2720">
        <f t="shared" si="247"/>
        <v>0</v>
      </c>
      <c r="BA485" s="2720">
        <f t="shared" si="248"/>
        <v>0</v>
      </c>
      <c r="BB485" s="2720">
        <f t="shared" si="249"/>
        <v>0</v>
      </c>
      <c r="BC485" s="2720">
        <f t="shared" si="250"/>
        <v>0</v>
      </c>
      <c r="BD485" s="2720">
        <f t="shared" si="251"/>
        <v>0</v>
      </c>
      <c r="BE485" s="2720">
        <f t="shared" si="252"/>
        <v>0</v>
      </c>
      <c r="BF485" s="2720">
        <f t="shared" si="253"/>
        <v>0</v>
      </c>
      <c r="BG485" s="2720">
        <f t="shared" si="254"/>
        <v>0</v>
      </c>
      <c r="BH485" s="2720">
        <f t="shared" si="255"/>
        <v>0</v>
      </c>
      <c r="BI485" s="2720">
        <f t="shared" si="256"/>
        <v>0</v>
      </c>
      <c r="BJ485" s="2720">
        <f t="shared" si="257"/>
        <v>0</v>
      </c>
      <c r="BK485" s="2720">
        <f t="shared" si="258"/>
        <v>0</v>
      </c>
      <c r="BL485" s="2720">
        <f t="shared" si="259"/>
        <v>0</v>
      </c>
      <c r="BM485" s="2720">
        <f t="shared" si="260"/>
        <v>0</v>
      </c>
      <c r="BN485" s="2720">
        <f t="shared" si="261"/>
        <v>0</v>
      </c>
      <c r="BO485" s="2720">
        <f t="shared" si="262"/>
        <v>0</v>
      </c>
      <c r="BP485" s="2720">
        <f t="shared" si="263"/>
        <v>0</v>
      </c>
      <c r="BQ485" s="2720">
        <f t="shared" si="264"/>
        <v>0</v>
      </c>
      <c r="BR485" s="2720">
        <f t="shared" si="265"/>
        <v>0</v>
      </c>
      <c r="BS485" s="2720">
        <f t="shared" si="266"/>
        <v>0</v>
      </c>
      <c r="BT485" s="2772">
        <f t="shared" si="267"/>
        <v>0</v>
      </c>
    </row>
    <row r="486" spans="1:72">
      <c r="A486" s="2717"/>
      <c r="B486" s="2718"/>
      <c r="C486" s="2718"/>
      <c r="D486" s="2719"/>
      <c r="E486" s="2720">
        <f t="shared" si="239"/>
        <v>0</v>
      </c>
      <c r="F486" s="2721"/>
      <c r="G486" s="2722">
        <f t="shared" si="240"/>
        <v>0</v>
      </c>
      <c r="H486" s="2723">
        <f t="shared" si="241"/>
        <v>0</v>
      </c>
      <c r="I486" s="2730"/>
      <c r="J486" s="2730"/>
      <c r="K486" s="2730"/>
      <c r="L486" s="2730"/>
      <c r="M486" s="2730"/>
      <c r="N486" s="2730"/>
      <c r="O486" s="2730"/>
      <c r="P486" s="2730"/>
      <c r="Q486" s="2730"/>
      <c r="R486" s="2730"/>
      <c r="S486" s="2730"/>
      <c r="T486" s="2730"/>
      <c r="U486" s="2730"/>
      <c r="V486" s="2730"/>
      <c r="W486" s="2730"/>
      <c r="X486" s="2730"/>
      <c r="Y486" s="2730"/>
      <c r="Z486" s="2730"/>
      <c r="AA486" s="2730"/>
      <c r="AB486" s="2730"/>
      <c r="AC486" s="2720">
        <f t="shared" si="242"/>
        <v>0</v>
      </c>
      <c r="AD486" s="2740"/>
      <c r="AE486" s="2740"/>
      <c r="AF486" s="2740"/>
      <c r="AG486" s="2740"/>
      <c r="AH486" s="2740"/>
      <c r="AI486" s="2740"/>
      <c r="AJ486" s="2740"/>
      <c r="AK486" s="2740"/>
      <c r="AL486" s="2740"/>
      <c r="AM486" s="2740"/>
      <c r="AN486" s="2740"/>
      <c r="AO486" s="2740"/>
      <c r="AP486" s="2740"/>
      <c r="AQ486" s="2740"/>
      <c r="AR486" s="2740"/>
      <c r="AS486" s="2740"/>
      <c r="AT486" s="2750"/>
      <c r="AU486" s="2751"/>
      <c r="AV486" s="1092">
        <f t="shared" si="243"/>
        <v>0</v>
      </c>
      <c r="AW486" s="1092">
        <f t="shared" si="244"/>
        <v>0</v>
      </c>
      <c r="AX486" s="1092">
        <f t="shared" si="245"/>
        <v>0</v>
      </c>
      <c r="AY486" s="2765">
        <f t="shared" si="246"/>
        <v>0</v>
      </c>
      <c r="AZ486" s="2720">
        <f t="shared" si="247"/>
        <v>0</v>
      </c>
      <c r="BA486" s="2720">
        <f t="shared" si="248"/>
        <v>0</v>
      </c>
      <c r="BB486" s="2720">
        <f t="shared" si="249"/>
        <v>0</v>
      </c>
      <c r="BC486" s="2720">
        <f t="shared" si="250"/>
        <v>0</v>
      </c>
      <c r="BD486" s="2720">
        <f t="shared" si="251"/>
        <v>0</v>
      </c>
      <c r="BE486" s="2720">
        <f t="shared" si="252"/>
        <v>0</v>
      </c>
      <c r="BF486" s="2720">
        <f t="shared" si="253"/>
        <v>0</v>
      </c>
      <c r="BG486" s="2720">
        <f t="shared" si="254"/>
        <v>0</v>
      </c>
      <c r="BH486" s="2720">
        <f t="shared" si="255"/>
        <v>0</v>
      </c>
      <c r="BI486" s="2720">
        <f t="shared" si="256"/>
        <v>0</v>
      </c>
      <c r="BJ486" s="2720">
        <f t="shared" si="257"/>
        <v>0</v>
      </c>
      <c r="BK486" s="2720">
        <f t="shared" si="258"/>
        <v>0</v>
      </c>
      <c r="BL486" s="2720">
        <f t="shared" si="259"/>
        <v>0</v>
      </c>
      <c r="BM486" s="2720">
        <f t="shared" si="260"/>
        <v>0</v>
      </c>
      <c r="BN486" s="2720">
        <f t="shared" si="261"/>
        <v>0</v>
      </c>
      <c r="BO486" s="2720">
        <f t="shared" si="262"/>
        <v>0</v>
      </c>
      <c r="BP486" s="2720">
        <f t="shared" si="263"/>
        <v>0</v>
      </c>
      <c r="BQ486" s="2720">
        <f t="shared" si="264"/>
        <v>0</v>
      </c>
      <c r="BR486" s="2720">
        <f t="shared" si="265"/>
        <v>0</v>
      </c>
      <c r="BS486" s="2720">
        <f t="shared" si="266"/>
        <v>0</v>
      </c>
      <c r="BT486" s="2772">
        <f t="shared" si="267"/>
        <v>0</v>
      </c>
    </row>
    <row r="487" spans="1:72">
      <c r="A487" s="2717"/>
      <c r="B487" s="2718"/>
      <c r="C487" s="2718"/>
      <c r="D487" s="2719"/>
      <c r="E487" s="2720">
        <f t="shared" si="239"/>
        <v>0</v>
      </c>
      <c r="F487" s="2721"/>
      <c r="G487" s="2722">
        <f t="shared" si="240"/>
        <v>0</v>
      </c>
      <c r="H487" s="2723">
        <f t="shared" si="241"/>
        <v>0</v>
      </c>
      <c r="I487" s="2730"/>
      <c r="J487" s="2730"/>
      <c r="K487" s="2730"/>
      <c r="L487" s="2730"/>
      <c r="M487" s="2730"/>
      <c r="N487" s="2730"/>
      <c r="O487" s="2730"/>
      <c r="P487" s="2730"/>
      <c r="Q487" s="2730"/>
      <c r="R487" s="2730"/>
      <c r="S487" s="2730"/>
      <c r="T487" s="2730"/>
      <c r="U487" s="2730"/>
      <c r="V487" s="2730"/>
      <c r="W487" s="2730"/>
      <c r="X487" s="2730"/>
      <c r="Y487" s="2730"/>
      <c r="Z487" s="2730"/>
      <c r="AA487" s="2730"/>
      <c r="AB487" s="2730"/>
      <c r="AC487" s="2720">
        <f t="shared" si="242"/>
        <v>0</v>
      </c>
      <c r="AD487" s="2740"/>
      <c r="AE487" s="2740"/>
      <c r="AF487" s="2740"/>
      <c r="AG487" s="2740"/>
      <c r="AH487" s="2740"/>
      <c r="AI487" s="2740"/>
      <c r="AJ487" s="2740"/>
      <c r="AK487" s="2740"/>
      <c r="AL487" s="2740"/>
      <c r="AM487" s="2740"/>
      <c r="AN487" s="2740"/>
      <c r="AO487" s="2740"/>
      <c r="AP487" s="2740"/>
      <c r="AQ487" s="2740"/>
      <c r="AR487" s="2740"/>
      <c r="AS487" s="2740"/>
      <c r="AT487" s="2750"/>
      <c r="AU487" s="2751"/>
      <c r="AV487" s="1092">
        <f t="shared" si="243"/>
        <v>0</v>
      </c>
      <c r="AW487" s="1092">
        <f t="shared" si="244"/>
        <v>0</v>
      </c>
      <c r="AX487" s="1092">
        <f t="shared" si="245"/>
        <v>0</v>
      </c>
      <c r="AY487" s="2765">
        <f t="shared" si="246"/>
        <v>0</v>
      </c>
      <c r="AZ487" s="2720">
        <f t="shared" si="247"/>
        <v>0</v>
      </c>
      <c r="BA487" s="2720">
        <f t="shared" si="248"/>
        <v>0</v>
      </c>
      <c r="BB487" s="2720">
        <f t="shared" si="249"/>
        <v>0</v>
      </c>
      <c r="BC487" s="2720">
        <f t="shared" si="250"/>
        <v>0</v>
      </c>
      <c r="BD487" s="2720">
        <f t="shared" si="251"/>
        <v>0</v>
      </c>
      <c r="BE487" s="2720">
        <f t="shared" si="252"/>
        <v>0</v>
      </c>
      <c r="BF487" s="2720">
        <f t="shared" si="253"/>
        <v>0</v>
      </c>
      <c r="BG487" s="2720">
        <f t="shared" si="254"/>
        <v>0</v>
      </c>
      <c r="BH487" s="2720">
        <f t="shared" si="255"/>
        <v>0</v>
      </c>
      <c r="BI487" s="2720">
        <f t="shared" si="256"/>
        <v>0</v>
      </c>
      <c r="BJ487" s="2720">
        <f t="shared" si="257"/>
        <v>0</v>
      </c>
      <c r="BK487" s="2720">
        <f t="shared" si="258"/>
        <v>0</v>
      </c>
      <c r="BL487" s="2720">
        <f t="shared" si="259"/>
        <v>0</v>
      </c>
      <c r="BM487" s="2720">
        <f t="shared" si="260"/>
        <v>0</v>
      </c>
      <c r="BN487" s="2720">
        <f t="shared" si="261"/>
        <v>0</v>
      </c>
      <c r="BO487" s="2720">
        <f t="shared" si="262"/>
        <v>0</v>
      </c>
      <c r="BP487" s="2720">
        <f t="shared" si="263"/>
        <v>0</v>
      </c>
      <c r="BQ487" s="2720">
        <f t="shared" si="264"/>
        <v>0</v>
      </c>
      <c r="BR487" s="2720">
        <f t="shared" si="265"/>
        <v>0</v>
      </c>
      <c r="BS487" s="2720">
        <f t="shared" si="266"/>
        <v>0</v>
      </c>
      <c r="BT487" s="2772">
        <f t="shared" si="267"/>
        <v>0</v>
      </c>
    </row>
    <row r="488" spans="1:72">
      <c r="A488" s="2717"/>
      <c r="B488" s="2718"/>
      <c r="C488" s="2718"/>
      <c r="D488" s="2719"/>
      <c r="E488" s="2720">
        <f t="shared" si="239"/>
        <v>0</v>
      </c>
      <c r="F488" s="2721"/>
      <c r="G488" s="2722">
        <f t="shared" si="240"/>
        <v>0</v>
      </c>
      <c r="H488" s="2723">
        <f t="shared" si="241"/>
        <v>0</v>
      </c>
      <c r="I488" s="2730"/>
      <c r="J488" s="2730"/>
      <c r="K488" s="2730"/>
      <c r="L488" s="2730"/>
      <c r="M488" s="2730"/>
      <c r="N488" s="2730"/>
      <c r="O488" s="2730"/>
      <c r="P488" s="2730"/>
      <c r="Q488" s="2730"/>
      <c r="R488" s="2730"/>
      <c r="S488" s="2730"/>
      <c r="T488" s="2730"/>
      <c r="U488" s="2730"/>
      <c r="V488" s="2730"/>
      <c r="W488" s="2730"/>
      <c r="X488" s="2730"/>
      <c r="Y488" s="2730"/>
      <c r="Z488" s="2730"/>
      <c r="AA488" s="2730"/>
      <c r="AB488" s="2730"/>
      <c r="AC488" s="2720">
        <f t="shared" si="242"/>
        <v>0</v>
      </c>
      <c r="AD488" s="2740"/>
      <c r="AE488" s="2740"/>
      <c r="AF488" s="2740"/>
      <c r="AG488" s="2740"/>
      <c r="AH488" s="2740"/>
      <c r="AI488" s="2740"/>
      <c r="AJ488" s="2740"/>
      <c r="AK488" s="2740"/>
      <c r="AL488" s="2740"/>
      <c r="AM488" s="2740"/>
      <c r="AN488" s="2740"/>
      <c r="AO488" s="2740"/>
      <c r="AP488" s="2740"/>
      <c r="AQ488" s="2740"/>
      <c r="AR488" s="2740"/>
      <c r="AS488" s="2740"/>
      <c r="AT488" s="2750"/>
      <c r="AU488" s="2751"/>
      <c r="AV488" s="1092">
        <f t="shared" si="243"/>
        <v>0</v>
      </c>
      <c r="AW488" s="1092">
        <f t="shared" si="244"/>
        <v>0</v>
      </c>
      <c r="AX488" s="1092">
        <f t="shared" si="245"/>
        <v>0</v>
      </c>
      <c r="AY488" s="2765">
        <f t="shared" si="246"/>
        <v>0</v>
      </c>
      <c r="AZ488" s="2720">
        <f t="shared" si="247"/>
        <v>0</v>
      </c>
      <c r="BA488" s="2720">
        <f t="shared" si="248"/>
        <v>0</v>
      </c>
      <c r="BB488" s="2720">
        <f t="shared" si="249"/>
        <v>0</v>
      </c>
      <c r="BC488" s="2720">
        <f t="shared" si="250"/>
        <v>0</v>
      </c>
      <c r="BD488" s="2720">
        <f t="shared" si="251"/>
        <v>0</v>
      </c>
      <c r="BE488" s="2720">
        <f t="shared" si="252"/>
        <v>0</v>
      </c>
      <c r="BF488" s="2720">
        <f t="shared" si="253"/>
        <v>0</v>
      </c>
      <c r="BG488" s="2720">
        <f t="shared" si="254"/>
        <v>0</v>
      </c>
      <c r="BH488" s="2720">
        <f t="shared" si="255"/>
        <v>0</v>
      </c>
      <c r="BI488" s="2720">
        <f t="shared" si="256"/>
        <v>0</v>
      </c>
      <c r="BJ488" s="2720">
        <f t="shared" si="257"/>
        <v>0</v>
      </c>
      <c r="BK488" s="2720">
        <f t="shared" si="258"/>
        <v>0</v>
      </c>
      <c r="BL488" s="2720">
        <f t="shared" si="259"/>
        <v>0</v>
      </c>
      <c r="BM488" s="2720">
        <f t="shared" si="260"/>
        <v>0</v>
      </c>
      <c r="BN488" s="2720">
        <f t="shared" si="261"/>
        <v>0</v>
      </c>
      <c r="BO488" s="2720">
        <f t="shared" si="262"/>
        <v>0</v>
      </c>
      <c r="BP488" s="2720">
        <f t="shared" si="263"/>
        <v>0</v>
      </c>
      <c r="BQ488" s="2720">
        <f t="shared" si="264"/>
        <v>0</v>
      </c>
      <c r="BR488" s="2720">
        <f t="shared" si="265"/>
        <v>0</v>
      </c>
      <c r="BS488" s="2720">
        <f t="shared" si="266"/>
        <v>0</v>
      </c>
      <c r="BT488" s="2772">
        <f t="shared" si="267"/>
        <v>0</v>
      </c>
    </row>
    <row r="489" spans="1:72">
      <c r="A489" s="2717"/>
      <c r="B489" s="2718"/>
      <c r="C489" s="2718"/>
      <c r="D489" s="2719"/>
      <c r="E489" s="2720">
        <f t="shared" si="239"/>
        <v>0</v>
      </c>
      <c r="F489" s="2721"/>
      <c r="G489" s="2722">
        <f t="shared" si="240"/>
        <v>0</v>
      </c>
      <c r="H489" s="2723">
        <f t="shared" si="241"/>
        <v>0</v>
      </c>
      <c r="I489" s="2730"/>
      <c r="J489" s="2730"/>
      <c r="K489" s="2730"/>
      <c r="L489" s="2730"/>
      <c r="M489" s="2730"/>
      <c r="N489" s="2730"/>
      <c r="O489" s="2730"/>
      <c r="P489" s="2730"/>
      <c r="Q489" s="2730"/>
      <c r="R489" s="2730"/>
      <c r="S489" s="2730"/>
      <c r="T489" s="2730"/>
      <c r="U489" s="2730"/>
      <c r="V489" s="2730"/>
      <c r="W489" s="2730"/>
      <c r="X489" s="2730"/>
      <c r="Y489" s="2730"/>
      <c r="Z489" s="2730"/>
      <c r="AA489" s="2730"/>
      <c r="AB489" s="2730"/>
      <c r="AC489" s="2720">
        <f t="shared" si="242"/>
        <v>0</v>
      </c>
      <c r="AD489" s="2740"/>
      <c r="AE489" s="2740"/>
      <c r="AF489" s="2740"/>
      <c r="AG489" s="2740"/>
      <c r="AH489" s="2740"/>
      <c r="AI489" s="2740"/>
      <c r="AJ489" s="2740"/>
      <c r="AK489" s="2740"/>
      <c r="AL489" s="2740"/>
      <c r="AM489" s="2740"/>
      <c r="AN489" s="2740"/>
      <c r="AO489" s="2740"/>
      <c r="AP489" s="2740"/>
      <c r="AQ489" s="2740"/>
      <c r="AR489" s="2740"/>
      <c r="AS489" s="2740"/>
      <c r="AT489" s="2750"/>
      <c r="AU489" s="2751"/>
      <c r="AV489" s="1092">
        <f t="shared" si="243"/>
        <v>0</v>
      </c>
      <c r="AW489" s="1092">
        <f t="shared" si="244"/>
        <v>0</v>
      </c>
      <c r="AX489" s="1092">
        <f t="shared" si="245"/>
        <v>0</v>
      </c>
      <c r="AY489" s="2765">
        <f t="shared" si="246"/>
        <v>0</v>
      </c>
      <c r="AZ489" s="2720">
        <f t="shared" si="247"/>
        <v>0</v>
      </c>
      <c r="BA489" s="2720">
        <f t="shared" si="248"/>
        <v>0</v>
      </c>
      <c r="BB489" s="2720">
        <f t="shared" si="249"/>
        <v>0</v>
      </c>
      <c r="BC489" s="2720">
        <f t="shared" si="250"/>
        <v>0</v>
      </c>
      <c r="BD489" s="2720">
        <f t="shared" si="251"/>
        <v>0</v>
      </c>
      <c r="BE489" s="2720">
        <f t="shared" si="252"/>
        <v>0</v>
      </c>
      <c r="BF489" s="2720">
        <f t="shared" si="253"/>
        <v>0</v>
      </c>
      <c r="BG489" s="2720">
        <f t="shared" si="254"/>
        <v>0</v>
      </c>
      <c r="BH489" s="2720">
        <f t="shared" si="255"/>
        <v>0</v>
      </c>
      <c r="BI489" s="2720">
        <f t="shared" si="256"/>
        <v>0</v>
      </c>
      <c r="BJ489" s="2720">
        <f t="shared" si="257"/>
        <v>0</v>
      </c>
      <c r="BK489" s="2720">
        <f t="shared" si="258"/>
        <v>0</v>
      </c>
      <c r="BL489" s="2720">
        <f t="shared" si="259"/>
        <v>0</v>
      </c>
      <c r="BM489" s="2720">
        <f t="shared" si="260"/>
        <v>0</v>
      </c>
      <c r="BN489" s="2720">
        <f t="shared" si="261"/>
        <v>0</v>
      </c>
      <c r="BO489" s="2720">
        <f t="shared" si="262"/>
        <v>0</v>
      </c>
      <c r="BP489" s="2720">
        <f t="shared" si="263"/>
        <v>0</v>
      </c>
      <c r="BQ489" s="2720">
        <f t="shared" si="264"/>
        <v>0</v>
      </c>
      <c r="BR489" s="2720">
        <f t="shared" si="265"/>
        <v>0</v>
      </c>
      <c r="BS489" s="2720">
        <f t="shared" si="266"/>
        <v>0</v>
      </c>
      <c r="BT489" s="2772">
        <f t="shared" si="267"/>
        <v>0</v>
      </c>
    </row>
    <row r="490" spans="1:72">
      <c r="A490" s="2717"/>
      <c r="B490" s="2717"/>
      <c r="C490" s="2717"/>
      <c r="D490" s="2719"/>
      <c r="E490" s="2720">
        <f t="shared" si="239"/>
        <v>0</v>
      </c>
      <c r="F490" s="2773"/>
      <c r="G490" s="2722">
        <f t="shared" ref="G490:G521" si="268">H490+AC490+AT490</f>
        <v>0</v>
      </c>
      <c r="H490" s="2723">
        <f t="shared" ref="H490:H521" si="269">SUMIF(I$12:AB$12,"总值",I490:AB490)</f>
        <v>0</v>
      </c>
      <c r="I490" s="2774"/>
      <c r="J490" s="2774"/>
      <c r="K490" s="2730"/>
      <c r="L490" s="2730"/>
      <c r="M490" s="2730"/>
      <c r="N490" s="2730"/>
      <c r="O490" s="2730"/>
      <c r="P490" s="2730"/>
      <c r="Q490" s="2730"/>
      <c r="R490" s="2730"/>
      <c r="S490" s="2730"/>
      <c r="T490" s="2730"/>
      <c r="U490" s="2730"/>
      <c r="V490" s="2730"/>
      <c r="W490" s="2730"/>
      <c r="X490" s="2730"/>
      <c r="Y490" s="2730"/>
      <c r="Z490" s="2730"/>
      <c r="AA490" s="2730"/>
      <c r="AB490" s="2730"/>
      <c r="AC490" s="2720">
        <f t="shared" ref="AC490:AC521" si="270">SUMIF(AD$12:AS$12,"总值",AD490:AS490)</f>
        <v>0</v>
      </c>
      <c r="AD490" s="2740"/>
      <c r="AE490" s="2740"/>
      <c r="AF490" s="2740"/>
      <c r="AG490" s="2740"/>
      <c r="AH490" s="2740"/>
      <c r="AI490" s="2740"/>
      <c r="AJ490" s="2740"/>
      <c r="AK490" s="2740"/>
      <c r="AL490" s="2740"/>
      <c r="AM490" s="2740"/>
      <c r="AN490" s="2740"/>
      <c r="AO490" s="2740"/>
      <c r="AP490" s="2740"/>
      <c r="AQ490" s="2740"/>
      <c r="AR490" s="2740"/>
      <c r="AS490" s="2740"/>
      <c r="AT490" s="2740"/>
      <c r="AU490" s="2775"/>
      <c r="AV490" s="1092">
        <f t="shared" si="243"/>
        <v>0</v>
      </c>
      <c r="AW490" s="1092">
        <f t="shared" si="244"/>
        <v>0</v>
      </c>
      <c r="AX490" s="1092">
        <f t="shared" si="245"/>
        <v>0</v>
      </c>
      <c r="AY490" s="2765">
        <f t="shared" ref="AY490:AY521" si="271">ROUND($AY$6*AZ490/$AZ$5,2)</f>
        <v>0</v>
      </c>
      <c r="AZ490" s="2720">
        <f t="shared" ref="AZ490:AZ521" si="272">BA490+BL490</f>
        <v>0</v>
      </c>
      <c r="BA490" s="2720">
        <f t="shared" ref="BA490:BA521" si="273">SUM(BB490:BK490)</f>
        <v>0</v>
      </c>
      <c r="BB490" s="2720">
        <f t="shared" ref="BB490:BB521" si="274">IF($D490="是",I490-J490,0)</f>
        <v>0</v>
      </c>
      <c r="BC490" s="2720">
        <f t="shared" ref="BC490:BC521" si="275">IF($D490="是",K490-L490,0)</f>
        <v>0</v>
      </c>
      <c r="BD490" s="2720">
        <f t="shared" ref="BD490:BD521" si="276">IF($D490="是",M490-N490,0)</f>
        <v>0</v>
      </c>
      <c r="BE490" s="2720">
        <f t="shared" ref="BE490:BE521" si="277">IF($D490="是",O490-P490,0)</f>
        <v>0</v>
      </c>
      <c r="BF490" s="2720">
        <f t="shared" ref="BF490:BF521" si="278">IF($D490="是",Q490-R490,0)</f>
        <v>0</v>
      </c>
      <c r="BG490" s="2720">
        <f t="shared" ref="BG490:BG521" si="279">IF($D490="是",S490-T490,0)</f>
        <v>0</v>
      </c>
      <c r="BH490" s="2720">
        <f t="shared" ref="BH490:BH521" si="280">IF($D490="是",U490-V490,0)</f>
        <v>0</v>
      </c>
      <c r="BI490" s="2720">
        <f t="shared" ref="BI490:BI521" si="281">IF($D490="是",W490-X490,0)</f>
        <v>0</v>
      </c>
      <c r="BJ490" s="2720">
        <f t="shared" ref="BJ490:BJ521" si="282">IF($D490="是",Y490-Z490,0)</f>
        <v>0</v>
      </c>
      <c r="BK490" s="2720">
        <f t="shared" ref="BK490:BK521" si="283">IF($D490="是",AA490-AB490,0)</f>
        <v>0</v>
      </c>
      <c r="BL490" s="2720">
        <f t="shared" ref="BL490:BL521" si="284">SUM(BM490:BT490)</f>
        <v>0</v>
      </c>
      <c r="BM490" s="2720">
        <f t="shared" ref="BM490:BM521" si="285">IF($D490="是",AD490-AE490,0)</f>
        <v>0</v>
      </c>
      <c r="BN490" s="2720">
        <f t="shared" ref="BN490:BN521" si="286">IF($D490="是",AF490-AG490,0)</f>
        <v>0</v>
      </c>
      <c r="BO490" s="2720">
        <f t="shared" ref="BO490:BO521" si="287">IF($D490="是",AH490-AI490,0)</f>
        <v>0</v>
      </c>
      <c r="BP490" s="2720">
        <f t="shared" ref="BP490:BP521" si="288">IF($D490="是",AJ490-AK490,0)</f>
        <v>0</v>
      </c>
      <c r="BQ490" s="2720">
        <f t="shared" ref="BQ490:BQ521" si="289">IF($D490="是",AL490-AM490,0)</f>
        <v>0</v>
      </c>
      <c r="BR490" s="2720">
        <f t="shared" ref="BR490:BR521" si="290">IF($D490="是",AN490-AO490,0)</f>
        <v>0</v>
      </c>
      <c r="BS490" s="2720">
        <f t="shared" ref="BS490:BS521" si="291">IF($D490="是",AP490-AQ490,0)</f>
        <v>0</v>
      </c>
      <c r="BT490" s="2772">
        <f t="shared" ref="BT490:BT521" si="292">IF($D490="是",AR490-AS490,0)</f>
        <v>0</v>
      </c>
    </row>
    <row r="491" spans="1:72">
      <c r="A491" s="2717"/>
      <c r="B491" s="2717"/>
      <c r="C491" s="2717"/>
      <c r="D491" s="2719"/>
      <c r="E491" s="2720">
        <f t="shared" si="239"/>
        <v>0</v>
      </c>
      <c r="F491" s="2773"/>
      <c r="G491" s="2722">
        <f t="shared" si="268"/>
        <v>0</v>
      </c>
      <c r="H491" s="2723">
        <f t="shared" si="269"/>
        <v>0</v>
      </c>
      <c r="I491" s="2730"/>
      <c r="J491" s="2730"/>
      <c r="K491" s="2730"/>
      <c r="L491" s="2730"/>
      <c r="M491" s="2730"/>
      <c r="N491" s="2730"/>
      <c r="O491" s="2730"/>
      <c r="P491" s="2730"/>
      <c r="Q491" s="2730"/>
      <c r="R491" s="2730"/>
      <c r="S491" s="2730"/>
      <c r="T491" s="2730"/>
      <c r="U491" s="2730"/>
      <c r="V491" s="2730"/>
      <c r="W491" s="2730"/>
      <c r="X491" s="2730"/>
      <c r="Y491" s="2730"/>
      <c r="Z491" s="2730"/>
      <c r="AA491" s="2730"/>
      <c r="AB491" s="2730"/>
      <c r="AC491" s="2720">
        <f t="shared" si="270"/>
        <v>0</v>
      </c>
      <c r="AD491" s="2740"/>
      <c r="AE491" s="2740"/>
      <c r="AF491" s="2740"/>
      <c r="AG491" s="2740"/>
      <c r="AH491" s="2740"/>
      <c r="AI491" s="2740"/>
      <c r="AJ491" s="2740"/>
      <c r="AK491" s="2740"/>
      <c r="AL491" s="2740"/>
      <c r="AM491" s="2740"/>
      <c r="AN491" s="2740"/>
      <c r="AO491" s="2740"/>
      <c r="AP491" s="2740"/>
      <c r="AQ491" s="2740"/>
      <c r="AR491" s="2740"/>
      <c r="AS491" s="2740"/>
      <c r="AT491" s="2740"/>
      <c r="AU491" s="2775"/>
      <c r="AV491" s="1092">
        <f t="shared" si="243"/>
        <v>0</v>
      </c>
      <c r="AW491" s="1092">
        <f t="shared" si="244"/>
        <v>0</v>
      </c>
      <c r="AX491" s="1092">
        <f t="shared" si="245"/>
        <v>0</v>
      </c>
      <c r="AY491" s="2765">
        <f t="shared" si="271"/>
        <v>0</v>
      </c>
      <c r="AZ491" s="2720">
        <f t="shared" si="272"/>
        <v>0</v>
      </c>
      <c r="BA491" s="2720">
        <f t="shared" si="273"/>
        <v>0</v>
      </c>
      <c r="BB491" s="2720">
        <f t="shared" si="274"/>
        <v>0</v>
      </c>
      <c r="BC491" s="2720">
        <f t="shared" si="275"/>
        <v>0</v>
      </c>
      <c r="BD491" s="2720">
        <f t="shared" si="276"/>
        <v>0</v>
      </c>
      <c r="BE491" s="2720">
        <f t="shared" si="277"/>
        <v>0</v>
      </c>
      <c r="BF491" s="2720">
        <f t="shared" si="278"/>
        <v>0</v>
      </c>
      <c r="BG491" s="2720">
        <f t="shared" si="279"/>
        <v>0</v>
      </c>
      <c r="BH491" s="2720">
        <f t="shared" si="280"/>
        <v>0</v>
      </c>
      <c r="BI491" s="2720">
        <f t="shared" si="281"/>
        <v>0</v>
      </c>
      <c r="BJ491" s="2720">
        <f t="shared" si="282"/>
        <v>0</v>
      </c>
      <c r="BK491" s="2720">
        <f t="shared" si="283"/>
        <v>0</v>
      </c>
      <c r="BL491" s="2720">
        <f t="shared" si="284"/>
        <v>0</v>
      </c>
      <c r="BM491" s="2720">
        <f t="shared" si="285"/>
        <v>0</v>
      </c>
      <c r="BN491" s="2720">
        <f t="shared" si="286"/>
        <v>0</v>
      </c>
      <c r="BO491" s="2720">
        <f t="shared" si="287"/>
        <v>0</v>
      </c>
      <c r="BP491" s="2720">
        <f t="shared" si="288"/>
        <v>0</v>
      </c>
      <c r="BQ491" s="2720">
        <f t="shared" si="289"/>
        <v>0</v>
      </c>
      <c r="BR491" s="2720">
        <f t="shared" si="290"/>
        <v>0</v>
      </c>
      <c r="BS491" s="2720">
        <f t="shared" si="291"/>
        <v>0</v>
      </c>
      <c r="BT491" s="2772">
        <f t="shared" si="292"/>
        <v>0</v>
      </c>
    </row>
    <row r="492" spans="1:72">
      <c r="A492" s="2717"/>
      <c r="B492" s="2717"/>
      <c r="C492" s="2717"/>
      <c r="D492" s="2719"/>
      <c r="E492" s="2720">
        <f t="shared" si="239"/>
        <v>0</v>
      </c>
      <c r="F492" s="2773"/>
      <c r="G492" s="2722">
        <f t="shared" si="268"/>
        <v>0</v>
      </c>
      <c r="H492" s="2723">
        <f t="shared" si="269"/>
        <v>0</v>
      </c>
      <c r="I492" s="2730"/>
      <c r="J492" s="2730"/>
      <c r="K492" s="2730"/>
      <c r="L492" s="2730"/>
      <c r="M492" s="2730"/>
      <c r="N492" s="2730"/>
      <c r="O492" s="2730"/>
      <c r="P492" s="2730"/>
      <c r="Q492" s="2730"/>
      <c r="R492" s="2730"/>
      <c r="S492" s="2730"/>
      <c r="T492" s="2730"/>
      <c r="U492" s="2730"/>
      <c r="V492" s="2730"/>
      <c r="W492" s="2730"/>
      <c r="X492" s="2730"/>
      <c r="Y492" s="2730"/>
      <c r="Z492" s="2730"/>
      <c r="AA492" s="2730"/>
      <c r="AB492" s="2730"/>
      <c r="AC492" s="2720">
        <f t="shared" si="270"/>
        <v>0</v>
      </c>
      <c r="AD492" s="2740"/>
      <c r="AE492" s="2740"/>
      <c r="AF492" s="2740"/>
      <c r="AG492" s="2740"/>
      <c r="AH492" s="2740"/>
      <c r="AI492" s="2740"/>
      <c r="AJ492" s="2740"/>
      <c r="AK492" s="2740"/>
      <c r="AL492" s="2740"/>
      <c r="AM492" s="2740"/>
      <c r="AN492" s="2740"/>
      <c r="AO492" s="2740"/>
      <c r="AP492" s="2740"/>
      <c r="AQ492" s="2740"/>
      <c r="AR492" s="2740"/>
      <c r="AS492" s="2740"/>
      <c r="AT492" s="2740"/>
      <c r="AU492" s="2775"/>
      <c r="AV492" s="1092">
        <f t="shared" si="243"/>
        <v>0</v>
      </c>
      <c r="AW492" s="1092">
        <f t="shared" si="244"/>
        <v>0</v>
      </c>
      <c r="AX492" s="1092">
        <f t="shared" si="245"/>
        <v>0</v>
      </c>
      <c r="AY492" s="2765">
        <f t="shared" si="271"/>
        <v>0</v>
      </c>
      <c r="AZ492" s="2720">
        <f t="shared" si="272"/>
        <v>0</v>
      </c>
      <c r="BA492" s="2720">
        <f t="shared" si="273"/>
        <v>0</v>
      </c>
      <c r="BB492" s="2720">
        <f t="shared" si="274"/>
        <v>0</v>
      </c>
      <c r="BC492" s="2720">
        <f t="shared" si="275"/>
        <v>0</v>
      </c>
      <c r="BD492" s="2720">
        <f t="shared" si="276"/>
        <v>0</v>
      </c>
      <c r="BE492" s="2720">
        <f t="shared" si="277"/>
        <v>0</v>
      </c>
      <c r="BF492" s="2720">
        <f t="shared" si="278"/>
        <v>0</v>
      </c>
      <c r="BG492" s="2720">
        <f t="shared" si="279"/>
        <v>0</v>
      </c>
      <c r="BH492" s="2720">
        <f t="shared" si="280"/>
        <v>0</v>
      </c>
      <c r="BI492" s="2720">
        <f t="shared" si="281"/>
        <v>0</v>
      </c>
      <c r="BJ492" s="2720">
        <f t="shared" si="282"/>
        <v>0</v>
      </c>
      <c r="BK492" s="2720">
        <f t="shared" si="283"/>
        <v>0</v>
      </c>
      <c r="BL492" s="2720">
        <f t="shared" si="284"/>
        <v>0</v>
      </c>
      <c r="BM492" s="2720">
        <f t="shared" si="285"/>
        <v>0</v>
      </c>
      <c r="BN492" s="2720">
        <f t="shared" si="286"/>
        <v>0</v>
      </c>
      <c r="BO492" s="2720">
        <f t="shared" si="287"/>
        <v>0</v>
      </c>
      <c r="BP492" s="2720">
        <f t="shared" si="288"/>
        <v>0</v>
      </c>
      <c r="BQ492" s="2720">
        <f t="shared" si="289"/>
        <v>0</v>
      </c>
      <c r="BR492" s="2720">
        <f t="shared" si="290"/>
        <v>0</v>
      </c>
      <c r="BS492" s="2720">
        <f t="shared" si="291"/>
        <v>0</v>
      </c>
      <c r="BT492" s="2772">
        <f t="shared" si="292"/>
        <v>0</v>
      </c>
    </row>
    <row r="493" spans="1:72">
      <c r="A493" s="2717"/>
      <c r="B493" s="2718"/>
      <c r="C493" s="2718"/>
      <c r="D493" s="2719"/>
      <c r="E493" s="2720">
        <f t="shared" ref="E493:E519" si="293">IF($C$3="是",ROUND($A$3*G493/$B$3,2),ROUND($A$3*(G493-AT493)/$B$3,2))</f>
        <v>0</v>
      </c>
      <c r="F493" s="2721"/>
      <c r="G493" s="2722">
        <f t="shared" si="268"/>
        <v>0</v>
      </c>
      <c r="H493" s="2723">
        <f t="shared" si="269"/>
        <v>0</v>
      </c>
      <c r="I493" s="2730"/>
      <c r="J493" s="2730"/>
      <c r="K493" s="2730"/>
      <c r="L493" s="2730"/>
      <c r="M493" s="2730"/>
      <c r="N493" s="2730"/>
      <c r="O493" s="2730"/>
      <c r="P493" s="2730"/>
      <c r="Q493" s="2730"/>
      <c r="R493" s="2730"/>
      <c r="S493" s="2730"/>
      <c r="T493" s="2730"/>
      <c r="U493" s="2730"/>
      <c r="V493" s="2730"/>
      <c r="W493" s="2730"/>
      <c r="X493" s="2730"/>
      <c r="Y493" s="2730"/>
      <c r="Z493" s="2730"/>
      <c r="AA493" s="2730"/>
      <c r="AB493" s="2730"/>
      <c r="AC493" s="2720">
        <f t="shared" si="270"/>
        <v>0</v>
      </c>
      <c r="AD493" s="2740"/>
      <c r="AE493" s="2740"/>
      <c r="AF493" s="2740"/>
      <c r="AG493" s="2740"/>
      <c r="AH493" s="2740"/>
      <c r="AI493" s="2740"/>
      <c r="AJ493" s="2740"/>
      <c r="AK493" s="2740"/>
      <c r="AL493" s="2740"/>
      <c r="AM493" s="2740"/>
      <c r="AN493" s="2740"/>
      <c r="AO493" s="2740"/>
      <c r="AP493" s="2740"/>
      <c r="AQ493" s="2740"/>
      <c r="AR493" s="2740"/>
      <c r="AS493" s="2740"/>
      <c r="AT493" s="2750"/>
      <c r="AU493" s="2751"/>
      <c r="AV493" s="1092">
        <f t="shared" ref="AV493:AV520" si="294">A493</f>
        <v>0</v>
      </c>
      <c r="AW493" s="1092">
        <f t="shared" ref="AW493:AW520" si="295">B493</f>
        <v>0</v>
      </c>
      <c r="AX493" s="1092">
        <f t="shared" ref="AX493:AX520" si="296">C493</f>
        <v>0</v>
      </c>
      <c r="AY493" s="2765">
        <f t="shared" si="271"/>
        <v>0</v>
      </c>
      <c r="AZ493" s="2720">
        <f t="shared" si="272"/>
        <v>0</v>
      </c>
      <c r="BA493" s="2720">
        <f t="shared" si="273"/>
        <v>0</v>
      </c>
      <c r="BB493" s="2720">
        <f t="shared" si="274"/>
        <v>0</v>
      </c>
      <c r="BC493" s="2720">
        <f t="shared" si="275"/>
        <v>0</v>
      </c>
      <c r="BD493" s="2720">
        <f t="shared" si="276"/>
        <v>0</v>
      </c>
      <c r="BE493" s="2720">
        <f t="shared" si="277"/>
        <v>0</v>
      </c>
      <c r="BF493" s="2720">
        <f t="shared" si="278"/>
        <v>0</v>
      </c>
      <c r="BG493" s="2720">
        <f t="shared" si="279"/>
        <v>0</v>
      </c>
      <c r="BH493" s="2720">
        <f t="shared" si="280"/>
        <v>0</v>
      </c>
      <c r="BI493" s="2720">
        <f t="shared" si="281"/>
        <v>0</v>
      </c>
      <c r="BJ493" s="2720">
        <f t="shared" si="282"/>
        <v>0</v>
      </c>
      <c r="BK493" s="2720">
        <f t="shared" si="283"/>
        <v>0</v>
      </c>
      <c r="BL493" s="2720">
        <f t="shared" si="284"/>
        <v>0</v>
      </c>
      <c r="BM493" s="2720">
        <f t="shared" si="285"/>
        <v>0</v>
      </c>
      <c r="BN493" s="2720">
        <f t="shared" si="286"/>
        <v>0</v>
      </c>
      <c r="BO493" s="2720">
        <f t="shared" si="287"/>
        <v>0</v>
      </c>
      <c r="BP493" s="2720">
        <f t="shared" si="288"/>
        <v>0</v>
      </c>
      <c r="BQ493" s="2720">
        <f t="shared" si="289"/>
        <v>0</v>
      </c>
      <c r="BR493" s="2720">
        <f t="shared" si="290"/>
        <v>0</v>
      </c>
      <c r="BS493" s="2720">
        <f t="shared" si="291"/>
        <v>0</v>
      </c>
      <c r="BT493" s="2772">
        <f t="shared" si="292"/>
        <v>0</v>
      </c>
    </row>
    <row r="494" spans="1:72">
      <c r="A494" s="2717"/>
      <c r="B494" s="2718"/>
      <c r="C494" s="2718"/>
      <c r="D494" s="2719"/>
      <c r="E494" s="2720">
        <f t="shared" si="293"/>
        <v>0</v>
      </c>
      <c r="F494" s="2721"/>
      <c r="G494" s="2722">
        <f t="shared" si="268"/>
        <v>0</v>
      </c>
      <c r="H494" s="2723">
        <f t="shared" si="269"/>
        <v>0</v>
      </c>
      <c r="I494" s="2730"/>
      <c r="J494" s="2730"/>
      <c r="K494" s="2730"/>
      <c r="L494" s="2730"/>
      <c r="M494" s="2730"/>
      <c r="N494" s="2730"/>
      <c r="O494" s="2730"/>
      <c r="P494" s="2730"/>
      <c r="Q494" s="2730"/>
      <c r="R494" s="2730"/>
      <c r="S494" s="2730"/>
      <c r="T494" s="2730"/>
      <c r="U494" s="2730"/>
      <c r="V494" s="2730"/>
      <c r="W494" s="2730"/>
      <c r="X494" s="2730"/>
      <c r="Y494" s="2730"/>
      <c r="Z494" s="2730"/>
      <c r="AA494" s="2730"/>
      <c r="AB494" s="2730"/>
      <c r="AC494" s="2720">
        <f t="shared" si="270"/>
        <v>0</v>
      </c>
      <c r="AD494" s="2740"/>
      <c r="AE494" s="2740"/>
      <c r="AF494" s="2740"/>
      <c r="AG494" s="2740"/>
      <c r="AH494" s="2740"/>
      <c r="AI494" s="2740"/>
      <c r="AJ494" s="2740"/>
      <c r="AK494" s="2740"/>
      <c r="AL494" s="2740"/>
      <c r="AM494" s="2740"/>
      <c r="AN494" s="2740"/>
      <c r="AO494" s="2740"/>
      <c r="AP494" s="2740"/>
      <c r="AQ494" s="2740"/>
      <c r="AR494" s="2740"/>
      <c r="AS494" s="2740"/>
      <c r="AT494" s="2750"/>
      <c r="AU494" s="2751"/>
      <c r="AV494" s="1092">
        <f t="shared" si="294"/>
        <v>0</v>
      </c>
      <c r="AW494" s="1092">
        <f t="shared" si="295"/>
        <v>0</v>
      </c>
      <c r="AX494" s="1092">
        <f t="shared" si="296"/>
        <v>0</v>
      </c>
      <c r="AY494" s="2765">
        <f t="shared" si="271"/>
        <v>0</v>
      </c>
      <c r="AZ494" s="2720">
        <f t="shared" si="272"/>
        <v>0</v>
      </c>
      <c r="BA494" s="2720">
        <f t="shared" si="273"/>
        <v>0</v>
      </c>
      <c r="BB494" s="2720">
        <f t="shared" si="274"/>
        <v>0</v>
      </c>
      <c r="BC494" s="2720">
        <f t="shared" si="275"/>
        <v>0</v>
      </c>
      <c r="BD494" s="2720">
        <f t="shared" si="276"/>
        <v>0</v>
      </c>
      <c r="BE494" s="2720">
        <f t="shared" si="277"/>
        <v>0</v>
      </c>
      <c r="BF494" s="2720">
        <f t="shared" si="278"/>
        <v>0</v>
      </c>
      <c r="BG494" s="2720">
        <f t="shared" si="279"/>
        <v>0</v>
      </c>
      <c r="BH494" s="2720">
        <f t="shared" si="280"/>
        <v>0</v>
      </c>
      <c r="BI494" s="2720">
        <f t="shared" si="281"/>
        <v>0</v>
      </c>
      <c r="BJ494" s="2720">
        <f t="shared" si="282"/>
        <v>0</v>
      </c>
      <c r="BK494" s="2720">
        <f t="shared" si="283"/>
        <v>0</v>
      </c>
      <c r="BL494" s="2720">
        <f t="shared" si="284"/>
        <v>0</v>
      </c>
      <c r="BM494" s="2720">
        <f t="shared" si="285"/>
        <v>0</v>
      </c>
      <c r="BN494" s="2720">
        <f t="shared" si="286"/>
        <v>0</v>
      </c>
      <c r="BO494" s="2720">
        <f t="shared" si="287"/>
        <v>0</v>
      </c>
      <c r="BP494" s="2720">
        <f t="shared" si="288"/>
        <v>0</v>
      </c>
      <c r="BQ494" s="2720">
        <f t="shared" si="289"/>
        <v>0</v>
      </c>
      <c r="BR494" s="2720">
        <f t="shared" si="290"/>
        <v>0</v>
      </c>
      <c r="BS494" s="2720">
        <f t="shared" si="291"/>
        <v>0</v>
      </c>
      <c r="BT494" s="2772">
        <f t="shared" si="292"/>
        <v>0</v>
      </c>
    </row>
    <row r="495" spans="1:72">
      <c r="A495" s="2717"/>
      <c r="B495" s="2718"/>
      <c r="C495" s="2718"/>
      <c r="D495" s="2719"/>
      <c r="E495" s="2720">
        <f t="shared" si="293"/>
        <v>0</v>
      </c>
      <c r="F495" s="2721"/>
      <c r="G495" s="2722">
        <f t="shared" si="268"/>
        <v>0</v>
      </c>
      <c r="H495" s="2723">
        <f t="shared" si="269"/>
        <v>0</v>
      </c>
      <c r="I495" s="2730"/>
      <c r="J495" s="2730"/>
      <c r="K495" s="2730"/>
      <c r="L495" s="2730"/>
      <c r="M495" s="2730"/>
      <c r="N495" s="2730"/>
      <c r="O495" s="2730"/>
      <c r="P495" s="2730"/>
      <c r="Q495" s="2730"/>
      <c r="R495" s="2730"/>
      <c r="S495" s="2730"/>
      <c r="T495" s="2730"/>
      <c r="U495" s="2730"/>
      <c r="V495" s="2730"/>
      <c r="W495" s="2730"/>
      <c r="X495" s="2730"/>
      <c r="Y495" s="2730"/>
      <c r="Z495" s="2730"/>
      <c r="AA495" s="2730"/>
      <c r="AB495" s="2730"/>
      <c r="AC495" s="2720">
        <f t="shared" si="270"/>
        <v>0</v>
      </c>
      <c r="AD495" s="2740"/>
      <c r="AE495" s="2740"/>
      <c r="AF495" s="2740"/>
      <c r="AG495" s="2740"/>
      <c r="AH495" s="2740"/>
      <c r="AI495" s="2740"/>
      <c r="AJ495" s="2740"/>
      <c r="AK495" s="2740"/>
      <c r="AL495" s="2740"/>
      <c r="AM495" s="2740"/>
      <c r="AN495" s="2740"/>
      <c r="AO495" s="2740"/>
      <c r="AP495" s="2740"/>
      <c r="AQ495" s="2740"/>
      <c r="AR495" s="2740"/>
      <c r="AS495" s="2740"/>
      <c r="AT495" s="2750"/>
      <c r="AU495" s="2751"/>
      <c r="AV495" s="1092">
        <f t="shared" si="294"/>
        <v>0</v>
      </c>
      <c r="AW495" s="1092">
        <f t="shared" si="295"/>
        <v>0</v>
      </c>
      <c r="AX495" s="1092">
        <f t="shared" si="296"/>
        <v>0</v>
      </c>
      <c r="AY495" s="2765">
        <f t="shared" si="271"/>
        <v>0</v>
      </c>
      <c r="AZ495" s="2720">
        <f t="shared" si="272"/>
        <v>0</v>
      </c>
      <c r="BA495" s="2720">
        <f t="shared" si="273"/>
        <v>0</v>
      </c>
      <c r="BB495" s="2720">
        <f t="shared" si="274"/>
        <v>0</v>
      </c>
      <c r="BC495" s="2720">
        <f t="shared" si="275"/>
        <v>0</v>
      </c>
      <c r="BD495" s="2720">
        <f t="shared" si="276"/>
        <v>0</v>
      </c>
      <c r="BE495" s="2720">
        <f t="shared" si="277"/>
        <v>0</v>
      </c>
      <c r="BF495" s="2720">
        <f t="shared" si="278"/>
        <v>0</v>
      </c>
      <c r="BG495" s="2720">
        <f t="shared" si="279"/>
        <v>0</v>
      </c>
      <c r="BH495" s="2720">
        <f t="shared" si="280"/>
        <v>0</v>
      </c>
      <c r="BI495" s="2720">
        <f t="shared" si="281"/>
        <v>0</v>
      </c>
      <c r="BJ495" s="2720">
        <f t="shared" si="282"/>
        <v>0</v>
      </c>
      <c r="BK495" s="2720">
        <f t="shared" si="283"/>
        <v>0</v>
      </c>
      <c r="BL495" s="2720">
        <f t="shared" si="284"/>
        <v>0</v>
      </c>
      <c r="BM495" s="2720">
        <f t="shared" si="285"/>
        <v>0</v>
      </c>
      <c r="BN495" s="2720">
        <f t="shared" si="286"/>
        <v>0</v>
      </c>
      <c r="BO495" s="2720">
        <f t="shared" si="287"/>
        <v>0</v>
      </c>
      <c r="BP495" s="2720">
        <f t="shared" si="288"/>
        <v>0</v>
      </c>
      <c r="BQ495" s="2720">
        <f t="shared" si="289"/>
        <v>0</v>
      </c>
      <c r="BR495" s="2720">
        <f t="shared" si="290"/>
        <v>0</v>
      </c>
      <c r="BS495" s="2720">
        <f t="shared" si="291"/>
        <v>0</v>
      </c>
      <c r="BT495" s="2772">
        <f t="shared" si="292"/>
        <v>0</v>
      </c>
    </row>
    <row r="496" spans="1:72">
      <c r="A496" s="2717"/>
      <c r="B496" s="2718"/>
      <c r="C496" s="2718"/>
      <c r="D496" s="2719"/>
      <c r="E496" s="2720">
        <f t="shared" si="293"/>
        <v>0</v>
      </c>
      <c r="F496" s="2721"/>
      <c r="G496" s="2722">
        <f t="shared" si="268"/>
        <v>0</v>
      </c>
      <c r="H496" s="2723">
        <f t="shared" si="269"/>
        <v>0</v>
      </c>
      <c r="I496" s="2730"/>
      <c r="J496" s="2730"/>
      <c r="K496" s="2730"/>
      <c r="L496" s="2730"/>
      <c r="M496" s="2730"/>
      <c r="N496" s="2730"/>
      <c r="O496" s="2730"/>
      <c r="P496" s="2730"/>
      <c r="Q496" s="2730"/>
      <c r="R496" s="2730"/>
      <c r="S496" s="2730"/>
      <c r="T496" s="2730"/>
      <c r="U496" s="2730"/>
      <c r="V496" s="2730"/>
      <c r="W496" s="2730"/>
      <c r="X496" s="2730"/>
      <c r="Y496" s="2730"/>
      <c r="Z496" s="2730"/>
      <c r="AA496" s="2730"/>
      <c r="AB496" s="2730"/>
      <c r="AC496" s="2720">
        <f t="shared" si="270"/>
        <v>0</v>
      </c>
      <c r="AD496" s="2740"/>
      <c r="AE496" s="2740"/>
      <c r="AF496" s="2740"/>
      <c r="AG496" s="2740"/>
      <c r="AH496" s="2740"/>
      <c r="AI496" s="2740"/>
      <c r="AJ496" s="2740"/>
      <c r="AK496" s="2740"/>
      <c r="AL496" s="2740"/>
      <c r="AM496" s="2740"/>
      <c r="AN496" s="2740"/>
      <c r="AO496" s="2740"/>
      <c r="AP496" s="2740"/>
      <c r="AQ496" s="2740"/>
      <c r="AR496" s="2740"/>
      <c r="AS496" s="2740"/>
      <c r="AT496" s="2750"/>
      <c r="AU496" s="2751"/>
      <c r="AV496" s="1092">
        <f t="shared" si="294"/>
        <v>0</v>
      </c>
      <c r="AW496" s="1092">
        <f t="shared" si="295"/>
        <v>0</v>
      </c>
      <c r="AX496" s="1092">
        <f t="shared" si="296"/>
        <v>0</v>
      </c>
      <c r="AY496" s="2765">
        <f t="shared" si="271"/>
        <v>0</v>
      </c>
      <c r="AZ496" s="2720">
        <f t="shared" si="272"/>
        <v>0</v>
      </c>
      <c r="BA496" s="2720">
        <f t="shared" si="273"/>
        <v>0</v>
      </c>
      <c r="BB496" s="2720">
        <f t="shared" si="274"/>
        <v>0</v>
      </c>
      <c r="BC496" s="2720">
        <f t="shared" si="275"/>
        <v>0</v>
      </c>
      <c r="BD496" s="2720">
        <f t="shared" si="276"/>
        <v>0</v>
      </c>
      <c r="BE496" s="2720">
        <f t="shared" si="277"/>
        <v>0</v>
      </c>
      <c r="BF496" s="2720">
        <f t="shared" si="278"/>
        <v>0</v>
      </c>
      <c r="BG496" s="2720">
        <f t="shared" si="279"/>
        <v>0</v>
      </c>
      <c r="BH496" s="2720">
        <f t="shared" si="280"/>
        <v>0</v>
      </c>
      <c r="BI496" s="2720">
        <f t="shared" si="281"/>
        <v>0</v>
      </c>
      <c r="BJ496" s="2720">
        <f t="shared" si="282"/>
        <v>0</v>
      </c>
      <c r="BK496" s="2720">
        <f t="shared" si="283"/>
        <v>0</v>
      </c>
      <c r="BL496" s="2720">
        <f t="shared" si="284"/>
        <v>0</v>
      </c>
      <c r="BM496" s="2720">
        <f t="shared" si="285"/>
        <v>0</v>
      </c>
      <c r="BN496" s="2720">
        <f t="shared" si="286"/>
        <v>0</v>
      </c>
      <c r="BO496" s="2720">
        <f t="shared" si="287"/>
        <v>0</v>
      </c>
      <c r="BP496" s="2720">
        <f t="shared" si="288"/>
        <v>0</v>
      </c>
      <c r="BQ496" s="2720">
        <f t="shared" si="289"/>
        <v>0</v>
      </c>
      <c r="BR496" s="2720">
        <f t="shared" si="290"/>
        <v>0</v>
      </c>
      <c r="BS496" s="2720">
        <f t="shared" si="291"/>
        <v>0</v>
      </c>
      <c r="BT496" s="2772">
        <f t="shared" si="292"/>
        <v>0</v>
      </c>
    </row>
    <row r="497" spans="1:72">
      <c r="A497" s="2717"/>
      <c r="B497" s="2718"/>
      <c r="C497" s="2718"/>
      <c r="D497" s="2719"/>
      <c r="E497" s="2720">
        <f t="shared" si="293"/>
        <v>0</v>
      </c>
      <c r="F497" s="2721"/>
      <c r="G497" s="2722">
        <f t="shared" si="268"/>
        <v>0</v>
      </c>
      <c r="H497" s="2723">
        <f t="shared" si="269"/>
        <v>0</v>
      </c>
      <c r="I497" s="2730"/>
      <c r="J497" s="2730"/>
      <c r="K497" s="2730"/>
      <c r="L497" s="2730"/>
      <c r="M497" s="2730"/>
      <c r="N497" s="2730"/>
      <c r="O497" s="2730"/>
      <c r="P497" s="2730"/>
      <c r="Q497" s="2730"/>
      <c r="R497" s="2730"/>
      <c r="S497" s="2730"/>
      <c r="T497" s="2730"/>
      <c r="U497" s="2730"/>
      <c r="V497" s="2730"/>
      <c r="W497" s="2730"/>
      <c r="X497" s="2730"/>
      <c r="Y497" s="2730"/>
      <c r="Z497" s="2730"/>
      <c r="AA497" s="2730"/>
      <c r="AB497" s="2730"/>
      <c r="AC497" s="2720">
        <f t="shared" si="270"/>
        <v>0</v>
      </c>
      <c r="AD497" s="2740"/>
      <c r="AE497" s="2740"/>
      <c r="AF497" s="2740"/>
      <c r="AG497" s="2740"/>
      <c r="AH497" s="2740"/>
      <c r="AI497" s="2740"/>
      <c r="AJ497" s="2740"/>
      <c r="AK497" s="2740"/>
      <c r="AL497" s="2740"/>
      <c r="AM497" s="2740"/>
      <c r="AN497" s="2740"/>
      <c r="AO497" s="2740"/>
      <c r="AP497" s="2740"/>
      <c r="AQ497" s="2740"/>
      <c r="AR497" s="2740"/>
      <c r="AS497" s="2740"/>
      <c r="AT497" s="2750"/>
      <c r="AU497" s="2751"/>
      <c r="AV497" s="1092">
        <f t="shared" si="294"/>
        <v>0</v>
      </c>
      <c r="AW497" s="1092">
        <f t="shared" si="295"/>
        <v>0</v>
      </c>
      <c r="AX497" s="1092">
        <f t="shared" si="296"/>
        <v>0</v>
      </c>
      <c r="AY497" s="2765">
        <f t="shared" si="271"/>
        <v>0</v>
      </c>
      <c r="AZ497" s="2720">
        <f t="shared" si="272"/>
        <v>0</v>
      </c>
      <c r="BA497" s="2720">
        <f t="shared" si="273"/>
        <v>0</v>
      </c>
      <c r="BB497" s="2720">
        <f t="shared" si="274"/>
        <v>0</v>
      </c>
      <c r="BC497" s="2720">
        <f t="shared" si="275"/>
        <v>0</v>
      </c>
      <c r="BD497" s="2720">
        <f t="shared" si="276"/>
        <v>0</v>
      </c>
      <c r="BE497" s="2720">
        <f t="shared" si="277"/>
        <v>0</v>
      </c>
      <c r="BF497" s="2720">
        <f t="shared" si="278"/>
        <v>0</v>
      </c>
      <c r="BG497" s="2720">
        <f t="shared" si="279"/>
        <v>0</v>
      </c>
      <c r="BH497" s="2720">
        <f t="shared" si="280"/>
        <v>0</v>
      </c>
      <c r="BI497" s="2720">
        <f t="shared" si="281"/>
        <v>0</v>
      </c>
      <c r="BJ497" s="2720">
        <f t="shared" si="282"/>
        <v>0</v>
      </c>
      <c r="BK497" s="2720">
        <f t="shared" si="283"/>
        <v>0</v>
      </c>
      <c r="BL497" s="2720">
        <f t="shared" si="284"/>
        <v>0</v>
      </c>
      <c r="BM497" s="2720">
        <f t="shared" si="285"/>
        <v>0</v>
      </c>
      <c r="BN497" s="2720">
        <f t="shared" si="286"/>
        <v>0</v>
      </c>
      <c r="BO497" s="2720">
        <f t="shared" si="287"/>
        <v>0</v>
      </c>
      <c r="BP497" s="2720">
        <f t="shared" si="288"/>
        <v>0</v>
      </c>
      <c r="BQ497" s="2720">
        <f t="shared" si="289"/>
        <v>0</v>
      </c>
      <c r="BR497" s="2720">
        <f t="shared" si="290"/>
        <v>0</v>
      </c>
      <c r="BS497" s="2720">
        <f t="shared" si="291"/>
        <v>0</v>
      </c>
      <c r="BT497" s="2772">
        <f t="shared" si="292"/>
        <v>0</v>
      </c>
    </row>
    <row r="498" spans="1:72">
      <c r="A498" s="2717"/>
      <c r="B498" s="2718"/>
      <c r="C498" s="2718"/>
      <c r="D498" s="2719"/>
      <c r="E498" s="2720">
        <f t="shared" si="293"/>
        <v>0</v>
      </c>
      <c r="F498" s="2721"/>
      <c r="G498" s="2722">
        <f t="shared" si="268"/>
        <v>0</v>
      </c>
      <c r="H498" s="2723">
        <f t="shared" si="269"/>
        <v>0</v>
      </c>
      <c r="I498" s="2730"/>
      <c r="J498" s="2730"/>
      <c r="K498" s="2730"/>
      <c r="L498" s="2730"/>
      <c r="M498" s="2730"/>
      <c r="N498" s="2730"/>
      <c r="O498" s="2730"/>
      <c r="P498" s="2730"/>
      <c r="Q498" s="2730"/>
      <c r="R498" s="2730"/>
      <c r="S498" s="2730"/>
      <c r="T498" s="2730"/>
      <c r="U498" s="2730"/>
      <c r="V498" s="2730"/>
      <c r="W498" s="2730"/>
      <c r="X498" s="2730"/>
      <c r="Y498" s="2730"/>
      <c r="Z498" s="2730"/>
      <c r="AA498" s="2730"/>
      <c r="AB498" s="2730"/>
      <c r="AC498" s="2720">
        <f t="shared" si="270"/>
        <v>0</v>
      </c>
      <c r="AD498" s="2740"/>
      <c r="AE498" s="2740"/>
      <c r="AF498" s="2740"/>
      <c r="AG498" s="2740"/>
      <c r="AH498" s="2740"/>
      <c r="AI498" s="2740"/>
      <c r="AJ498" s="2740"/>
      <c r="AK498" s="2740"/>
      <c r="AL498" s="2740"/>
      <c r="AM498" s="2740"/>
      <c r="AN498" s="2740"/>
      <c r="AO498" s="2740"/>
      <c r="AP498" s="2740"/>
      <c r="AQ498" s="2740"/>
      <c r="AR498" s="2740"/>
      <c r="AS498" s="2740"/>
      <c r="AT498" s="2750"/>
      <c r="AU498" s="2751"/>
      <c r="AV498" s="1092">
        <f t="shared" si="294"/>
        <v>0</v>
      </c>
      <c r="AW498" s="1092">
        <f t="shared" si="295"/>
        <v>0</v>
      </c>
      <c r="AX498" s="1092">
        <f t="shared" si="296"/>
        <v>0</v>
      </c>
      <c r="AY498" s="2765">
        <f t="shared" si="271"/>
        <v>0</v>
      </c>
      <c r="AZ498" s="2720">
        <f t="shared" si="272"/>
        <v>0</v>
      </c>
      <c r="BA498" s="2720">
        <f t="shared" si="273"/>
        <v>0</v>
      </c>
      <c r="BB498" s="2720">
        <f t="shared" si="274"/>
        <v>0</v>
      </c>
      <c r="BC498" s="2720">
        <f t="shared" si="275"/>
        <v>0</v>
      </c>
      <c r="BD498" s="2720">
        <f t="shared" si="276"/>
        <v>0</v>
      </c>
      <c r="BE498" s="2720">
        <f t="shared" si="277"/>
        <v>0</v>
      </c>
      <c r="BF498" s="2720">
        <f t="shared" si="278"/>
        <v>0</v>
      </c>
      <c r="BG498" s="2720">
        <f t="shared" si="279"/>
        <v>0</v>
      </c>
      <c r="BH498" s="2720">
        <f t="shared" si="280"/>
        <v>0</v>
      </c>
      <c r="BI498" s="2720">
        <f t="shared" si="281"/>
        <v>0</v>
      </c>
      <c r="BJ498" s="2720">
        <f t="shared" si="282"/>
        <v>0</v>
      </c>
      <c r="BK498" s="2720">
        <f t="shared" si="283"/>
        <v>0</v>
      </c>
      <c r="BL498" s="2720">
        <f t="shared" si="284"/>
        <v>0</v>
      </c>
      <c r="BM498" s="2720">
        <f t="shared" si="285"/>
        <v>0</v>
      </c>
      <c r="BN498" s="2720">
        <f t="shared" si="286"/>
        <v>0</v>
      </c>
      <c r="BO498" s="2720">
        <f t="shared" si="287"/>
        <v>0</v>
      </c>
      <c r="BP498" s="2720">
        <f t="shared" si="288"/>
        <v>0</v>
      </c>
      <c r="BQ498" s="2720">
        <f t="shared" si="289"/>
        <v>0</v>
      </c>
      <c r="BR498" s="2720">
        <f t="shared" si="290"/>
        <v>0</v>
      </c>
      <c r="BS498" s="2720">
        <f t="shared" si="291"/>
        <v>0</v>
      </c>
      <c r="BT498" s="2772">
        <f t="shared" si="292"/>
        <v>0</v>
      </c>
    </row>
    <row r="499" spans="1:72">
      <c r="A499" s="2717"/>
      <c r="B499" s="2718"/>
      <c r="C499" s="2718"/>
      <c r="D499" s="2719"/>
      <c r="E499" s="2720">
        <f t="shared" si="293"/>
        <v>0</v>
      </c>
      <c r="F499" s="2721"/>
      <c r="G499" s="2722">
        <f t="shared" si="268"/>
        <v>0</v>
      </c>
      <c r="H499" s="2723">
        <f t="shared" si="269"/>
        <v>0</v>
      </c>
      <c r="I499" s="2730"/>
      <c r="J499" s="2730"/>
      <c r="K499" s="2730"/>
      <c r="L499" s="2730"/>
      <c r="M499" s="2730"/>
      <c r="N499" s="2730"/>
      <c r="O499" s="2730"/>
      <c r="P499" s="2730"/>
      <c r="Q499" s="2730"/>
      <c r="R499" s="2730"/>
      <c r="S499" s="2730"/>
      <c r="T499" s="2730"/>
      <c r="U499" s="2730"/>
      <c r="V499" s="2730"/>
      <c r="W499" s="2730"/>
      <c r="X499" s="2730"/>
      <c r="Y499" s="2730"/>
      <c r="Z499" s="2730"/>
      <c r="AA499" s="2730"/>
      <c r="AB499" s="2730"/>
      <c r="AC499" s="2720">
        <f t="shared" si="270"/>
        <v>0</v>
      </c>
      <c r="AD499" s="2740"/>
      <c r="AE499" s="2740"/>
      <c r="AF499" s="2740"/>
      <c r="AG499" s="2740"/>
      <c r="AH499" s="2740"/>
      <c r="AI499" s="2740"/>
      <c r="AJ499" s="2740"/>
      <c r="AK499" s="2740"/>
      <c r="AL499" s="2740"/>
      <c r="AM499" s="2740"/>
      <c r="AN499" s="2740"/>
      <c r="AO499" s="2740"/>
      <c r="AP499" s="2740"/>
      <c r="AQ499" s="2740"/>
      <c r="AR499" s="2740"/>
      <c r="AS499" s="2740"/>
      <c r="AT499" s="2750"/>
      <c r="AU499" s="2751"/>
      <c r="AV499" s="1092">
        <f t="shared" si="294"/>
        <v>0</v>
      </c>
      <c r="AW499" s="1092">
        <f t="shared" si="295"/>
        <v>0</v>
      </c>
      <c r="AX499" s="1092">
        <f t="shared" si="296"/>
        <v>0</v>
      </c>
      <c r="AY499" s="2765">
        <f t="shared" si="271"/>
        <v>0</v>
      </c>
      <c r="AZ499" s="2720">
        <f t="shared" si="272"/>
        <v>0</v>
      </c>
      <c r="BA499" s="2720">
        <f t="shared" si="273"/>
        <v>0</v>
      </c>
      <c r="BB499" s="2720">
        <f t="shared" si="274"/>
        <v>0</v>
      </c>
      <c r="BC499" s="2720">
        <f t="shared" si="275"/>
        <v>0</v>
      </c>
      <c r="BD499" s="2720">
        <f t="shared" si="276"/>
        <v>0</v>
      </c>
      <c r="BE499" s="2720">
        <f t="shared" si="277"/>
        <v>0</v>
      </c>
      <c r="BF499" s="2720">
        <f t="shared" si="278"/>
        <v>0</v>
      </c>
      <c r="BG499" s="2720">
        <f t="shared" si="279"/>
        <v>0</v>
      </c>
      <c r="BH499" s="2720">
        <f t="shared" si="280"/>
        <v>0</v>
      </c>
      <c r="BI499" s="2720">
        <f t="shared" si="281"/>
        <v>0</v>
      </c>
      <c r="BJ499" s="2720">
        <f t="shared" si="282"/>
        <v>0</v>
      </c>
      <c r="BK499" s="2720">
        <f t="shared" si="283"/>
        <v>0</v>
      </c>
      <c r="BL499" s="2720">
        <f t="shared" si="284"/>
        <v>0</v>
      </c>
      <c r="BM499" s="2720">
        <f t="shared" si="285"/>
        <v>0</v>
      </c>
      <c r="BN499" s="2720">
        <f t="shared" si="286"/>
        <v>0</v>
      </c>
      <c r="BO499" s="2720">
        <f t="shared" si="287"/>
        <v>0</v>
      </c>
      <c r="BP499" s="2720">
        <f t="shared" si="288"/>
        <v>0</v>
      </c>
      <c r="BQ499" s="2720">
        <f t="shared" si="289"/>
        <v>0</v>
      </c>
      <c r="BR499" s="2720">
        <f t="shared" si="290"/>
        <v>0</v>
      </c>
      <c r="BS499" s="2720">
        <f t="shared" si="291"/>
        <v>0</v>
      </c>
      <c r="BT499" s="2772">
        <f t="shared" si="292"/>
        <v>0</v>
      </c>
    </row>
    <row r="500" spans="1:72">
      <c r="A500" s="2717"/>
      <c r="B500" s="2718"/>
      <c r="C500" s="2718"/>
      <c r="D500" s="2719"/>
      <c r="E500" s="2720">
        <f t="shared" si="293"/>
        <v>0</v>
      </c>
      <c r="F500" s="2721"/>
      <c r="G500" s="2722">
        <f t="shared" si="268"/>
        <v>0</v>
      </c>
      <c r="H500" s="2723">
        <f t="shared" si="269"/>
        <v>0</v>
      </c>
      <c r="I500" s="2730"/>
      <c r="J500" s="2730"/>
      <c r="K500" s="2730"/>
      <c r="L500" s="2730"/>
      <c r="M500" s="2730"/>
      <c r="N500" s="2730"/>
      <c r="O500" s="2730"/>
      <c r="P500" s="2730"/>
      <c r="Q500" s="2730"/>
      <c r="R500" s="2730"/>
      <c r="S500" s="2730"/>
      <c r="T500" s="2730"/>
      <c r="U500" s="2730"/>
      <c r="V500" s="2730"/>
      <c r="W500" s="2730"/>
      <c r="X500" s="2730"/>
      <c r="Y500" s="2730"/>
      <c r="Z500" s="2730"/>
      <c r="AA500" s="2730"/>
      <c r="AB500" s="2730"/>
      <c r="AC500" s="2720">
        <f t="shared" si="270"/>
        <v>0</v>
      </c>
      <c r="AD500" s="2740"/>
      <c r="AE500" s="2740"/>
      <c r="AF500" s="2740"/>
      <c r="AG500" s="2740"/>
      <c r="AH500" s="2740"/>
      <c r="AI500" s="2740"/>
      <c r="AJ500" s="2740"/>
      <c r="AK500" s="2740"/>
      <c r="AL500" s="2740"/>
      <c r="AM500" s="2740"/>
      <c r="AN500" s="2740"/>
      <c r="AO500" s="2740"/>
      <c r="AP500" s="2740"/>
      <c r="AQ500" s="2740"/>
      <c r="AR500" s="2740"/>
      <c r="AS500" s="2740"/>
      <c r="AT500" s="2750"/>
      <c r="AU500" s="2751"/>
      <c r="AV500" s="1092">
        <f t="shared" si="294"/>
        <v>0</v>
      </c>
      <c r="AW500" s="1092">
        <f t="shared" si="295"/>
        <v>0</v>
      </c>
      <c r="AX500" s="1092">
        <f t="shared" si="296"/>
        <v>0</v>
      </c>
      <c r="AY500" s="2765">
        <f t="shared" si="271"/>
        <v>0</v>
      </c>
      <c r="AZ500" s="2720">
        <f t="shared" si="272"/>
        <v>0</v>
      </c>
      <c r="BA500" s="2720">
        <f t="shared" si="273"/>
        <v>0</v>
      </c>
      <c r="BB500" s="2720">
        <f t="shared" si="274"/>
        <v>0</v>
      </c>
      <c r="BC500" s="2720">
        <f t="shared" si="275"/>
        <v>0</v>
      </c>
      <c r="BD500" s="2720">
        <f t="shared" si="276"/>
        <v>0</v>
      </c>
      <c r="BE500" s="2720">
        <f t="shared" si="277"/>
        <v>0</v>
      </c>
      <c r="BF500" s="2720">
        <f t="shared" si="278"/>
        <v>0</v>
      </c>
      <c r="BG500" s="2720">
        <f t="shared" si="279"/>
        <v>0</v>
      </c>
      <c r="BH500" s="2720">
        <f t="shared" si="280"/>
        <v>0</v>
      </c>
      <c r="BI500" s="2720">
        <f t="shared" si="281"/>
        <v>0</v>
      </c>
      <c r="BJ500" s="2720">
        <f t="shared" si="282"/>
        <v>0</v>
      </c>
      <c r="BK500" s="2720">
        <f t="shared" si="283"/>
        <v>0</v>
      </c>
      <c r="BL500" s="2720">
        <f t="shared" si="284"/>
        <v>0</v>
      </c>
      <c r="BM500" s="2720">
        <f t="shared" si="285"/>
        <v>0</v>
      </c>
      <c r="BN500" s="2720">
        <f t="shared" si="286"/>
        <v>0</v>
      </c>
      <c r="BO500" s="2720">
        <f t="shared" si="287"/>
        <v>0</v>
      </c>
      <c r="BP500" s="2720">
        <f t="shared" si="288"/>
        <v>0</v>
      </c>
      <c r="BQ500" s="2720">
        <f t="shared" si="289"/>
        <v>0</v>
      </c>
      <c r="BR500" s="2720">
        <f t="shared" si="290"/>
        <v>0</v>
      </c>
      <c r="BS500" s="2720">
        <f t="shared" si="291"/>
        <v>0</v>
      </c>
      <c r="BT500" s="2772">
        <f t="shared" si="292"/>
        <v>0</v>
      </c>
    </row>
    <row r="501" spans="1:72">
      <c r="A501" s="2717"/>
      <c r="B501" s="2718"/>
      <c r="C501" s="2718"/>
      <c r="D501" s="2719"/>
      <c r="E501" s="2720">
        <f t="shared" si="293"/>
        <v>0</v>
      </c>
      <c r="F501" s="2721"/>
      <c r="G501" s="2722">
        <f t="shared" si="268"/>
        <v>0</v>
      </c>
      <c r="H501" s="2723">
        <f t="shared" si="269"/>
        <v>0</v>
      </c>
      <c r="I501" s="2730"/>
      <c r="J501" s="2730"/>
      <c r="K501" s="2730"/>
      <c r="L501" s="2730"/>
      <c r="M501" s="2730"/>
      <c r="N501" s="2730"/>
      <c r="O501" s="2730"/>
      <c r="P501" s="2730"/>
      <c r="Q501" s="2730"/>
      <c r="R501" s="2730"/>
      <c r="S501" s="2730"/>
      <c r="T501" s="2730"/>
      <c r="U501" s="2730"/>
      <c r="V501" s="2730"/>
      <c r="W501" s="2730"/>
      <c r="X501" s="2730"/>
      <c r="Y501" s="2730"/>
      <c r="Z501" s="2730"/>
      <c r="AA501" s="2730"/>
      <c r="AB501" s="2730"/>
      <c r="AC501" s="2720">
        <f t="shared" si="270"/>
        <v>0</v>
      </c>
      <c r="AD501" s="2740"/>
      <c r="AE501" s="2740"/>
      <c r="AF501" s="2740"/>
      <c r="AG501" s="2740"/>
      <c r="AH501" s="2740"/>
      <c r="AI501" s="2740"/>
      <c r="AJ501" s="2740"/>
      <c r="AK501" s="2740"/>
      <c r="AL501" s="2740"/>
      <c r="AM501" s="2740"/>
      <c r="AN501" s="2740"/>
      <c r="AO501" s="2740"/>
      <c r="AP501" s="2740"/>
      <c r="AQ501" s="2740"/>
      <c r="AR501" s="2740"/>
      <c r="AS501" s="2740"/>
      <c r="AT501" s="2750"/>
      <c r="AU501" s="2751"/>
      <c r="AV501" s="1092">
        <f t="shared" si="294"/>
        <v>0</v>
      </c>
      <c r="AW501" s="1092">
        <f t="shared" si="295"/>
        <v>0</v>
      </c>
      <c r="AX501" s="1092">
        <f t="shared" si="296"/>
        <v>0</v>
      </c>
      <c r="AY501" s="2765">
        <f t="shared" si="271"/>
        <v>0</v>
      </c>
      <c r="AZ501" s="2720">
        <f t="shared" si="272"/>
        <v>0</v>
      </c>
      <c r="BA501" s="2720">
        <f t="shared" si="273"/>
        <v>0</v>
      </c>
      <c r="BB501" s="2720">
        <f t="shared" si="274"/>
        <v>0</v>
      </c>
      <c r="BC501" s="2720">
        <f t="shared" si="275"/>
        <v>0</v>
      </c>
      <c r="BD501" s="2720">
        <f t="shared" si="276"/>
        <v>0</v>
      </c>
      <c r="BE501" s="2720">
        <f t="shared" si="277"/>
        <v>0</v>
      </c>
      <c r="BF501" s="2720">
        <f t="shared" si="278"/>
        <v>0</v>
      </c>
      <c r="BG501" s="2720">
        <f t="shared" si="279"/>
        <v>0</v>
      </c>
      <c r="BH501" s="2720">
        <f t="shared" si="280"/>
        <v>0</v>
      </c>
      <c r="BI501" s="2720">
        <f t="shared" si="281"/>
        <v>0</v>
      </c>
      <c r="BJ501" s="2720">
        <f t="shared" si="282"/>
        <v>0</v>
      </c>
      <c r="BK501" s="2720">
        <f t="shared" si="283"/>
        <v>0</v>
      </c>
      <c r="BL501" s="2720">
        <f t="shared" si="284"/>
        <v>0</v>
      </c>
      <c r="BM501" s="2720">
        <f t="shared" si="285"/>
        <v>0</v>
      </c>
      <c r="BN501" s="2720">
        <f t="shared" si="286"/>
        <v>0</v>
      </c>
      <c r="BO501" s="2720">
        <f t="shared" si="287"/>
        <v>0</v>
      </c>
      <c r="BP501" s="2720">
        <f t="shared" si="288"/>
        <v>0</v>
      </c>
      <c r="BQ501" s="2720">
        <f t="shared" si="289"/>
        <v>0</v>
      </c>
      <c r="BR501" s="2720">
        <f t="shared" si="290"/>
        <v>0</v>
      </c>
      <c r="BS501" s="2720">
        <f t="shared" si="291"/>
        <v>0</v>
      </c>
      <c r="BT501" s="2772">
        <f t="shared" si="292"/>
        <v>0</v>
      </c>
    </row>
    <row r="502" spans="1:72">
      <c r="A502" s="2717"/>
      <c r="B502" s="2718"/>
      <c r="C502" s="2718"/>
      <c r="D502" s="2719"/>
      <c r="E502" s="2720">
        <f t="shared" si="293"/>
        <v>0</v>
      </c>
      <c r="F502" s="2721"/>
      <c r="G502" s="2722">
        <f t="shared" si="268"/>
        <v>0</v>
      </c>
      <c r="H502" s="2723">
        <f t="shared" si="269"/>
        <v>0</v>
      </c>
      <c r="I502" s="2730"/>
      <c r="J502" s="2730"/>
      <c r="K502" s="2730"/>
      <c r="L502" s="2730"/>
      <c r="M502" s="2730"/>
      <c r="N502" s="2730"/>
      <c r="O502" s="2730"/>
      <c r="P502" s="2730"/>
      <c r="Q502" s="2730"/>
      <c r="R502" s="2730"/>
      <c r="S502" s="2730"/>
      <c r="T502" s="2730"/>
      <c r="U502" s="2730"/>
      <c r="V502" s="2730"/>
      <c r="W502" s="2730"/>
      <c r="X502" s="2730"/>
      <c r="Y502" s="2730"/>
      <c r="Z502" s="2730"/>
      <c r="AA502" s="2730"/>
      <c r="AB502" s="2730"/>
      <c r="AC502" s="2720">
        <f t="shared" si="270"/>
        <v>0</v>
      </c>
      <c r="AD502" s="2740"/>
      <c r="AE502" s="2740"/>
      <c r="AF502" s="2740"/>
      <c r="AG502" s="2740"/>
      <c r="AH502" s="2740"/>
      <c r="AI502" s="2740"/>
      <c r="AJ502" s="2740"/>
      <c r="AK502" s="2740"/>
      <c r="AL502" s="2740"/>
      <c r="AM502" s="2740"/>
      <c r="AN502" s="2740"/>
      <c r="AO502" s="2740"/>
      <c r="AP502" s="2740"/>
      <c r="AQ502" s="2740"/>
      <c r="AR502" s="2740"/>
      <c r="AS502" s="2740"/>
      <c r="AT502" s="2750"/>
      <c r="AU502" s="2751"/>
      <c r="AV502" s="1092">
        <f t="shared" si="294"/>
        <v>0</v>
      </c>
      <c r="AW502" s="1092">
        <f t="shared" si="295"/>
        <v>0</v>
      </c>
      <c r="AX502" s="1092">
        <f t="shared" si="296"/>
        <v>0</v>
      </c>
      <c r="AY502" s="2765">
        <f t="shared" si="271"/>
        <v>0</v>
      </c>
      <c r="AZ502" s="2720">
        <f t="shared" si="272"/>
        <v>0</v>
      </c>
      <c r="BA502" s="2720">
        <f t="shared" si="273"/>
        <v>0</v>
      </c>
      <c r="BB502" s="2720">
        <f t="shared" si="274"/>
        <v>0</v>
      </c>
      <c r="BC502" s="2720">
        <f t="shared" si="275"/>
        <v>0</v>
      </c>
      <c r="BD502" s="2720">
        <f t="shared" si="276"/>
        <v>0</v>
      </c>
      <c r="BE502" s="2720">
        <f t="shared" si="277"/>
        <v>0</v>
      </c>
      <c r="BF502" s="2720">
        <f t="shared" si="278"/>
        <v>0</v>
      </c>
      <c r="BG502" s="2720">
        <f t="shared" si="279"/>
        <v>0</v>
      </c>
      <c r="BH502" s="2720">
        <f t="shared" si="280"/>
        <v>0</v>
      </c>
      <c r="BI502" s="2720">
        <f t="shared" si="281"/>
        <v>0</v>
      </c>
      <c r="BJ502" s="2720">
        <f t="shared" si="282"/>
        <v>0</v>
      </c>
      <c r="BK502" s="2720">
        <f t="shared" si="283"/>
        <v>0</v>
      </c>
      <c r="BL502" s="2720">
        <f t="shared" si="284"/>
        <v>0</v>
      </c>
      <c r="BM502" s="2720">
        <f t="shared" si="285"/>
        <v>0</v>
      </c>
      <c r="BN502" s="2720">
        <f t="shared" si="286"/>
        <v>0</v>
      </c>
      <c r="BO502" s="2720">
        <f t="shared" si="287"/>
        <v>0</v>
      </c>
      <c r="BP502" s="2720">
        <f t="shared" si="288"/>
        <v>0</v>
      </c>
      <c r="BQ502" s="2720">
        <f t="shared" si="289"/>
        <v>0</v>
      </c>
      <c r="BR502" s="2720">
        <f t="shared" si="290"/>
        <v>0</v>
      </c>
      <c r="BS502" s="2720">
        <f t="shared" si="291"/>
        <v>0</v>
      </c>
      <c r="BT502" s="2772">
        <f t="shared" si="292"/>
        <v>0</v>
      </c>
    </row>
    <row r="503" spans="1:72">
      <c r="A503" s="2717"/>
      <c r="B503" s="2718"/>
      <c r="C503" s="2718"/>
      <c r="D503" s="2719"/>
      <c r="E503" s="2720">
        <f t="shared" si="293"/>
        <v>0</v>
      </c>
      <c r="F503" s="2721"/>
      <c r="G503" s="2722">
        <f t="shared" si="268"/>
        <v>0</v>
      </c>
      <c r="H503" s="2723">
        <f t="shared" si="269"/>
        <v>0</v>
      </c>
      <c r="I503" s="2730"/>
      <c r="J503" s="2730"/>
      <c r="K503" s="2730"/>
      <c r="L503" s="2730"/>
      <c r="M503" s="2730"/>
      <c r="N503" s="2730"/>
      <c r="O503" s="2730"/>
      <c r="P503" s="2730"/>
      <c r="Q503" s="2730"/>
      <c r="R503" s="2730"/>
      <c r="S503" s="2730"/>
      <c r="T503" s="2730"/>
      <c r="U503" s="2730"/>
      <c r="V503" s="2730"/>
      <c r="W503" s="2730"/>
      <c r="X503" s="2730"/>
      <c r="Y503" s="2730"/>
      <c r="Z503" s="2730"/>
      <c r="AA503" s="2730"/>
      <c r="AB503" s="2730"/>
      <c r="AC503" s="2720">
        <f t="shared" si="270"/>
        <v>0</v>
      </c>
      <c r="AD503" s="2740"/>
      <c r="AE503" s="2740"/>
      <c r="AF503" s="2740"/>
      <c r="AG503" s="2740"/>
      <c r="AH503" s="2740"/>
      <c r="AI503" s="2740"/>
      <c r="AJ503" s="2740"/>
      <c r="AK503" s="2740"/>
      <c r="AL503" s="2740"/>
      <c r="AM503" s="2740"/>
      <c r="AN503" s="2740"/>
      <c r="AO503" s="2740"/>
      <c r="AP503" s="2740"/>
      <c r="AQ503" s="2740"/>
      <c r="AR503" s="2740"/>
      <c r="AS503" s="2740"/>
      <c r="AT503" s="2750"/>
      <c r="AU503" s="2751"/>
      <c r="AV503" s="1092">
        <f t="shared" si="294"/>
        <v>0</v>
      </c>
      <c r="AW503" s="1092">
        <f t="shared" si="295"/>
        <v>0</v>
      </c>
      <c r="AX503" s="1092">
        <f t="shared" si="296"/>
        <v>0</v>
      </c>
      <c r="AY503" s="2765">
        <f t="shared" si="271"/>
        <v>0</v>
      </c>
      <c r="AZ503" s="2720">
        <f t="shared" si="272"/>
        <v>0</v>
      </c>
      <c r="BA503" s="2720">
        <f t="shared" si="273"/>
        <v>0</v>
      </c>
      <c r="BB503" s="2720">
        <f t="shared" si="274"/>
        <v>0</v>
      </c>
      <c r="BC503" s="2720">
        <f t="shared" si="275"/>
        <v>0</v>
      </c>
      <c r="BD503" s="2720">
        <f t="shared" si="276"/>
        <v>0</v>
      </c>
      <c r="BE503" s="2720">
        <f t="shared" si="277"/>
        <v>0</v>
      </c>
      <c r="BF503" s="2720">
        <f t="shared" si="278"/>
        <v>0</v>
      </c>
      <c r="BG503" s="2720">
        <f t="shared" si="279"/>
        <v>0</v>
      </c>
      <c r="BH503" s="2720">
        <f t="shared" si="280"/>
        <v>0</v>
      </c>
      <c r="BI503" s="2720">
        <f t="shared" si="281"/>
        <v>0</v>
      </c>
      <c r="BJ503" s="2720">
        <f t="shared" si="282"/>
        <v>0</v>
      </c>
      <c r="BK503" s="2720">
        <f t="shared" si="283"/>
        <v>0</v>
      </c>
      <c r="BL503" s="2720">
        <f t="shared" si="284"/>
        <v>0</v>
      </c>
      <c r="BM503" s="2720">
        <f t="shared" si="285"/>
        <v>0</v>
      </c>
      <c r="BN503" s="2720">
        <f t="shared" si="286"/>
        <v>0</v>
      </c>
      <c r="BO503" s="2720">
        <f t="shared" si="287"/>
        <v>0</v>
      </c>
      <c r="BP503" s="2720">
        <f t="shared" si="288"/>
        <v>0</v>
      </c>
      <c r="BQ503" s="2720">
        <f t="shared" si="289"/>
        <v>0</v>
      </c>
      <c r="BR503" s="2720">
        <f t="shared" si="290"/>
        <v>0</v>
      </c>
      <c r="BS503" s="2720">
        <f t="shared" si="291"/>
        <v>0</v>
      </c>
      <c r="BT503" s="2772">
        <f t="shared" si="292"/>
        <v>0</v>
      </c>
    </row>
    <row r="504" spans="1:72">
      <c r="A504" s="2717"/>
      <c r="B504" s="2718"/>
      <c r="C504" s="2718"/>
      <c r="D504" s="2719"/>
      <c r="E504" s="2720">
        <f t="shared" si="293"/>
        <v>0</v>
      </c>
      <c r="F504" s="2721"/>
      <c r="G504" s="2722">
        <f t="shared" si="268"/>
        <v>0</v>
      </c>
      <c r="H504" s="2723">
        <f t="shared" si="269"/>
        <v>0</v>
      </c>
      <c r="I504" s="2730"/>
      <c r="J504" s="2730"/>
      <c r="K504" s="2730"/>
      <c r="L504" s="2730"/>
      <c r="M504" s="2730"/>
      <c r="N504" s="2730"/>
      <c r="O504" s="2730"/>
      <c r="P504" s="2730"/>
      <c r="Q504" s="2730"/>
      <c r="R504" s="2730"/>
      <c r="S504" s="2730"/>
      <c r="T504" s="2730"/>
      <c r="U504" s="2730"/>
      <c r="V504" s="2730"/>
      <c r="W504" s="2730"/>
      <c r="X504" s="2730"/>
      <c r="Y504" s="2730"/>
      <c r="Z504" s="2730"/>
      <c r="AA504" s="2730"/>
      <c r="AB504" s="2730"/>
      <c r="AC504" s="2720">
        <f t="shared" si="270"/>
        <v>0</v>
      </c>
      <c r="AD504" s="2740"/>
      <c r="AE504" s="2740"/>
      <c r="AF504" s="2740"/>
      <c r="AG504" s="2740"/>
      <c r="AH504" s="2740"/>
      <c r="AI504" s="2740"/>
      <c r="AJ504" s="2740"/>
      <c r="AK504" s="2740"/>
      <c r="AL504" s="2740"/>
      <c r="AM504" s="2740"/>
      <c r="AN504" s="2740"/>
      <c r="AO504" s="2740"/>
      <c r="AP504" s="2740"/>
      <c r="AQ504" s="2740"/>
      <c r="AR504" s="2740"/>
      <c r="AS504" s="2740"/>
      <c r="AT504" s="2750"/>
      <c r="AU504" s="2751"/>
      <c r="AV504" s="1092">
        <f t="shared" si="294"/>
        <v>0</v>
      </c>
      <c r="AW504" s="1092">
        <f t="shared" si="295"/>
        <v>0</v>
      </c>
      <c r="AX504" s="1092">
        <f t="shared" si="296"/>
        <v>0</v>
      </c>
      <c r="AY504" s="2765">
        <f t="shared" si="271"/>
        <v>0</v>
      </c>
      <c r="AZ504" s="2720">
        <f t="shared" si="272"/>
        <v>0</v>
      </c>
      <c r="BA504" s="2720">
        <f t="shared" si="273"/>
        <v>0</v>
      </c>
      <c r="BB504" s="2720">
        <f t="shared" si="274"/>
        <v>0</v>
      </c>
      <c r="BC504" s="2720">
        <f t="shared" si="275"/>
        <v>0</v>
      </c>
      <c r="BD504" s="2720">
        <f t="shared" si="276"/>
        <v>0</v>
      </c>
      <c r="BE504" s="2720">
        <f t="shared" si="277"/>
        <v>0</v>
      </c>
      <c r="BF504" s="2720">
        <f t="shared" si="278"/>
        <v>0</v>
      </c>
      <c r="BG504" s="2720">
        <f t="shared" si="279"/>
        <v>0</v>
      </c>
      <c r="BH504" s="2720">
        <f t="shared" si="280"/>
        <v>0</v>
      </c>
      <c r="BI504" s="2720">
        <f t="shared" si="281"/>
        <v>0</v>
      </c>
      <c r="BJ504" s="2720">
        <f t="shared" si="282"/>
        <v>0</v>
      </c>
      <c r="BK504" s="2720">
        <f t="shared" si="283"/>
        <v>0</v>
      </c>
      <c r="BL504" s="2720">
        <f t="shared" si="284"/>
        <v>0</v>
      </c>
      <c r="BM504" s="2720">
        <f t="shared" si="285"/>
        <v>0</v>
      </c>
      <c r="BN504" s="2720">
        <f t="shared" si="286"/>
        <v>0</v>
      </c>
      <c r="BO504" s="2720">
        <f t="shared" si="287"/>
        <v>0</v>
      </c>
      <c r="BP504" s="2720">
        <f t="shared" si="288"/>
        <v>0</v>
      </c>
      <c r="BQ504" s="2720">
        <f t="shared" si="289"/>
        <v>0</v>
      </c>
      <c r="BR504" s="2720">
        <f t="shared" si="290"/>
        <v>0</v>
      </c>
      <c r="BS504" s="2720">
        <f t="shared" si="291"/>
        <v>0</v>
      </c>
      <c r="BT504" s="2772">
        <f t="shared" si="292"/>
        <v>0</v>
      </c>
    </row>
    <row r="505" spans="1:72">
      <c r="A505" s="2717"/>
      <c r="B505" s="2718"/>
      <c r="C505" s="2718"/>
      <c r="D505" s="2719"/>
      <c r="E505" s="2720">
        <f t="shared" si="293"/>
        <v>0</v>
      </c>
      <c r="F505" s="2721"/>
      <c r="G505" s="2722">
        <f t="shared" si="268"/>
        <v>0</v>
      </c>
      <c r="H505" s="2723">
        <f t="shared" si="269"/>
        <v>0</v>
      </c>
      <c r="I505" s="2730"/>
      <c r="J505" s="2730"/>
      <c r="K505" s="2730"/>
      <c r="L505" s="2730"/>
      <c r="M505" s="2730"/>
      <c r="N505" s="2730"/>
      <c r="O505" s="2730"/>
      <c r="P505" s="2730"/>
      <c r="Q505" s="2730"/>
      <c r="R505" s="2730"/>
      <c r="S505" s="2730"/>
      <c r="T505" s="2730"/>
      <c r="U505" s="2730"/>
      <c r="V505" s="2730"/>
      <c r="W505" s="2730"/>
      <c r="X505" s="2730"/>
      <c r="Y505" s="2730"/>
      <c r="Z505" s="2730"/>
      <c r="AA505" s="2730"/>
      <c r="AB505" s="2730"/>
      <c r="AC505" s="2720">
        <f t="shared" si="270"/>
        <v>0</v>
      </c>
      <c r="AD505" s="2740"/>
      <c r="AE505" s="2740"/>
      <c r="AF505" s="2740"/>
      <c r="AG505" s="2740"/>
      <c r="AH505" s="2740"/>
      <c r="AI505" s="2740"/>
      <c r="AJ505" s="2740"/>
      <c r="AK505" s="2740"/>
      <c r="AL505" s="2740"/>
      <c r="AM505" s="2740"/>
      <c r="AN505" s="2740"/>
      <c r="AO505" s="2740"/>
      <c r="AP505" s="2740"/>
      <c r="AQ505" s="2740"/>
      <c r="AR505" s="2740"/>
      <c r="AS505" s="2740"/>
      <c r="AT505" s="2750"/>
      <c r="AU505" s="2751"/>
      <c r="AV505" s="1092">
        <f t="shared" si="294"/>
        <v>0</v>
      </c>
      <c r="AW505" s="1092">
        <f t="shared" si="295"/>
        <v>0</v>
      </c>
      <c r="AX505" s="1092">
        <f t="shared" si="296"/>
        <v>0</v>
      </c>
      <c r="AY505" s="2765">
        <f t="shared" si="271"/>
        <v>0</v>
      </c>
      <c r="AZ505" s="2720">
        <f t="shared" si="272"/>
        <v>0</v>
      </c>
      <c r="BA505" s="2720">
        <f t="shared" si="273"/>
        <v>0</v>
      </c>
      <c r="BB505" s="2720">
        <f t="shared" si="274"/>
        <v>0</v>
      </c>
      <c r="BC505" s="2720">
        <f t="shared" si="275"/>
        <v>0</v>
      </c>
      <c r="BD505" s="2720">
        <f t="shared" si="276"/>
        <v>0</v>
      </c>
      <c r="BE505" s="2720">
        <f t="shared" si="277"/>
        <v>0</v>
      </c>
      <c r="BF505" s="2720">
        <f t="shared" si="278"/>
        <v>0</v>
      </c>
      <c r="BG505" s="2720">
        <f t="shared" si="279"/>
        <v>0</v>
      </c>
      <c r="BH505" s="2720">
        <f t="shared" si="280"/>
        <v>0</v>
      </c>
      <c r="BI505" s="2720">
        <f t="shared" si="281"/>
        <v>0</v>
      </c>
      <c r="BJ505" s="2720">
        <f t="shared" si="282"/>
        <v>0</v>
      </c>
      <c r="BK505" s="2720">
        <f t="shared" si="283"/>
        <v>0</v>
      </c>
      <c r="BL505" s="2720">
        <f t="shared" si="284"/>
        <v>0</v>
      </c>
      <c r="BM505" s="2720">
        <f t="shared" si="285"/>
        <v>0</v>
      </c>
      <c r="BN505" s="2720">
        <f t="shared" si="286"/>
        <v>0</v>
      </c>
      <c r="BO505" s="2720">
        <f t="shared" si="287"/>
        <v>0</v>
      </c>
      <c r="BP505" s="2720">
        <f t="shared" si="288"/>
        <v>0</v>
      </c>
      <c r="BQ505" s="2720">
        <f t="shared" si="289"/>
        <v>0</v>
      </c>
      <c r="BR505" s="2720">
        <f t="shared" si="290"/>
        <v>0</v>
      </c>
      <c r="BS505" s="2720">
        <f t="shared" si="291"/>
        <v>0</v>
      </c>
      <c r="BT505" s="2772">
        <f t="shared" si="292"/>
        <v>0</v>
      </c>
    </row>
    <row r="506" spans="1:72">
      <c r="A506" s="2717"/>
      <c r="B506" s="2718"/>
      <c r="C506" s="2718"/>
      <c r="D506" s="2719"/>
      <c r="E506" s="2720">
        <f t="shared" si="293"/>
        <v>0</v>
      </c>
      <c r="F506" s="2721"/>
      <c r="G506" s="2722">
        <f t="shared" si="268"/>
        <v>0</v>
      </c>
      <c r="H506" s="2723">
        <f t="shared" si="269"/>
        <v>0</v>
      </c>
      <c r="I506" s="2730"/>
      <c r="J506" s="2730"/>
      <c r="K506" s="2730"/>
      <c r="L506" s="2730"/>
      <c r="M506" s="2730"/>
      <c r="N506" s="2730"/>
      <c r="O506" s="2730"/>
      <c r="P506" s="2730"/>
      <c r="Q506" s="2730"/>
      <c r="R506" s="2730"/>
      <c r="S506" s="2730"/>
      <c r="T506" s="2730"/>
      <c r="U506" s="2730"/>
      <c r="V506" s="2730"/>
      <c r="W506" s="2730"/>
      <c r="X506" s="2730"/>
      <c r="Y506" s="2730"/>
      <c r="Z506" s="2730"/>
      <c r="AA506" s="2730"/>
      <c r="AB506" s="2730"/>
      <c r="AC506" s="2720">
        <f t="shared" si="270"/>
        <v>0</v>
      </c>
      <c r="AD506" s="2740"/>
      <c r="AE506" s="2740"/>
      <c r="AF506" s="2740"/>
      <c r="AG506" s="2740"/>
      <c r="AH506" s="2740"/>
      <c r="AI506" s="2740"/>
      <c r="AJ506" s="2740"/>
      <c r="AK506" s="2740"/>
      <c r="AL506" s="2740"/>
      <c r="AM506" s="2740"/>
      <c r="AN506" s="2740"/>
      <c r="AO506" s="2740"/>
      <c r="AP506" s="2740"/>
      <c r="AQ506" s="2740"/>
      <c r="AR506" s="2740"/>
      <c r="AS506" s="2740"/>
      <c r="AT506" s="2750"/>
      <c r="AU506" s="2751"/>
      <c r="AV506" s="1092">
        <f t="shared" si="294"/>
        <v>0</v>
      </c>
      <c r="AW506" s="1092">
        <f t="shared" si="295"/>
        <v>0</v>
      </c>
      <c r="AX506" s="1092">
        <f t="shared" si="296"/>
        <v>0</v>
      </c>
      <c r="AY506" s="2765">
        <f t="shared" si="271"/>
        <v>0</v>
      </c>
      <c r="AZ506" s="2720">
        <f t="shared" si="272"/>
        <v>0</v>
      </c>
      <c r="BA506" s="2720">
        <f t="shared" si="273"/>
        <v>0</v>
      </c>
      <c r="BB506" s="2720">
        <f t="shared" si="274"/>
        <v>0</v>
      </c>
      <c r="BC506" s="2720">
        <f t="shared" si="275"/>
        <v>0</v>
      </c>
      <c r="BD506" s="2720">
        <f t="shared" si="276"/>
        <v>0</v>
      </c>
      <c r="BE506" s="2720">
        <f t="shared" si="277"/>
        <v>0</v>
      </c>
      <c r="BF506" s="2720">
        <f t="shared" si="278"/>
        <v>0</v>
      </c>
      <c r="BG506" s="2720">
        <f t="shared" si="279"/>
        <v>0</v>
      </c>
      <c r="BH506" s="2720">
        <f t="shared" si="280"/>
        <v>0</v>
      </c>
      <c r="BI506" s="2720">
        <f t="shared" si="281"/>
        <v>0</v>
      </c>
      <c r="BJ506" s="2720">
        <f t="shared" si="282"/>
        <v>0</v>
      </c>
      <c r="BK506" s="2720">
        <f t="shared" si="283"/>
        <v>0</v>
      </c>
      <c r="BL506" s="2720">
        <f t="shared" si="284"/>
        <v>0</v>
      </c>
      <c r="BM506" s="2720">
        <f t="shared" si="285"/>
        <v>0</v>
      </c>
      <c r="BN506" s="2720">
        <f t="shared" si="286"/>
        <v>0</v>
      </c>
      <c r="BO506" s="2720">
        <f t="shared" si="287"/>
        <v>0</v>
      </c>
      <c r="BP506" s="2720">
        <f t="shared" si="288"/>
        <v>0</v>
      </c>
      <c r="BQ506" s="2720">
        <f t="shared" si="289"/>
        <v>0</v>
      </c>
      <c r="BR506" s="2720">
        <f t="shared" si="290"/>
        <v>0</v>
      </c>
      <c r="BS506" s="2720">
        <f t="shared" si="291"/>
        <v>0</v>
      </c>
      <c r="BT506" s="2772">
        <f t="shared" si="292"/>
        <v>0</v>
      </c>
    </row>
    <row r="507" spans="1:72">
      <c r="A507" s="2717"/>
      <c r="B507" s="2718"/>
      <c r="C507" s="2718"/>
      <c r="D507" s="2719"/>
      <c r="E507" s="2720">
        <f t="shared" si="293"/>
        <v>0</v>
      </c>
      <c r="F507" s="2721"/>
      <c r="G507" s="2722">
        <f t="shared" si="268"/>
        <v>0</v>
      </c>
      <c r="H507" s="2723">
        <f t="shared" si="269"/>
        <v>0</v>
      </c>
      <c r="I507" s="2730"/>
      <c r="J507" s="2730"/>
      <c r="K507" s="2730"/>
      <c r="L507" s="2730"/>
      <c r="M507" s="2730"/>
      <c r="N507" s="2730"/>
      <c r="O507" s="2730"/>
      <c r="P507" s="2730"/>
      <c r="Q507" s="2730"/>
      <c r="R507" s="2730"/>
      <c r="S507" s="2730"/>
      <c r="T507" s="2730"/>
      <c r="U507" s="2730"/>
      <c r="V507" s="2730"/>
      <c r="W507" s="2730"/>
      <c r="X507" s="2730"/>
      <c r="Y507" s="2730"/>
      <c r="Z507" s="2730"/>
      <c r="AA507" s="2730"/>
      <c r="AB507" s="2730"/>
      <c r="AC507" s="2720">
        <f t="shared" si="270"/>
        <v>0</v>
      </c>
      <c r="AD507" s="2740"/>
      <c r="AE507" s="2740"/>
      <c r="AF507" s="2740"/>
      <c r="AG507" s="2740"/>
      <c r="AH507" s="2740"/>
      <c r="AI507" s="2740"/>
      <c r="AJ507" s="2740"/>
      <c r="AK507" s="2740"/>
      <c r="AL507" s="2740"/>
      <c r="AM507" s="2740"/>
      <c r="AN507" s="2740"/>
      <c r="AO507" s="2740"/>
      <c r="AP507" s="2740"/>
      <c r="AQ507" s="2740"/>
      <c r="AR507" s="2740"/>
      <c r="AS507" s="2740"/>
      <c r="AT507" s="2750"/>
      <c r="AU507" s="2751"/>
      <c r="AV507" s="1092">
        <f t="shared" si="294"/>
        <v>0</v>
      </c>
      <c r="AW507" s="1092">
        <f t="shared" si="295"/>
        <v>0</v>
      </c>
      <c r="AX507" s="1092">
        <f t="shared" si="296"/>
        <v>0</v>
      </c>
      <c r="AY507" s="2765">
        <f t="shared" si="271"/>
        <v>0</v>
      </c>
      <c r="AZ507" s="2720">
        <f t="shared" si="272"/>
        <v>0</v>
      </c>
      <c r="BA507" s="2720">
        <f t="shared" si="273"/>
        <v>0</v>
      </c>
      <c r="BB507" s="2720">
        <f t="shared" si="274"/>
        <v>0</v>
      </c>
      <c r="BC507" s="2720">
        <f t="shared" si="275"/>
        <v>0</v>
      </c>
      <c r="BD507" s="2720">
        <f t="shared" si="276"/>
        <v>0</v>
      </c>
      <c r="BE507" s="2720">
        <f t="shared" si="277"/>
        <v>0</v>
      </c>
      <c r="BF507" s="2720">
        <f t="shared" si="278"/>
        <v>0</v>
      </c>
      <c r="BG507" s="2720">
        <f t="shared" si="279"/>
        <v>0</v>
      </c>
      <c r="BH507" s="2720">
        <f t="shared" si="280"/>
        <v>0</v>
      </c>
      <c r="BI507" s="2720">
        <f t="shared" si="281"/>
        <v>0</v>
      </c>
      <c r="BJ507" s="2720">
        <f t="shared" si="282"/>
        <v>0</v>
      </c>
      <c r="BK507" s="2720">
        <f t="shared" si="283"/>
        <v>0</v>
      </c>
      <c r="BL507" s="2720">
        <f t="shared" si="284"/>
        <v>0</v>
      </c>
      <c r="BM507" s="2720">
        <f t="shared" si="285"/>
        <v>0</v>
      </c>
      <c r="BN507" s="2720">
        <f t="shared" si="286"/>
        <v>0</v>
      </c>
      <c r="BO507" s="2720">
        <f t="shared" si="287"/>
        <v>0</v>
      </c>
      <c r="BP507" s="2720">
        <f t="shared" si="288"/>
        <v>0</v>
      </c>
      <c r="BQ507" s="2720">
        <f t="shared" si="289"/>
        <v>0</v>
      </c>
      <c r="BR507" s="2720">
        <f t="shared" si="290"/>
        <v>0</v>
      </c>
      <c r="BS507" s="2720">
        <f t="shared" si="291"/>
        <v>0</v>
      </c>
      <c r="BT507" s="2772">
        <f t="shared" si="292"/>
        <v>0</v>
      </c>
    </row>
    <row r="508" spans="1:72">
      <c r="A508" s="2717"/>
      <c r="B508" s="2718"/>
      <c r="C508" s="2718"/>
      <c r="D508" s="2719"/>
      <c r="E508" s="2720">
        <f t="shared" si="293"/>
        <v>0</v>
      </c>
      <c r="F508" s="2721"/>
      <c r="G508" s="2722">
        <f t="shared" si="268"/>
        <v>0</v>
      </c>
      <c r="H508" s="2723">
        <f t="shared" si="269"/>
        <v>0</v>
      </c>
      <c r="I508" s="2730"/>
      <c r="J508" s="2730"/>
      <c r="K508" s="2730"/>
      <c r="L508" s="2730"/>
      <c r="M508" s="2730"/>
      <c r="N508" s="2730"/>
      <c r="O508" s="2730"/>
      <c r="P508" s="2730"/>
      <c r="Q508" s="2730"/>
      <c r="R508" s="2730"/>
      <c r="S508" s="2730"/>
      <c r="T508" s="2730"/>
      <c r="U508" s="2730"/>
      <c r="V508" s="2730"/>
      <c r="W508" s="2730"/>
      <c r="X508" s="2730"/>
      <c r="Y508" s="2730"/>
      <c r="Z508" s="2730"/>
      <c r="AA508" s="2730"/>
      <c r="AB508" s="2730"/>
      <c r="AC508" s="2720">
        <f t="shared" si="270"/>
        <v>0</v>
      </c>
      <c r="AD508" s="2740"/>
      <c r="AE508" s="2740"/>
      <c r="AF508" s="2740"/>
      <c r="AG508" s="2740"/>
      <c r="AH508" s="2740"/>
      <c r="AI508" s="2740"/>
      <c r="AJ508" s="2740"/>
      <c r="AK508" s="2740"/>
      <c r="AL508" s="2740"/>
      <c r="AM508" s="2740"/>
      <c r="AN508" s="2740"/>
      <c r="AO508" s="2740"/>
      <c r="AP508" s="2740"/>
      <c r="AQ508" s="2740"/>
      <c r="AR508" s="2740"/>
      <c r="AS508" s="2740"/>
      <c r="AT508" s="2750"/>
      <c r="AU508" s="2751"/>
      <c r="AV508" s="1092">
        <f t="shared" si="294"/>
        <v>0</v>
      </c>
      <c r="AW508" s="1092">
        <f t="shared" si="295"/>
        <v>0</v>
      </c>
      <c r="AX508" s="1092">
        <f t="shared" si="296"/>
        <v>0</v>
      </c>
      <c r="AY508" s="2765">
        <f t="shared" si="271"/>
        <v>0</v>
      </c>
      <c r="AZ508" s="2720">
        <f t="shared" si="272"/>
        <v>0</v>
      </c>
      <c r="BA508" s="2720">
        <f t="shared" si="273"/>
        <v>0</v>
      </c>
      <c r="BB508" s="2720">
        <f t="shared" si="274"/>
        <v>0</v>
      </c>
      <c r="BC508" s="2720">
        <f t="shared" si="275"/>
        <v>0</v>
      </c>
      <c r="BD508" s="2720">
        <f t="shared" si="276"/>
        <v>0</v>
      </c>
      <c r="BE508" s="2720">
        <f t="shared" si="277"/>
        <v>0</v>
      </c>
      <c r="BF508" s="2720">
        <f t="shared" si="278"/>
        <v>0</v>
      </c>
      <c r="BG508" s="2720">
        <f t="shared" si="279"/>
        <v>0</v>
      </c>
      <c r="BH508" s="2720">
        <f t="shared" si="280"/>
        <v>0</v>
      </c>
      <c r="BI508" s="2720">
        <f t="shared" si="281"/>
        <v>0</v>
      </c>
      <c r="BJ508" s="2720">
        <f t="shared" si="282"/>
        <v>0</v>
      </c>
      <c r="BK508" s="2720">
        <f t="shared" si="283"/>
        <v>0</v>
      </c>
      <c r="BL508" s="2720">
        <f t="shared" si="284"/>
        <v>0</v>
      </c>
      <c r="BM508" s="2720">
        <f t="shared" si="285"/>
        <v>0</v>
      </c>
      <c r="BN508" s="2720">
        <f t="shared" si="286"/>
        <v>0</v>
      </c>
      <c r="BO508" s="2720">
        <f t="shared" si="287"/>
        <v>0</v>
      </c>
      <c r="BP508" s="2720">
        <f t="shared" si="288"/>
        <v>0</v>
      </c>
      <c r="BQ508" s="2720">
        <f t="shared" si="289"/>
        <v>0</v>
      </c>
      <c r="BR508" s="2720">
        <f t="shared" si="290"/>
        <v>0</v>
      </c>
      <c r="BS508" s="2720">
        <f t="shared" si="291"/>
        <v>0</v>
      </c>
      <c r="BT508" s="2772">
        <f t="shared" si="292"/>
        <v>0</v>
      </c>
    </row>
    <row r="509" spans="1:72">
      <c r="A509" s="2717"/>
      <c r="B509" s="2718"/>
      <c r="C509" s="2718"/>
      <c r="D509" s="2719"/>
      <c r="E509" s="2720">
        <f t="shared" si="293"/>
        <v>0</v>
      </c>
      <c r="F509" s="2721"/>
      <c r="G509" s="2722">
        <f t="shared" si="268"/>
        <v>0</v>
      </c>
      <c r="H509" s="2723">
        <f t="shared" si="269"/>
        <v>0</v>
      </c>
      <c r="I509" s="2730"/>
      <c r="J509" s="2730"/>
      <c r="K509" s="2730"/>
      <c r="L509" s="2730"/>
      <c r="M509" s="2730"/>
      <c r="N509" s="2730"/>
      <c r="O509" s="2730"/>
      <c r="P509" s="2730"/>
      <c r="Q509" s="2730"/>
      <c r="R509" s="2730"/>
      <c r="S509" s="2730"/>
      <c r="T509" s="2730"/>
      <c r="U509" s="2730"/>
      <c r="V509" s="2730"/>
      <c r="W509" s="2730"/>
      <c r="X509" s="2730"/>
      <c r="Y509" s="2730"/>
      <c r="Z509" s="2730"/>
      <c r="AA509" s="2730"/>
      <c r="AB509" s="2730"/>
      <c r="AC509" s="2720">
        <f t="shared" si="270"/>
        <v>0</v>
      </c>
      <c r="AD509" s="2740"/>
      <c r="AE509" s="2740"/>
      <c r="AF509" s="2740"/>
      <c r="AG509" s="2740"/>
      <c r="AH509" s="2740"/>
      <c r="AI509" s="2740"/>
      <c r="AJ509" s="2740"/>
      <c r="AK509" s="2740"/>
      <c r="AL509" s="2740"/>
      <c r="AM509" s="2740"/>
      <c r="AN509" s="2740"/>
      <c r="AO509" s="2740"/>
      <c r="AP509" s="2740"/>
      <c r="AQ509" s="2740"/>
      <c r="AR509" s="2740"/>
      <c r="AS509" s="2740"/>
      <c r="AT509" s="2750"/>
      <c r="AU509" s="2751"/>
      <c r="AV509" s="1092">
        <f t="shared" si="294"/>
        <v>0</v>
      </c>
      <c r="AW509" s="1092">
        <f t="shared" si="295"/>
        <v>0</v>
      </c>
      <c r="AX509" s="1092">
        <f t="shared" si="296"/>
        <v>0</v>
      </c>
      <c r="AY509" s="2765">
        <f t="shared" si="271"/>
        <v>0</v>
      </c>
      <c r="AZ509" s="2720">
        <f t="shared" si="272"/>
        <v>0</v>
      </c>
      <c r="BA509" s="2720">
        <f t="shared" si="273"/>
        <v>0</v>
      </c>
      <c r="BB509" s="2720">
        <f t="shared" si="274"/>
        <v>0</v>
      </c>
      <c r="BC509" s="2720">
        <f t="shared" si="275"/>
        <v>0</v>
      </c>
      <c r="BD509" s="2720">
        <f t="shared" si="276"/>
        <v>0</v>
      </c>
      <c r="BE509" s="2720">
        <f t="shared" si="277"/>
        <v>0</v>
      </c>
      <c r="BF509" s="2720">
        <f t="shared" si="278"/>
        <v>0</v>
      </c>
      <c r="BG509" s="2720">
        <f t="shared" si="279"/>
        <v>0</v>
      </c>
      <c r="BH509" s="2720">
        <f t="shared" si="280"/>
        <v>0</v>
      </c>
      <c r="BI509" s="2720">
        <f t="shared" si="281"/>
        <v>0</v>
      </c>
      <c r="BJ509" s="2720">
        <f t="shared" si="282"/>
        <v>0</v>
      </c>
      <c r="BK509" s="2720">
        <f t="shared" si="283"/>
        <v>0</v>
      </c>
      <c r="BL509" s="2720">
        <f t="shared" si="284"/>
        <v>0</v>
      </c>
      <c r="BM509" s="2720">
        <f t="shared" si="285"/>
        <v>0</v>
      </c>
      <c r="BN509" s="2720">
        <f t="shared" si="286"/>
        <v>0</v>
      </c>
      <c r="BO509" s="2720">
        <f t="shared" si="287"/>
        <v>0</v>
      </c>
      <c r="BP509" s="2720">
        <f t="shared" si="288"/>
        <v>0</v>
      </c>
      <c r="BQ509" s="2720">
        <f t="shared" si="289"/>
        <v>0</v>
      </c>
      <c r="BR509" s="2720">
        <f t="shared" si="290"/>
        <v>0</v>
      </c>
      <c r="BS509" s="2720">
        <f t="shared" si="291"/>
        <v>0</v>
      </c>
      <c r="BT509" s="2772">
        <f t="shared" si="292"/>
        <v>0</v>
      </c>
    </row>
    <row r="510" spans="1:72">
      <c r="A510" s="2717"/>
      <c r="B510" s="2718"/>
      <c r="C510" s="2718"/>
      <c r="D510" s="2719"/>
      <c r="E510" s="2720">
        <f t="shared" si="293"/>
        <v>0</v>
      </c>
      <c r="F510" s="2721"/>
      <c r="G510" s="2722">
        <f t="shared" si="268"/>
        <v>0</v>
      </c>
      <c r="H510" s="2723">
        <f t="shared" si="269"/>
        <v>0</v>
      </c>
      <c r="I510" s="2730"/>
      <c r="J510" s="2730"/>
      <c r="K510" s="2730"/>
      <c r="L510" s="2730"/>
      <c r="M510" s="2730"/>
      <c r="N510" s="2730"/>
      <c r="O510" s="2730"/>
      <c r="P510" s="2730"/>
      <c r="Q510" s="2730"/>
      <c r="R510" s="2730"/>
      <c r="S510" s="2730"/>
      <c r="T510" s="2730"/>
      <c r="U510" s="2730"/>
      <c r="V510" s="2730"/>
      <c r="W510" s="2730"/>
      <c r="X510" s="2730"/>
      <c r="Y510" s="2730"/>
      <c r="Z510" s="2730"/>
      <c r="AA510" s="2730"/>
      <c r="AB510" s="2730"/>
      <c r="AC510" s="2720">
        <f t="shared" si="270"/>
        <v>0</v>
      </c>
      <c r="AD510" s="2740"/>
      <c r="AE510" s="2740"/>
      <c r="AF510" s="2740"/>
      <c r="AG510" s="2740"/>
      <c r="AH510" s="2740"/>
      <c r="AI510" s="2740"/>
      <c r="AJ510" s="2740"/>
      <c r="AK510" s="2740"/>
      <c r="AL510" s="2740"/>
      <c r="AM510" s="2740"/>
      <c r="AN510" s="2740"/>
      <c r="AO510" s="2740"/>
      <c r="AP510" s="2740"/>
      <c r="AQ510" s="2740"/>
      <c r="AR510" s="2740"/>
      <c r="AS510" s="2740"/>
      <c r="AT510" s="2750"/>
      <c r="AU510" s="2751"/>
      <c r="AV510" s="1092">
        <f t="shared" si="294"/>
        <v>0</v>
      </c>
      <c r="AW510" s="1092">
        <f t="shared" si="295"/>
        <v>0</v>
      </c>
      <c r="AX510" s="1092">
        <f t="shared" si="296"/>
        <v>0</v>
      </c>
      <c r="AY510" s="2765">
        <f t="shared" si="271"/>
        <v>0</v>
      </c>
      <c r="AZ510" s="2720">
        <f t="shared" si="272"/>
        <v>0</v>
      </c>
      <c r="BA510" s="2720">
        <f t="shared" si="273"/>
        <v>0</v>
      </c>
      <c r="BB510" s="2720">
        <f t="shared" si="274"/>
        <v>0</v>
      </c>
      <c r="BC510" s="2720">
        <f t="shared" si="275"/>
        <v>0</v>
      </c>
      <c r="BD510" s="2720">
        <f t="shared" si="276"/>
        <v>0</v>
      </c>
      <c r="BE510" s="2720">
        <f t="shared" si="277"/>
        <v>0</v>
      </c>
      <c r="BF510" s="2720">
        <f t="shared" si="278"/>
        <v>0</v>
      </c>
      <c r="BG510" s="2720">
        <f t="shared" si="279"/>
        <v>0</v>
      </c>
      <c r="BH510" s="2720">
        <f t="shared" si="280"/>
        <v>0</v>
      </c>
      <c r="BI510" s="2720">
        <f t="shared" si="281"/>
        <v>0</v>
      </c>
      <c r="BJ510" s="2720">
        <f t="shared" si="282"/>
        <v>0</v>
      </c>
      <c r="BK510" s="2720">
        <f t="shared" si="283"/>
        <v>0</v>
      </c>
      <c r="BL510" s="2720">
        <f t="shared" si="284"/>
        <v>0</v>
      </c>
      <c r="BM510" s="2720">
        <f t="shared" si="285"/>
        <v>0</v>
      </c>
      <c r="BN510" s="2720">
        <f t="shared" si="286"/>
        <v>0</v>
      </c>
      <c r="BO510" s="2720">
        <f t="shared" si="287"/>
        <v>0</v>
      </c>
      <c r="BP510" s="2720">
        <f t="shared" si="288"/>
        <v>0</v>
      </c>
      <c r="BQ510" s="2720">
        <f t="shared" si="289"/>
        <v>0</v>
      </c>
      <c r="BR510" s="2720">
        <f t="shared" si="290"/>
        <v>0</v>
      </c>
      <c r="BS510" s="2720">
        <f t="shared" si="291"/>
        <v>0</v>
      </c>
      <c r="BT510" s="2772">
        <f t="shared" si="292"/>
        <v>0</v>
      </c>
    </row>
    <row r="511" spans="1:72">
      <c r="A511" s="2717"/>
      <c r="B511" s="2718"/>
      <c r="C511" s="2718"/>
      <c r="D511" s="2719"/>
      <c r="E511" s="2720">
        <f t="shared" si="293"/>
        <v>0</v>
      </c>
      <c r="F511" s="2721"/>
      <c r="G511" s="2722">
        <f t="shared" si="268"/>
        <v>0</v>
      </c>
      <c r="H511" s="2723">
        <f t="shared" si="269"/>
        <v>0</v>
      </c>
      <c r="I511" s="2730"/>
      <c r="J511" s="2730"/>
      <c r="K511" s="2730"/>
      <c r="L511" s="2730"/>
      <c r="M511" s="2730"/>
      <c r="N511" s="2730"/>
      <c r="O511" s="2730"/>
      <c r="P511" s="2730"/>
      <c r="Q511" s="2730"/>
      <c r="R511" s="2730"/>
      <c r="S511" s="2730"/>
      <c r="T511" s="2730"/>
      <c r="U511" s="2730"/>
      <c r="V511" s="2730"/>
      <c r="W511" s="2730"/>
      <c r="X511" s="2730"/>
      <c r="Y511" s="2730"/>
      <c r="Z511" s="2730"/>
      <c r="AA511" s="2730"/>
      <c r="AB511" s="2730"/>
      <c r="AC511" s="2720">
        <f t="shared" si="270"/>
        <v>0</v>
      </c>
      <c r="AD511" s="2740"/>
      <c r="AE511" s="2740"/>
      <c r="AF511" s="2740"/>
      <c r="AG511" s="2740"/>
      <c r="AH511" s="2740"/>
      <c r="AI511" s="2740"/>
      <c r="AJ511" s="2740"/>
      <c r="AK511" s="2740"/>
      <c r="AL511" s="2740"/>
      <c r="AM511" s="2740"/>
      <c r="AN511" s="2740"/>
      <c r="AO511" s="2740"/>
      <c r="AP511" s="2740"/>
      <c r="AQ511" s="2740"/>
      <c r="AR511" s="2740"/>
      <c r="AS511" s="2740"/>
      <c r="AT511" s="2750"/>
      <c r="AU511" s="2751"/>
      <c r="AV511" s="1092">
        <f t="shared" si="294"/>
        <v>0</v>
      </c>
      <c r="AW511" s="1092">
        <f t="shared" si="295"/>
        <v>0</v>
      </c>
      <c r="AX511" s="1092">
        <f t="shared" si="296"/>
        <v>0</v>
      </c>
      <c r="AY511" s="2765">
        <f t="shared" si="271"/>
        <v>0</v>
      </c>
      <c r="AZ511" s="2720">
        <f t="shared" si="272"/>
        <v>0</v>
      </c>
      <c r="BA511" s="2720">
        <f t="shared" si="273"/>
        <v>0</v>
      </c>
      <c r="BB511" s="2720">
        <f t="shared" si="274"/>
        <v>0</v>
      </c>
      <c r="BC511" s="2720">
        <f t="shared" si="275"/>
        <v>0</v>
      </c>
      <c r="BD511" s="2720">
        <f t="shared" si="276"/>
        <v>0</v>
      </c>
      <c r="BE511" s="2720">
        <f t="shared" si="277"/>
        <v>0</v>
      </c>
      <c r="BF511" s="2720">
        <f t="shared" si="278"/>
        <v>0</v>
      </c>
      <c r="BG511" s="2720">
        <f t="shared" si="279"/>
        <v>0</v>
      </c>
      <c r="BH511" s="2720">
        <f t="shared" si="280"/>
        <v>0</v>
      </c>
      <c r="BI511" s="2720">
        <f t="shared" si="281"/>
        <v>0</v>
      </c>
      <c r="BJ511" s="2720">
        <f t="shared" si="282"/>
        <v>0</v>
      </c>
      <c r="BK511" s="2720">
        <f t="shared" si="283"/>
        <v>0</v>
      </c>
      <c r="BL511" s="2720">
        <f t="shared" si="284"/>
        <v>0</v>
      </c>
      <c r="BM511" s="2720">
        <f t="shared" si="285"/>
        <v>0</v>
      </c>
      <c r="BN511" s="2720">
        <f t="shared" si="286"/>
        <v>0</v>
      </c>
      <c r="BO511" s="2720">
        <f t="shared" si="287"/>
        <v>0</v>
      </c>
      <c r="BP511" s="2720">
        <f t="shared" si="288"/>
        <v>0</v>
      </c>
      <c r="BQ511" s="2720">
        <f t="shared" si="289"/>
        <v>0</v>
      </c>
      <c r="BR511" s="2720">
        <f t="shared" si="290"/>
        <v>0</v>
      </c>
      <c r="BS511" s="2720">
        <f t="shared" si="291"/>
        <v>0</v>
      </c>
      <c r="BT511" s="2772">
        <f t="shared" si="292"/>
        <v>0</v>
      </c>
    </row>
    <row r="512" spans="1:72">
      <c r="A512" s="2717"/>
      <c r="B512" s="2718"/>
      <c r="C512" s="2718"/>
      <c r="D512" s="2719"/>
      <c r="E512" s="2720">
        <f t="shared" si="293"/>
        <v>0</v>
      </c>
      <c r="F512" s="2721"/>
      <c r="G512" s="2722">
        <f t="shared" si="268"/>
        <v>0</v>
      </c>
      <c r="H512" s="2723">
        <f t="shared" si="269"/>
        <v>0</v>
      </c>
      <c r="I512" s="2730"/>
      <c r="J512" s="2730"/>
      <c r="K512" s="2730"/>
      <c r="L512" s="2730"/>
      <c r="M512" s="2730"/>
      <c r="N512" s="2730"/>
      <c r="O512" s="2730"/>
      <c r="P512" s="2730"/>
      <c r="Q512" s="2730"/>
      <c r="R512" s="2730"/>
      <c r="S512" s="2730"/>
      <c r="T512" s="2730"/>
      <c r="U512" s="2730"/>
      <c r="V512" s="2730"/>
      <c r="W512" s="2730"/>
      <c r="X512" s="2730"/>
      <c r="Y512" s="2730"/>
      <c r="Z512" s="2730"/>
      <c r="AA512" s="2730"/>
      <c r="AB512" s="2730"/>
      <c r="AC512" s="2720">
        <f t="shared" si="270"/>
        <v>0</v>
      </c>
      <c r="AD512" s="2740"/>
      <c r="AE512" s="2740"/>
      <c r="AF512" s="2740"/>
      <c r="AG512" s="2740"/>
      <c r="AH512" s="2740"/>
      <c r="AI512" s="2740"/>
      <c r="AJ512" s="2740"/>
      <c r="AK512" s="2740"/>
      <c r="AL512" s="2740"/>
      <c r="AM512" s="2740"/>
      <c r="AN512" s="2740"/>
      <c r="AO512" s="2740"/>
      <c r="AP512" s="2740"/>
      <c r="AQ512" s="2740"/>
      <c r="AR512" s="2740"/>
      <c r="AS512" s="2740"/>
      <c r="AT512" s="2750"/>
      <c r="AU512" s="2751"/>
      <c r="AV512" s="1092">
        <f t="shared" si="294"/>
        <v>0</v>
      </c>
      <c r="AW512" s="1092">
        <f t="shared" si="295"/>
        <v>0</v>
      </c>
      <c r="AX512" s="1092">
        <f t="shared" si="296"/>
        <v>0</v>
      </c>
      <c r="AY512" s="2765">
        <f t="shared" si="271"/>
        <v>0</v>
      </c>
      <c r="AZ512" s="2720">
        <f t="shared" si="272"/>
        <v>0</v>
      </c>
      <c r="BA512" s="2720">
        <f t="shared" si="273"/>
        <v>0</v>
      </c>
      <c r="BB512" s="2720">
        <f t="shared" si="274"/>
        <v>0</v>
      </c>
      <c r="BC512" s="2720">
        <f t="shared" si="275"/>
        <v>0</v>
      </c>
      <c r="BD512" s="2720">
        <f t="shared" si="276"/>
        <v>0</v>
      </c>
      <c r="BE512" s="2720">
        <f t="shared" si="277"/>
        <v>0</v>
      </c>
      <c r="BF512" s="2720">
        <f t="shared" si="278"/>
        <v>0</v>
      </c>
      <c r="BG512" s="2720">
        <f t="shared" si="279"/>
        <v>0</v>
      </c>
      <c r="BH512" s="2720">
        <f t="shared" si="280"/>
        <v>0</v>
      </c>
      <c r="BI512" s="2720">
        <f t="shared" si="281"/>
        <v>0</v>
      </c>
      <c r="BJ512" s="2720">
        <f t="shared" si="282"/>
        <v>0</v>
      </c>
      <c r="BK512" s="2720">
        <f t="shared" si="283"/>
        <v>0</v>
      </c>
      <c r="BL512" s="2720">
        <f t="shared" si="284"/>
        <v>0</v>
      </c>
      <c r="BM512" s="2720">
        <f t="shared" si="285"/>
        <v>0</v>
      </c>
      <c r="BN512" s="2720">
        <f t="shared" si="286"/>
        <v>0</v>
      </c>
      <c r="BO512" s="2720">
        <f t="shared" si="287"/>
        <v>0</v>
      </c>
      <c r="BP512" s="2720">
        <f t="shared" si="288"/>
        <v>0</v>
      </c>
      <c r="BQ512" s="2720">
        <f t="shared" si="289"/>
        <v>0</v>
      </c>
      <c r="BR512" s="2720">
        <f t="shared" si="290"/>
        <v>0</v>
      </c>
      <c r="BS512" s="2720">
        <f t="shared" si="291"/>
        <v>0</v>
      </c>
      <c r="BT512" s="2772">
        <f t="shared" si="292"/>
        <v>0</v>
      </c>
    </row>
    <row r="513" spans="1:72">
      <c r="A513" s="2717"/>
      <c r="B513" s="2718"/>
      <c r="C513" s="2718"/>
      <c r="D513" s="2719"/>
      <c r="E513" s="2720">
        <f t="shared" si="293"/>
        <v>0</v>
      </c>
      <c r="F513" s="2721"/>
      <c r="G513" s="2722">
        <f t="shared" si="268"/>
        <v>0</v>
      </c>
      <c r="H513" s="2723">
        <f t="shared" si="269"/>
        <v>0</v>
      </c>
      <c r="I513" s="2730"/>
      <c r="J513" s="2730"/>
      <c r="K513" s="2730"/>
      <c r="L513" s="2730"/>
      <c r="M513" s="2730"/>
      <c r="N513" s="2730"/>
      <c r="O513" s="2730"/>
      <c r="P513" s="2730"/>
      <c r="Q513" s="2730"/>
      <c r="R513" s="2730"/>
      <c r="S513" s="2730"/>
      <c r="T513" s="2730"/>
      <c r="U513" s="2730"/>
      <c r="V513" s="2730"/>
      <c r="W513" s="2730"/>
      <c r="X513" s="2730"/>
      <c r="Y513" s="2730"/>
      <c r="Z513" s="2730"/>
      <c r="AA513" s="2730"/>
      <c r="AB513" s="2730"/>
      <c r="AC513" s="2720">
        <f t="shared" si="270"/>
        <v>0</v>
      </c>
      <c r="AD513" s="2740"/>
      <c r="AE513" s="2740"/>
      <c r="AF513" s="2740"/>
      <c r="AG513" s="2740"/>
      <c r="AH513" s="2740"/>
      <c r="AI513" s="2740"/>
      <c r="AJ513" s="2740"/>
      <c r="AK513" s="2740"/>
      <c r="AL513" s="2740"/>
      <c r="AM513" s="2740"/>
      <c r="AN513" s="2740"/>
      <c r="AO513" s="2740"/>
      <c r="AP513" s="2740"/>
      <c r="AQ513" s="2740"/>
      <c r="AR513" s="2740"/>
      <c r="AS513" s="2740"/>
      <c r="AT513" s="2750"/>
      <c r="AU513" s="2751"/>
      <c r="AV513" s="1092">
        <f t="shared" si="294"/>
        <v>0</v>
      </c>
      <c r="AW513" s="1092">
        <f t="shared" si="295"/>
        <v>0</v>
      </c>
      <c r="AX513" s="1092">
        <f t="shared" si="296"/>
        <v>0</v>
      </c>
      <c r="AY513" s="2765">
        <f t="shared" si="271"/>
        <v>0</v>
      </c>
      <c r="AZ513" s="2720">
        <f t="shared" si="272"/>
        <v>0</v>
      </c>
      <c r="BA513" s="2720">
        <f t="shared" si="273"/>
        <v>0</v>
      </c>
      <c r="BB513" s="2720">
        <f t="shared" si="274"/>
        <v>0</v>
      </c>
      <c r="BC513" s="2720">
        <f t="shared" si="275"/>
        <v>0</v>
      </c>
      <c r="BD513" s="2720">
        <f t="shared" si="276"/>
        <v>0</v>
      </c>
      <c r="BE513" s="2720">
        <f t="shared" si="277"/>
        <v>0</v>
      </c>
      <c r="BF513" s="2720">
        <f t="shared" si="278"/>
        <v>0</v>
      </c>
      <c r="BG513" s="2720">
        <f t="shared" si="279"/>
        <v>0</v>
      </c>
      <c r="BH513" s="2720">
        <f t="shared" si="280"/>
        <v>0</v>
      </c>
      <c r="BI513" s="2720">
        <f t="shared" si="281"/>
        <v>0</v>
      </c>
      <c r="BJ513" s="2720">
        <f t="shared" si="282"/>
        <v>0</v>
      </c>
      <c r="BK513" s="2720">
        <f t="shared" si="283"/>
        <v>0</v>
      </c>
      <c r="BL513" s="2720">
        <f t="shared" si="284"/>
        <v>0</v>
      </c>
      <c r="BM513" s="2720">
        <f t="shared" si="285"/>
        <v>0</v>
      </c>
      <c r="BN513" s="2720">
        <f t="shared" si="286"/>
        <v>0</v>
      </c>
      <c r="BO513" s="2720">
        <f t="shared" si="287"/>
        <v>0</v>
      </c>
      <c r="BP513" s="2720">
        <f t="shared" si="288"/>
        <v>0</v>
      </c>
      <c r="BQ513" s="2720">
        <f t="shared" si="289"/>
        <v>0</v>
      </c>
      <c r="BR513" s="2720">
        <f t="shared" si="290"/>
        <v>0</v>
      </c>
      <c r="BS513" s="2720">
        <f t="shared" si="291"/>
        <v>0</v>
      </c>
      <c r="BT513" s="2772">
        <f t="shared" si="292"/>
        <v>0</v>
      </c>
    </row>
    <row r="514" spans="1:72">
      <c r="A514" s="2717"/>
      <c r="B514" s="2718"/>
      <c r="C514" s="2718"/>
      <c r="D514" s="2719"/>
      <c r="E514" s="2720">
        <f t="shared" si="293"/>
        <v>0</v>
      </c>
      <c r="F514" s="2721"/>
      <c r="G514" s="2722">
        <f t="shared" si="268"/>
        <v>0</v>
      </c>
      <c r="H514" s="2723">
        <f t="shared" si="269"/>
        <v>0</v>
      </c>
      <c r="I514" s="2730"/>
      <c r="J514" s="2730"/>
      <c r="K514" s="2730"/>
      <c r="L514" s="2730"/>
      <c r="M514" s="2730"/>
      <c r="N514" s="2730"/>
      <c r="O514" s="2730"/>
      <c r="P514" s="2730"/>
      <c r="Q514" s="2730"/>
      <c r="R514" s="2730"/>
      <c r="S514" s="2730"/>
      <c r="T514" s="2730"/>
      <c r="U514" s="2730"/>
      <c r="V514" s="2730"/>
      <c r="W514" s="2730"/>
      <c r="X514" s="2730"/>
      <c r="Y514" s="2730"/>
      <c r="Z514" s="2730"/>
      <c r="AA514" s="2730"/>
      <c r="AB514" s="2730"/>
      <c r="AC514" s="2720">
        <f t="shared" si="270"/>
        <v>0</v>
      </c>
      <c r="AD514" s="2740"/>
      <c r="AE514" s="2740"/>
      <c r="AF514" s="2740"/>
      <c r="AG514" s="2740"/>
      <c r="AH514" s="2740"/>
      <c r="AI514" s="2740"/>
      <c r="AJ514" s="2740"/>
      <c r="AK514" s="2740"/>
      <c r="AL514" s="2740"/>
      <c r="AM514" s="2740"/>
      <c r="AN514" s="2740"/>
      <c r="AO514" s="2740"/>
      <c r="AP514" s="2740"/>
      <c r="AQ514" s="2740"/>
      <c r="AR514" s="2740"/>
      <c r="AS514" s="2740"/>
      <c r="AT514" s="2750"/>
      <c r="AU514" s="2751"/>
      <c r="AV514" s="1092">
        <f t="shared" si="294"/>
        <v>0</v>
      </c>
      <c r="AW514" s="1092">
        <f t="shared" si="295"/>
        <v>0</v>
      </c>
      <c r="AX514" s="1092">
        <f t="shared" si="296"/>
        <v>0</v>
      </c>
      <c r="AY514" s="2765">
        <f t="shared" si="271"/>
        <v>0</v>
      </c>
      <c r="AZ514" s="2720">
        <f t="shared" si="272"/>
        <v>0</v>
      </c>
      <c r="BA514" s="2720">
        <f t="shared" si="273"/>
        <v>0</v>
      </c>
      <c r="BB514" s="2720">
        <f t="shared" si="274"/>
        <v>0</v>
      </c>
      <c r="BC514" s="2720">
        <f t="shared" si="275"/>
        <v>0</v>
      </c>
      <c r="BD514" s="2720">
        <f t="shared" si="276"/>
        <v>0</v>
      </c>
      <c r="BE514" s="2720">
        <f t="shared" si="277"/>
        <v>0</v>
      </c>
      <c r="BF514" s="2720">
        <f t="shared" si="278"/>
        <v>0</v>
      </c>
      <c r="BG514" s="2720">
        <f t="shared" si="279"/>
        <v>0</v>
      </c>
      <c r="BH514" s="2720">
        <f t="shared" si="280"/>
        <v>0</v>
      </c>
      <c r="BI514" s="2720">
        <f t="shared" si="281"/>
        <v>0</v>
      </c>
      <c r="BJ514" s="2720">
        <f t="shared" si="282"/>
        <v>0</v>
      </c>
      <c r="BK514" s="2720">
        <f t="shared" si="283"/>
        <v>0</v>
      </c>
      <c r="BL514" s="2720">
        <f t="shared" si="284"/>
        <v>0</v>
      </c>
      <c r="BM514" s="2720">
        <f t="shared" si="285"/>
        <v>0</v>
      </c>
      <c r="BN514" s="2720">
        <f t="shared" si="286"/>
        <v>0</v>
      </c>
      <c r="BO514" s="2720">
        <f t="shared" si="287"/>
        <v>0</v>
      </c>
      <c r="BP514" s="2720">
        <f t="shared" si="288"/>
        <v>0</v>
      </c>
      <c r="BQ514" s="2720">
        <f t="shared" si="289"/>
        <v>0</v>
      </c>
      <c r="BR514" s="2720">
        <f t="shared" si="290"/>
        <v>0</v>
      </c>
      <c r="BS514" s="2720">
        <f t="shared" si="291"/>
        <v>0</v>
      </c>
      <c r="BT514" s="2772">
        <f t="shared" si="292"/>
        <v>0</v>
      </c>
    </row>
    <row r="515" spans="1:72">
      <c r="A515" s="2717"/>
      <c r="B515" s="2718"/>
      <c r="C515" s="2718"/>
      <c r="D515" s="2719"/>
      <c r="E515" s="2720">
        <f t="shared" si="293"/>
        <v>0</v>
      </c>
      <c r="F515" s="2721"/>
      <c r="G515" s="2722">
        <f t="shared" si="268"/>
        <v>0</v>
      </c>
      <c r="H515" s="2723">
        <f t="shared" si="269"/>
        <v>0</v>
      </c>
      <c r="I515" s="2730"/>
      <c r="J515" s="2730"/>
      <c r="K515" s="2730"/>
      <c r="L515" s="2730"/>
      <c r="M515" s="2730"/>
      <c r="N515" s="2730"/>
      <c r="O515" s="2730"/>
      <c r="P515" s="2730"/>
      <c r="Q515" s="2730"/>
      <c r="R515" s="2730"/>
      <c r="S515" s="2730"/>
      <c r="T515" s="2730"/>
      <c r="U515" s="2730"/>
      <c r="V515" s="2730"/>
      <c r="W515" s="2730"/>
      <c r="X515" s="2730"/>
      <c r="Y515" s="2730"/>
      <c r="Z515" s="2730"/>
      <c r="AA515" s="2730"/>
      <c r="AB515" s="2730"/>
      <c r="AC515" s="2720">
        <f t="shared" si="270"/>
        <v>0</v>
      </c>
      <c r="AD515" s="2740"/>
      <c r="AE515" s="2740"/>
      <c r="AF515" s="2740"/>
      <c r="AG515" s="2740"/>
      <c r="AH515" s="2740"/>
      <c r="AI515" s="2740"/>
      <c r="AJ515" s="2740"/>
      <c r="AK515" s="2740"/>
      <c r="AL515" s="2740"/>
      <c r="AM515" s="2740"/>
      <c r="AN515" s="2740"/>
      <c r="AO515" s="2740"/>
      <c r="AP515" s="2740"/>
      <c r="AQ515" s="2740"/>
      <c r="AR515" s="2740"/>
      <c r="AS515" s="2740"/>
      <c r="AT515" s="2750"/>
      <c r="AU515" s="2751"/>
      <c r="AV515" s="1092">
        <f t="shared" si="294"/>
        <v>0</v>
      </c>
      <c r="AW515" s="1092">
        <f t="shared" si="295"/>
        <v>0</v>
      </c>
      <c r="AX515" s="1092">
        <f t="shared" si="296"/>
        <v>0</v>
      </c>
      <c r="AY515" s="2765">
        <f t="shared" si="271"/>
        <v>0</v>
      </c>
      <c r="AZ515" s="2720">
        <f t="shared" si="272"/>
        <v>0</v>
      </c>
      <c r="BA515" s="2720">
        <f t="shared" si="273"/>
        <v>0</v>
      </c>
      <c r="BB515" s="2720">
        <f t="shared" si="274"/>
        <v>0</v>
      </c>
      <c r="BC515" s="2720">
        <f t="shared" si="275"/>
        <v>0</v>
      </c>
      <c r="BD515" s="2720">
        <f t="shared" si="276"/>
        <v>0</v>
      </c>
      <c r="BE515" s="2720">
        <f t="shared" si="277"/>
        <v>0</v>
      </c>
      <c r="BF515" s="2720">
        <f t="shared" si="278"/>
        <v>0</v>
      </c>
      <c r="BG515" s="2720">
        <f t="shared" si="279"/>
        <v>0</v>
      </c>
      <c r="BH515" s="2720">
        <f t="shared" si="280"/>
        <v>0</v>
      </c>
      <c r="BI515" s="2720">
        <f t="shared" si="281"/>
        <v>0</v>
      </c>
      <c r="BJ515" s="2720">
        <f t="shared" si="282"/>
        <v>0</v>
      </c>
      <c r="BK515" s="2720">
        <f t="shared" si="283"/>
        <v>0</v>
      </c>
      <c r="BL515" s="2720">
        <f t="shared" si="284"/>
        <v>0</v>
      </c>
      <c r="BM515" s="2720">
        <f t="shared" si="285"/>
        <v>0</v>
      </c>
      <c r="BN515" s="2720">
        <f t="shared" si="286"/>
        <v>0</v>
      </c>
      <c r="BO515" s="2720">
        <f t="shared" si="287"/>
        <v>0</v>
      </c>
      <c r="BP515" s="2720">
        <f t="shared" si="288"/>
        <v>0</v>
      </c>
      <c r="BQ515" s="2720">
        <f t="shared" si="289"/>
        <v>0</v>
      </c>
      <c r="BR515" s="2720">
        <f t="shared" si="290"/>
        <v>0</v>
      </c>
      <c r="BS515" s="2720">
        <f t="shared" si="291"/>
        <v>0</v>
      </c>
      <c r="BT515" s="2772">
        <f t="shared" si="292"/>
        <v>0</v>
      </c>
    </row>
    <row r="516" spans="1:72">
      <c r="A516" s="2717"/>
      <c r="B516" s="2718"/>
      <c r="C516" s="2718"/>
      <c r="D516" s="2719"/>
      <c r="E516" s="2720">
        <f t="shared" si="293"/>
        <v>0</v>
      </c>
      <c r="F516" s="2721"/>
      <c r="G516" s="2722">
        <f t="shared" si="268"/>
        <v>0</v>
      </c>
      <c r="H516" s="2723">
        <f t="shared" si="269"/>
        <v>0</v>
      </c>
      <c r="I516" s="2730"/>
      <c r="J516" s="2730"/>
      <c r="K516" s="2730"/>
      <c r="L516" s="2730"/>
      <c r="M516" s="2730"/>
      <c r="N516" s="2730"/>
      <c r="O516" s="2730"/>
      <c r="P516" s="2730"/>
      <c r="Q516" s="2730"/>
      <c r="R516" s="2730"/>
      <c r="S516" s="2730"/>
      <c r="T516" s="2730"/>
      <c r="U516" s="2730"/>
      <c r="V516" s="2730"/>
      <c r="W516" s="2730"/>
      <c r="X516" s="2730"/>
      <c r="Y516" s="2730"/>
      <c r="Z516" s="2730"/>
      <c r="AA516" s="2730"/>
      <c r="AB516" s="2730"/>
      <c r="AC516" s="2720">
        <f t="shared" si="270"/>
        <v>0</v>
      </c>
      <c r="AD516" s="2740"/>
      <c r="AE516" s="2740"/>
      <c r="AF516" s="2740"/>
      <c r="AG516" s="2740"/>
      <c r="AH516" s="2740"/>
      <c r="AI516" s="2740"/>
      <c r="AJ516" s="2740"/>
      <c r="AK516" s="2740"/>
      <c r="AL516" s="2740"/>
      <c r="AM516" s="2740"/>
      <c r="AN516" s="2740"/>
      <c r="AO516" s="2740"/>
      <c r="AP516" s="2740"/>
      <c r="AQ516" s="2740"/>
      <c r="AR516" s="2740"/>
      <c r="AS516" s="2740"/>
      <c r="AT516" s="2750"/>
      <c r="AU516" s="2751"/>
      <c r="AV516" s="1092">
        <f t="shared" si="294"/>
        <v>0</v>
      </c>
      <c r="AW516" s="1092">
        <f t="shared" si="295"/>
        <v>0</v>
      </c>
      <c r="AX516" s="1092">
        <f t="shared" si="296"/>
        <v>0</v>
      </c>
      <c r="AY516" s="2765">
        <f t="shared" si="271"/>
        <v>0</v>
      </c>
      <c r="AZ516" s="2720">
        <f t="shared" si="272"/>
        <v>0</v>
      </c>
      <c r="BA516" s="2720">
        <f t="shared" si="273"/>
        <v>0</v>
      </c>
      <c r="BB516" s="2720">
        <f t="shared" si="274"/>
        <v>0</v>
      </c>
      <c r="BC516" s="2720">
        <f t="shared" si="275"/>
        <v>0</v>
      </c>
      <c r="BD516" s="2720">
        <f t="shared" si="276"/>
        <v>0</v>
      </c>
      <c r="BE516" s="2720">
        <f t="shared" si="277"/>
        <v>0</v>
      </c>
      <c r="BF516" s="2720">
        <f t="shared" si="278"/>
        <v>0</v>
      </c>
      <c r="BG516" s="2720">
        <f t="shared" si="279"/>
        <v>0</v>
      </c>
      <c r="BH516" s="2720">
        <f t="shared" si="280"/>
        <v>0</v>
      </c>
      <c r="BI516" s="2720">
        <f t="shared" si="281"/>
        <v>0</v>
      </c>
      <c r="BJ516" s="2720">
        <f t="shared" si="282"/>
        <v>0</v>
      </c>
      <c r="BK516" s="2720">
        <f t="shared" si="283"/>
        <v>0</v>
      </c>
      <c r="BL516" s="2720">
        <f t="shared" si="284"/>
        <v>0</v>
      </c>
      <c r="BM516" s="2720">
        <f t="shared" si="285"/>
        <v>0</v>
      </c>
      <c r="BN516" s="2720">
        <f t="shared" si="286"/>
        <v>0</v>
      </c>
      <c r="BO516" s="2720">
        <f t="shared" si="287"/>
        <v>0</v>
      </c>
      <c r="BP516" s="2720">
        <f t="shared" si="288"/>
        <v>0</v>
      </c>
      <c r="BQ516" s="2720">
        <f t="shared" si="289"/>
        <v>0</v>
      </c>
      <c r="BR516" s="2720">
        <f t="shared" si="290"/>
        <v>0</v>
      </c>
      <c r="BS516" s="2720">
        <f t="shared" si="291"/>
        <v>0</v>
      </c>
      <c r="BT516" s="2772">
        <f t="shared" si="292"/>
        <v>0</v>
      </c>
    </row>
    <row r="517" spans="1:72">
      <c r="A517" s="2717"/>
      <c r="B517" s="2718"/>
      <c r="C517" s="2718"/>
      <c r="D517" s="2719"/>
      <c r="E517" s="2720">
        <f t="shared" si="293"/>
        <v>0</v>
      </c>
      <c r="F517" s="2721"/>
      <c r="G517" s="2722">
        <f t="shared" si="268"/>
        <v>0</v>
      </c>
      <c r="H517" s="2723">
        <f t="shared" si="269"/>
        <v>0</v>
      </c>
      <c r="I517" s="2730"/>
      <c r="J517" s="2730"/>
      <c r="K517" s="2730"/>
      <c r="L517" s="2730"/>
      <c r="M517" s="2730"/>
      <c r="N517" s="2730"/>
      <c r="O517" s="2730"/>
      <c r="P517" s="2730"/>
      <c r="Q517" s="2730"/>
      <c r="R517" s="2730"/>
      <c r="S517" s="2730"/>
      <c r="T517" s="2730"/>
      <c r="U517" s="2730"/>
      <c r="V517" s="2730"/>
      <c r="W517" s="2730"/>
      <c r="X517" s="2730"/>
      <c r="Y517" s="2730"/>
      <c r="Z517" s="2730"/>
      <c r="AA517" s="2730"/>
      <c r="AB517" s="2730"/>
      <c r="AC517" s="2720">
        <f t="shared" si="270"/>
        <v>0</v>
      </c>
      <c r="AD517" s="2740"/>
      <c r="AE517" s="2740"/>
      <c r="AF517" s="2740"/>
      <c r="AG517" s="2740"/>
      <c r="AH517" s="2740"/>
      <c r="AI517" s="2740"/>
      <c r="AJ517" s="2740"/>
      <c r="AK517" s="2740"/>
      <c r="AL517" s="2740"/>
      <c r="AM517" s="2740"/>
      <c r="AN517" s="2740"/>
      <c r="AO517" s="2740"/>
      <c r="AP517" s="2740"/>
      <c r="AQ517" s="2740"/>
      <c r="AR517" s="2740"/>
      <c r="AS517" s="2740"/>
      <c r="AT517" s="2750"/>
      <c r="AU517" s="2751"/>
      <c r="AV517" s="1092">
        <f t="shared" si="294"/>
        <v>0</v>
      </c>
      <c r="AW517" s="1092">
        <f t="shared" si="295"/>
        <v>0</v>
      </c>
      <c r="AX517" s="1092">
        <f t="shared" si="296"/>
        <v>0</v>
      </c>
      <c r="AY517" s="2765">
        <f t="shared" si="271"/>
        <v>0</v>
      </c>
      <c r="AZ517" s="2720">
        <f t="shared" si="272"/>
        <v>0</v>
      </c>
      <c r="BA517" s="2720">
        <f t="shared" si="273"/>
        <v>0</v>
      </c>
      <c r="BB517" s="2720">
        <f t="shared" si="274"/>
        <v>0</v>
      </c>
      <c r="BC517" s="2720">
        <f t="shared" si="275"/>
        <v>0</v>
      </c>
      <c r="BD517" s="2720">
        <f t="shared" si="276"/>
        <v>0</v>
      </c>
      <c r="BE517" s="2720">
        <f t="shared" si="277"/>
        <v>0</v>
      </c>
      <c r="BF517" s="2720">
        <f t="shared" si="278"/>
        <v>0</v>
      </c>
      <c r="BG517" s="2720">
        <f t="shared" si="279"/>
        <v>0</v>
      </c>
      <c r="BH517" s="2720">
        <f t="shared" si="280"/>
        <v>0</v>
      </c>
      <c r="BI517" s="2720">
        <f t="shared" si="281"/>
        <v>0</v>
      </c>
      <c r="BJ517" s="2720">
        <f t="shared" si="282"/>
        <v>0</v>
      </c>
      <c r="BK517" s="2720">
        <f t="shared" si="283"/>
        <v>0</v>
      </c>
      <c r="BL517" s="2720">
        <f t="shared" si="284"/>
        <v>0</v>
      </c>
      <c r="BM517" s="2720">
        <f t="shared" si="285"/>
        <v>0</v>
      </c>
      <c r="BN517" s="2720">
        <f t="shared" si="286"/>
        <v>0</v>
      </c>
      <c r="BO517" s="2720">
        <f t="shared" si="287"/>
        <v>0</v>
      </c>
      <c r="BP517" s="2720">
        <f t="shared" si="288"/>
        <v>0</v>
      </c>
      <c r="BQ517" s="2720">
        <f t="shared" si="289"/>
        <v>0</v>
      </c>
      <c r="BR517" s="2720">
        <f t="shared" si="290"/>
        <v>0</v>
      </c>
      <c r="BS517" s="2720">
        <f t="shared" si="291"/>
        <v>0</v>
      </c>
      <c r="BT517" s="2772">
        <f t="shared" si="292"/>
        <v>0</v>
      </c>
    </row>
    <row r="518" spans="1:72">
      <c r="A518" s="2717"/>
      <c r="B518" s="2718"/>
      <c r="C518" s="2718"/>
      <c r="D518" s="2719"/>
      <c r="E518" s="2720">
        <f t="shared" si="293"/>
        <v>0</v>
      </c>
      <c r="F518" s="2721"/>
      <c r="G518" s="2722">
        <f t="shared" si="268"/>
        <v>0</v>
      </c>
      <c r="H518" s="2723">
        <f t="shared" si="269"/>
        <v>0</v>
      </c>
      <c r="I518" s="2730"/>
      <c r="J518" s="2730"/>
      <c r="K518" s="2730"/>
      <c r="L518" s="2730"/>
      <c r="M518" s="2730"/>
      <c r="N518" s="2730"/>
      <c r="O518" s="2730"/>
      <c r="P518" s="2730"/>
      <c r="Q518" s="2730"/>
      <c r="R518" s="2730"/>
      <c r="S518" s="2730"/>
      <c r="T518" s="2730"/>
      <c r="U518" s="2730"/>
      <c r="V518" s="2730"/>
      <c r="W518" s="2730"/>
      <c r="X518" s="2730"/>
      <c r="Y518" s="2730"/>
      <c r="Z518" s="2730"/>
      <c r="AA518" s="2730"/>
      <c r="AB518" s="2730"/>
      <c r="AC518" s="2720">
        <f t="shared" si="270"/>
        <v>0</v>
      </c>
      <c r="AD518" s="2740"/>
      <c r="AE518" s="2740"/>
      <c r="AF518" s="2740"/>
      <c r="AG518" s="2740"/>
      <c r="AH518" s="2740"/>
      <c r="AI518" s="2740"/>
      <c r="AJ518" s="2740"/>
      <c r="AK518" s="2740"/>
      <c r="AL518" s="2740"/>
      <c r="AM518" s="2740"/>
      <c r="AN518" s="2740"/>
      <c r="AO518" s="2740"/>
      <c r="AP518" s="2740"/>
      <c r="AQ518" s="2740"/>
      <c r="AR518" s="2740"/>
      <c r="AS518" s="2740"/>
      <c r="AT518" s="2750"/>
      <c r="AU518" s="2751"/>
      <c r="AV518" s="1092">
        <f t="shared" si="294"/>
        <v>0</v>
      </c>
      <c r="AW518" s="1092">
        <f t="shared" si="295"/>
        <v>0</v>
      </c>
      <c r="AX518" s="1092">
        <f t="shared" si="296"/>
        <v>0</v>
      </c>
      <c r="AY518" s="2765">
        <f t="shared" si="271"/>
        <v>0</v>
      </c>
      <c r="AZ518" s="2720">
        <f t="shared" si="272"/>
        <v>0</v>
      </c>
      <c r="BA518" s="2720">
        <f t="shared" si="273"/>
        <v>0</v>
      </c>
      <c r="BB518" s="2720">
        <f t="shared" si="274"/>
        <v>0</v>
      </c>
      <c r="BC518" s="2720">
        <f t="shared" si="275"/>
        <v>0</v>
      </c>
      <c r="BD518" s="2720">
        <f t="shared" si="276"/>
        <v>0</v>
      </c>
      <c r="BE518" s="2720">
        <f t="shared" si="277"/>
        <v>0</v>
      </c>
      <c r="BF518" s="2720">
        <f t="shared" si="278"/>
        <v>0</v>
      </c>
      <c r="BG518" s="2720">
        <f t="shared" si="279"/>
        <v>0</v>
      </c>
      <c r="BH518" s="2720">
        <f t="shared" si="280"/>
        <v>0</v>
      </c>
      <c r="BI518" s="2720">
        <f t="shared" si="281"/>
        <v>0</v>
      </c>
      <c r="BJ518" s="2720">
        <f t="shared" si="282"/>
        <v>0</v>
      </c>
      <c r="BK518" s="2720">
        <f t="shared" si="283"/>
        <v>0</v>
      </c>
      <c r="BL518" s="2720">
        <f t="shared" si="284"/>
        <v>0</v>
      </c>
      <c r="BM518" s="2720">
        <f t="shared" si="285"/>
        <v>0</v>
      </c>
      <c r="BN518" s="2720">
        <f t="shared" si="286"/>
        <v>0</v>
      </c>
      <c r="BO518" s="2720">
        <f t="shared" si="287"/>
        <v>0</v>
      </c>
      <c r="BP518" s="2720">
        <f t="shared" si="288"/>
        <v>0</v>
      </c>
      <c r="BQ518" s="2720">
        <f t="shared" si="289"/>
        <v>0</v>
      </c>
      <c r="BR518" s="2720">
        <f t="shared" si="290"/>
        <v>0</v>
      </c>
      <c r="BS518" s="2720">
        <f t="shared" si="291"/>
        <v>0</v>
      </c>
      <c r="BT518" s="2772">
        <f t="shared" si="292"/>
        <v>0</v>
      </c>
    </row>
    <row r="519" spans="1:72">
      <c r="A519" s="2717"/>
      <c r="B519" s="2718"/>
      <c r="C519" s="2718"/>
      <c r="D519" s="2719"/>
      <c r="E519" s="2720">
        <f t="shared" si="293"/>
        <v>0</v>
      </c>
      <c r="F519" s="2721"/>
      <c r="G519" s="2722">
        <f t="shared" si="268"/>
        <v>0</v>
      </c>
      <c r="H519" s="2723">
        <f t="shared" si="269"/>
        <v>0</v>
      </c>
      <c r="I519" s="2730"/>
      <c r="J519" s="2730"/>
      <c r="K519" s="2730"/>
      <c r="L519" s="2730"/>
      <c r="M519" s="2730"/>
      <c r="N519" s="2730"/>
      <c r="O519" s="2730"/>
      <c r="P519" s="2730"/>
      <c r="Q519" s="2730"/>
      <c r="R519" s="2730"/>
      <c r="S519" s="2730"/>
      <c r="T519" s="2730"/>
      <c r="U519" s="2730"/>
      <c r="V519" s="2730"/>
      <c r="W519" s="2730"/>
      <c r="X519" s="2730"/>
      <c r="Y519" s="2730"/>
      <c r="Z519" s="2730"/>
      <c r="AA519" s="2730"/>
      <c r="AB519" s="2730"/>
      <c r="AC519" s="2720">
        <f t="shared" si="270"/>
        <v>0</v>
      </c>
      <c r="AD519" s="2740"/>
      <c r="AE519" s="2740"/>
      <c r="AF519" s="2740"/>
      <c r="AG519" s="2740"/>
      <c r="AH519" s="2740"/>
      <c r="AI519" s="2740"/>
      <c r="AJ519" s="2740"/>
      <c r="AK519" s="2740"/>
      <c r="AL519" s="2740"/>
      <c r="AM519" s="2740"/>
      <c r="AN519" s="2740"/>
      <c r="AO519" s="2740"/>
      <c r="AP519" s="2740"/>
      <c r="AQ519" s="2740"/>
      <c r="AR519" s="2740"/>
      <c r="AS519" s="2740"/>
      <c r="AT519" s="2750"/>
      <c r="AU519" s="2751"/>
      <c r="AV519" s="1092">
        <f t="shared" si="294"/>
        <v>0</v>
      </c>
      <c r="AW519" s="1092">
        <f t="shared" si="295"/>
        <v>0</v>
      </c>
      <c r="AX519" s="1092">
        <f t="shared" si="296"/>
        <v>0</v>
      </c>
      <c r="AY519" s="2765">
        <f t="shared" si="271"/>
        <v>0</v>
      </c>
      <c r="AZ519" s="2720">
        <f t="shared" si="272"/>
        <v>0</v>
      </c>
      <c r="BA519" s="2720">
        <f t="shared" si="273"/>
        <v>0</v>
      </c>
      <c r="BB519" s="2720">
        <f t="shared" si="274"/>
        <v>0</v>
      </c>
      <c r="BC519" s="2720">
        <f t="shared" si="275"/>
        <v>0</v>
      </c>
      <c r="BD519" s="2720">
        <f t="shared" si="276"/>
        <v>0</v>
      </c>
      <c r="BE519" s="2720">
        <f t="shared" si="277"/>
        <v>0</v>
      </c>
      <c r="BF519" s="2720">
        <f t="shared" si="278"/>
        <v>0</v>
      </c>
      <c r="BG519" s="2720">
        <f t="shared" si="279"/>
        <v>0</v>
      </c>
      <c r="BH519" s="2720">
        <f t="shared" si="280"/>
        <v>0</v>
      </c>
      <c r="BI519" s="2720">
        <f t="shared" si="281"/>
        <v>0</v>
      </c>
      <c r="BJ519" s="2720">
        <f t="shared" si="282"/>
        <v>0</v>
      </c>
      <c r="BK519" s="2720">
        <f t="shared" si="283"/>
        <v>0</v>
      </c>
      <c r="BL519" s="2720">
        <f t="shared" si="284"/>
        <v>0</v>
      </c>
      <c r="BM519" s="2720">
        <f t="shared" si="285"/>
        <v>0</v>
      </c>
      <c r="BN519" s="2720">
        <f t="shared" si="286"/>
        <v>0</v>
      </c>
      <c r="BO519" s="2720">
        <f t="shared" si="287"/>
        <v>0</v>
      </c>
      <c r="BP519" s="2720">
        <f t="shared" si="288"/>
        <v>0</v>
      </c>
      <c r="BQ519" s="2720">
        <f t="shared" si="289"/>
        <v>0</v>
      </c>
      <c r="BR519" s="2720">
        <f t="shared" si="290"/>
        <v>0</v>
      </c>
      <c r="BS519" s="2720">
        <f t="shared" si="291"/>
        <v>0</v>
      </c>
      <c r="BT519" s="2772">
        <f t="shared" si="292"/>
        <v>0</v>
      </c>
    </row>
    <row r="520" spans="1:72">
      <c r="A520" s="2717"/>
      <c r="B520" s="2718"/>
      <c r="C520" s="2718"/>
      <c r="D520" s="2719"/>
      <c r="E520" s="2720">
        <f t="shared" ref="E520:E551" si="297">IF($C$3="是",ROUND($A$3*G520/$B$3,2),ROUND($A$3*(G520-AT520)/$B$3,2))</f>
        <v>0</v>
      </c>
      <c r="F520" s="2721"/>
      <c r="G520" s="2722">
        <f t="shared" si="268"/>
        <v>0</v>
      </c>
      <c r="H520" s="2723">
        <f t="shared" si="269"/>
        <v>0</v>
      </c>
      <c r="I520" s="2730"/>
      <c r="J520" s="2730"/>
      <c r="K520" s="2730"/>
      <c r="L520" s="2730"/>
      <c r="M520" s="2730"/>
      <c r="N520" s="2730"/>
      <c r="O520" s="2730"/>
      <c r="P520" s="2730"/>
      <c r="Q520" s="2730"/>
      <c r="R520" s="2730"/>
      <c r="S520" s="2730"/>
      <c r="T520" s="2730"/>
      <c r="U520" s="2730"/>
      <c r="V520" s="2730"/>
      <c r="W520" s="2730"/>
      <c r="X520" s="2730"/>
      <c r="Y520" s="2730"/>
      <c r="Z520" s="2730"/>
      <c r="AA520" s="2730"/>
      <c r="AB520" s="2730"/>
      <c r="AC520" s="2720">
        <f t="shared" si="270"/>
        <v>0</v>
      </c>
      <c r="AD520" s="2740"/>
      <c r="AE520" s="2740"/>
      <c r="AF520" s="2740"/>
      <c r="AG520" s="2740"/>
      <c r="AH520" s="2740"/>
      <c r="AI520" s="2740"/>
      <c r="AJ520" s="2740"/>
      <c r="AK520" s="2740"/>
      <c r="AL520" s="2740"/>
      <c r="AM520" s="2740"/>
      <c r="AN520" s="2740"/>
      <c r="AO520" s="2740"/>
      <c r="AP520" s="2740"/>
      <c r="AQ520" s="2740"/>
      <c r="AR520" s="2740"/>
      <c r="AS520" s="2740"/>
      <c r="AT520" s="2750"/>
      <c r="AU520" s="2751"/>
      <c r="AV520" s="1092">
        <f t="shared" si="294"/>
        <v>0</v>
      </c>
      <c r="AW520" s="1092">
        <f t="shared" si="295"/>
        <v>0</v>
      </c>
      <c r="AX520" s="1092">
        <f t="shared" si="296"/>
        <v>0</v>
      </c>
      <c r="AY520" s="2765">
        <f t="shared" si="271"/>
        <v>0</v>
      </c>
      <c r="AZ520" s="2720">
        <f t="shared" si="272"/>
        <v>0</v>
      </c>
      <c r="BA520" s="2720">
        <f t="shared" si="273"/>
        <v>0</v>
      </c>
      <c r="BB520" s="2720">
        <f t="shared" si="274"/>
        <v>0</v>
      </c>
      <c r="BC520" s="2720">
        <f t="shared" si="275"/>
        <v>0</v>
      </c>
      <c r="BD520" s="2720">
        <f t="shared" si="276"/>
        <v>0</v>
      </c>
      <c r="BE520" s="2720">
        <f t="shared" si="277"/>
        <v>0</v>
      </c>
      <c r="BF520" s="2720">
        <f t="shared" si="278"/>
        <v>0</v>
      </c>
      <c r="BG520" s="2720">
        <f t="shared" si="279"/>
        <v>0</v>
      </c>
      <c r="BH520" s="2720">
        <f t="shared" si="280"/>
        <v>0</v>
      </c>
      <c r="BI520" s="2720">
        <f t="shared" si="281"/>
        <v>0</v>
      </c>
      <c r="BJ520" s="2720">
        <f t="shared" si="282"/>
        <v>0</v>
      </c>
      <c r="BK520" s="2720">
        <f t="shared" si="283"/>
        <v>0</v>
      </c>
      <c r="BL520" s="2720">
        <f t="shared" si="284"/>
        <v>0</v>
      </c>
      <c r="BM520" s="2720">
        <f t="shared" si="285"/>
        <v>0</v>
      </c>
      <c r="BN520" s="2720">
        <f t="shared" si="286"/>
        <v>0</v>
      </c>
      <c r="BO520" s="2720">
        <f t="shared" si="287"/>
        <v>0</v>
      </c>
      <c r="BP520" s="2720">
        <f t="shared" si="288"/>
        <v>0</v>
      </c>
      <c r="BQ520" s="2720">
        <f t="shared" si="289"/>
        <v>0</v>
      </c>
      <c r="BR520" s="2720">
        <f t="shared" si="290"/>
        <v>0</v>
      </c>
      <c r="BS520" s="2720">
        <f t="shared" si="291"/>
        <v>0</v>
      </c>
      <c r="BT520" s="2772">
        <f t="shared" si="292"/>
        <v>0</v>
      </c>
    </row>
    <row r="521" spans="1:72">
      <c r="A521" s="2717"/>
      <c r="B521" s="2718"/>
      <c r="C521" s="2718"/>
      <c r="D521" s="2719"/>
      <c r="E521" s="2720">
        <f t="shared" si="297"/>
        <v>0</v>
      </c>
      <c r="F521" s="2721"/>
      <c r="G521" s="2722">
        <f t="shared" si="268"/>
        <v>0</v>
      </c>
      <c r="H521" s="2723">
        <f t="shared" si="269"/>
        <v>0</v>
      </c>
      <c r="I521" s="2730"/>
      <c r="J521" s="2730"/>
      <c r="K521" s="2730"/>
      <c r="L521" s="2730"/>
      <c r="M521" s="2730"/>
      <c r="N521" s="2730"/>
      <c r="O521" s="2730"/>
      <c r="P521" s="2730"/>
      <c r="Q521" s="2730"/>
      <c r="R521" s="2730"/>
      <c r="S521" s="2730"/>
      <c r="T521" s="2730"/>
      <c r="U521" s="2730"/>
      <c r="V521" s="2730"/>
      <c r="W521" s="2730"/>
      <c r="X521" s="2730"/>
      <c r="Y521" s="2730"/>
      <c r="Z521" s="2730"/>
      <c r="AA521" s="2730"/>
      <c r="AB521" s="2730"/>
      <c r="AC521" s="2720">
        <f t="shared" si="270"/>
        <v>0</v>
      </c>
      <c r="AD521" s="2740"/>
      <c r="AE521" s="2740"/>
      <c r="AF521" s="2740"/>
      <c r="AG521" s="2740"/>
      <c r="AH521" s="2740"/>
      <c r="AI521" s="2740"/>
      <c r="AJ521" s="2740"/>
      <c r="AK521" s="2740"/>
      <c r="AL521" s="2740"/>
      <c r="AM521" s="2740"/>
      <c r="AN521" s="2740"/>
      <c r="AO521" s="2740"/>
      <c r="AP521" s="2740"/>
      <c r="AQ521" s="2740"/>
      <c r="AR521" s="2740"/>
      <c r="AS521" s="2740"/>
      <c r="AT521" s="2750"/>
      <c r="AU521" s="2751"/>
      <c r="AV521" s="1092">
        <f t="shared" ref="AV521:AV552" si="298">A521</f>
        <v>0</v>
      </c>
      <c r="AW521" s="1092">
        <f t="shared" ref="AW521:AW552" si="299">B521</f>
        <v>0</v>
      </c>
      <c r="AX521" s="1092">
        <f t="shared" ref="AX521:AX552" si="300">C521</f>
        <v>0</v>
      </c>
      <c r="AY521" s="2765">
        <f t="shared" si="271"/>
        <v>0</v>
      </c>
      <c r="AZ521" s="2720">
        <f t="shared" si="272"/>
        <v>0</v>
      </c>
      <c r="BA521" s="2720">
        <f t="shared" si="273"/>
        <v>0</v>
      </c>
      <c r="BB521" s="2720">
        <f t="shared" si="274"/>
        <v>0</v>
      </c>
      <c r="BC521" s="2720">
        <f t="shared" si="275"/>
        <v>0</v>
      </c>
      <c r="BD521" s="2720">
        <f t="shared" si="276"/>
        <v>0</v>
      </c>
      <c r="BE521" s="2720">
        <f t="shared" si="277"/>
        <v>0</v>
      </c>
      <c r="BF521" s="2720">
        <f t="shared" si="278"/>
        <v>0</v>
      </c>
      <c r="BG521" s="2720">
        <f t="shared" si="279"/>
        <v>0</v>
      </c>
      <c r="BH521" s="2720">
        <f t="shared" si="280"/>
        <v>0</v>
      </c>
      <c r="BI521" s="2720">
        <f t="shared" si="281"/>
        <v>0</v>
      </c>
      <c r="BJ521" s="2720">
        <f t="shared" si="282"/>
        <v>0</v>
      </c>
      <c r="BK521" s="2720">
        <f t="shared" si="283"/>
        <v>0</v>
      </c>
      <c r="BL521" s="2720">
        <f t="shared" si="284"/>
        <v>0</v>
      </c>
      <c r="BM521" s="2720">
        <f t="shared" si="285"/>
        <v>0</v>
      </c>
      <c r="BN521" s="2720">
        <f t="shared" si="286"/>
        <v>0</v>
      </c>
      <c r="BO521" s="2720">
        <f t="shared" si="287"/>
        <v>0</v>
      </c>
      <c r="BP521" s="2720">
        <f t="shared" si="288"/>
        <v>0</v>
      </c>
      <c r="BQ521" s="2720">
        <f t="shared" si="289"/>
        <v>0</v>
      </c>
      <c r="BR521" s="2720">
        <f t="shared" si="290"/>
        <v>0</v>
      </c>
      <c r="BS521" s="2720">
        <f t="shared" si="291"/>
        <v>0</v>
      </c>
      <c r="BT521" s="2772">
        <f t="shared" si="292"/>
        <v>0</v>
      </c>
    </row>
    <row r="522" spans="1:72">
      <c r="A522" s="2717"/>
      <c r="B522" s="2718"/>
      <c r="C522" s="2718"/>
      <c r="D522" s="2719"/>
      <c r="E522" s="2720">
        <f t="shared" si="297"/>
        <v>0</v>
      </c>
      <c r="F522" s="2721"/>
      <c r="G522" s="2722">
        <f t="shared" ref="G522:G552" si="301">H522+AC522+AT522</f>
        <v>0</v>
      </c>
      <c r="H522" s="2723">
        <f t="shared" ref="H522:H552" si="302">SUMIF(I$12:AB$12,"总值",I522:AB522)</f>
        <v>0</v>
      </c>
      <c r="I522" s="2730"/>
      <c r="J522" s="2730"/>
      <c r="K522" s="2730"/>
      <c r="L522" s="2730"/>
      <c r="M522" s="2730"/>
      <c r="N522" s="2730"/>
      <c r="O522" s="2730"/>
      <c r="P522" s="2730"/>
      <c r="Q522" s="2730"/>
      <c r="R522" s="2730"/>
      <c r="S522" s="2730"/>
      <c r="T522" s="2730"/>
      <c r="U522" s="2730"/>
      <c r="V522" s="2730"/>
      <c r="W522" s="2730"/>
      <c r="X522" s="2730"/>
      <c r="Y522" s="2730"/>
      <c r="Z522" s="2730"/>
      <c r="AA522" s="2730"/>
      <c r="AB522" s="2730"/>
      <c r="AC522" s="2720">
        <f t="shared" ref="AC522:AC552" si="303">SUMIF(AD$12:AS$12,"总值",AD522:AS522)</f>
        <v>0</v>
      </c>
      <c r="AD522" s="2740"/>
      <c r="AE522" s="2740"/>
      <c r="AF522" s="2740"/>
      <c r="AG522" s="2740"/>
      <c r="AH522" s="2740"/>
      <c r="AI522" s="2740"/>
      <c r="AJ522" s="2740"/>
      <c r="AK522" s="2740"/>
      <c r="AL522" s="2740"/>
      <c r="AM522" s="2740"/>
      <c r="AN522" s="2740"/>
      <c r="AO522" s="2740"/>
      <c r="AP522" s="2740"/>
      <c r="AQ522" s="2740"/>
      <c r="AR522" s="2740"/>
      <c r="AS522" s="2740"/>
      <c r="AT522" s="2750"/>
      <c r="AU522" s="2751"/>
      <c r="AV522" s="1092">
        <f t="shared" si="298"/>
        <v>0</v>
      </c>
      <c r="AW522" s="1092">
        <f t="shared" si="299"/>
        <v>0</v>
      </c>
      <c r="AX522" s="1092">
        <f t="shared" si="300"/>
        <v>0</v>
      </c>
      <c r="AY522" s="2765">
        <f t="shared" ref="AY522:AY552" si="304">ROUND($AY$6*AZ522/$AZ$5,2)</f>
        <v>0</v>
      </c>
      <c r="AZ522" s="2720">
        <f t="shared" ref="AZ522:AZ552" si="305">BA522+BL522</f>
        <v>0</v>
      </c>
      <c r="BA522" s="2720">
        <f t="shared" ref="BA522:BA552" si="306">SUM(BB522:BK522)</f>
        <v>0</v>
      </c>
      <c r="BB522" s="2720">
        <f t="shared" ref="BB522:BB552" si="307">IF($D522="是",I522-J522,0)</f>
        <v>0</v>
      </c>
      <c r="BC522" s="2720">
        <f t="shared" ref="BC522:BC552" si="308">IF($D522="是",K522-L522,0)</f>
        <v>0</v>
      </c>
      <c r="BD522" s="2720">
        <f t="shared" ref="BD522:BD552" si="309">IF($D522="是",M522-N522,0)</f>
        <v>0</v>
      </c>
      <c r="BE522" s="2720">
        <f t="shared" ref="BE522:BE552" si="310">IF($D522="是",O522-P522,0)</f>
        <v>0</v>
      </c>
      <c r="BF522" s="2720">
        <f t="shared" ref="BF522:BF552" si="311">IF($D522="是",Q522-R522,0)</f>
        <v>0</v>
      </c>
      <c r="BG522" s="2720">
        <f t="shared" ref="BG522:BG552" si="312">IF($D522="是",S522-T522,0)</f>
        <v>0</v>
      </c>
      <c r="BH522" s="2720">
        <f t="shared" ref="BH522:BH552" si="313">IF($D522="是",U522-V522,0)</f>
        <v>0</v>
      </c>
      <c r="BI522" s="2720">
        <f t="shared" ref="BI522:BI552" si="314">IF($D522="是",W522-X522,0)</f>
        <v>0</v>
      </c>
      <c r="BJ522" s="2720">
        <f t="shared" ref="BJ522:BJ552" si="315">IF($D522="是",Y522-Z522,0)</f>
        <v>0</v>
      </c>
      <c r="BK522" s="2720">
        <f t="shared" ref="BK522:BK552" si="316">IF($D522="是",AA522-AB522,0)</f>
        <v>0</v>
      </c>
      <c r="BL522" s="2720">
        <f t="shared" ref="BL522:BL552" si="317">SUM(BM522:BT522)</f>
        <v>0</v>
      </c>
      <c r="BM522" s="2720">
        <f t="shared" ref="BM522:BM552" si="318">IF($D522="是",AD522-AE522,0)</f>
        <v>0</v>
      </c>
      <c r="BN522" s="2720">
        <f t="shared" ref="BN522:BN552" si="319">IF($D522="是",AF522-AG522,0)</f>
        <v>0</v>
      </c>
      <c r="BO522" s="2720">
        <f t="shared" ref="BO522:BO552" si="320">IF($D522="是",AH522-AI522,0)</f>
        <v>0</v>
      </c>
      <c r="BP522" s="2720">
        <f t="shared" ref="BP522:BP552" si="321">IF($D522="是",AJ522-AK522,0)</f>
        <v>0</v>
      </c>
      <c r="BQ522" s="2720">
        <f t="shared" ref="BQ522:BQ552" si="322">IF($D522="是",AL522-AM522,0)</f>
        <v>0</v>
      </c>
      <c r="BR522" s="2720">
        <f t="shared" ref="BR522:BR552" si="323">IF($D522="是",AN522-AO522,0)</f>
        <v>0</v>
      </c>
      <c r="BS522" s="2720">
        <f t="shared" ref="BS522:BS552" si="324">IF($D522="是",AP522-AQ522,0)</f>
        <v>0</v>
      </c>
      <c r="BT522" s="2772">
        <f t="shared" ref="BT522:BT552" si="325">IF($D522="是",AR522-AS522,0)</f>
        <v>0</v>
      </c>
    </row>
    <row r="523" spans="1:72">
      <c r="A523" s="2717"/>
      <c r="B523" s="2718"/>
      <c r="C523" s="2718"/>
      <c r="D523" s="2719"/>
      <c r="E523" s="2720">
        <f t="shared" si="297"/>
        <v>0</v>
      </c>
      <c r="F523" s="2721"/>
      <c r="G523" s="2722">
        <f t="shared" si="301"/>
        <v>0</v>
      </c>
      <c r="H523" s="2723">
        <f t="shared" si="302"/>
        <v>0</v>
      </c>
      <c r="I523" s="2730"/>
      <c r="J523" s="2730"/>
      <c r="K523" s="2730"/>
      <c r="L523" s="2730"/>
      <c r="M523" s="2730"/>
      <c r="N523" s="2730"/>
      <c r="O523" s="2730"/>
      <c r="P523" s="2730"/>
      <c r="Q523" s="2730"/>
      <c r="R523" s="2730"/>
      <c r="S523" s="2730"/>
      <c r="T523" s="2730"/>
      <c r="U523" s="2730"/>
      <c r="V523" s="2730"/>
      <c r="W523" s="2730"/>
      <c r="X523" s="2730"/>
      <c r="Y523" s="2730"/>
      <c r="Z523" s="2730"/>
      <c r="AA523" s="2730"/>
      <c r="AB523" s="2730"/>
      <c r="AC523" s="2720">
        <f t="shared" si="303"/>
        <v>0</v>
      </c>
      <c r="AD523" s="2740"/>
      <c r="AE523" s="2740"/>
      <c r="AF523" s="2740"/>
      <c r="AG523" s="2740"/>
      <c r="AH523" s="2740"/>
      <c r="AI523" s="2740"/>
      <c r="AJ523" s="2740"/>
      <c r="AK523" s="2740"/>
      <c r="AL523" s="2740"/>
      <c r="AM523" s="2740"/>
      <c r="AN523" s="2740"/>
      <c r="AO523" s="2740"/>
      <c r="AP523" s="2740"/>
      <c r="AQ523" s="2740"/>
      <c r="AR523" s="2740"/>
      <c r="AS523" s="2740"/>
      <c r="AT523" s="2750"/>
      <c r="AU523" s="2751"/>
      <c r="AV523" s="1092">
        <f t="shared" si="298"/>
        <v>0</v>
      </c>
      <c r="AW523" s="1092">
        <f t="shared" si="299"/>
        <v>0</v>
      </c>
      <c r="AX523" s="1092">
        <f t="shared" si="300"/>
        <v>0</v>
      </c>
      <c r="AY523" s="2765">
        <f t="shared" si="304"/>
        <v>0</v>
      </c>
      <c r="AZ523" s="2720">
        <f t="shared" si="305"/>
        <v>0</v>
      </c>
      <c r="BA523" s="2720">
        <f t="shared" si="306"/>
        <v>0</v>
      </c>
      <c r="BB523" s="2720">
        <f t="shared" si="307"/>
        <v>0</v>
      </c>
      <c r="BC523" s="2720">
        <f t="shared" si="308"/>
        <v>0</v>
      </c>
      <c r="BD523" s="2720">
        <f t="shared" si="309"/>
        <v>0</v>
      </c>
      <c r="BE523" s="2720">
        <f t="shared" si="310"/>
        <v>0</v>
      </c>
      <c r="BF523" s="2720">
        <f t="shared" si="311"/>
        <v>0</v>
      </c>
      <c r="BG523" s="2720">
        <f t="shared" si="312"/>
        <v>0</v>
      </c>
      <c r="BH523" s="2720">
        <f t="shared" si="313"/>
        <v>0</v>
      </c>
      <c r="BI523" s="2720">
        <f t="shared" si="314"/>
        <v>0</v>
      </c>
      <c r="BJ523" s="2720">
        <f t="shared" si="315"/>
        <v>0</v>
      </c>
      <c r="BK523" s="2720">
        <f t="shared" si="316"/>
        <v>0</v>
      </c>
      <c r="BL523" s="2720">
        <f t="shared" si="317"/>
        <v>0</v>
      </c>
      <c r="BM523" s="2720">
        <f t="shared" si="318"/>
        <v>0</v>
      </c>
      <c r="BN523" s="2720">
        <f t="shared" si="319"/>
        <v>0</v>
      </c>
      <c r="BO523" s="2720">
        <f t="shared" si="320"/>
        <v>0</v>
      </c>
      <c r="BP523" s="2720">
        <f t="shared" si="321"/>
        <v>0</v>
      </c>
      <c r="BQ523" s="2720">
        <f t="shared" si="322"/>
        <v>0</v>
      </c>
      <c r="BR523" s="2720">
        <f t="shared" si="323"/>
        <v>0</v>
      </c>
      <c r="BS523" s="2720">
        <f t="shared" si="324"/>
        <v>0</v>
      </c>
      <c r="BT523" s="2772">
        <f t="shared" si="325"/>
        <v>0</v>
      </c>
    </row>
    <row r="524" spans="1:72">
      <c r="A524" s="2717"/>
      <c r="B524" s="2718"/>
      <c r="C524" s="2718"/>
      <c r="D524" s="2719"/>
      <c r="E524" s="2720">
        <f t="shared" si="297"/>
        <v>0</v>
      </c>
      <c r="F524" s="2721"/>
      <c r="G524" s="2722">
        <f t="shared" si="301"/>
        <v>0</v>
      </c>
      <c r="H524" s="2723">
        <f t="shared" si="302"/>
        <v>0</v>
      </c>
      <c r="I524" s="2730"/>
      <c r="J524" s="2730"/>
      <c r="K524" s="2730"/>
      <c r="L524" s="2730"/>
      <c r="M524" s="2730"/>
      <c r="N524" s="2730"/>
      <c r="O524" s="2730"/>
      <c r="P524" s="2730"/>
      <c r="Q524" s="2730"/>
      <c r="R524" s="2730"/>
      <c r="S524" s="2730"/>
      <c r="T524" s="2730"/>
      <c r="U524" s="2730"/>
      <c r="V524" s="2730"/>
      <c r="W524" s="2730"/>
      <c r="X524" s="2730"/>
      <c r="Y524" s="2730"/>
      <c r="Z524" s="2730"/>
      <c r="AA524" s="2730"/>
      <c r="AB524" s="2730"/>
      <c r="AC524" s="2720">
        <f t="shared" si="303"/>
        <v>0</v>
      </c>
      <c r="AD524" s="2740"/>
      <c r="AE524" s="2740"/>
      <c r="AF524" s="2740"/>
      <c r="AG524" s="2740"/>
      <c r="AH524" s="2740"/>
      <c r="AI524" s="2740"/>
      <c r="AJ524" s="2740"/>
      <c r="AK524" s="2740"/>
      <c r="AL524" s="2740"/>
      <c r="AM524" s="2740"/>
      <c r="AN524" s="2740"/>
      <c r="AO524" s="2740"/>
      <c r="AP524" s="2740"/>
      <c r="AQ524" s="2740"/>
      <c r="AR524" s="2740"/>
      <c r="AS524" s="2740"/>
      <c r="AT524" s="2750"/>
      <c r="AU524" s="2751"/>
      <c r="AV524" s="1092">
        <f t="shared" si="298"/>
        <v>0</v>
      </c>
      <c r="AW524" s="1092">
        <f t="shared" si="299"/>
        <v>0</v>
      </c>
      <c r="AX524" s="1092">
        <f t="shared" si="300"/>
        <v>0</v>
      </c>
      <c r="AY524" s="2765">
        <f t="shared" si="304"/>
        <v>0</v>
      </c>
      <c r="AZ524" s="2720">
        <f t="shared" si="305"/>
        <v>0</v>
      </c>
      <c r="BA524" s="2720">
        <f t="shared" si="306"/>
        <v>0</v>
      </c>
      <c r="BB524" s="2720">
        <f t="shared" si="307"/>
        <v>0</v>
      </c>
      <c r="BC524" s="2720">
        <f t="shared" si="308"/>
        <v>0</v>
      </c>
      <c r="BD524" s="2720">
        <f t="shared" si="309"/>
        <v>0</v>
      </c>
      <c r="BE524" s="2720">
        <f t="shared" si="310"/>
        <v>0</v>
      </c>
      <c r="BF524" s="2720">
        <f t="shared" si="311"/>
        <v>0</v>
      </c>
      <c r="BG524" s="2720">
        <f t="shared" si="312"/>
        <v>0</v>
      </c>
      <c r="BH524" s="2720">
        <f t="shared" si="313"/>
        <v>0</v>
      </c>
      <c r="BI524" s="2720">
        <f t="shared" si="314"/>
        <v>0</v>
      </c>
      <c r="BJ524" s="2720">
        <f t="shared" si="315"/>
        <v>0</v>
      </c>
      <c r="BK524" s="2720">
        <f t="shared" si="316"/>
        <v>0</v>
      </c>
      <c r="BL524" s="2720">
        <f t="shared" si="317"/>
        <v>0</v>
      </c>
      <c r="BM524" s="2720">
        <f t="shared" si="318"/>
        <v>0</v>
      </c>
      <c r="BN524" s="2720">
        <f t="shared" si="319"/>
        <v>0</v>
      </c>
      <c r="BO524" s="2720">
        <f t="shared" si="320"/>
        <v>0</v>
      </c>
      <c r="BP524" s="2720">
        <f t="shared" si="321"/>
        <v>0</v>
      </c>
      <c r="BQ524" s="2720">
        <f t="shared" si="322"/>
        <v>0</v>
      </c>
      <c r="BR524" s="2720">
        <f t="shared" si="323"/>
        <v>0</v>
      </c>
      <c r="BS524" s="2720">
        <f t="shared" si="324"/>
        <v>0</v>
      </c>
      <c r="BT524" s="2772">
        <f t="shared" si="325"/>
        <v>0</v>
      </c>
    </row>
    <row r="525" spans="1:72">
      <c r="A525" s="2717"/>
      <c r="B525" s="2718"/>
      <c r="C525" s="2718"/>
      <c r="D525" s="2719"/>
      <c r="E525" s="2720">
        <f t="shared" si="297"/>
        <v>0</v>
      </c>
      <c r="F525" s="2721"/>
      <c r="G525" s="2722">
        <f t="shared" si="301"/>
        <v>0</v>
      </c>
      <c r="H525" s="2723">
        <f t="shared" si="302"/>
        <v>0</v>
      </c>
      <c r="I525" s="2730"/>
      <c r="J525" s="2730"/>
      <c r="K525" s="2730"/>
      <c r="L525" s="2730"/>
      <c r="M525" s="2730"/>
      <c r="N525" s="2730"/>
      <c r="O525" s="2730"/>
      <c r="P525" s="2730"/>
      <c r="Q525" s="2730"/>
      <c r="R525" s="2730"/>
      <c r="S525" s="2730"/>
      <c r="T525" s="2730"/>
      <c r="U525" s="2730"/>
      <c r="V525" s="2730"/>
      <c r="W525" s="2730"/>
      <c r="X525" s="2730"/>
      <c r="Y525" s="2730"/>
      <c r="Z525" s="2730"/>
      <c r="AA525" s="2730"/>
      <c r="AB525" s="2730"/>
      <c r="AC525" s="2720">
        <f t="shared" si="303"/>
        <v>0</v>
      </c>
      <c r="AD525" s="2740"/>
      <c r="AE525" s="2740"/>
      <c r="AF525" s="2740"/>
      <c r="AG525" s="2740"/>
      <c r="AH525" s="2740"/>
      <c r="AI525" s="2740"/>
      <c r="AJ525" s="2740"/>
      <c r="AK525" s="2740"/>
      <c r="AL525" s="2740"/>
      <c r="AM525" s="2740"/>
      <c r="AN525" s="2740"/>
      <c r="AO525" s="2740"/>
      <c r="AP525" s="2740"/>
      <c r="AQ525" s="2740"/>
      <c r="AR525" s="2740"/>
      <c r="AS525" s="2740"/>
      <c r="AT525" s="2750"/>
      <c r="AU525" s="2751"/>
      <c r="AV525" s="1092">
        <f t="shared" si="298"/>
        <v>0</v>
      </c>
      <c r="AW525" s="1092">
        <f t="shared" si="299"/>
        <v>0</v>
      </c>
      <c r="AX525" s="1092">
        <f t="shared" si="300"/>
        <v>0</v>
      </c>
      <c r="AY525" s="2765">
        <f t="shared" si="304"/>
        <v>0</v>
      </c>
      <c r="AZ525" s="2720">
        <f t="shared" si="305"/>
        <v>0</v>
      </c>
      <c r="BA525" s="2720">
        <f t="shared" si="306"/>
        <v>0</v>
      </c>
      <c r="BB525" s="2720">
        <f t="shared" si="307"/>
        <v>0</v>
      </c>
      <c r="BC525" s="2720">
        <f t="shared" si="308"/>
        <v>0</v>
      </c>
      <c r="BD525" s="2720">
        <f t="shared" si="309"/>
        <v>0</v>
      </c>
      <c r="BE525" s="2720">
        <f t="shared" si="310"/>
        <v>0</v>
      </c>
      <c r="BF525" s="2720">
        <f t="shared" si="311"/>
        <v>0</v>
      </c>
      <c r="BG525" s="2720">
        <f t="shared" si="312"/>
        <v>0</v>
      </c>
      <c r="BH525" s="2720">
        <f t="shared" si="313"/>
        <v>0</v>
      </c>
      <c r="BI525" s="2720">
        <f t="shared" si="314"/>
        <v>0</v>
      </c>
      <c r="BJ525" s="2720">
        <f t="shared" si="315"/>
        <v>0</v>
      </c>
      <c r="BK525" s="2720">
        <f t="shared" si="316"/>
        <v>0</v>
      </c>
      <c r="BL525" s="2720">
        <f t="shared" si="317"/>
        <v>0</v>
      </c>
      <c r="BM525" s="2720">
        <f t="shared" si="318"/>
        <v>0</v>
      </c>
      <c r="BN525" s="2720">
        <f t="shared" si="319"/>
        <v>0</v>
      </c>
      <c r="BO525" s="2720">
        <f t="shared" si="320"/>
        <v>0</v>
      </c>
      <c r="BP525" s="2720">
        <f t="shared" si="321"/>
        <v>0</v>
      </c>
      <c r="BQ525" s="2720">
        <f t="shared" si="322"/>
        <v>0</v>
      </c>
      <c r="BR525" s="2720">
        <f t="shared" si="323"/>
        <v>0</v>
      </c>
      <c r="BS525" s="2720">
        <f t="shared" si="324"/>
        <v>0</v>
      </c>
      <c r="BT525" s="2772">
        <f t="shared" si="325"/>
        <v>0</v>
      </c>
    </row>
    <row r="526" spans="1:72">
      <c r="A526" s="2717"/>
      <c r="B526" s="2718"/>
      <c r="C526" s="2718"/>
      <c r="D526" s="2719"/>
      <c r="E526" s="2720">
        <f t="shared" si="297"/>
        <v>0</v>
      </c>
      <c r="F526" s="2721"/>
      <c r="G526" s="2722">
        <f t="shared" si="301"/>
        <v>0</v>
      </c>
      <c r="H526" s="2723">
        <f t="shared" si="302"/>
        <v>0</v>
      </c>
      <c r="I526" s="2730"/>
      <c r="J526" s="2730"/>
      <c r="K526" s="2730"/>
      <c r="L526" s="2730"/>
      <c r="M526" s="2730"/>
      <c r="N526" s="2730"/>
      <c r="O526" s="2730"/>
      <c r="P526" s="2730"/>
      <c r="Q526" s="2730"/>
      <c r="R526" s="2730"/>
      <c r="S526" s="2730"/>
      <c r="T526" s="2730"/>
      <c r="U526" s="2730"/>
      <c r="V526" s="2730"/>
      <c r="W526" s="2730"/>
      <c r="X526" s="2730"/>
      <c r="Y526" s="2730"/>
      <c r="Z526" s="2730"/>
      <c r="AA526" s="2730"/>
      <c r="AB526" s="2730"/>
      <c r="AC526" s="2720">
        <f t="shared" si="303"/>
        <v>0</v>
      </c>
      <c r="AD526" s="2740"/>
      <c r="AE526" s="2740"/>
      <c r="AF526" s="2740"/>
      <c r="AG526" s="2740"/>
      <c r="AH526" s="2740"/>
      <c r="AI526" s="2740"/>
      <c r="AJ526" s="2740"/>
      <c r="AK526" s="2740"/>
      <c r="AL526" s="2740"/>
      <c r="AM526" s="2740"/>
      <c r="AN526" s="2740"/>
      <c r="AO526" s="2740"/>
      <c r="AP526" s="2740"/>
      <c r="AQ526" s="2740"/>
      <c r="AR526" s="2740"/>
      <c r="AS526" s="2740"/>
      <c r="AT526" s="2750"/>
      <c r="AU526" s="2751"/>
      <c r="AV526" s="1092">
        <f t="shared" si="298"/>
        <v>0</v>
      </c>
      <c r="AW526" s="1092">
        <f t="shared" si="299"/>
        <v>0</v>
      </c>
      <c r="AX526" s="1092">
        <f t="shared" si="300"/>
        <v>0</v>
      </c>
      <c r="AY526" s="2765">
        <f t="shared" si="304"/>
        <v>0</v>
      </c>
      <c r="AZ526" s="2720">
        <f t="shared" si="305"/>
        <v>0</v>
      </c>
      <c r="BA526" s="2720">
        <f t="shared" si="306"/>
        <v>0</v>
      </c>
      <c r="BB526" s="2720">
        <f t="shared" si="307"/>
        <v>0</v>
      </c>
      <c r="BC526" s="2720">
        <f t="shared" si="308"/>
        <v>0</v>
      </c>
      <c r="BD526" s="2720">
        <f t="shared" si="309"/>
        <v>0</v>
      </c>
      <c r="BE526" s="2720">
        <f t="shared" si="310"/>
        <v>0</v>
      </c>
      <c r="BF526" s="2720">
        <f t="shared" si="311"/>
        <v>0</v>
      </c>
      <c r="BG526" s="2720">
        <f t="shared" si="312"/>
        <v>0</v>
      </c>
      <c r="BH526" s="2720">
        <f t="shared" si="313"/>
        <v>0</v>
      </c>
      <c r="BI526" s="2720">
        <f t="shared" si="314"/>
        <v>0</v>
      </c>
      <c r="BJ526" s="2720">
        <f t="shared" si="315"/>
        <v>0</v>
      </c>
      <c r="BK526" s="2720">
        <f t="shared" si="316"/>
        <v>0</v>
      </c>
      <c r="BL526" s="2720">
        <f t="shared" si="317"/>
        <v>0</v>
      </c>
      <c r="BM526" s="2720">
        <f t="shared" si="318"/>
        <v>0</v>
      </c>
      <c r="BN526" s="2720">
        <f t="shared" si="319"/>
        <v>0</v>
      </c>
      <c r="BO526" s="2720">
        <f t="shared" si="320"/>
        <v>0</v>
      </c>
      <c r="BP526" s="2720">
        <f t="shared" si="321"/>
        <v>0</v>
      </c>
      <c r="BQ526" s="2720">
        <f t="shared" si="322"/>
        <v>0</v>
      </c>
      <c r="BR526" s="2720">
        <f t="shared" si="323"/>
        <v>0</v>
      </c>
      <c r="BS526" s="2720">
        <f t="shared" si="324"/>
        <v>0</v>
      </c>
      <c r="BT526" s="2772">
        <f t="shared" si="325"/>
        <v>0</v>
      </c>
    </row>
    <row r="527" spans="1:72">
      <c r="A527" s="2717"/>
      <c r="B527" s="2718"/>
      <c r="C527" s="2718"/>
      <c r="D527" s="2719"/>
      <c r="E527" s="2720">
        <f t="shared" si="297"/>
        <v>0</v>
      </c>
      <c r="F527" s="2721"/>
      <c r="G527" s="2722">
        <f t="shared" si="301"/>
        <v>0</v>
      </c>
      <c r="H527" s="2723">
        <f t="shared" si="302"/>
        <v>0</v>
      </c>
      <c r="I527" s="2730"/>
      <c r="J527" s="2730"/>
      <c r="K527" s="2730"/>
      <c r="L527" s="2730"/>
      <c r="M527" s="2730"/>
      <c r="N527" s="2730"/>
      <c r="O527" s="2730"/>
      <c r="P527" s="2730"/>
      <c r="Q527" s="2730"/>
      <c r="R527" s="2730"/>
      <c r="S527" s="2730"/>
      <c r="T527" s="2730"/>
      <c r="U527" s="2730"/>
      <c r="V527" s="2730"/>
      <c r="W527" s="2730"/>
      <c r="X527" s="2730"/>
      <c r="Y527" s="2730"/>
      <c r="Z527" s="2730"/>
      <c r="AA527" s="2730"/>
      <c r="AB527" s="2730"/>
      <c r="AC527" s="2720">
        <f t="shared" si="303"/>
        <v>0</v>
      </c>
      <c r="AD527" s="2740"/>
      <c r="AE527" s="2740"/>
      <c r="AF527" s="2740"/>
      <c r="AG527" s="2740"/>
      <c r="AH527" s="2740"/>
      <c r="AI527" s="2740"/>
      <c r="AJ527" s="2740"/>
      <c r="AK527" s="2740"/>
      <c r="AL527" s="2740"/>
      <c r="AM527" s="2740"/>
      <c r="AN527" s="2740"/>
      <c r="AO527" s="2740"/>
      <c r="AP527" s="2740"/>
      <c r="AQ527" s="2740"/>
      <c r="AR527" s="2740"/>
      <c r="AS527" s="2740"/>
      <c r="AT527" s="2750"/>
      <c r="AU527" s="2751"/>
      <c r="AV527" s="1092">
        <f t="shared" si="298"/>
        <v>0</v>
      </c>
      <c r="AW527" s="1092">
        <f t="shared" si="299"/>
        <v>0</v>
      </c>
      <c r="AX527" s="1092">
        <f t="shared" si="300"/>
        <v>0</v>
      </c>
      <c r="AY527" s="2765">
        <f t="shared" si="304"/>
        <v>0</v>
      </c>
      <c r="AZ527" s="2720">
        <f t="shared" si="305"/>
        <v>0</v>
      </c>
      <c r="BA527" s="2720">
        <f t="shared" si="306"/>
        <v>0</v>
      </c>
      <c r="BB527" s="2720">
        <f t="shared" si="307"/>
        <v>0</v>
      </c>
      <c r="BC527" s="2720">
        <f t="shared" si="308"/>
        <v>0</v>
      </c>
      <c r="BD527" s="2720">
        <f t="shared" si="309"/>
        <v>0</v>
      </c>
      <c r="BE527" s="2720">
        <f t="shared" si="310"/>
        <v>0</v>
      </c>
      <c r="BF527" s="2720">
        <f t="shared" si="311"/>
        <v>0</v>
      </c>
      <c r="BG527" s="2720">
        <f t="shared" si="312"/>
        <v>0</v>
      </c>
      <c r="BH527" s="2720">
        <f t="shared" si="313"/>
        <v>0</v>
      </c>
      <c r="BI527" s="2720">
        <f t="shared" si="314"/>
        <v>0</v>
      </c>
      <c r="BJ527" s="2720">
        <f t="shared" si="315"/>
        <v>0</v>
      </c>
      <c r="BK527" s="2720">
        <f t="shared" si="316"/>
        <v>0</v>
      </c>
      <c r="BL527" s="2720">
        <f t="shared" si="317"/>
        <v>0</v>
      </c>
      <c r="BM527" s="2720">
        <f t="shared" si="318"/>
        <v>0</v>
      </c>
      <c r="BN527" s="2720">
        <f t="shared" si="319"/>
        <v>0</v>
      </c>
      <c r="BO527" s="2720">
        <f t="shared" si="320"/>
        <v>0</v>
      </c>
      <c r="BP527" s="2720">
        <f t="shared" si="321"/>
        <v>0</v>
      </c>
      <c r="BQ527" s="2720">
        <f t="shared" si="322"/>
        <v>0</v>
      </c>
      <c r="BR527" s="2720">
        <f t="shared" si="323"/>
        <v>0</v>
      </c>
      <c r="BS527" s="2720">
        <f t="shared" si="324"/>
        <v>0</v>
      </c>
      <c r="BT527" s="2772">
        <f t="shared" si="325"/>
        <v>0</v>
      </c>
    </row>
    <row r="528" spans="1:72">
      <c r="A528" s="2717"/>
      <c r="B528" s="2718"/>
      <c r="C528" s="2718"/>
      <c r="D528" s="2719"/>
      <c r="E528" s="2720">
        <f t="shared" si="297"/>
        <v>0</v>
      </c>
      <c r="F528" s="2721"/>
      <c r="G528" s="2722">
        <f t="shared" si="301"/>
        <v>0</v>
      </c>
      <c r="H528" s="2723">
        <f t="shared" si="302"/>
        <v>0</v>
      </c>
      <c r="I528" s="2730"/>
      <c r="J528" s="2730"/>
      <c r="K528" s="2730"/>
      <c r="L528" s="2730"/>
      <c r="M528" s="2730"/>
      <c r="N528" s="2730"/>
      <c r="O528" s="2730"/>
      <c r="P528" s="2730"/>
      <c r="Q528" s="2730"/>
      <c r="R528" s="2730"/>
      <c r="S528" s="2730"/>
      <c r="T528" s="2730"/>
      <c r="U528" s="2730"/>
      <c r="V528" s="2730"/>
      <c r="W528" s="2730"/>
      <c r="X528" s="2730"/>
      <c r="Y528" s="2730"/>
      <c r="Z528" s="2730"/>
      <c r="AA528" s="2730"/>
      <c r="AB528" s="2730"/>
      <c r="AC528" s="2720">
        <f t="shared" si="303"/>
        <v>0</v>
      </c>
      <c r="AD528" s="2740"/>
      <c r="AE528" s="2740"/>
      <c r="AF528" s="2740"/>
      <c r="AG528" s="2740"/>
      <c r="AH528" s="2740"/>
      <c r="AI528" s="2740"/>
      <c r="AJ528" s="2740"/>
      <c r="AK528" s="2740"/>
      <c r="AL528" s="2740"/>
      <c r="AM528" s="2740"/>
      <c r="AN528" s="2740"/>
      <c r="AO528" s="2740"/>
      <c r="AP528" s="2740"/>
      <c r="AQ528" s="2740"/>
      <c r="AR528" s="2740"/>
      <c r="AS528" s="2740"/>
      <c r="AT528" s="2750"/>
      <c r="AU528" s="2751"/>
      <c r="AV528" s="1092">
        <f t="shared" si="298"/>
        <v>0</v>
      </c>
      <c r="AW528" s="1092">
        <f t="shared" si="299"/>
        <v>0</v>
      </c>
      <c r="AX528" s="1092">
        <f t="shared" si="300"/>
        <v>0</v>
      </c>
      <c r="AY528" s="2765">
        <f t="shared" si="304"/>
        <v>0</v>
      </c>
      <c r="AZ528" s="2720">
        <f t="shared" si="305"/>
        <v>0</v>
      </c>
      <c r="BA528" s="2720">
        <f t="shared" si="306"/>
        <v>0</v>
      </c>
      <c r="BB528" s="2720">
        <f t="shared" si="307"/>
        <v>0</v>
      </c>
      <c r="BC528" s="2720">
        <f t="shared" si="308"/>
        <v>0</v>
      </c>
      <c r="BD528" s="2720">
        <f t="shared" si="309"/>
        <v>0</v>
      </c>
      <c r="BE528" s="2720">
        <f t="shared" si="310"/>
        <v>0</v>
      </c>
      <c r="BF528" s="2720">
        <f t="shared" si="311"/>
        <v>0</v>
      </c>
      <c r="BG528" s="2720">
        <f t="shared" si="312"/>
        <v>0</v>
      </c>
      <c r="BH528" s="2720">
        <f t="shared" si="313"/>
        <v>0</v>
      </c>
      <c r="BI528" s="2720">
        <f t="shared" si="314"/>
        <v>0</v>
      </c>
      <c r="BJ528" s="2720">
        <f t="shared" si="315"/>
        <v>0</v>
      </c>
      <c r="BK528" s="2720">
        <f t="shared" si="316"/>
        <v>0</v>
      </c>
      <c r="BL528" s="2720">
        <f t="shared" si="317"/>
        <v>0</v>
      </c>
      <c r="BM528" s="2720">
        <f t="shared" si="318"/>
        <v>0</v>
      </c>
      <c r="BN528" s="2720">
        <f t="shared" si="319"/>
        <v>0</v>
      </c>
      <c r="BO528" s="2720">
        <f t="shared" si="320"/>
        <v>0</v>
      </c>
      <c r="BP528" s="2720">
        <f t="shared" si="321"/>
        <v>0</v>
      </c>
      <c r="BQ528" s="2720">
        <f t="shared" si="322"/>
        <v>0</v>
      </c>
      <c r="BR528" s="2720">
        <f t="shared" si="323"/>
        <v>0</v>
      </c>
      <c r="BS528" s="2720">
        <f t="shared" si="324"/>
        <v>0</v>
      </c>
      <c r="BT528" s="2772">
        <f t="shared" si="325"/>
        <v>0</v>
      </c>
    </row>
    <row r="529" spans="1:72">
      <c r="A529" s="2717"/>
      <c r="B529" s="2718"/>
      <c r="C529" s="2718"/>
      <c r="D529" s="2719"/>
      <c r="E529" s="2720">
        <f t="shared" si="297"/>
        <v>0</v>
      </c>
      <c r="F529" s="2721"/>
      <c r="G529" s="2722">
        <f t="shared" si="301"/>
        <v>0</v>
      </c>
      <c r="H529" s="2723">
        <f t="shared" si="302"/>
        <v>0</v>
      </c>
      <c r="I529" s="2730"/>
      <c r="J529" s="2730"/>
      <c r="K529" s="2730"/>
      <c r="L529" s="2730"/>
      <c r="M529" s="2730"/>
      <c r="N529" s="2730"/>
      <c r="O529" s="2730"/>
      <c r="P529" s="2730"/>
      <c r="Q529" s="2730"/>
      <c r="R529" s="2730"/>
      <c r="S529" s="2730"/>
      <c r="T529" s="2730"/>
      <c r="U529" s="2730"/>
      <c r="V529" s="2730"/>
      <c r="W529" s="2730"/>
      <c r="X529" s="2730"/>
      <c r="Y529" s="2730"/>
      <c r="Z529" s="2730"/>
      <c r="AA529" s="2730"/>
      <c r="AB529" s="2730"/>
      <c r="AC529" s="2720">
        <f t="shared" si="303"/>
        <v>0</v>
      </c>
      <c r="AD529" s="2740"/>
      <c r="AE529" s="2740"/>
      <c r="AF529" s="2740"/>
      <c r="AG529" s="2740"/>
      <c r="AH529" s="2740"/>
      <c r="AI529" s="2740"/>
      <c r="AJ529" s="2740"/>
      <c r="AK529" s="2740"/>
      <c r="AL529" s="2740"/>
      <c r="AM529" s="2740"/>
      <c r="AN529" s="2740"/>
      <c r="AO529" s="2740"/>
      <c r="AP529" s="2740"/>
      <c r="AQ529" s="2740"/>
      <c r="AR529" s="2740"/>
      <c r="AS529" s="2740"/>
      <c r="AT529" s="2750"/>
      <c r="AU529" s="2751"/>
      <c r="AV529" s="1092">
        <f t="shared" si="298"/>
        <v>0</v>
      </c>
      <c r="AW529" s="1092">
        <f t="shared" si="299"/>
        <v>0</v>
      </c>
      <c r="AX529" s="1092">
        <f t="shared" si="300"/>
        <v>0</v>
      </c>
      <c r="AY529" s="2765">
        <f t="shared" si="304"/>
        <v>0</v>
      </c>
      <c r="AZ529" s="2720">
        <f t="shared" si="305"/>
        <v>0</v>
      </c>
      <c r="BA529" s="2720">
        <f t="shared" si="306"/>
        <v>0</v>
      </c>
      <c r="BB529" s="2720">
        <f t="shared" si="307"/>
        <v>0</v>
      </c>
      <c r="BC529" s="2720">
        <f t="shared" si="308"/>
        <v>0</v>
      </c>
      <c r="BD529" s="2720">
        <f t="shared" si="309"/>
        <v>0</v>
      </c>
      <c r="BE529" s="2720">
        <f t="shared" si="310"/>
        <v>0</v>
      </c>
      <c r="BF529" s="2720">
        <f t="shared" si="311"/>
        <v>0</v>
      </c>
      <c r="BG529" s="2720">
        <f t="shared" si="312"/>
        <v>0</v>
      </c>
      <c r="BH529" s="2720">
        <f t="shared" si="313"/>
        <v>0</v>
      </c>
      <c r="BI529" s="2720">
        <f t="shared" si="314"/>
        <v>0</v>
      </c>
      <c r="BJ529" s="2720">
        <f t="shared" si="315"/>
        <v>0</v>
      </c>
      <c r="BK529" s="2720">
        <f t="shared" si="316"/>
        <v>0</v>
      </c>
      <c r="BL529" s="2720">
        <f t="shared" si="317"/>
        <v>0</v>
      </c>
      <c r="BM529" s="2720">
        <f t="shared" si="318"/>
        <v>0</v>
      </c>
      <c r="BN529" s="2720">
        <f t="shared" si="319"/>
        <v>0</v>
      </c>
      <c r="BO529" s="2720">
        <f t="shared" si="320"/>
        <v>0</v>
      </c>
      <c r="BP529" s="2720">
        <f t="shared" si="321"/>
        <v>0</v>
      </c>
      <c r="BQ529" s="2720">
        <f t="shared" si="322"/>
        <v>0</v>
      </c>
      <c r="BR529" s="2720">
        <f t="shared" si="323"/>
        <v>0</v>
      </c>
      <c r="BS529" s="2720">
        <f t="shared" si="324"/>
        <v>0</v>
      </c>
      <c r="BT529" s="2772">
        <f t="shared" si="325"/>
        <v>0</v>
      </c>
    </row>
    <row r="530" spans="1:72">
      <c r="A530" s="2717"/>
      <c r="B530" s="2718"/>
      <c r="C530" s="2718"/>
      <c r="D530" s="2719"/>
      <c r="E530" s="2720">
        <f t="shared" si="297"/>
        <v>0</v>
      </c>
      <c r="F530" s="2721"/>
      <c r="G530" s="2722">
        <f t="shared" si="301"/>
        <v>0</v>
      </c>
      <c r="H530" s="2723">
        <f t="shared" si="302"/>
        <v>0</v>
      </c>
      <c r="I530" s="2730"/>
      <c r="J530" s="2730"/>
      <c r="K530" s="2730"/>
      <c r="L530" s="2730"/>
      <c r="M530" s="2730"/>
      <c r="N530" s="2730"/>
      <c r="O530" s="2730"/>
      <c r="P530" s="2730"/>
      <c r="Q530" s="2730"/>
      <c r="R530" s="2730"/>
      <c r="S530" s="2730"/>
      <c r="T530" s="2730"/>
      <c r="U530" s="2730"/>
      <c r="V530" s="2730"/>
      <c r="W530" s="2730"/>
      <c r="X530" s="2730"/>
      <c r="Y530" s="2730"/>
      <c r="Z530" s="2730"/>
      <c r="AA530" s="2730"/>
      <c r="AB530" s="2730"/>
      <c r="AC530" s="2720">
        <f t="shared" si="303"/>
        <v>0</v>
      </c>
      <c r="AD530" s="2740"/>
      <c r="AE530" s="2740"/>
      <c r="AF530" s="2740"/>
      <c r="AG530" s="2740"/>
      <c r="AH530" s="2740"/>
      <c r="AI530" s="2740"/>
      <c r="AJ530" s="2740"/>
      <c r="AK530" s="2740"/>
      <c r="AL530" s="2740"/>
      <c r="AM530" s="2740"/>
      <c r="AN530" s="2740"/>
      <c r="AO530" s="2740"/>
      <c r="AP530" s="2740"/>
      <c r="AQ530" s="2740"/>
      <c r="AR530" s="2740"/>
      <c r="AS530" s="2740"/>
      <c r="AT530" s="2750"/>
      <c r="AU530" s="2751"/>
      <c r="AV530" s="1092">
        <f t="shared" si="298"/>
        <v>0</v>
      </c>
      <c r="AW530" s="1092">
        <f t="shared" si="299"/>
        <v>0</v>
      </c>
      <c r="AX530" s="1092">
        <f t="shared" si="300"/>
        <v>0</v>
      </c>
      <c r="AY530" s="2765">
        <f t="shared" si="304"/>
        <v>0</v>
      </c>
      <c r="AZ530" s="2720">
        <f t="shared" si="305"/>
        <v>0</v>
      </c>
      <c r="BA530" s="2720">
        <f t="shared" si="306"/>
        <v>0</v>
      </c>
      <c r="BB530" s="2720">
        <f t="shared" si="307"/>
        <v>0</v>
      </c>
      <c r="BC530" s="2720">
        <f t="shared" si="308"/>
        <v>0</v>
      </c>
      <c r="BD530" s="2720">
        <f t="shared" si="309"/>
        <v>0</v>
      </c>
      <c r="BE530" s="2720">
        <f t="shared" si="310"/>
        <v>0</v>
      </c>
      <c r="BF530" s="2720">
        <f t="shared" si="311"/>
        <v>0</v>
      </c>
      <c r="BG530" s="2720">
        <f t="shared" si="312"/>
        <v>0</v>
      </c>
      <c r="BH530" s="2720">
        <f t="shared" si="313"/>
        <v>0</v>
      </c>
      <c r="BI530" s="2720">
        <f t="shared" si="314"/>
        <v>0</v>
      </c>
      <c r="BJ530" s="2720">
        <f t="shared" si="315"/>
        <v>0</v>
      </c>
      <c r="BK530" s="2720">
        <f t="shared" si="316"/>
        <v>0</v>
      </c>
      <c r="BL530" s="2720">
        <f t="shared" si="317"/>
        <v>0</v>
      </c>
      <c r="BM530" s="2720">
        <f t="shared" si="318"/>
        <v>0</v>
      </c>
      <c r="BN530" s="2720">
        <f t="shared" si="319"/>
        <v>0</v>
      </c>
      <c r="BO530" s="2720">
        <f t="shared" si="320"/>
        <v>0</v>
      </c>
      <c r="BP530" s="2720">
        <f t="shared" si="321"/>
        <v>0</v>
      </c>
      <c r="BQ530" s="2720">
        <f t="shared" si="322"/>
        <v>0</v>
      </c>
      <c r="BR530" s="2720">
        <f t="shared" si="323"/>
        <v>0</v>
      </c>
      <c r="BS530" s="2720">
        <f t="shared" si="324"/>
        <v>0</v>
      </c>
      <c r="BT530" s="2772">
        <f t="shared" si="325"/>
        <v>0</v>
      </c>
    </row>
    <row r="531" spans="1:72">
      <c r="A531" s="2717"/>
      <c r="B531" s="2718"/>
      <c r="C531" s="2718"/>
      <c r="D531" s="2719"/>
      <c r="E531" s="2720">
        <f t="shared" si="297"/>
        <v>0</v>
      </c>
      <c r="F531" s="2721"/>
      <c r="G531" s="2722">
        <f t="shared" si="301"/>
        <v>0</v>
      </c>
      <c r="H531" s="2723">
        <f t="shared" si="302"/>
        <v>0</v>
      </c>
      <c r="I531" s="2730"/>
      <c r="J531" s="2730"/>
      <c r="K531" s="2730"/>
      <c r="L531" s="2730"/>
      <c r="M531" s="2730"/>
      <c r="N531" s="2730"/>
      <c r="O531" s="2730"/>
      <c r="P531" s="2730"/>
      <c r="Q531" s="2730"/>
      <c r="R531" s="2730"/>
      <c r="S531" s="2730"/>
      <c r="T531" s="2730"/>
      <c r="U531" s="2730"/>
      <c r="V531" s="2730"/>
      <c r="W531" s="2730"/>
      <c r="X531" s="2730"/>
      <c r="Y531" s="2730"/>
      <c r="Z531" s="2730"/>
      <c r="AA531" s="2730"/>
      <c r="AB531" s="2730"/>
      <c r="AC531" s="2720">
        <f t="shared" si="303"/>
        <v>0</v>
      </c>
      <c r="AD531" s="2740"/>
      <c r="AE531" s="2740"/>
      <c r="AF531" s="2740"/>
      <c r="AG531" s="2740"/>
      <c r="AH531" s="2740"/>
      <c r="AI531" s="2740"/>
      <c r="AJ531" s="2740"/>
      <c r="AK531" s="2740"/>
      <c r="AL531" s="2740"/>
      <c r="AM531" s="2740"/>
      <c r="AN531" s="2740"/>
      <c r="AO531" s="2740"/>
      <c r="AP531" s="2740"/>
      <c r="AQ531" s="2740"/>
      <c r="AR531" s="2740"/>
      <c r="AS531" s="2740"/>
      <c r="AT531" s="2750"/>
      <c r="AU531" s="2751"/>
      <c r="AV531" s="1092">
        <f t="shared" si="298"/>
        <v>0</v>
      </c>
      <c r="AW531" s="1092">
        <f t="shared" si="299"/>
        <v>0</v>
      </c>
      <c r="AX531" s="1092">
        <f t="shared" si="300"/>
        <v>0</v>
      </c>
      <c r="AY531" s="2765">
        <f t="shared" si="304"/>
        <v>0</v>
      </c>
      <c r="AZ531" s="2720">
        <f t="shared" si="305"/>
        <v>0</v>
      </c>
      <c r="BA531" s="2720">
        <f t="shared" si="306"/>
        <v>0</v>
      </c>
      <c r="BB531" s="2720">
        <f t="shared" si="307"/>
        <v>0</v>
      </c>
      <c r="BC531" s="2720">
        <f t="shared" si="308"/>
        <v>0</v>
      </c>
      <c r="BD531" s="2720">
        <f t="shared" si="309"/>
        <v>0</v>
      </c>
      <c r="BE531" s="2720">
        <f t="shared" si="310"/>
        <v>0</v>
      </c>
      <c r="BF531" s="2720">
        <f t="shared" si="311"/>
        <v>0</v>
      </c>
      <c r="BG531" s="2720">
        <f t="shared" si="312"/>
        <v>0</v>
      </c>
      <c r="BH531" s="2720">
        <f t="shared" si="313"/>
        <v>0</v>
      </c>
      <c r="BI531" s="2720">
        <f t="shared" si="314"/>
        <v>0</v>
      </c>
      <c r="BJ531" s="2720">
        <f t="shared" si="315"/>
        <v>0</v>
      </c>
      <c r="BK531" s="2720">
        <f t="shared" si="316"/>
        <v>0</v>
      </c>
      <c r="BL531" s="2720">
        <f t="shared" si="317"/>
        <v>0</v>
      </c>
      <c r="BM531" s="2720">
        <f t="shared" si="318"/>
        <v>0</v>
      </c>
      <c r="BN531" s="2720">
        <f t="shared" si="319"/>
        <v>0</v>
      </c>
      <c r="BO531" s="2720">
        <f t="shared" si="320"/>
        <v>0</v>
      </c>
      <c r="BP531" s="2720">
        <f t="shared" si="321"/>
        <v>0</v>
      </c>
      <c r="BQ531" s="2720">
        <f t="shared" si="322"/>
        <v>0</v>
      </c>
      <c r="BR531" s="2720">
        <f t="shared" si="323"/>
        <v>0</v>
      </c>
      <c r="BS531" s="2720">
        <f t="shared" si="324"/>
        <v>0</v>
      </c>
      <c r="BT531" s="2772">
        <f t="shared" si="325"/>
        <v>0</v>
      </c>
    </row>
    <row r="532" spans="1:72">
      <c r="A532" s="2717"/>
      <c r="B532" s="2718"/>
      <c r="C532" s="2718"/>
      <c r="D532" s="2719"/>
      <c r="E532" s="2720">
        <f t="shared" si="297"/>
        <v>0</v>
      </c>
      <c r="F532" s="2721"/>
      <c r="G532" s="2722">
        <f t="shared" si="301"/>
        <v>0</v>
      </c>
      <c r="H532" s="2723">
        <f t="shared" si="302"/>
        <v>0</v>
      </c>
      <c r="I532" s="2730"/>
      <c r="J532" s="2730"/>
      <c r="K532" s="2730"/>
      <c r="L532" s="2730"/>
      <c r="M532" s="2730"/>
      <c r="N532" s="2730"/>
      <c r="O532" s="2730"/>
      <c r="P532" s="2730"/>
      <c r="Q532" s="2730"/>
      <c r="R532" s="2730"/>
      <c r="S532" s="2730"/>
      <c r="T532" s="2730"/>
      <c r="U532" s="2730"/>
      <c r="V532" s="2730"/>
      <c r="W532" s="2730"/>
      <c r="X532" s="2730"/>
      <c r="Y532" s="2730"/>
      <c r="Z532" s="2730"/>
      <c r="AA532" s="2730"/>
      <c r="AB532" s="2730"/>
      <c r="AC532" s="2720">
        <f t="shared" si="303"/>
        <v>0</v>
      </c>
      <c r="AD532" s="2740"/>
      <c r="AE532" s="2740"/>
      <c r="AF532" s="2740"/>
      <c r="AG532" s="2740"/>
      <c r="AH532" s="2740"/>
      <c r="AI532" s="2740"/>
      <c r="AJ532" s="2740"/>
      <c r="AK532" s="2740"/>
      <c r="AL532" s="2740"/>
      <c r="AM532" s="2740"/>
      <c r="AN532" s="2740"/>
      <c r="AO532" s="2740"/>
      <c r="AP532" s="2740"/>
      <c r="AQ532" s="2740"/>
      <c r="AR532" s="2740"/>
      <c r="AS532" s="2740"/>
      <c r="AT532" s="2750"/>
      <c r="AU532" s="2751"/>
      <c r="AV532" s="1092">
        <f t="shared" si="298"/>
        <v>0</v>
      </c>
      <c r="AW532" s="1092">
        <f t="shared" si="299"/>
        <v>0</v>
      </c>
      <c r="AX532" s="1092">
        <f t="shared" si="300"/>
        <v>0</v>
      </c>
      <c r="AY532" s="2765">
        <f t="shared" si="304"/>
        <v>0</v>
      </c>
      <c r="AZ532" s="2720">
        <f t="shared" si="305"/>
        <v>0</v>
      </c>
      <c r="BA532" s="2720">
        <f t="shared" si="306"/>
        <v>0</v>
      </c>
      <c r="BB532" s="2720">
        <f t="shared" si="307"/>
        <v>0</v>
      </c>
      <c r="BC532" s="2720">
        <f t="shared" si="308"/>
        <v>0</v>
      </c>
      <c r="BD532" s="2720">
        <f t="shared" si="309"/>
        <v>0</v>
      </c>
      <c r="BE532" s="2720">
        <f t="shared" si="310"/>
        <v>0</v>
      </c>
      <c r="BF532" s="2720">
        <f t="shared" si="311"/>
        <v>0</v>
      </c>
      <c r="BG532" s="2720">
        <f t="shared" si="312"/>
        <v>0</v>
      </c>
      <c r="BH532" s="2720">
        <f t="shared" si="313"/>
        <v>0</v>
      </c>
      <c r="BI532" s="2720">
        <f t="shared" si="314"/>
        <v>0</v>
      </c>
      <c r="BJ532" s="2720">
        <f t="shared" si="315"/>
        <v>0</v>
      </c>
      <c r="BK532" s="2720">
        <f t="shared" si="316"/>
        <v>0</v>
      </c>
      <c r="BL532" s="2720">
        <f t="shared" si="317"/>
        <v>0</v>
      </c>
      <c r="BM532" s="2720">
        <f t="shared" si="318"/>
        <v>0</v>
      </c>
      <c r="BN532" s="2720">
        <f t="shared" si="319"/>
        <v>0</v>
      </c>
      <c r="BO532" s="2720">
        <f t="shared" si="320"/>
        <v>0</v>
      </c>
      <c r="BP532" s="2720">
        <f t="shared" si="321"/>
        <v>0</v>
      </c>
      <c r="BQ532" s="2720">
        <f t="shared" si="322"/>
        <v>0</v>
      </c>
      <c r="BR532" s="2720">
        <f t="shared" si="323"/>
        <v>0</v>
      </c>
      <c r="BS532" s="2720">
        <f t="shared" si="324"/>
        <v>0</v>
      </c>
      <c r="BT532" s="2772">
        <f t="shared" si="325"/>
        <v>0</v>
      </c>
    </row>
    <row r="533" spans="1:72">
      <c r="A533" s="2717"/>
      <c r="B533" s="2718"/>
      <c r="C533" s="2718"/>
      <c r="D533" s="2719"/>
      <c r="E533" s="2720">
        <f t="shared" si="297"/>
        <v>0</v>
      </c>
      <c r="F533" s="2721"/>
      <c r="G533" s="2722">
        <f t="shared" si="301"/>
        <v>0</v>
      </c>
      <c r="H533" s="2723">
        <f t="shared" si="302"/>
        <v>0</v>
      </c>
      <c r="I533" s="2730"/>
      <c r="J533" s="2730"/>
      <c r="K533" s="2730"/>
      <c r="L533" s="2730"/>
      <c r="M533" s="2730"/>
      <c r="N533" s="2730"/>
      <c r="O533" s="2730"/>
      <c r="P533" s="2730"/>
      <c r="Q533" s="2730"/>
      <c r="R533" s="2730"/>
      <c r="S533" s="2730"/>
      <c r="T533" s="2730"/>
      <c r="U533" s="2730"/>
      <c r="V533" s="2730"/>
      <c r="W533" s="2730"/>
      <c r="X533" s="2730"/>
      <c r="Y533" s="2730"/>
      <c r="Z533" s="2730"/>
      <c r="AA533" s="2730"/>
      <c r="AB533" s="2730"/>
      <c r="AC533" s="2720">
        <f t="shared" si="303"/>
        <v>0</v>
      </c>
      <c r="AD533" s="2740"/>
      <c r="AE533" s="2740"/>
      <c r="AF533" s="2740"/>
      <c r="AG533" s="2740"/>
      <c r="AH533" s="2740"/>
      <c r="AI533" s="2740"/>
      <c r="AJ533" s="2740"/>
      <c r="AK533" s="2740"/>
      <c r="AL533" s="2740"/>
      <c r="AM533" s="2740"/>
      <c r="AN533" s="2740"/>
      <c r="AO533" s="2740"/>
      <c r="AP533" s="2740"/>
      <c r="AQ533" s="2740"/>
      <c r="AR533" s="2740"/>
      <c r="AS533" s="2740"/>
      <c r="AT533" s="2750"/>
      <c r="AU533" s="2751"/>
      <c r="AV533" s="1092">
        <f t="shared" si="298"/>
        <v>0</v>
      </c>
      <c r="AW533" s="1092">
        <f t="shared" si="299"/>
        <v>0</v>
      </c>
      <c r="AX533" s="1092">
        <f t="shared" si="300"/>
        <v>0</v>
      </c>
      <c r="AY533" s="2765">
        <f t="shared" si="304"/>
        <v>0</v>
      </c>
      <c r="AZ533" s="2720">
        <f t="shared" si="305"/>
        <v>0</v>
      </c>
      <c r="BA533" s="2720">
        <f t="shared" si="306"/>
        <v>0</v>
      </c>
      <c r="BB533" s="2720">
        <f t="shared" si="307"/>
        <v>0</v>
      </c>
      <c r="BC533" s="2720">
        <f t="shared" si="308"/>
        <v>0</v>
      </c>
      <c r="BD533" s="2720">
        <f t="shared" si="309"/>
        <v>0</v>
      </c>
      <c r="BE533" s="2720">
        <f t="shared" si="310"/>
        <v>0</v>
      </c>
      <c r="BF533" s="2720">
        <f t="shared" si="311"/>
        <v>0</v>
      </c>
      <c r="BG533" s="2720">
        <f t="shared" si="312"/>
        <v>0</v>
      </c>
      <c r="BH533" s="2720">
        <f t="shared" si="313"/>
        <v>0</v>
      </c>
      <c r="BI533" s="2720">
        <f t="shared" si="314"/>
        <v>0</v>
      </c>
      <c r="BJ533" s="2720">
        <f t="shared" si="315"/>
        <v>0</v>
      </c>
      <c r="BK533" s="2720">
        <f t="shared" si="316"/>
        <v>0</v>
      </c>
      <c r="BL533" s="2720">
        <f t="shared" si="317"/>
        <v>0</v>
      </c>
      <c r="BM533" s="2720">
        <f t="shared" si="318"/>
        <v>0</v>
      </c>
      <c r="BN533" s="2720">
        <f t="shared" si="319"/>
        <v>0</v>
      </c>
      <c r="BO533" s="2720">
        <f t="shared" si="320"/>
        <v>0</v>
      </c>
      <c r="BP533" s="2720">
        <f t="shared" si="321"/>
        <v>0</v>
      </c>
      <c r="BQ533" s="2720">
        <f t="shared" si="322"/>
        <v>0</v>
      </c>
      <c r="BR533" s="2720">
        <f t="shared" si="323"/>
        <v>0</v>
      </c>
      <c r="BS533" s="2720">
        <f t="shared" si="324"/>
        <v>0</v>
      </c>
      <c r="BT533" s="2772">
        <f t="shared" si="325"/>
        <v>0</v>
      </c>
    </row>
    <row r="534" spans="1:72">
      <c r="A534" s="2717"/>
      <c r="B534" s="2718"/>
      <c r="C534" s="2718"/>
      <c r="D534" s="2719"/>
      <c r="E534" s="2720">
        <f t="shared" si="297"/>
        <v>0</v>
      </c>
      <c r="F534" s="2721"/>
      <c r="G534" s="2722">
        <f t="shared" si="301"/>
        <v>0</v>
      </c>
      <c r="H534" s="2723">
        <f t="shared" si="302"/>
        <v>0</v>
      </c>
      <c r="I534" s="2730"/>
      <c r="J534" s="2730"/>
      <c r="K534" s="2730"/>
      <c r="L534" s="2730"/>
      <c r="M534" s="2730"/>
      <c r="N534" s="2730"/>
      <c r="O534" s="2730"/>
      <c r="P534" s="2730"/>
      <c r="Q534" s="2730"/>
      <c r="R534" s="2730"/>
      <c r="S534" s="2730"/>
      <c r="T534" s="2730"/>
      <c r="U534" s="2730"/>
      <c r="V534" s="2730"/>
      <c r="W534" s="2730"/>
      <c r="X534" s="2730"/>
      <c r="Y534" s="2730"/>
      <c r="Z534" s="2730"/>
      <c r="AA534" s="2730"/>
      <c r="AB534" s="2730"/>
      <c r="AC534" s="2720">
        <f t="shared" si="303"/>
        <v>0</v>
      </c>
      <c r="AD534" s="2740"/>
      <c r="AE534" s="2740"/>
      <c r="AF534" s="2740"/>
      <c r="AG534" s="2740"/>
      <c r="AH534" s="2740"/>
      <c r="AI534" s="2740"/>
      <c r="AJ534" s="2740"/>
      <c r="AK534" s="2740"/>
      <c r="AL534" s="2740"/>
      <c r="AM534" s="2740"/>
      <c r="AN534" s="2740"/>
      <c r="AO534" s="2740"/>
      <c r="AP534" s="2740"/>
      <c r="AQ534" s="2740"/>
      <c r="AR534" s="2740"/>
      <c r="AS534" s="2740"/>
      <c r="AT534" s="2750"/>
      <c r="AU534" s="2751"/>
      <c r="AV534" s="1092">
        <f t="shared" si="298"/>
        <v>0</v>
      </c>
      <c r="AW534" s="1092">
        <f t="shared" si="299"/>
        <v>0</v>
      </c>
      <c r="AX534" s="1092">
        <f t="shared" si="300"/>
        <v>0</v>
      </c>
      <c r="AY534" s="2765">
        <f t="shared" si="304"/>
        <v>0</v>
      </c>
      <c r="AZ534" s="2720">
        <f t="shared" si="305"/>
        <v>0</v>
      </c>
      <c r="BA534" s="2720">
        <f t="shared" si="306"/>
        <v>0</v>
      </c>
      <c r="BB534" s="2720">
        <f t="shared" si="307"/>
        <v>0</v>
      </c>
      <c r="BC534" s="2720">
        <f t="shared" si="308"/>
        <v>0</v>
      </c>
      <c r="BD534" s="2720">
        <f t="shared" si="309"/>
        <v>0</v>
      </c>
      <c r="BE534" s="2720">
        <f t="shared" si="310"/>
        <v>0</v>
      </c>
      <c r="BF534" s="2720">
        <f t="shared" si="311"/>
        <v>0</v>
      </c>
      <c r="BG534" s="2720">
        <f t="shared" si="312"/>
        <v>0</v>
      </c>
      <c r="BH534" s="2720">
        <f t="shared" si="313"/>
        <v>0</v>
      </c>
      <c r="BI534" s="2720">
        <f t="shared" si="314"/>
        <v>0</v>
      </c>
      <c r="BJ534" s="2720">
        <f t="shared" si="315"/>
        <v>0</v>
      </c>
      <c r="BK534" s="2720">
        <f t="shared" si="316"/>
        <v>0</v>
      </c>
      <c r="BL534" s="2720">
        <f t="shared" si="317"/>
        <v>0</v>
      </c>
      <c r="BM534" s="2720">
        <f t="shared" si="318"/>
        <v>0</v>
      </c>
      <c r="BN534" s="2720">
        <f t="shared" si="319"/>
        <v>0</v>
      </c>
      <c r="BO534" s="2720">
        <f t="shared" si="320"/>
        <v>0</v>
      </c>
      <c r="BP534" s="2720">
        <f t="shared" si="321"/>
        <v>0</v>
      </c>
      <c r="BQ534" s="2720">
        <f t="shared" si="322"/>
        <v>0</v>
      </c>
      <c r="BR534" s="2720">
        <f t="shared" si="323"/>
        <v>0</v>
      </c>
      <c r="BS534" s="2720">
        <f t="shared" si="324"/>
        <v>0</v>
      </c>
      <c r="BT534" s="2772">
        <f t="shared" si="325"/>
        <v>0</v>
      </c>
    </row>
    <row r="535" spans="1:72">
      <c r="A535" s="2717"/>
      <c r="B535" s="2718"/>
      <c r="C535" s="2718"/>
      <c r="D535" s="2719"/>
      <c r="E535" s="2720">
        <f t="shared" si="297"/>
        <v>0</v>
      </c>
      <c r="F535" s="2721"/>
      <c r="G535" s="2722">
        <f t="shared" si="301"/>
        <v>0</v>
      </c>
      <c r="H535" s="2723">
        <f t="shared" si="302"/>
        <v>0</v>
      </c>
      <c r="I535" s="2730"/>
      <c r="J535" s="2730"/>
      <c r="K535" s="2730"/>
      <c r="L535" s="2730"/>
      <c r="M535" s="2730"/>
      <c r="N535" s="2730"/>
      <c r="O535" s="2730"/>
      <c r="P535" s="2730"/>
      <c r="Q535" s="2730"/>
      <c r="R535" s="2730"/>
      <c r="S535" s="2730"/>
      <c r="T535" s="2730"/>
      <c r="U535" s="2730"/>
      <c r="V535" s="2730"/>
      <c r="W535" s="2730"/>
      <c r="X535" s="2730"/>
      <c r="Y535" s="2730"/>
      <c r="Z535" s="2730"/>
      <c r="AA535" s="2730"/>
      <c r="AB535" s="2730"/>
      <c r="AC535" s="2720">
        <f t="shared" si="303"/>
        <v>0</v>
      </c>
      <c r="AD535" s="2740"/>
      <c r="AE535" s="2740"/>
      <c r="AF535" s="2740"/>
      <c r="AG535" s="2740"/>
      <c r="AH535" s="2740"/>
      <c r="AI535" s="2740"/>
      <c r="AJ535" s="2740"/>
      <c r="AK535" s="2740"/>
      <c r="AL535" s="2740"/>
      <c r="AM535" s="2740"/>
      <c r="AN535" s="2740"/>
      <c r="AO535" s="2740"/>
      <c r="AP535" s="2740"/>
      <c r="AQ535" s="2740"/>
      <c r="AR535" s="2740"/>
      <c r="AS535" s="2740"/>
      <c r="AT535" s="2750"/>
      <c r="AU535" s="2751"/>
      <c r="AV535" s="1092">
        <f t="shared" si="298"/>
        <v>0</v>
      </c>
      <c r="AW535" s="1092">
        <f t="shared" si="299"/>
        <v>0</v>
      </c>
      <c r="AX535" s="1092">
        <f t="shared" si="300"/>
        <v>0</v>
      </c>
      <c r="AY535" s="2765">
        <f t="shared" si="304"/>
        <v>0</v>
      </c>
      <c r="AZ535" s="2720">
        <f t="shared" si="305"/>
        <v>0</v>
      </c>
      <c r="BA535" s="2720">
        <f t="shared" si="306"/>
        <v>0</v>
      </c>
      <c r="BB535" s="2720">
        <f t="shared" si="307"/>
        <v>0</v>
      </c>
      <c r="BC535" s="2720">
        <f t="shared" si="308"/>
        <v>0</v>
      </c>
      <c r="BD535" s="2720">
        <f t="shared" si="309"/>
        <v>0</v>
      </c>
      <c r="BE535" s="2720">
        <f t="shared" si="310"/>
        <v>0</v>
      </c>
      <c r="BF535" s="2720">
        <f t="shared" si="311"/>
        <v>0</v>
      </c>
      <c r="BG535" s="2720">
        <f t="shared" si="312"/>
        <v>0</v>
      </c>
      <c r="BH535" s="2720">
        <f t="shared" si="313"/>
        <v>0</v>
      </c>
      <c r="BI535" s="2720">
        <f t="shared" si="314"/>
        <v>0</v>
      </c>
      <c r="BJ535" s="2720">
        <f t="shared" si="315"/>
        <v>0</v>
      </c>
      <c r="BK535" s="2720">
        <f t="shared" si="316"/>
        <v>0</v>
      </c>
      <c r="BL535" s="2720">
        <f t="shared" si="317"/>
        <v>0</v>
      </c>
      <c r="BM535" s="2720">
        <f t="shared" si="318"/>
        <v>0</v>
      </c>
      <c r="BN535" s="2720">
        <f t="shared" si="319"/>
        <v>0</v>
      </c>
      <c r="BO535" s="2720">
        <f t="shared" si="320"/>
        <v>0</v>
      </c>
      <c r="BP535" s="2720">
        <f t="shared" si="321"/>
        <v>0</v>
      </c>
      <c r="BQ535" s="2720">
        <f t="shared" si="322"/>
        <v>0</v>
      </c>
      <c r="BR535" s="2720">
        <f t="shared" si="323"/>
        <v>0</v>
      </c>
      <c r="BS535" s="2720">
        <f t="shared" si="324"/>
        <v>0</v>
      </c>
      <c r="BT535" s="2772">
        <f t="shared" si="325"/>
        <v>0</v>
      </c>
    </row>
    <row r="536" spans="1:72">
      <c r="A536" s="2717"/>
      <c r="B536" s="2718"/>
      <c r="C536" s="2718"/>
      <c r="D536" s="2719"/>
      <c r="E536" s="2720">
        <f t="shared" si="297"/>
        <v>0</v>
      </c>
      <c r="F536" s="2721"/>
      <c r="G536" s="2722">
        <f t="shared" si="301"/>
        <v>0</v>
      </c>
      <c r="H536" s="2723">
        <f t="shared" si="302"/>
        <v>0</v>
      </c>
      <c r="I536" s="2730"/>
      <c r="J536" s="2730"/>
      <c r="K536" s="2730"/>
      <c r="L536" s="2730"/>
      <c r="M536" s="2730"/>
      <c r="N536" s="2730"/>
      <c r="O536" s="2730"/>
      <c r="P536" s="2730"/>
      <c r="Q536" s="2730"/>
      <c r="R536" s="2730"/>
      <c r="S536" s="2730"/>
      <c r="T536" s="2730"/>
      <c r="U536" s="2730"/>
      <c r="V536" s="2730"/>
      <c r="W536" s="2730"/>
      <c r="X536" s="2730"/>
      <c r="Y536" s="2730"/>
      <c r="Z536" s="2730"/>
      <c r="AA536" s="2730"/>
      <c r="AB536" s="2730"/>
      <c r="AC536" s="2720">
        <f t="shared" si="303"/>
        <v>0</v>
      </c>
      <c r="AD536" s="2740"/>
      <c r="AE536" s="2740"/>
      <c r="AF536" s="2740"/>
      <c r="AG536" s="2740"/>
      <c r="AH536" s="2740"/>
      <c r="AI536" s="2740"/>
      <c r="AJ536" s="2740"/>
      <c r="AK536" s="2740"/>
      <c r="AL536" s="2740"/>
      <c r="AM536" s="2740"/>
      <c r="AN536" s="2740"/>
      <c r="AO536" s="2740"/>
      <c r="AP536" s="2740"/>
      <c r="AQ536" s="2740"/>
      <c r="AR536" s="2740"/>
      <c r="AS536" s="2740"/>
      <c r="AT536" s="2750"/>
      <c r="AU536" s="2751"/>
      <c r="AV536" s="1092">
        <f t="shared" si="298"/>
        <v>0</v>
      </c>
      <c r="AW536" s="1092">
        <f t="shared" si="299"/>
        <v>0</v>
      </c>
      <c r="AX536" s="1092">
        <f t="shared" si="300"/>
        <v>0</v>
      </c>
      <c r="AY536" s="2765">
        <f t="shared" si="304"/>
        <v>0</v>
      </c>
      <c r="AZ536" s="2720">
        <f t="shared" si="305"/>
        <v>0</v>
      </c>
      <c r="BA536" s="2720">
        <f t="shared" si="306"/>
        <v>0</v>
      </c>
      <c r="BB536" s="2720">
        <f t="shared" si="307"/>
        <v>0</v>
      </c>
      <c r="BC536" s="2720">
        <f t="shared" si="308"/>
        <v>0</v>
      </c>
      <c r="BD536" s="2720">
        <f t="shared" si="309"/>
        <v>0</v>
      </c>
      <c r="BE536" s="2720">
        <f t="shared" si="310"/>
        <v>0</v>
      </c>
      <c r="BF536" s="2720">
        <f t="shared" si="311"/>
        <v>0</v>
      </c>
      <c r="BG536" s="2720">
        <f t="shared" si="312"/>
        <v>0</v>
      </c>
      <c r="BH536" s="2720">
        <f t="shared" si="313"/>
        <v>0</v>
      </c>
      <c r="BI536" s="2720">
        <f t="shared" si="314"/>
        <v>0</v>
      </c>
      <c r="BJ536" s="2720">
        <f t="shared" si="315"/>
        <v>0</v>
      </c>
      <c r="BK536" s="2720">
        <f t="shared" si="316"/>
        <v>0</v>
      </c>
      <c r="BL536" s="2720">
        <f t="shared" si="317"/>
        <v>0</v>
      </c>
      <c r="BM536" s="2720">
        <f t="shared" si="318"/>
        <v>0</v>
      </c>
      <c r="BN536" s="2720">
        <f t="shared" si="319"/>
        <v>0</v>
      </c>
      <c r="BO536" s="2720">
        <f t="shared" si="320"/>
        <v>0</v>
      </c>
      <c r="BP536" s="2720">
        <f t="shared" si="321"/>
        <v>0</v>
      </c>
      <c r="BQ536" s="2720">
        <f t="shared" si="322"/>
        <v>0</v>
      </c>
      <c r="BR536" s="2720">
        <f t="shared" si="323"/>
        <v>0</v>
      </c>
      <c r="BS536" s="2720">
        <f t="shared" si="324"/>
        <v>0</v>
      </c>
      <c r="BT536" s="2772">
        <f t="shared" si="325"/>
        <v>0</v>
      </c>
    </row>
    <row r="537" spans="1:72">
      <c r="A537" s="2717"/>
      <c r="B537" s="2718"/>
      <c r="C537" s="2718"/>
      <c r="D537" s="2719"/>
      <c r="E537" s="2720">
        <f t="shared" si="297"/>
        <v>0</v>
      </c>
      <c r="F537" s="2721"/>
      <c r="G537" s="2722">
        <f t="shared" si="301"/>
        <v>0</v>
      </c>
      <c r="H537" s="2723">
        <f t="shared" si="302"/>
        <v>0</v>
      </c>
      <c r="I537" s="2730"/>
      <c r="J537" s="2730"/>
      <c r="K537" s="2730"/>
      <c r="L537" s="2730"/>
      <c r="M537" s="2730"/>
      <c r="N537" s="2730"/>
      <c r="O537" s="2730"/>
      <c r="P537" s="2730"/>
      <c r="Q537" s="2730"/>
      <c r="R537" s="2730"/>
      <c r="S537" s="2730"/>
      <c r="T537" s="2730"/>
      <c r="U537" s="2730"/>
      <c r="V537" s="2730"/>
      <c r="W537" s="2730"/>
      <c r="X537" s="2730"/>
      <c r="Y537" s="2730"/>
      <c r="Z537" s="2730"/>
      <c r="AA537" s="2730"/>
      <c r="AB537" s="2730"/>
      <c r="AC537" s="2720">
        <f t="shared" si="303"/>
        <v>0</v>
      </c>
      <c r="AD537" s="2740"/>
      <c r="AE537" s="2740"/>
      <c r="AF537" s="2740"/>
      <c r="AG537" s="2740"/>
      <c r="AH537" s="2740"/>
      <c r="AI537" s="2740"/>
      <c r="AJ537" s="2740"/>
      <c r="AK537" s="2740"/>
      <c r="AL537" s="2740"/>
      <c r="AM537" s="2740"/>
      <c r="AN537" s="2740"/>
      <c r="AO537" s="2740"/>
      <c r="AP537" s="2740"/>
      <c r="AQ537" s="2740"/>
      <c r="AR537" s="2740"/>
      <c r="AS537" s="2740"/>
      <c r="AT537" s="2750"/>
      <c r="AU537" s="2751"/>
      <c r="AV537" s="1092">
        <f t="shared" si="298"/>
        <v>0</v>
      </c>
      <c r="AW537" s="1092">
        <f t="shared" si="299"/>
        <v>0</v>
      </c>
      <c r="AX537" s="1092">
        <f t="shared" si="300"/>
        <v>0</v>
      </c>
      <c r="AY537" s="2765">
        <f t="shared" si="304"/>
        <v>0</v>
      </c>
      <c r="AZ537" s="2720">
        <f t="shared" si="305"/>
        <v>0</v>
      </c>
      <c r="BA537" s="2720">
        <f t="shared" si="306"/>
        <v>0</v>
      </c>
      <c r="BB537" s="2720">
        <f t="shared" si="307"/>
        <v>0</v>
      </c>
      <c r="BC537" s="2720">
        <f t="shared" si="308"/>
        <v>0</v>
      </c>
      <c r="BD537" s="2720">
        <f t="shared" si="309"/>
        <v>0</v>
      </c>
      <c r="BE537" s="2720">
        <f t="shared" si="310"/>
        <v>0</v>
      </c>
      <c r="BF537" s="2720">
        <f t="shared" si="311"/>
        <v>0</v>
      </c>
      <c r="BG537" s="2720">
        <f t="shared" si="312"/>
        <v>0</v>
      </c>
      <c r="BH537" s="2720">
        <f t="shared" si="313"/>
        <v>0</v>
      </c>
      <c r="BI537" s="2720">
        <f t="shared" si="314"/>
        <v>0</v>
      </c>
      <c r="BJ537" s="2720">
        <f t="shared" si="315"/>
        <v>0</v>
      </c>
      <c r="BK537" s="2720">
        <f t="shared" si="316"/>
        <v>0</v>
      </c>
      <c r="BL537" s="2720">
        <f t="shared" si="317"/>
        <v>0</v>
      </c>
      <c r="BM537" s="2720">
        <f t="shared" si="318"/>
        <v>0</v>
      </c>
      <c r="BN537" s="2720">
        <f t="shared" si="319"/>
        <v>0</v>
      </c>
      <c r="BO537" s="2720">
        <f t="shared" si="320"/>
        <v>0</v>
      </c>
      <c r="BP537" s="2720">
        <f t="shared" si="321"/>
        <v>0</v>
      </c>
      <c r="BQ537" s="2720">
        <f t="shared" si="322"/>
        <v>0</v>
      </c>
      <c r="BR537" s="2720">
        <f t="shared" si="323"/>
        <v>0</v>
      </c>
      <c r="BS537" s="2720">
        <f t="shared" si="324"/>
        <v>0</v>
      </c>
      <c r="BT537" s="2772">
        <f t="shared" si="325"/>
        <v>0</v>
      </c>
    </row>
    <row r="538" spans="1:72">
      <c r="A538" s="2717"/>
      <c r="B538" s="2718"/>
      <c r="C538" s="2718"/>
      <c r="D538" s="2719"/>
      <c r="E538" s="2720">
        <f t="shared" si="297"/>
        <v>0</v>
      </c>
      <c r="F538" s="2721"/>
      <c r="G538" s="2722">
        <f t="shared" si="301"/>
        <v>0</v>
      </c>
      <c r="H538" s="2723">
        <f t="shared" si="302"/>
        <v>0</v>
      </c>
      <c r="I538" s="2730"/>
      <c r="J538" s="2730"/>
      <c r="K538" s="2730"/>
      <c r="L538" s="2730"/>
      <c r="M538" s="2730"/>
      <c r="N538" s="2730"/>
      <c r="O538" s="2730"/>
      <c r="P538" s="2730"/>
      <c r="Q538" s="2730"/>
      <c r="R538" s="2730"/>
      <c r="S538" s="2730"/>
      <c r="T538" s="2730"/>
      <c r="U538" s="2730"/>
      <c r="V538" s="2730"/>
      <c r="W538" s="2730"/>
      <c r="X538" s="2730"/>
      <c r="Y538" s="2730"/>
      <c r="Z538" s="2730"/>
      <c r="AA538" s="2730"/>
      <c r="AB538" s="2730"/>
      <c r="AC538" s="2720">
        <f t="shared" si="303"/>
        <v>0</v>
      </c>
      <c r="AD538" s="2740"/>
      <c r="AE538" s="2740"/>
      <c r="AF538" s="2740"/>
      <c r="AG538" s="2740"/>
      <c r="AH538" s="2740"/>
      <c r="AI538" s="2740"/>
      <c r="AJ538" s="2740"/>
      <c r="AK538" s="2740"/>
      <c r="AL538" s="2740"/>
      <c r="AM538" s="2740"/>
      <c r="AN538" s="2740"/>
      <c r="AO538" s="2740"/>
      <c r="AP538" s="2740"/>
      <c r="AQ538" s="2740"/>
      <c r="AR538" s="2740"/>
      <c r="AS538" s="2740"/>
      <c r="AT538" s="2750"/>
      <c r="AU538" s="2751"/>
      <c r="AV538" s="1092">
        <f t="shared" si="298"/>
        <v>0</v>
      </c>
      <c r="AW538" s="1092">
        <f t="shared" si="299"/>
        <v>0</v>
      </c>
      <c r="AX538" s="1092">
        <f t="shared" si="300"/>
        <v>0</v>
      </c>
      <c r="AY538" s="2765">
        <f t="shared" si="304"/>
        <v>0</v>
      </c>
      <c r="AZ538" s="2720">
        <f t="shared" si="305"/>
        <v>0</v>
      </c>
      <c r="BA538" s="2720">
        <f t="shared" si="306"/>
        <v>0</v>
      </c>
      <c r="BB538" s="2720">
        <f t="shared" si="307"/>
        <v>0</v>
      </c>
      <c r="BC538" s="2720">
        <f t="shared" si="308"/>
        <v>0</v>
      </c>
      <c r="BD538" s="2720">
        <f t="shared" si="309"/>
        <v>0</v>
      </c>
      <c r="BE538" s="2720">
        <f t="shared" si="310"/>
        <v>0</v>
      </c>
      <c r="BF538" s="2720">
        <f t="shared" si="311"/>
        <v>0</v>
      </c>
      <c r="BG538" s="2720">
        <f t="shared" si="312"/>
        <v>0</v>
      </c>
      <c r="BH538" s="2720">
        <f t="shared" si="313"/>
        <v>0</v>
      </c>
      <c r="BI538" s="2720">
        <f t="shared" si="314"/>
        <v>0</v>
      </c>
      <c r="BJ538" s="2720">
        <f t="shared" si="315"/>
        <v>0</v>
      </c>
      <c r="BK538" s="2720">
        <f t="shared" si="316"/>
        <v>0</v>
      </c>
      <c r="BL538" s="2720">
        <f t="shared" si="317"/>
        <v>0</v>
      </c>
      <c r="BM538" s="2720">
        <f t="shared" si="318"/>
        <v>0</v>
      </c>
      <c r="BN538" s="2720">
        <f t="shared" si="319"/>
        <v>0</v>
      </c>
      <c r="BO538" s="2720">
        <f t="shared" si="320"/>
        <v>0</v>
      </c>
      <c r="BP538" s="2720">
        <f t="shared" si="321"/>
        <v>0</v>
      </c>
      <c r="BQ538" s="2720">
        <f t="shared" si="322"/>
        <v>0</v>
      </c>
      <c r="BR538" s="2720">
        <f t="shared" si="323"/>
        <v>0</v>
      </c>
      <c r="BS538" s="2720">
        <f t="shared" si="324"/>
        <v>0</v>
      </c>
      <c r="BT538" s="2772">
        <f t="shared" si="325"/>
        <v>0</v>
      </c>
    </row>
    <row r="539" spans="1:72">
      <c r="A539" s="2717"/>
      <c r="B539" s="2718"/>
      <c r="C539" s="2718"/>
      <c r="D539" s="2719"/>
      <c r="E539" s="2720">
        <f t="shared" si="297"/>
        <v>0</v>
      </c>
      <c r="F539" s="2721"/>
      <c r="G539" s="2722">
        <f t="shared" si="301"/>
        <v>0</v>
      </c>
      <c r="H539" s="2723">
        <f t="shared" si="302"/>
        <v>0</v>
      </c>
      <c r="I539" s="2730"/>
      <c r="J539" s="2730"/>
      <c r="K539" s="2730"/>
      <c r="L539" s="2730"/>
      <c r="M539" s="2730"/>
      <c r="N539" s="2730"/>
      <c r="O539" s="2730"/>
      <c r="P539" s="2730"/>
      <c r="Q539" s="2730"/>
      <c r="R539" s="2730"/>
      <c r="S539" s="2730"/>
      <c r="T539" s="2730"/>
      <c r="U539" s="2730"/>
      <c r="V539" s="2730"/>
      <c r="W539" s="2730"/>
      <c r="X539" s="2730"/>
      <c r="Y539" s="2730"/>
      <c r="Z539" s="2730"/>
      <c r="AA539" s="2730"/>
      <c r="AB539" s="2730"/>
      <c r="AC539" s="2720">
        <f t="shared" si="303"/>
        <v>0</v>
      </c>
      <c r="AD539" s="2740"/>
      <c r="AE539" s="2740"/>
      <c r="AF539" s="2740"/>
      <c r="AG539" s="2740"/>
      <c r="AH539" s="2740"/>
      <c r="AI539" s="2740"/>
      <c r="AJ539" s="2740"/>
      <c r="AK539" s="2740"/>
      <c r="AL539" s="2740"/>
      <c r="AM539" s="2740"/>
      <c r="AN539" s="2740"/>
      <c r="AO539" s="2740"/>
      <c r="AP539" s="2740"/>
      <c r="AQ539" s="2740"/>
      <c r="AR539" s="2740"/>
      <c r="AS539" s="2740"/>
      <c r="AT539" s="2750"/>
      <c r="AU539" s="2751"/>
      <c r="AV539" s="1092">
        <f t="shared" si="298"/>
        <v>0</v>
      </c>
      <c r="AW539" s="1092">
        <f t="shared" si="299"/>
        <v>0</v>
      </c>
      <c r="AX539" s="1092">
        <f t="shared" si="300"/>
        <v>0</v>
      </c>
      <c r="AY539" s="2765">
        <f t="shared" si="304"/>
        <v>0</v>
      </c>
      <c r="AZ539" s="2720">
        <f t="shared" si="305"/>
        <v>0</v>
      </c>
      <c r="BA539" s="2720">
        <f t="shared" si="306"/>
        <v>0</v>
      </c>
      <c r="BB539" s="2720">
        <f t="shared" si="307"/>
        <v>0</v>
      </c>
      <c r="BC539" s="2720">
        <f t="shared" si="308"/>
        <v>0</v>
      </c>
      <c r="BD539" s="2720">
        <f t="shared" si="309"/>
        <v>0</v>
      </c>
      <c r="BE539" s="2720">
        <f t="shared" si="310"/>
        <v>0</v>
      </c>
      <c r="BF539" s="2720">
        <f t="shared" si="311"/>
        <v>0</v>
      </c>
      <c r="BG539" s="2720">
        <f t="shared" si="312"/>
        <v>0</v>
      </c>
      <c r="BH539" s="2720">
        <f t="shared" si="313"/>
        <v>0</v>
      </c>
      <c r="BI539" s="2720">
        <f t="shared" si="314"/>
        <v>0</v>
      </c>
      <c r="BJ539" s="2720">
        <f t="shared" si="315"/>
        <v>0</v>
      </c>
      <c r="BK539" s="2720">
        <f t="shared" si="316"/>
        <v>0</v>
      </c>
      <c r="BL539" s="2720">
        <f t="shared" si="317"/>
        <v>0</v>
      </c>
      <c r="BM539" s="2720">
        <f t="shared" si="318"/>
        <v>0</v>
      </c>
      <c r="BN539" s="2720">
        <f t="shared" si="319"/>
        <v>0</v>
      </c>
      <c r="BO539" s="2720">
        <f t="shared" si="320"/>
        <v>0</v>
      </c>
      <c r="BP539" s="2720">
        <f t="shared" si="321"/>
        <v>0</v>
      </c>
      <c r="BQ539" s="2720">
        <f t="shared" si="322"/>
        <v>0</v>
      </c>
      <c r="BR539" s="2720">
        <f t="shared" si="323"/>
        <v>0</v>
      </c>
      <c r="BS539" s="2720">
        <f t="shared" si="324"/>
        <v>0</v>
      </c>
      <c r="BT539" s="2772">
        <f t="shared" si="325"/>
        <v>0</v>
      </c>
    </row>
    <row r="540" spans="1:72">
      <c r="A540" s="2717"/>
      <c r="B540" s="2718"/>
      <c r="C540" s="2718"/>
      <c r="D540" s="2719"/>
      <c r="E540" s="2720">
        <f t="shared" si="297"/>
        <v>0</v>
      </c>
      <c r="F540" s="2721"/>
      <c r="G540" s="2722">
        <f t="shared" si="301"/>
        <v>0</v>
      </c>
      <c r="H540" s="2723">
        <f t="shared" si="302"/>
        <v>0</v>
      </c>
      <c r="I540" s="2730"/>
      <c r="J540" s="2730"/>
      <c r="K540" s="2730"/>
      <c r="L540" s="2730"/>
      <c r="M540" s="2730"/>
      <c r="N540" s="2730"/>
      <c r="O540" s="2730"/>
      <c r="P540" s="2730"/>
      <c r="Q540" s="2730"/>
      <c r="R540" s="2730"/>
      <c r="S540" s="2730"/>
      <c r="T540" s="2730"/>
      <c r="U540" s="2730"/>
      <c r="V540" s="2730"/>
      <c r="W540" s="2730"/>
      <c r="X540" s="2730"/>
      <c r="Y540" s="2730"/>
      <c r="Z540" s="2730"/>
      <c r="AA540" s="2730"/>
      <c r="AB540" s="2730"/>
      <c r="AC540" s="2720">
        <f t="shared" si="303"/>
        <v>0</v>
      </c>
      <c r="AD540" s="2740"/>
      <c r="AE540" s="2740"/>
      <c r="AF540" s="2740"/>
      <c r="AG540" s="2740"/>
      <c r="AH540" s="2740"/>
      <c r="AI540" s="2740"/>
      <c r="AJ540" s="2740"/>
      <c r="AK540" s="2740"/>
      <c r="AL540" s="2740"/>
      <c r="AM540" s="2740"/>
      <c r="AN540" s="2740"/>
      <c r="AO540" s="2740"/>
      <c r="AP540" s="2740"/>
      <c r="AQ540" s="2740"/>
      <c r="AR540" s="2740"/>
      <c r="AS540" s="2740"/>
      <c r="AT540" s="2750"/>
      <c r="AU540" s="2751"/>
      <c r="AV540" s="1092">
        <f t="shared" si="298"/>
        <v>0</v>
      </c>
      <c r="AW540" s="1092">
        <f t="shared" si="299"/>
        <v>0</v>
      </c>
      <c r="AX540" s="1092">
        <f t="shared" si="300"/>
        <v>0</v>
      </c>
      <c r="AY540" s="2765">
        <f t="shared" si="304"/>
        <v>0</v>
      </c>
      <c r="AZ540" s="2720">
        <f t="shared" si="305"/>
        <v>0</v>
      </c>
      <c r="BA540" s="2720">
        <f t="shared" si="306"/>
        <v>0</v>
      </c>
      <c r="BB540" s="2720">
        <f t="shared" si="307"/>
        <v>0</v>
      </c>
      <c r="BC540" s="2720">
        <f t="shared" si="308"/>
        <v>0</v>
      </c>
      <c r="BD540" s="2720">
        <f t="shared" si="309"/>
        <v>0</v>
      </c>
      <c r="BE540" s="2720">
        <f t="shared" si="310"/>
        <v>0</v>
      </c>
      <c r="BF540" s="2720">
        <f t="shared" si="311"/>
        <v>0</v>
      </c>
      <c r="BG540" s="2720">
        <f t="shared" si="312"/>
        <v>0</v>
      </c>
      <c r="BH540" s="2720">
        <f t="shared" si="313"/>
        <v>0</v>
      </c>
      <c r="BI540" s="2720">
        <f t="shared" si="314"/>
        <v>0</v>
      </c>
      <c r="BJ540" s="2720">
        <f t="shared" si="315"/>
        <v>0</v>
      </c>
      <c r="BK540" s="2720">
        <f t="shared" si="316"/>
        <v>0</v>
      </c>
      <c r="BL540" s="2720">
        <f t="shared" si="317"/>
        <v>0</v>
      </c>
      <c r="BM540" s="2720">
        <f t="shared" si="318"/>
        <v>0</v>
      </c>
      <c r="BN540" s="2720">
        <f t="shared" si="319"/>
        <v>0</v>
      </c>
      <c r="BO540" s="2720">
        <f t="shared" si="320"/>
        <v>0</v>
      </c>
      <c r="BP540" s="2720">
        <f t="shared" si="321"/>
        <v>0</v>
      </c>
      <c r="BQ540" s="2720">
        <f t="shared" si="322"/>
        <v>0</v>
      </c>
      <c r="BR540" s="2720">
        <f t="shared" si="323"/>
        <v>0</v>
      </c>
      <c r="BS540" s="2720">
        <f t="shared" si="324"/>
        <v>0</v>
      </c>
      <c r="BT540" s="2772">
        <f t="shared" si="325"/>
        <v>0</v>
      </c>
    </row>
    <row r="541" spans="1:72">
      <c r="A541" s="2717"/>
      <c r="B541" s="2718"/>
      <c r="C541" s="2718"/>
      <c r="D541" s="2719"/>
      <c r="E541" s="2720">
        <f t="shared" si="297"/>
        <v>0</v>
      </c>
      <c r="F541" s="2721"/>
      <c r="G541" s="2722">
        <f t="shared" si="301"/>
        <v>0</v>
      </c>
      <c r="H541" s="2723">
        <f t="shared" si="302"/>
        <v>0</v>
      </c>
      <c r="I541" s="2730"/>
      <c r="J541" s="2730"/>
      <c r="K541" s="2730"/>
      <c r="L541" s="2730"/>
      <c r="M541" s="2730"/>
      <c r="N541" s="2730"/>
      <c r="O541" s="2730"/>
      <c r="P541" s="2730"/>
      <c r="Q541" s="2730"/>
      <c r="R541" s="2730"/>
      <c r="S541" s="2730"/>
      <c r="T541" s="2730"/>
      <c r="U541" s="2730"/>
      <c r="V541" s="2730"/>
      <c r="W541" s="2730"/>
      <c r="X541" s="2730"/>
      <c r="Y541" s="2730"/>
      <c r="Z541" s="2730"/>
      <c r="AA541" s="2730"/>
      <c r="AB541" s="2730"/>
      <c r="AC541" s="2720">
        <f t="shared" si="303"/>
        <v>0</v>
      </c>
      <c r="AD541" s="2740"/>
      <c r="AE541" s="2740"/>
      <c r="AF541" s="2740"/>
      <c r="AG541" s="2740"/>
      <c r="AH541" s="2740"/>
      <c r="AI541" s="2740"/>
      <c r="AJ541" s="2740"/>
      <c r="AK541" s="2740"/>
      <c r="AL541" s="2740"/>
      <c r="AM541" s="2740"/>
      <c r="AN541" s="2740"/>
      <c r="AO541" s="2740"/>
      <c r="AP541" s="2740"/>
      <c r="AQ541" s="2740"/>
      <c r="AR541" s="2740"/>
      <c r="AS541" s="2740"/>
      <c r="AT541" s="2750"/>
      <c r="AU541" s="2751"/>
      <c r="AV541" s="1092">
        <f t="shared" si="298"/>
        <v>0</v>
      </c>
      <c r="AW541" s="1092">
        <f t="shared" si="299"/>
        <v>0</v>
      </c>
      <c r="AX541" s="1092">
        <f t="shared" si="300"/>
        <v>0</v>
      </c>
      <c r="AY541" s="2765">
        <f t="shared" si="304"/>
        <v>0</v>
      </c>
      <c r="AZ541" s="2720">
        <f t="shared" si="305"/>
        <v>0</v>
      </c>
      <c r="BA541" s="2720">
        <f t="shared" si="306"/>
        <v>0</v>
      </c>
      <c r="BB541" s="2720">
        <f t="shared" si="307"/>
        <v>0</v>
      </c>
      <c r="BC541" s="2720">
        <f t="shared" si="308"/>
        <v>0</v>
      </c>
      <c r="BD541" s="2720">
        <f t="shared" si="309"/>
        <v>0</v>
      </c>
      <c r="BE541" s="2720">
        <f t="shared" si="310"/>
        <v>0</v>
      </c>
      <c r="BF541" s="2720">
        <f t="shared" si="311"/>
        <v>0</v>
      </c>
      <c r="BG541" s="2720">
        <f t="shared" si="312"/>
        <v>0</v>
      </c>
      <c r="BH541" s="2720">
        <f t="shared" si="313"/>
        <v>0</v>
      </c>
      <c r="BI541" s="2720">
        <f t="shared" si="314"/>
        <v>0</v>
      </c>
      <c r="BJ541" s="2720">
        <f t="shared" si="315"/>
        <v>0</v>
      </c>
      <c r="BK541" s="2720">
        <f t="shared" si="316"/>
        <v>0</v>
      </c>
      <c r="BL541" s="2720">
        <f t="shared" si="317"/>
        <v>0</v>
      </c>
      <c r="BM541" s="2720">
        <f t="shared" si="318"/>
        <v>0</v>
      </c>
      <c r="BN541" s="2720">
        <f t="shared" si="319"/>
        <v>0</v>
      </c>
      <c r="BO541" s="2720">
        <f t="shared" si="320"/>
        <v>0</v>
      </c>
      <c r="BP541" s="2720">
        <f t="shared" si="321"/>
        <v>0</v>
      </c>
      <c r="BQ541" s="2720">
        <f t="shared" si="322"/>
        <v>0</v>
      </c>
      <c r="BR541" s="2720">
        <f t="shared" si="323"/>
        <v>0</v>
      </c>
      <c r="BS541" s="2720">
        <f t="shared" si="324"/>
        <v>0</v>
      </c>
      <c r="BT541" s="2772">
        <f t="shared" si="325"/>
        <v>0</v>
      </c>
    </row>
    <row r="542" spans="1:72">
      <c r="A542" s="2717"/>
      <c r="B542" s="2718"/>
      <c r="C542" s="2718"/>
      <c r="D542" s="2719"/>
      <c r="E542" s="2720">
        <f t="shared" si="297"/>
        <v>0</v>
      </c>
      <c r="F542" s="2721"/>
      <c r="G542" s="2722">
        <f t="shared" si="301"/>
        <v>0</v>
      </c>
      <c r="H542" s="2723">
        <f t="shared" si="302"/>
        <v>0</v>
      </c>
      <c r="I542" s="2730"/>
      <c r="J542" s="2730"/>
      <c r="K542" s="2730"/>
      <c r="L542" s="2730"/>
      <c r="M542" s="2730"/>
      <c r="N542" s="2730"/>
      <c r="O542" s="2730"/>
      <c r="P542" s="2730"/>
      <c r="Q542" s="2730"/>
      <c r="R542" s="2730"/>
      <c r="S542" s="2730"/>
      <c r="T542" s="2730"/>
      <c r="U542" s="2730"/>
      <c r="V542" s="2730"/>
      <c r="W542" s="2730"/>
      <c r="X542" s="2730"/>
      <c r="Y542" s="2730"/>
      <c r="Z542" s="2730"/>
      <c r="AA542" s="2730"/>
      <c r="AB542" s="2730"/>
      <c r="AC542" s="2720">
        <f t="shared" si="303"/>
        <v>0</v>
      </c>
      <c r="AD542" s="2740"/>
      <c r="AE542" s="2740"/>
      <c r="AF542" s="2740"/>
      <c r="AG542" s="2740"/>
      <c r="AH542" s="2740"/>
      <c r="AI542" s="2740"/>
      <c r="AJ542" s="2740"/>
      <c r="AK542" s="2740"/>
      <c r="AL542" s="2740"/>
      <c r="AM542" s="2740"/>
      <c r="AN542" s="2740"/>
      <c r="AO542" s="2740"/>
      <c r="AP542" s="2740"/>
      <c r="AQ542" s="2740"/>
      <c r="AR542" s="2740"/>
      <c r="AS542" s="2740"/>
      <c r="AT542" s="2750"/>
      <c r="AU542" s="2751"/>
      <c r="AV542" s="1092">
        <f t="shared" si="298"/>
        <v>0</v>
      </c>
      <c r="AW542" s="1092">
        <f t="shared" si="299"/>
        <v>0</v>
      </c>
      <c r="AX542" s="1092">
        <f t="shared" si="300"/>
        <v>0</v>
      </c>
      <c r="AY542" s="2765">
        <f t="shared" si="304"/>
        <v>0</v>
      </c>
      <c r="AZ542" s="2720">
        <f t="shared" si="305"/>
        <v>0</v>
      </c>
      <c r="BA542" s="2720">
        <f t="shared" si="306"/>
        <v>0</v>
      </c>
      <c r="BB542" s="2720">
        <f t="shared" si="307"/>
        <v>0</v>
      </c>
      <c r="BC542" s="2720">
        <f t="shared" si="308"/>
        <v>0</v>
      </c>
      <c r="BD542" s="2720">
        <f t="shared" si="309"/>
        <v>0</v>
      </c>
      <c r="BE542" s="2720">
        <f t="shared" si="310"/>
        <v>0</v>
      </c>
      <c r="BF542" s="2720">
        <f t="shared" si="311"/>
        <v>0</v>
      </c>
      <c r="BG542" s="2720">
        <f t="shared" si="312"/>
        <v>0</v>
      </c>
      <c r="BH542" s="2720">
        <f t="shared" si="313"/>
        <v>0</v>
      </c>
      <c r="BI542" s="2720">
        <f t="shared" si="314"/>
        <v>0</v>
      </c>
      <c r="BJ542" s="2720">
        <f t="shared" si="315"/>
        <v>0</v>
      </c>
      <c r="BK542" s="2720">
        <f t="shared" si="316"/>
        <v>0</v>
      </c>
      <c r="BL542" s="2720">
        <f t="shared" si="317"/>
        <v>0</v>
      </c>
      <c r="BM542" s="2720">
        <f t="shared" si="318"/>
        <v>0</v>
      </c>
      <c r="BN542" s="2720">
        <f t="shared" si="319"/>
        <v>0</v>
      </c>
      <c r="BO542" s="2720">
        <f t="shared" si="320"/>
        <v>0</v>
      </c>
      <c r="BP542" s="2720">
        <f t="shared" si="321"/>
        <v>0</v>
      </c>
      <c r="BQ542" s="2720">
        <f t="shared" si="322"/>
        <v>0</v>
      </c>
      <c r="BR542" s="2720">
        <f t="shared" si="323"/>
        <v>0</v>
      </c>
      <c r="BS542" s="2720">
        <f t="shared" si="324"/>
        <v>0</v>
      </c>
      <c r="BT542" s="2772">
        <f t="shared" si="325"/>
        <v>0</v>
      </c>
    </row>
    <row r="543" spans="1:72">
      <c r="A543" s="2717"/>
      <c r="B543" s="2718"/>
      <c r="C543" s="2718"/>
      <c r="D543" s="2719"/>
      <c r="E543" s="2720">
        <f t="shared" si="297"/>
        <v>0</v>
      </c>
      <c r="F543" s="2721"/>
      <c r="G543" s="2722">
        <f t="shared" si="301"/>
        <v>0</v>
      </c>
      <c r="H543" s="2723">
        <f t="shared" si="302"/>
        <v>0</v>
      </c>
      <c r="I543" s="2730"/>
      <c r="J543" s="2730"/>
      <c r="K543" s="2730"/>
      <c r="L543" s="2730"/>
      <c r="M543" s="2730"/>
      <c r="N543" s="2730"/>
      <c r="O543" s="2730"/>
      <c r="P543" s="2730"/>
      <c r="Q543" s="2730"/>
      <c r="R543" s="2730"/>
      <c r="S543" s="2730"/>
      <c r="T543" s="2730"/>
      <c r="U543" s="2730"/>
      <c r="V543" s="2730"/>
      <c r="W543" s="2730"/>
      <c r="X543" s="2730"/>
      <c r="Y543" s="2730"/>
      <c r="Z543" s="2730"/>
      <c r="AA543" s="2730"/>
      <c r="AB543" s="2730"/>
      <c r="AC543" s="2720">
        <f t="shared" si="303"/>
        <v>0</v>
      </c>
      <c r="AD543" s="2740"/>
      <c r="AE543" s="2740"/>
      <c r="AF543" s="2740"/>
      <c r="AG543" s="2740"/>
      <c r="AH543" s="2740"/>
      <c r="AI543" s="2740"/>
      <c r="AJ543" s="2740"/>
      <c r="AK543" s="2740"/>
      <c r="AL543" s="2740"/>
      <c r="AM543" s="2740"/>
      <c r="AN543" s="2740"/>
      <c r="AO543" s="2740"/>
      <c r="AP543" s="2740"/>
      <c r="AQ543" s="2740"/>
      <c r="AR543" s="2740"/>
      <c r="AS543" s="2740"/>
      <c r="AT543" s="2750"/>
      <c r="AU543" s="2751"/>
      <c r="AV543" s="1092">
        <f t="shared" si="298"/>
        <v>0</v>
      </c>
      <c r="AW543" s="1092">
        <f t="shared" si="299"/>
        <v>0</v>
      </c>
      <c r="AX543" s="1092">
        <f t="shared" si="300"/>
        <v>0</v>
      </c>
      <c r="AY543" s="2765">
        <f t="shared" si="304"/>
        <v>0</v>
      </c>
      <c r="AZ543" s="2720">
        <f t="shared" si="305"/>
        <v>0</v>
      </c>
      <c r="BA543" s="2720">
        <f t="shared" si="306"/>
        <v>0</v>
      </c>
      <c r="BB543" s="2720">
        <f t="shared" si="307"/>
        <v>0</v>
      </c>
      <c r="BC543" s="2720">
        <f t="shared" si="308"/>
        <v>0</v>
      </c>
      <c r="BD543" s="2720">
        <f t="shared" si="309"/>
        <v>0</v>
      </c>
      <c r="BE543" s="2720">
        <f t="shared" si="310"/>
        <v>0</v>
      </c>
      <c r="BF543" s="2720">
        <f t="shared" si="311"/>
        <v>0</v>
      </c>
      <c r="BG543" s="2720">
        <f t="shared" si="312"/>
        <v>0</v>
      </c>
      <c r="BH543" s="2720">
        <f t="shared" si="313"/>
        <v>0</v>
      </c>
      <c r="BI543" s="2720">
        <f t="shared" si="314"/>
        <v>0</v>
      </c>
      <c r="BJ543" s="2720">
        <f t="shared" si="315"/>
        <v>0</v>
      </c>
      <c r="BK543" s="2720">
        <f t="shared" si="316"/>
        <v>0</v>
      </c>
      <c r="BL543" s="2720">
        <f t="shared" si="317"/>
        <v>0</v>
      </c>
      <c r="BM543" s="2720">
        <f t="shared" si="318"/>
        <v>0</v>
      </c>
      <c r="BN543" s="2720">
        <f t="shared" si="319"/>
        <v>0</v>
      </c>
      <c r="BO543" s="2720">
        <f t="shared" si="320"/>
        <v>0</v>
      </c>
      <c r="BP543" s="2720">
        <f t="shared" si="321"/>
        <v>0</v>
      </c>
      <c r="BQ543" s="2720">
        <f t="shared" si="322"/>
        <v>0</v>
      </c>
      <c r="BR543" s="2720">
        <f t="shared" si="323"/>
        <v>0</v>
      </c>
      <c r="BS543" s="2720">
        <f t="shared" si="324"/>
        <v>0</v>
      </c>
      <c r="BT543" s="2772">
        <f t="shared" si="325"/>
        <v>0</v>
      </c>
    </row>
    <row r="544" spans="1:72">
      <c r="A544" s="2717"/>
      <c r="B544" s="2718"/>
      <c r="C544" s="2718"/>
      <c r="D544" s="2719"/>
      <c r="E544" s="2720">
        <f t="shared" si="297"/>
        <v>0</v>
      </c>
      <c r="F544" s="2721"/>
      <c r="G544" s="2722">
        <f t="shared" si="301"/>
        <v>0</v>
      </c>
      <c r="H544" s="2723">
        <f t="shared" si="302"/>
        <v>0</v>
      </c>
      <c r="I544" s="2730"/>
      <c r="J544" s="2730"/>
      <c r="K544" s="2730"/>
      <c r="L544" s="2730"/>
      <c r="M544" s="2730"/>
      <c r="N544" s="2730"/>
      <c r="O544" s="2730"/>
      <c r="P544" s="2730"/>
      <c r="Q544" s="2730"/>
      <c r="R544" s="2730"/>
      <c r="S544" s="2730"/>
      <c r="T544" s="2730"/>
      <c r="U544" s="2730"/>
      <c r="V544" s="2730"/>
      <c r="W544" s="2730"/>
      <c r="X544" s="2730"/>
      <c r="Y544" s="2730"/>
      <c r="Z544" s="2730"/>
      <c r="AA544" s="2730"/>
      <c r="AB544" s="2730"/>
      <c r="AC544" s="2720">
        <f t="shared" si="303"/>
        <v>0</v>
      </c>
      <c r="AD544" s="2740"/>
      <c r="AE544" s="2740"/>
      <c r="AF544" s="2740"/>
      <c r="AG544" s="2740"/>
      <c r="AH544" s="2740"/>
      <c r="AI544" s="2740"/>
      <c r="AJ544" s="2740"/>
      <c r="AK544" s="2740"/>
      <c r="AL544" s="2740"/>
      <c r="AM544" s="2740"/>
      <c r="AN544" s="2740"/>
      <c r="AO544" s="2740"/>
      <c r="AP544" s="2740"/>
      <c r="AQ544" s="2740"/>
      <c r="AR544" s="2740"/>
      <c r="AS544" s="2740"/>
      <c r="AT544" s="2750"/>
      <c r="AU544" s="2751"/>
      <c r="AV544" s="1092">
        <f t="shared" si="298"/>
        <v>0</v>
      </c>
      <c r="AW544" s="1092">
        <f t="shared" si="299"/>
        <v>0</v>
      </c>
      <c r="AX544" s="1092">
        <f t="shared" si="300"/>
        <v>0</v>
      </c>
      <c r="AY544" s="2765">
        <f t="shared" si="304"/>
        <v>0</v>
      </c>
      <c r="AZ544" s="2720">
        <f t="shared" si="305"/>
        <v>0</v>
      </c>
      <c r="BA544" s="2720">
        <f t="shared" si="306"/>
        <v>0</v>
      </c>
      <c r="BB544" s="2720">
        <f t="shared" si="307"/>
        <v>0</v>
      </c>
      <c r="BC544" s="2720">
        <f t="shared" si="308"/>
        <v>0</v>
      </c>
      <c r="BD544" s="2720">
        <f t="shared" si="309"/>
        <v>0</v>
      </c>
      <c r="BE544" s="2720">
        <f t="shared" si="310"/>
        <v>0</v>
      </c>
      <c r="BF544" s="2720">
        <f t="shared" si="311"/>
        <v>0</v>
      </c>
      <c r="BG544" s="2720">
        <f t="shared" si="312"/>
        <v>0</v>
      </c>
      <c r="BH544" s="2720">
        <f t="shared" si="313"/>
        <v>0</v>
      </c>
      <c r="BI544" s="2720">
        <f t="shared" si="314"/>
        <v>0</v>
      </c>
      <c r="BJ544" s="2720">
        <f t="shared" si="315"/>
        <v>0</v>
      </c>
      <c r="BK544" s="2720">
        <f t="shared" si="316"/>
        <v>0</v>
      </c>
      <c r="BL544" s="2720">
        <f t="shared" si="317"/>
        <v>0</v>
      </c>
      <c r="BM544" s="2720">
        <f t="shared" si="318"/>
        <v>0</v>
      </c>
      <c r="BN544" s="2720">
        <f t="shared" si="319"/>
        <v>0</v>
      </c>
      <c r="BO544" s="2720">
        <f t="shared" si="320"/>
        <v>0</v>
      </c>
      <c r="BP544" s="2720">
        <f t="shared" si="321"/>
        <v>0</v>
      </c>
      <c r="BQ544" s="2720">
        <f t="shared" si="322"/>
        <v>0</v>
      </c>
      <c r="BR544" s="2720">
        <f t="shared" si="323"/>
        <v>0</v>
      </c>
      <c r="BS544" s="2720">
        <f t="shared" si="324"/>
        <v>0</v>
      </c>
      <c r="BT544" s="2772">
        <f t="shared" si="325"/>
        <v>0</v>
      </c>
    </row>
    <row r="545" spans="1:72">
      <c r="A545" s="2717"/>
      <c r="B545" s="2718"/>
      <c r="C545" s="2718"/>
      <c r="D545" s="2719"/>
      <c r="E545" s="2720">
        <f t="shared" si="297"/>
        <v>0</v>
      </c>
      <c r="F545" s="2721"/>
      <c r="G545" s="2722">
        <f t="shared" si="301"/>
        <v>0</v>
      </c>
      <c r="H545" s="2723">
        <f t="shared" si="302"/>
        <v>0</v>
      </c>
      <c r="I545" s="2730"/>
      <c r="J545" s="2730"/>
      <c r="K545" s="2730"/>
      <c r="L545" s="2730"/>
      <c r="M545" s="2730"/>
      <c r="N545" s="2730"/>
      <c r="O545" s="2730"/>
      <c r="P545" s="2730"/>
      <c r="Q545" s="2730"/>
      <c r="R545" s="2730"/>
      <c r="S545" s="2730"/>
      <c r="T545" s="2730"/>
      <c r="U545" s="2730"/>
      <c r="V545" s="2730"/>
      <c r="W545" s="2730"/>
      <c r="X545" s="2730"/>
      <c r="Y545" s="2730"/>
      <c r="Z545" s="2730"/>
      <c r="AA545" s="2730"/>
      <c r="AB545" s="2730"/>
      <c r="AC545" s="2720">
        <f t="shared" si="303"/>
        <v>0</v>
      </c>
      <c r="AD545" s="2740"/>
      <c r="AE545" s="2740"/>
      <c r="AF545" s="2740"/>
      <c r="AG545" s="2740"/>
      <c r="AH545" s="2740"/>
      <c r="AI545" s="2740"/>
      <c r="AJ545" s="2740"/>
      <c r="AK545" s="2740"/>
      <c r="AL545" s="2740"/>
      <c r="AM545" s="2740"/>
      <c r="AN545" s="2740"/>
      <c r="AO545" s="2740"/>
      <c r="AP545" s="2740"/>
      <c r="AQ545" s="2740"/>
      <c r="AR545" s="2740"/>
      <c r="AS545" s="2740"/>
      <c r="AT545" s="2750"/>
      <c r="AU545" s="2751"/>
      <c r="AV545" s="1092">
        <f t="shared" si="298"/>
        <v>0</v>
      </c>
      <c r="AW545" s="1092">
        <f t="shared" si="299"/>
        <v>0</v>
      </c>
      <c r="AX545" s="1092">
        <f t="shared" si="300"/>
        <v>0</v>
      </c>
      <c r="AY545" s="2765">
        <f t="shared" si="304"/>
        <v>0</v>
      </c>
      <c r="AZ545" s="2720">
        <f t="shared" si="305"/>
        <v>0</v>
      </c>
      <c r="BA545" s="2720">
        <f t="shared" si="306"/>
        <v>0</v>
      </c>
      <c r="BB545" s="2720">
        <f t="shared" si="307"/>
        <v>0</v>
      </c>
      <c r="BC545" s="2720">
        <f t="shared" si="308"/>
        <v>0</v>
      </c>
      <c r="BD545" s="2720">
        <f t="shared" si="309"/>
        <v>0</v>
      </c>
      <c r="BE545" s="2720">
        <f t="shared" si="310"/>
        <v>0</v>
      </c>
      <c r="BF545" s="2720">
        <f t="shared" si="311"/>
        <v>0</v>
      </c>
      <c r="BG545" s="2720">
        <f t="shared" si="312"/>
        <v>0</v>
      </c>
      <c r="BH545" s="2720">
        <f t="shared" si="313"/>
        <v>0</v>
      </c>
      <c r="BI545" s="2720">
        <f t="shared" si="314"/>
        <v>0</v>
      </c>
      <c r="BJ545" s="2720">
        <f t="shared" si="315"/>
        <v>0</v>
      </c>
      <c r="BK545" s="2720">
        <f t="shared" si="316"/>
        <v>0</v>
      </c>
      <c r="BL545" s="2720">
        <f t="shared" si="317"/>
        <v>0</v>
      </c>
      <c r="BM545" s="2720">
        <f t="shared" si="318"/>
        <v>0</v>
      </c>
      <c r="BN545" s="2720">
        <f t="shared" si="319"/>
        <v>0</v>
      </c>
      <c r="BO545" s="2720">
        <f t="shared" si="320"/>
        <v>0</v>
      </c>
      <c r="BP545" s="2720">
        <f t="shared" si="321"/>
        <v>0</v>
      </c>
      <c r="BQ545" s="2720">
        <f t="shared" si="322"/>
        <v>0</v>
      </c>
      <c r="BR545" s="2720">
        <f t="shared" si="323"/>
        <v>0</v>
      </c>
      <c r="BS545" s="2720">
        <f t="shared" si="324"/>
        <v>0</v>
      </c>
      <c r="BT545" s="2772">
        <f t="shared" si="325"/>
        <v>0</v>
      </c>
    </row>
    <row r="546" spans="1:72">
      <c r="A546" s="2717"/>
      <c r="B546" s="2718"/>
      <c r="C546" s="2718"/>
      <c r="D546" s="2719"/>
      <c r="E546" s="2720">
        <f t="shared" si="297"/>
        <v>0</v>
      </c>
      <c r="F546" s="2721"/>
      <c r="G546" s="2722">
        <f t="shared" si="301"/>
        <v>0</v>
      </c>
      <c r="H546" s="2723">
        <f t="shared" si="302"/>
        <v>0</v>
      </c>
      <c r="I546" s="2730"/>
      <c r="J546" s="2730"/>
      <c r="K546" s="2730"/>
      <c r="L546" s="2730"/>
      <c r="M546" s="2730"/>
      <c r="N546" s="2730"/>
      <c r="O546" s="2730"/>
      <c r="P546" s="2730"/>
      <c r="Q546" s="2730"/>
      <c r="R546" s="2730"/>
      <c r="S546" s="2730"/>
      <c r="T546" s="2730"/>
      <c r="U546" s="2730"/>
      <c r="V546" s="2730"/>
      <c r="W546" s="2730"/>
      <c r="X546" s="2730"/>
      <c r="Y546" s="2730"/>
      <c r="Z546" s="2730"/>
      <c r="AA546" s="2730"/>
      <c r="AB546" s="2730"/>
      <c r="AC546" s="2720">
        <f t="shared" si="303"/>
        <v>0</v>
      </c>
      <c r="AD546" s="2740"/>
      <c r="AE546" s="2740"/>
      <c r="AF546" s="2740"/>
      <c r="AG546" s="2740"/>
      <c r="AH546" s="2740"/>
      <c r="AI546" s="2740"/>
      <c r="AJ546" s="2740"/>
      <c r="AK546" s="2740"/>
      <c r="AL546" s="2740"/>
      <c r="AM546" s="2740"/>
      <c r="AN546" s="2740"/>
      <c r="AO546" s="2740"/>
      <c r="AP546" s="2740"/>
      <c r="AQ546" s="2740"/>
      <c r="AR546" s="2740"/>
      <c r="AS546" s="2740"/>
      <c r="AT546" s="2750"/>
      <c r="AU546" s="2751"/>
      <c r="AV546" s="1092">
        <f t="shared" si="298"/>
        <v>0</v>
      </c>
      <c r="AW546" s="1092">
        <f t="shared" si="299"/>
        <v>0</v>
      </c>
      <c r="AX546" s="1092">
        <f t="shared" si="300"/>
        <v>0</v>
      </c>
      <c r="AY546" s="2765">
        <f t="shared" si="304"/>
        <v>0</v>
      </c>
      <c r="AZ546" s="2720">
        <f t="shared" si="305"/>
        <v>0</v>
      </c>
      <c r="BA546" s="2720">
        <f t="shared" si="306"/>
        <v>0</v>
      </c>
      <c r="BB546" s="2720">
        <f t="shared" si="307"/>
        <v>0</v>
      </c>
      <c r="BC546" s="2720">
        <f t="shared" si="308"/>
        <v>0</v>
      </c>
      <c r="BD546" s="2720">
        <f t="shared" si="309"/>
        <v>0</v>
      </c>
      <c r="BE546" s="2720">
        <f t="shared" si="310"/>
        <v>0</v>
      </c>
      <c r="BF546" s="2720">
        <f t="shared" si="311"/>
        <v>0</v>
      </c>
      <c r="BG546" s="2720">
        <f t="shared" si="312"/>
        <v>0</v>
      </c>
      <c r="BH546" s="2720">
        <f t="shared" si="313"/>
        <v>0</v>
      </c>
      <c r="BI546" s="2720">
        <f t="shared" si="314"/>
        <v>0</v>
      </c>
      <c r="BJ546" s="2720">
        <f t="shared" si="315"/>
        <v>0</v>
      </c>
      <c r="BK546" s="2720">
        <f t="shared" si="316"/>
        <v>0</v>
      </c>
      <c r="BL546" s="2720">
        <f t="shared" si="317"/>
        <v>0</v>
      </c>
      <c r="BM546" s="2720">
        <f t="shared" si="318"/>
        <v>0</v>
      </c>
      <c r="BN546" s="2720">
        <f t="shared" si="319"/>
        <v>0</v>
      </c>
      <c r="BO546" s="2720">
        <f t="shared" si="320"/>
        <v>0</v>
      </c>
      <c r="BP546" s="2720">
        <f t="shared" si="321"/>
        <v>0</v>
      </c>
      <c r="BQ546" s="2720">
        <f t="shared" si="322"/>
        <v>0</v>
      </c>
      <c r="BR546" s="2720">
        <f t="shared" si="323"/>
        <v>0</v>
      </c>
      <c r="BS546" s="2720">
        <f t="shared" si="324"/>
        <v>0</v>
      </c>
      <c r="BT546" s="2772">
        <f t="shared" si="325"/>
        <v>0</v>
      </c>
    </row>
    <row r="547" spans="1:72">
      <c r="A547" s="2717"/>
      <c r="B547" s="2718"/>
      <c r="C547" s="2718"/>
      <c r="D547" s="2719"/>
      <c r="E547" s="2720">
        <f t="shared" si="297"/>
        <v>0</v>
      </c>
      <c r="F547" s="2721"/>
      <c r="G547" s="2722">
        <f t="shared" si="301"/>
        <v>0</v>
      </c>
      <c r="H547" s="2723">
        <f t="shared" si="302"/>
        <v>0</v>
      </c>
      <c r="I547" s="2730"/>
      <c r="J547" s="2730"/>
      <c r="K547" s="2730"/>
      <c r="L547" s="2730"/>
      <c r="M547" s="2730"/>
      <c r="N547" s="2730"/>
      <c r="O547" s="2730"/>
      <c r="P547" s="2730"/>
      <c r="Q547" s="2730"/>
      <c r="R547" s="2730"/>
      <c r="S547" s="2730"/>
      <c r="T547" s="2730"/>
      <c r="U547" s="2730"/>
      <c r="V547" s="2730"/>
      <c r="W547" s="2730"/>
      <c r="X547" s="2730"/>
      <c r="Y547" s="2730"/>
      <c r="Z547" s="2730"/>
      <c r="AA547" s="2730"/>
      <c r="AB547" s="2730"/>
      <c r="AC547" s="2720">
        <f t="shared" si="303"/>
        <v>0</v>
      </c>
      <c r="AD547" s="2740"/>
      <c r="AE547" s="2740"/>
      <c r="AF547" s="2740"/>
      <c r="AG547" s="2740"/>
      <c r="AH547" s="2740"/>
      <c r="AI547" s="2740"/>
      <c r="AJ547" s="2740"/>
      <c r="AK547" s="2740"/>
      <c r="AL547" s="2740"/>
      <c r="AM547" s="2740"/>
      <c r="AN547" s="2740"/>
      <c r="AO547" s="2740"/>
      <c r="AP547" s="2740"/>
      <c r="AQ547" s="2740"/>
      <c r="AR547" s="2740"/>
      <c r="AS547" s="2740"/>
      <c r="AT547" s="2750"/>
      <c r="AU547" s="2751"/>
      <c r="AV547" s="1092">
        <f t="shared" si="298"/>
        <v>0</v>
      </c>
      <c r="AW547" s="1092">
        <f t="shared" si="299"/>
        <v>0</v>
      </c>
      <c r="AX547" s="1092">
        <f t="shared" si="300"/>
        <v>0</v>
      </c>
      <c r="AY547" s="2765">
        <f t="shared" si="304"/>
        <v>0</v>
      </c>
      <c r="AZ547" s="2720">
        <f t="shared" si="305"/>
        <v>0</v>
      </c>
      <c r="BA547" s="2720">
        <f t="shared" si="306"/>
        <v>0</v>
      </c>
      <c r="BB547" s="2720">
        <f t="shared" si="307"/>
        <v>0</v>
      </c>
      <c r="BC547" s="2720">
        <f t="shared" si="308"/>
        <v>0</v>
      </c>
      <c r="BD547" s="2720">
        <f t="shared" si="309"/>
        <v>0</v>
      </c>
      <c r="BE547" s="2720">
        <f t="shared" si="310"/>
        <v>0</v>
      </c>
      <c r="BF547" s="2720">
        <f t="shared" si="311"/>
        <v>0</v>
      </c>
      <c r="BG547" s="2720">
        <f t="shared" si="312"/>
        <v>0</v>
      </c>
      <c r="BH547" s="2720">
        <f t="shared" si="313"/>
        <v>0</v>
      </c>
      <c r="BI547" s="2720">
        <f t="shared" si="314"/>
        <v>0</v>
      </c>
      <c r="BJ547" s="2720">
        <f t="shared" si="315"/>
        <v>0</v>
      </c>
      <c r="BK547" s="2720">
        <f t="shared" si="316"/>
        <v>0</v>
      </c>
      <c r="BL547" s="2720">
        <f t="shared" si="317"/>
        <v>0</v>
      </c>
      <c r="BM547" s="2720">
        <f t="shared" si="318"/>
        <v>0</v>
      </c>
      <c r="BN547" s="2720">
        <f t="shared" si="319"/>
        <v>0</v>
      </c>
      <c r="BO547" s="2720">
        <f t="shared" si="320"/>
        <v>0</v>
      </c>
      <c r="BP547" s="2720">
        <f t="shared" si="321"/>
        <v>0</v>
      </c>
      <c r="BQ547" s="2720">
        <f t="shared" si="322"/>
        <v>0</v>
      </c>
      <c r="BR547" s="2720">
        <f t="shared" si="323"/>
        <v>0</v>
      </c>
      <c r="BS547" s="2720">
        <f t="shared" si="324"/>
        <v>0</v>
      </c>
      <c r="BT547" s="2772">
        <f t="shared" si="325"/>
        <v>0</v>
      </c>
    </row>
    <row r="548" spans="1:72">
      <c r="A548" s="2717"/>
      <c r="B548" s="2718"/>
      <c r="C548" s="2718"/>
      <c r="D548" s="2719"/>
      <c r="E548" s="2720">
        <f t="shared" si="297"/>
        <v>0</v>
      </c>
      <c r="F548" s="2721"/>
      <c r="G548" s="2722">
        <f t="shared" si="301"/>
        <v>0</v>
      </c>
      <c r="H548" s="2723">
        <f t="shared" si="302"/>
        <v>0</v>
      </c>
      <c r="I548" s="2730"/>
      <c r="J548" s="2730"/>
      <c r="K548" s="2730"/>
      <c r="L548" s="2730"/>
      <c r="M548" s="2730"/>
      <c r="N548" s="2730"/>
      <c r="O548" s="2730"/>
      <c r="P548" s="2730"/>
      <c r="Q548" s="2730"/>
      <c r="R548" s="2730"/>
      <c r="S548" s="2730"/>
      <c r="T548" s="2730"/>
      <c r="U548" s="2730"/>
      <c r="V548" s="2730"/>
      <c r="W548" s="2730"/>
      <c r="X548" s="2730"/>
      <c r="Y548" s="2730"/>
      <c r="Z548" s="2730"/>
      <c r="AA548" s="2730"/>
      <c r="AB548" s="2730"/>
      <c r="AC548" s="2720">
        <f t="shared" si="303"/>
        <v>0</v>
      </c>
      <c r="AD548" s="2740"/>
      <c r="AE548" s="2740"/>
      <c r="AF548" s="2740"/>
      <c r="AG548" s="2740"/>
      <c r="AH548" s="2740"/>
      <c r="AI548" s="2740"/>
      <c r="AJ548" s="2740"/>
      <c r="AK548" s="2740"/>
      <c r="AL548" s="2740"/>
      <c r="AM548" s="2740"/>
      <c r="AN548" s="2740"/>
      <c r="AO548" s="2740"/>
      <c r="AP548" s="2740"/>
      <c r="AQ548" s="2740"/>
      <c r="AR548" s="2740"/>
      <c r="AS548" s="2740"/>
      <c r="AT548" s="2750"/>
      <c r="AU548" s="2751"/>
      <c r="AV548" s="1092">
        <f t="shared" si="298"/>
        <v>0</v>
      </c>
      <c r="AW548" s="1092">
        <f t="shared" si="299"/>
        <v>0</v>
      </c>
      <c r="AX548" s="1092">
        <f t="shared" si="300"/>
        <v>0</v>
      </c>
      <c r="AY548" s="2765">
        <f t="shared" si="304"/>
        <v>0</v>
      </c>
      <c r="AZ548" s="2720">
        <f t="shared" si="305"/>
        <v>0</v>
      </c>
      <c r="BA548" s="2720">
        <f t="shared" si="306"/>
        <v>0</v>
      </c>
      <c r="BB548" s="2720">
        <f t="shared" si="307"/>
        <v>0</v>
      </c>
      <c r="BC548" s="2720">
        <f t="shared" si="308"/>
        <v>0</v>
      </c>
      <c r="BD548" s="2720">
        <f t="shared" si="309"/>
        <v>0</v>
      </c>
      <c r="BE548" s="2720">
        <f t="shared" si="310"/>
        <v>0</v>
      </c>
      <c r="BF548" s="2720">
        <f t="shared" si="311"/>
        <v>0</v>
      </c>
      <c r="BG548" s="2720">
        <f t="shared" si="312"/>
        <v>0</v>
      </c>
      <c r="BH548" s="2720">
        <f t="shared" si="313"/>
        <v>0</v>
      </c>
      <c r="BI548" s="2720">
        <f t="shared" si="314"/>
        <v>0</v>
      </c>
      <c r="BJ548" s="2720">
        <f t="shared" si="315"/>
        <v>0</v>
      </c>
      <c r="BK548" s="2720">
        <f t="shared" si="316"/>
        <v>0</v>
      </c>
      <c r="BL548" s="2720">
        <f t="shared" si="317"/>
        <v>0</v>
      </c>
      <c r="BM548" s="2720">
        <f t="shared" si="318"/>
        <v>0</v>
      </c>
      <c r="BN548" s="2720">
        <f t="shared" si="319"/>
        <v>0</v>
      </c>
      <c r="BO548" s="2720">
        <f t="shared" si="320"/>
        <v>0</v>
      </c>
      <c r="BP548" s="2720">
        <f t="shared" si="321"/>
        <v>0</v>
      </c>
      <c r="BQ548" s="2720">
        <f t="shared" si="322"/>
        <v>0</v>
      </c>
      <c r="BR548" s="2720">
        <f t="shared" si="323"/>
        <v>0</v>
      </c>
      <c r="BS548" s="2720">
        <f t="shared" si="324"/>
        <v>0</v>
      </c>
      <c r="BT548" s="2772">
        <f t="shared" si="325"/>
        <v>0</v>
      </c>
    </row>
    <row r="549" spans="1:72">
      <c r="A549" s="2717"/>
      <c r="B549" s="2718"/>
      <c r="C549" s="2718"/>
      <c r="D549" s="2719"/>
      <c r="E549" s="2720">
        <f t="shared" si="297"/>
        <v>0</v>
      </c>
      <c r="F549" s="2721"/>
      <c r="G549" s="2722">
        <f t="shared" si="301"/>
        <v>0</v>
      </c>
      <c r="H549" s="2723">
        <f t="shared" si="302"/>
        <v>0</v>
      </c>
      <c r="I549" s="2730"/>
      <c r="J549" s="2730"/>
      <c r="K549" s="2730"/>
      <c r="L549" s="2730"/>
      <c r="M549" s="2730"/>
      <c r="N549" s="2730"/>
      <c r="O549" s="2730"/>
      <c r="P549" s="2730"/>
      <c r="Q549" s="2730"/>
      <c r="R549" s="2730"/>
      <c r="S549" s="2730"/>
      <c r="T549" s="2730"/>
      <c r="U549" s="2730"/>
      <c r="V549" s="2730"/>
      <c r="W549" s="2730"/>
      <c r="X549" s="2730"/>
      <c r="Y549" s="2730"/>
      <c r="Z549" s="2730"/>
      <c r="AA549" s="2730"/>
      <c r="AB549" s="2730"/>
      <c r="AC549" s="2720">
        <f t="shared" si="303"/>
        <v>0</v>
      </c>
      <c r="AD549" s="2740"/>
      <c r="AE549" s="2740"/>
      <c r="AF549" s="2740"/>
      <c r="AG549" s="2740"/>
      <c r="AH549" s="2740"/>
      <c r="AI549" s="2740"/>
      <c r="AJ549" s="2740"/>
      <c r="AK549" s="2740"/>
      <c r="AL549" s="2740"/>
      <c r="AM549" s="2740"/>
      <c r="AN549" s="2740"/>
      <c r="AO549" s="2740"/>
      <c r="AP549" s="2740"/>
      <c r="AQ549" s="2740"/>
      <c r="AR549" s="2740"/>
      <c r="AS549" s="2740"/>
      <c r="AT549" s="2750"/>
      <c r="AU549" s="2751"/>
      <c r="AV549" s="1092">
        <f t="shared" si="298"/>
        <v>0</v>
      </c>
      <c r="AW549" s="1092">
        <f t="shared" si="299"/>
        <v>0</v>
      </c>
      <c r="AX549" s="1092">
        <f t="shared" si="300"/>
        <v>0</v>
      </c>
      <c r="AY549" s="2765">
        <f t="shared" si="304"/>
        <v>0</v>
      </c>
      <c r="AZ549" s="2720">
        <f t="shared" si="305"/>
        <v>0</v>
      </c>
      <c r="BA549" s="2720">
        <f t="shared" si="306"/>
        <v>0</v>
      </c>
      <c r="BB549" s="2720">
        <f t="shared" si="307"/>
        <v>0</v>
      </c>
      <c r="BC549" s="2720">
        <f t="shared" si="308"/>
        <v>0</v>
      </c>
      <c r="BD549" s="2720">
        <f t="shared" si="309"/>
        <v>0</v>
      </c>
      <c r="BE549" s="2720">
        <f t="shared" si="310"/>
        <v>0</v>
      </c>
      <c r="BF549" s="2720">
        <f t="shared" si="311"/>
        <v>0</v>
      </c>
      <c r="BG549" s="2720">
        <f t="shared" si="312"/>
        <v>0</v>
      </c>
      <c r="BH549" s="2720">
        <f t="shared" si="313"/>
        <v>0</v>
      </c>
      <c r="BI549" s="2720">
        <f t="shared" si="314"/>
        <v>0</v>
      </c>
      <c r="BJ549" s="2720">
        <f t="shared" si="315"/>
        <v>0</v>
      </c>
      <c r="BK549" s="2720">
        <f t="shared" si="316"/>
        <v>0</v>
      </c>
      <c r="BL549" s="2720">
        <f t="shared" si="317"/>
        <v>0</v>
      </c>
      <c r="BM549" s="2720">
        <f t="shared" si="318"/>
        <v>0</v>
      </c>
      <c r="BN549" s="2720">
        <f t="shared" si="319"/>
        <v>0</v>
      </c>
      <c r="BO549" s="2720">
        <f t="shared" si="320"/>
        <v>0</v>
      </c>
      <c r="BP549" s="2720">
        <f t="shared" si="321"/>
        <v>0</v>
      </c>
      <c r="BQ549" s="2720">
        <f t="shared" si="322"/>
        <v>0</v>
      </c>
      <c r="BR549" s="2720">
        <f t="shared" si="323"/>
        <v>0</v>
      </c>
      <c r="BS549" s="2720">
        <f t="shared" si="324"/>
        <v>0</v>
      </c>
      <c r="BT549" s="2772">
        <f t="shared" si="325"/>
        <v>0</v>
      </c>
    </row>
    <row r="550" spans="1:72">
      <c r="A550" s="2717"/>
      <c r="B550" s="2718"/>
      <c r="C550" s="2718"/>
      <c r="D550" s="2719"/>
      <c r="E550" s="2720">
        <f t="shared" si="297"/>
        <v>0</v>
      </c>
      <c r="F550" s="2721"/>
      <c r="G550" s="2722">
        <f t="shared" si="301"/>
        <v>0</v>
      </c>
      <c r="H550" s="2723">
        <f t="shared" si="302"/>
        <v>0</v>
      </c>
      <c r="I550" s="2730"/>
      <c r="J550" s="2730"/>
      <c r="K550" s="2730"/>
      <c r="L550" s="2730"/>
      <c r="M550" s="2730"/>
      <c r="N550" s="2730"/>
      <c r="O550" s="2730"/>
      <c r="P550" s="2730"/>
      <c r="Q550" s="2730"/>
      <c r="R550" s="2730"/>
      <c r="S550" s="2730"/>
      <c r="T550" s="2730"/>
      <c r="U550" s="2730"/>
      <c r="V550" s="2730"/>
      <c r="W550" s="2730"/>
      <c r="X550" s="2730"/>
      <c r="Y550" s="2730"/>
      <c r="Z550" s="2730"/>
      <c r="AA550" s="2730"/>
      <c r="AB550" s="2730"/>
      <c r="AC550" s="2720">
        <f t="shared" si="303"/>
        <v>0</v>
      </c>
      <c r="AD550" s="2740"/>
      <c r="AE550" s="2740"/>
      <c r="AF550" s="2740"/>
      <c r="AG550" s="2740"/>
      <c r="AH550" s="2740"/>
      <c r="AI550" s="2740"/>
      <c r="AJ550" s="2740"/>
      <c r="AK550" s="2740"/>
      <c r="AL550" s="2740"/>
      <c r="AM550" s="2740"/>
      <c r="AN550" s="2740"/>
      <c r="AO550" s="2740"/>
      <c r="AP550" s="2740"/>
      <c r="AQ550" s="2740"/>
      <c r="AR550" s="2740"/>
      <c r="AS550" s="2740"/>
      <c r="AT550" s="2750"/>
      <c r="AU550" s="2751"/>
      <c r="AV550" s="1092">
        <f t="shared" si="298"/>
        <v>0</v>
      </c>
      <c r="AW550" s="1092">
        <f t="shared" si="299"/>
        <v>0</v>
      </c>
      <c r="AX550" s="1092">
        <f t="shared" si="300"/>
        <v>0</v>
      </c>
      <c r="AY550" s="2765">
        <f t="shared" si="304"/>
        <v>0</v>
      </c>
      <c r="AZ550" s="2720">
        <f t="shared" si="305"/>
        <v>0</v>
      </c>
      <c r="BA550" s="2720">
        <f t="shared" si="306"/>
        <v>0</v>
      </c>
      <c r="BB550" s="2720">
        <f t="shared" si="307"/>
        <v>0</v>
      </c>
      <c r="BC550" s="2720">
        <f t="shared" si="308"/>
        <v>0</v>
      </c>
      <c r="BD550" s="2720">
        <f t="shared" si="309"/>
        <v>0</v>
      </c>
      <c r="BE550" s="2720">
        <f t="shared" si="310"/>
        <v>0</v>
      </c>
      <c r="BF550" s="2720">
        <f t="shared" si="311"/>
        <v>0</v>
      </c>
      <c r="BG550" s="2720">
        <f t="shared" si="312"/>
        <v>0</v>
      </c>
      <c r="BH550" s="2720">
        <f t="shared" si="313"/>
        <v>0</v>
      </c>
      <c r="BI550" s="2720">
        <f t="shared" si="314"/>
        <v>0</v>
      </c>
      <c r="BJ550" s="2720">
        <f t="shared" si="315"/>
        <v>0</v>
      </c>
      <c r="BK550" s="2720">
        <f t="shared" si="316"/>
        <v>0</v>
      </c>
      <c r="BL550" s="2720">
        <f t="shared" si="317"/>
        <v>0</v>
      </c>
      <c r="BM550" s="2720">
        <f t="shared" si="318"/>
        <v>0</v>
      </c>
      <c r="BN550" s="2720">
        <f t="shared" si="319"/>
        <v>0</v>
      </c>
      <c r="BO550" s="2720">
        <f t="shared" si="320"/>
        <v>0</v>
      </c>
      <c r="BP550" s="2720">
        <f t="shared" si="321"/>
        <v>0</v>
      </c>
      <c r="BQ550" s="2720">
        <f t="shared" si="322"/>
        <v>0</v>
      </c>
      <c r="BR550" s="2720">
        <f t="shared" si="323"/>
        <v>0</v>
      </c>
      <c r="BS550" s="2720">
        <f t="shared" si="324"/>
        <v>0</v>
      </c>
      <c r="BT550" s="2772">
        <f t="shared" si="325"/>
        <v>0</v>
      </c>
    </row>
    <row r="551" spans="1:72">
      <c r="A551" s="2717"/>
      <c r="B551" s="2718"/>
      <c r="C551" s="2718"/>
      <c r="D551" s="2719"/>
      <c r="E551" s="2720">
        <f t="shared" si="297"/>
        <v>0</v>
      </c>
      <c r="F551" s="2721"/>
      <c r="G551" s="2722">
        <f t="shared" si="301"/>
        <v>0</v>
      </c>
      <c r="H551" s="2723">
        <f t="shared" si="302"/>
        <v>0</v>
      </c>
      <c r="I551" s="2730"/>
      <c r="J551" s="2730"/>
      <c r="K551" s="2730"/>
      <c r="L551" s="2730"/>
      <c r="M551" s="2730"/>
      <c r="N551" s="2730"/>
      <c r="O551" s="2730"/>
      <c r="P551" s="2730"/>
      <c r="Q551" s="2730"/>
      <c r="R551" s="2730"/>
      <c r="S551" s="2730"/>
      <c r="T551" s="2730"/>
      <c r="U551" s="2730"/>
      <c r="V551" s="2730"/>
      <c r="W551" s="2730"/>
      <c r="X551" s="2730"/>
      <c r="Y551" s="2730"/>
      <c r="Z551" s="2730"/>
      <c r="AA551" s="2730"/>
      <c r="AB551" s="2730"/>
      <c r="AC551" s="2720">
        <f t="shared" si="303"/>
        <v>0</v>
      </c>
      <c r="AD551" s="2740"/>
      <c r="AE551" s="2740"/>
      <c r="AF551" s="2740"/>
      <c r="AG551" s="2740"/>
      <c r="AH551" s="2740"/>
      <c r="AI551" s="2740"/>
      <c r="AJ551" s="2740"/>
      <c r="AK551" s="2740"/>
      <c r="AL551" s="2740"/>
      <c r="AM551" s="2740"/>
      <c r="AN551" s="2740"/>
      <c r="AO551" s="2740"/>
      <c r="AP551" s="2740"/>
      <c r="AQ551" s="2740"/>
      <c r="AR551" s="2740"/>
      <c r="AS551" s="2740"/>
      <c r="AT551" s="2750"/>
      <c r="AU551" s="2751"/>
      <c r="AV551" s="1092">
        <f t="shared" si="298"/>
        <v>0</v>
      </c>
      <c r="AW551" s="1092">
        <f t="shared" si="299"/>
        <v>0</v>
      </c>
      <c r="AX551" s="1092">
        <f t="shared" si="300"/>
        <v>0</v>
      </c>
      <c r="AY551" s="2765">
        <f t="shared" si="304"/>
        <v>0</v>
      </c>
      <c r="AZ551" s="2720">
        <f t="shared" si="305"/>
        <v>0</v>
      </c>
      <c r="BA551" s="2720">
        <f t="shared" si="306"/>
        <v>0</v>
      </c>
      <c r="BB551" s="2720">
        <f t="shared" si="307"/>
        <v>0</v>
      </c>
      <c r="BC551" s="2720">
        <f t="shared" si="308"/>
        <v>0</v>
      </c>
      <c r="BD551" s="2720">
        <f t="shared" si="309"/>
        <v>0</v>
      </c>
      <c r="BE551" s="2720">
        <f t="shared" si="310"/>
        <v>0</v>
      </c>
      <c r="BF551" s="2720">
        <f t="shared" si="311"/>
        <v>0</v>
      </c>
      <c r="BG551" s="2720">
        <f t="shared" si="312"/>
        <v>0</v>
      </c>
      <c r="BH551" s="2720">
        <f t="shared" si="313"/>
        <v>0</v>
      </c>
      <c r="BI551" s="2720">
        <f t="shared" si="314"/>
        <v>0</v>
      </c>
      <c r="BJ551" s="2720">
        <f t="shared" si="315"/>
        <v>0</v>
      </c>
      <c r="BK551" s="2720">
        <f t="shared" si="316"/>
        <v>0</v>
      </c>
      <c r="BL551" s="2720">
        <f t="shared" si="317"/>
        <v>0</v>
      </c>
      <c r="BM551" s="2720">
        <f t="shared" si="318"/>
        <v>0</v>
      </c>
      <c r="BN551" s="2720">
        <f t="shared" si="319"/>
        <v>0</v>
      </c>
      <c r="BO551" s="2720">
        <f t="shared" si="320"/>
        <v>0</v>
      </c>
      <c r="BP551" s="2720">
        <f t="shared" si="321"/>
        <v>0</v>
      </c>
      <c r="BQ551" s="2720">
        <f t="shared" si="322"/>
        <v>0</v>
      </c>
      <c r="BR551" s="2720">
        <f t="shared" si="323"/>
        <v>0</v>
      </c>
      <c r="BS551" s="2720">
        <f t="shared" si="324"/>
        <v>0</v>
      </c>
      <c r="BT551" s="2772">
        <f t="shared" si="325"/>
        <v>0</v>
      </c>
    </row>
    <row r="552" spans="1:72">
      <c r="A552" s="2717"/>
      <c r="B552" s="2718"/>
      <c r="C552" s="2718"/>
      <c r="D552" s="2719"/>
      <c r="E552" s="2720">
        <f t="shared" ref="E552:E587" si="326">IF($C$3="是",ROUND($A$3*G552/$B$3,2),ROUND($A$3*(G552-AT552)/$B$3,2))</f>
        <v>0</v>
      </c>
      <c r="F552" s="2721"/>
      <c r="G552" s="2722">
        <f t="shared" si="301"/>
        <v>0</v>
      </c>
      <c r="H552" s="2723">
        <f t="shared" si="302"/>
        <v>0</v>
      </c>
      <c r="I552" s="2730"/>
      <c r="J552" s="2730"/>
      <c r="K552" s="2730"/>
      <c r="L552" s="2730"/>
      <c r="M552" s="2730"/>
      <c r="N552" s="2730"/>
      <c r="O552" s="2730"/>
      <c r="P552" s="2730"/>
      <c r="Q552" s="2730"/>
      <c r="R552" s="2730"/>
      <c r="S552" s="2730"/>
      <c r="T552" s="2730"/>
      <c r="U552" s="2730"/>
      <c r="V552" s="2730"/>
      <c r="W552" s="2730"/>
      <c r="X552" s="2730"/>
      <c r="Y552" s="2730"/>
      <c r="Z552" s="2730"/>
      <c r="AA552" s="2730"/>
      <c r="AB552" s="2730"/>
      <c r="AC552" s="2720">
        <f t="shared" si="303"/>
        <v>0</v>
      </c>
      <c r="AD552" s="2740"/>
      <c r="AE552" s="2740"/>
      <c r="AF552" s="2740"/>
      <c r="AG552" s="2740"/>
      <c r="AH552" s="2740"/>
      <c r="AI552" s="2740"/>
      <c r="AJ552" s="2740"/>
      <c r="AK552" s="2740"/>
      <c r="AL552" s="2740"/>
      <c r="AM552" s="2740"/>
      <c r="AN552" s="2740"/>
      <c r="AO552" s="2740"/>
      <c r="AP552" s="2740"/>
      <c r="AQ552" s="2740"/>
      <c r="AR552" s="2740"/>
      <c r="AS552" s="2740"/>
      <c r="AT552" s="2750"/>
      <c r="AU552" s="2751"/>
      <c r="AV552" s="1092">
        <f t="shared" si="298"/>
        <v>0</v>
      </c>
      <c r="AW552" s="1092">
        <f t="shared" si="299"/>
        <v>0</v>
      </c>
      <c r="AX552" s="1092">
        <f t="shared" si="300"/>
        <v>0</v>
      </c>
      <c r="AY552" s="2765">
        <f t="shared" si="304"/>
        <v>0</v>
      </c>
      <c r="AZ552" s="2720">
        <f t="shared" si="305"/>
        <v>0</v>
      </c>
      <c r="BA552" s="2720">
        <f t="shared" si="306"/>
        <v>0</v>
      </c>
      <c r="BB552" s="2720">
        <f t="shared" si="307"/>
        <v>0</v>
      </c>
      <c r="BC552" s="2720">
        <f t="shared" si="308"/>
        <v>0</v>
      </c>
      <c r="BD552" s="2720">
        <f t="shared" si="309"/>
        <v>0</v>
      </c>
      <c r="BE552" s="2720">
        <f t="shared" si="310"/>
        <v>0</v>
      </c>
      <c r="BF552" s="2720">
        <f t="shared" si="311"/>
        <v>0</v>
      </c>
      <c r="BG552" s="2720">
        <f t="shared" si="312"/>
        <v>0</v>
      </c>
      <c r="BH552" s="2720">
        <f t="shared" si="313"/>
        <v>0</v>
      </c>
      <c r="BI552" s="2720">
        <f t="shared" si="314"/>
        <v>0</v>
      </c>
      <c r="BJ552" s="2720">
        <f t="shared" si="315"/>
        <v>0</v>
      </c>
      <c r="BK552" s="2720">
        <f t="shared" si="316"/>
        <v>0</v>
      </c>
      <c r="BL552" s="2720">
        <f t="shared" si="317"/>
        <v>0</v>
      </c>
      <c r="BM552" s="2720">
        <f t="shared" si="318"/>
        <v>0</v>
      </c>
      <c r="BN552" s="2720">
        <f t="shared" si="319"/>
        <v>0</v>
      </c>
      <c r="BO552" s="2720">
        <f t="shared" si="320"/>
        <v>0</v>
      </c>
      <c r="BP552" s="2720">
        <f t="shared" si="321"/>
        <v>0</v>
      </c>
      <c r="BQ552" s="2720">
        <f t="shared" si="322"/>
        <v>0</v>
      </c>
      <c r="BR552" s="2720">
        <f t="shared" si="323"/>
        <v>0</v>
      </c>
      <c r="BS552" s="2720">
        <f t="shared" si="324"/>
        <v>0</v>
      </c>
      <c r="BT552" s="2772">
        <f t="shared" si="325"/>
        <v>0</v>
      </c>
    </row>
    <row r="553" spans="1:72">
      <c r="A553" s="2717"/>
      <c r="B553" s="2718"/>
      <c r="C553" s="2718"/>
      <c r="D553" s="2719"/>
      <c r="E553" s="2720">
        <f t="shared" si="326"/>
        <v>0</v>
      </c>
      <c r="F553" s="2721"/>
      <c r="G553" s="2722">
        <f t="shared" ref="G553:G587" si="327">H553+AC553+AT553</f>
        <v>0</v>
      </c>
      <c r="H553" s="2723">
        <f t="shared" ref="H553:H587" si="328">SUMIF(I$12:AB$12,"总值",I553:AB553)</f>
        <v>0</v>
      </c>
      <c r="I553" s="2730"/>
      <c r="J553" s="2730"/>
      <c r="K553" s="2730"/>
      <c r="L553" s="2730"/>
      <c r="M553" s="2730"/>
      <c r="N553" s="2730"/>
      <c r="O553" s="2730"/>
      <c r="P553" s="2730"/>
      <c r="Q553" s="2730"/>
      <c r="R553" s="2730"/>
      <c r="S553" s="2730"/>
      <c r="T553" s="2730"/>
      <c r="U553" s="2730"/>
      <c r="V553" s="2730"/>
      <c r="W553" s="2730"/>
      <c r="X553" s="2730"/>
      <c r="Y553" s="2730"/>
      <c r="Z553" s="2730"/>
      <c r="AA553" s="2730"/>
      <c r="AB553" s="2730"/>
      <c r="AC553" s="2720">
        <f t="shared" ref="AC553:AC587" si="329">SUMIF(AD$12:AS$12,"总值",AD553:AS553)</f>
        <v>0</v>
      </c>
      <c r="AD553" s="2740"/>
      <c r="AE553" s="2740"/>
      <c r="AF553" s="2740"/>
      <c r="AG553" s="2740"/>
      <c r="AH553" s="2740"/>
      <c r="AI553" s="2740"/>
      <c r="AJ553" s="2740"/>
      <c r="AK553" s="2740"/>
      <c r="AL553" s="2740"/>
      <c r="AM553" s="2740"/>
      <c r="AN553" s="2740"/>
      <c r="AO553" s="2740"/>
      <c r="AP553" s="2740"/>
      <c r="AQ553" s="2740"/>
      <c r="AR553" s="2740"/>
      <c r="AS553" s="2740"/>
      <c r="AT553" s="2750"/>
      <c r="AU553" s="2751"/>
      <c r="AV553" s="1092">
        <f t="shared" ref="AV553:AV587" si="330">A553</f>
        <v>0</v>
      </c>
      <c r="AW553" s="1092">
        <f t="shared" ref="AW553:AW587" si="331">B553</f>
        <v>0</v>
      </c>
      <c r="AX553" s="1092">
        <f t="shared" ref="AX553:AX587" si="332">C553</f>
        <v>0</v>
      </c>
      <c r="AY553" s="2765">
        <f t="shared" ref="AY553:AY587" si="333">ROUND($AY$6*AZ553/$AZ$5,2)</f>
        <v>0</v>
      </c>
      <c r="AZ553" s="2720">
        <f t="shared" ref="AZ553:AZ587" si="334">BA553+BL553</f>
        <v>0</v>
      </c>
      <c r="BA553" s="2720">
        <f t="shared" ref="BA553:BA587" si="335">SUM(BB553:BK553)</f>
        <v>0</v>
      </c>
      <c r="BB553" s="2720">
        <f t="shared" ref="BB553:BB587" si="336">IF($D553="是",I553-J553,0)</f>
        <v>0</v>
      </c>
      <c r="BC553" s="2720">
        <f t="shared" ref="BC553:BC587" si="337">IF($D553="是",K553-L553,0)</f>
        <v>0</v>
      </c>
      <c r="BD553" s="2720">
        <f t="shared" ref="BD553:BD587" si="338">IF($D553="是",M553-N553,0)</f>
        <v>0</v>
      </c>
      <c r="BE553" s="2720">
        <f t="shared" ref="BE553:BE587" si="339">IF($D553="是",O553-P553,0)</f>
        <v>0</v>
      </c>
      <c r="BF553" s="2720">
        <f t="shared" ref="BF553:BF587" si="340">IF($D553="是",Q553-R553,0)</f>
        <v>0</v>
      </c>
      <c r="BG553" s="2720">
        <f t="shared" ref="BG553:BG587" si="341">IF($D553="是",S553-T553,0)</f>
        <v>0</v>
      </c>
      <c r="BH553" s="2720">
        <f t="shared" ref="BH553:BH587" si="342">IF($D553="是",U553-V553,0)</f>
        <v>0</v>
      </c>
      <c r="BI553" s="2720">
        <f t="shared" ref="BI553:BI587" si="343">IF($D553="是",W553-X553,0)</f>
        <v>0</v>
      </c>
      <c r="BJ553" s="2720">
        <f t="shared" ref="BJ553:BJ587" si="344">IF($D553="是",Y553-Z553,0)</f>
        <v>0</v>
      </c>
      <c r="BK553" s="2720">
        <f t="shared" ref="BK553:BK587" si="345">IF($D553="是",AA553-AB553,0)</f>
        <v>0</v>
      </c>
      <c r="BL553" s="2720">
        <f t="shared" ref="BL553:BL587" si="346">SUM(BM553:BT553)</f>
        <v>0</v>
      </c>
      <c r="BM553" s="2720">
        <f t="shared" ref="BM553:BM587" si="347">IF($D553="是",AD553-AE553,0)</f>
        <v>0</v>
      </c>
      <c r="BN553" s="2720">
        <f t="shared" ref="BN553:BN587" si="348">IF($D553="是",AF553-AG553,0)</f>
        <v>0</v>
      </c>
      <c r="BO553" s="2720">
        <f t="shared" ref="BO553:BO587" si="349">IF($D553="是",AH553-AI553,0)</f>
        <v>0</v>
      </c>
      <c r="BP553" s="2720">
        <f t="shared" ref="BP553:BP587" si="350">IF($D553="是",AJ553-AK553,0)</f>
        <v>0</v>
      </c>
      <c r="BQ553" s="2720">
        <f t="shared" ref="BQ553:BQ587" si="351">IF($D553="是",AL553-AM553,0)</f>
        <v>0</v>
      </c>
      <c r="BR553" s="2720">
        <f t="shared" ref="BR553:BR587" si="352">IF($D553="是",AN553-AO553,0)</f>
        <v>0</v>
      </c>
      <c r="BS553" s="2720">
        <f t="shared" ref="BS553:BS587" si="353">IF($D553="是",AP553-AQ553,0)</f>
        <v>0</v>
      </c>
      <c r="BT553" s="2772">
        <f t="shared" ref="BT553:BT587" si="354">IF($D553="是",AR553-AS553,0)</f>
        <v>0</v>
      </c>
    </row>
    <row r="554" spans="1:72">
      <c r="A554" s="2717"/>
      <c r="B554" s="2718"/>
      <c r="C554" s="2718"/>
      <c r="D554" s="2719"/>
      <c r="E554" s="2720">
        <f t="shared" si="326"/>
        <v>0</v>
      </c>
      <c r="F554" s="2721"/>
      <c r="G554" s="2722">
        <f t="shared" si="327"/>
        <v>0</v>
      </c>
      <c r="H554" s="2723">
        <f t="shared" si="328"/>
        <v>0</v>
      </c>
      <c r="I554" s="2730"/>
      <c r="J554" s="2730"/>
      <c r="K554" s="2730"/>
      <c r="L554" s="2730"/>
      <c r="M554" s="2730"/>
      <c r="N554" s="2730"/>
      <c r="O554" s="2730"/>
      <c r="P554" s="2730"/>
      <c r="Q554" s="2730"/>
      <c r="R554" s="2730"/>
      <c r="S554" s="2730"/>
      <c r="T554" s="2730"/>
      <c r="U554" s="2730"/>
      <c r="V554" s="2730"/>
      <c r="W554" s="2730"/>
      <c r="X554" s="2730"/>
      <c r="Y554" s="2730"/>
      <c r="Z554" s="2730"/>
      <c r="AA554" s="2730"/>
      <c r="AB554" s="2730"/>
      <c r="AC554" s="2720">
        <f t="shared" si="329"/>
        <v>0</v>
      </c>
      <c r="AD554" s="2740"/>
      <c r="AE554" s="2740"/>
      <c r="AF554" s="2740"/>
      <c r="AG554" s="2740"/>
      <c r="AH554" s="2740"/>
      <c r="AI554" s="2740"/>
      <c r="AJ554" s="2740"/>
      <c r="AK554" s="2740"/>
      <c r="AL554" s="2740"/>
      <c r="AM554" s="2740"/>
      <c r="AN554" s="2740"/>
      <c r="AO554" s="2740"/>
      <c r="AP554" s="2740"/>
      <c r="AQ554" s="2740"/>
      <c r="AR554" s="2740"/>
      <c r="AS554" s="2740"/>
      <c r="AT554" s="2750"/>
      <c r="AU554" s="2751"/>
      <c r="AV554" s="1092">
        <f t="shared" si="330"/>
        <v>0</v>
      </c>
      <c r="AW554" s="1092">
        <f t="shared" si="331"/>
        <v>0</v>
      </c>
      <c r="AX554" s="1092">
        <f t="shared" si="332"/>
        <v>0</v>
      </c>
      <c r="AY554" s="2765">
        <f t="shared" si="333"/>
        <v>0</v>
      </c>
      <c r="AZ554" s="2720">
        <f t="shared" si="334"/>
        <v>0</v>
      </c>
      <c r="BA554" s="2720">
        <f t="shared" si="335"/>
        <v>0</v>
      </c>
      <c r="BB554" s="2720">
        <f t="shared" si="336"/>
        <v>0</v>
      </c>
      <c r="BC554" s="2720">
        <f t="shared" si="337"/>
        <v>0</v>
      </c>
      <c r="BD554" s="2720">
        <f t="shared" si="338"/>
        <v>0</v>
      </c>
      <c r="BE554" s="2720">
        <f t="shared" si="339"/>
        <v>0</v>
      </c>
      <c r="BF554" s="2720">
        <f t="shared" si="340"/>
        <v>0</v>
      </c>
      <c r="BG554" s="2720">
        <f t="shared" si="341"/>
        <v>0</v>
      </c>
      <c r="BH554" s="2720">
        <f t="shared" si="342"/>
        <v>0</v>
      </c>
      <c r="BI554" s="2720">
        <f t="shared" si="343"/>
        <v>0</v>
      </c>
      <c r="BJ554" s="2720">
        <f t="shared" si="344"/>
        <v>0</v>
      </c>
      <c r="BK554" s="2720">
        <f t="shared" si="345"/>
        <v>0</v>
      </c>
      <c r="BL554" s="2720">
        <f t="shared" si="346"/>
        <v>0</v>
      </c>
      <c r="BM554" s="2720">
        <f t="shared" si="347"/>
        <v>0</v>
      </c>
      <c r="BN554" s="2720">
        <f t="shared" si="348"/>
        <v>0</v>
      </c>
      <c r="BO554" s="2720">
        <f t="shared" si="349"/>
        <v>0</v>
      </c>
      <c r="BP554" s="2720">
        <f t="shared" si="350"/>
        <v>0</v>
      </c>
      <c r="BQ554" s="2720">
        <f t="shared" si="351"/>
        <v>0</v>
      </c>
      <c r="BR554" s="2720">
        <f t="shared" si="352"/>
        <v>0</v>
      </c>
      <c r="BS554" s="2720">
        <f t="shared" si="353"/>
        <v>0</v>
      </c>
      <c r="BT554" s="2772">
        <f t="shared" si="354"/>
        <v>0</v>
      </c>
    </row>
    <row r="555" spans="1:72">
      <c r="A555" s="2717"/>
      <c r="B555" s="2718"/>
      <c r="C555" s="2718"/>
      <c r="D555" s="2719"/>
      <c r="E555" s="2720">
        <f t="shared" si="326"/>
        <v>0</v>
      </c>
      <c r="F555" s="2721"/>
      <c r="G555" s="2722">
        <f t="shared" si="327"/>
        <v>0</v>
      </c>
      <c r="H555" s="2723">
        <f t="shared" si="328"/>
        <v>0</v>
      </c>
      <c r="I555" s="2730"/>
      <c r="J555" s="2730"/>
      <c r="K555" s="2730"/>
      <c r="L555" s="2730"/>
      <c r="M555" s="2730"/>
      <c r="N555" s="2730"/>
      <c r="O555" s="2730"/>
      <c r="P555" s="2730"/>
      <c r="Q555" s="2730"/>
      <c r="R555" s="2730"/>
      <c r="S555" s="2730"/>
      <c r="T555" s="2730"/>
      <c r="U555" s="2730"/>
      <c r="V555" s="2730"/>
      <c r="W555" s="2730"/>
      <c r="X555" s="2730"/>
      <c r="Y555" s="2730"/>
      <c r="Z555" s="2730"/>
      <c r="AA555" s="2730"/>
      <c r="AB555" s="2730"/>
      <c r="AC555" s="2720">
        <f t="shared" si="329"/>
        <v>0</v>
      </c>
      <c r="AD555" s="2740"/>
      <c r="AE555" s="2740"/>
      <c r="AF555" s="2740"/>
      <c r="AG555" s="2740"/>
      <c r="AH555" s="2740"/>
      <c r="AI555" s="2740"/>
      <c r="AJ555" s="2740"/>
      <c r="AK555" s="2740"/>
      <c r="AL555" s="2740"/>
      <c r="AM555" s="2740"/>
      <c r="AN555" s="2740"/>
      <c r="AO555" s="2740"/>
      <c r="AP555" s="2740"/>
      <c r="AQ555" s="2740"/>
      <c r="AR555" s="2740"/>
      <c r="AS555" s="2740"/>
      <c r="AT555" s="2750"/>
      <c r="AU555" s="2751"/>
      <c r="AV555" s="1092">
        <f t="shared" si="330"/>
        <v>0</v>
      </c>
      <c r="AW555" s="1092">
        <f t="shared" si="331"/>
        <v>0</v>
      </c>
      <c r="AX555" s="1092">
        <f t="shared" si="332"/>
        <v>0</v>
      </c>
      <c r="AY555" s="2765">
        <f t="shared" si="333"/>
        <v>0</v>
      </c>
      <c r="AZ555" s="2720">
        <f t="shared" si="334"/>
        <v>0</v>
      </c>
      <c r="BA555" s="2720">
        <f t="shared" si="335"/>
        <v>0</v>
      </c>
      <c r="BB555" s="2720">
        <f t="shared" si="336"/>
        <v>0</v>
      </c>
      <c r="BC555" s="2720">
        <f t="shared" si="337"/>
        <v>0</v>
      </c>
      <c r="BD555" s="2720">
        <f t="shared" si="338"/>
        <v>0</v>
      </c>
      <c r="BE555" s="2720">
        <f t="shared" si="339"/>
        <v>0</v>
      </c>
      <c r="BF555" s="2720">
        <f t="shared" si="340"/>
        <v>0</v>
      </c>
      <c r="BG555" s="2720">
        <f t="shared" si="341"/>
        <v>0</v>
      </c>
      <c r="BH555" s="2720">
        <f t="shared" si="342"/>
        <v>0</v>
      </c>
      <c r="BI555" s="2720">
        <f t="shared" si="343"/>
        <v>0</v>
      </c>
      <c r="BJ555" s="2720">
        <f t="shared" si="344"/>
        <v>0</v>
      </c>
      <c r="BK555" s="2720">
        <f t="shared" si="345"/>
        <v>0</v>
      </c>
      <c r="BL555" s="2720">
        <f t="shared" si="346"/>
        <v>0</v>
      </c>
      <c r="BM555" s="2720">
        <f t="shared" si="347"/>
        <v>0</v>
      </c>
      <c r="BN555" s="2720">
        <f t="shared" si="348"/>
        <v>0</v>
      </c>
      <c r="BO555" s="2720">
        <f t="shared" si="349"/>
        <v>0</v>
      </c>
      <c r="BP555" s="2720">
        <f t="shared" si="350"/>
        <v>0</v>
      </c>
      <c r="BQ555" s="2720">
        <f t="shared" si="351"/>
        <v>0</v>
      </c>
      <c r="BR555" s="2720">
        <f t="shared" si="352"/>
        <v>0</v>
      </c>
      <c r="BS555" s="2720">
        <f t="shared" si="353"/>
        <v>0</v>
      </c>
      <c r="BT555" s="2772">
        <f t="shared" si="354"/>
        <v>0</v>
      </c>
    </row>
    <row r="556" spans="1:72">
      <c r="A556" s="2717"/>
      <c r="B556" s="2718"/>
      <c r="C556" s="2718"/>
      <c r="D556" s="2719"/>
      <c r="E556" s="2720">
        <f t="shared" si="326"/>
        <v>0</v>
      </c>
      <c r="F556" s="2721"/>
      <c r="G556" s="2722">
        <f t="shared" si="327"/>
        <v>0</v>
      </c>
      <c r="H556" s="2723">
        <f t="shared" si="328"/>
        <v>0</v>
      </c>
      <c r="I556" s="2730"/>
      <c r="J556" s="2730"/>
      <c r="K556" s="2730"/>
      <c r="L556" s="2730"/>
      <c r="M556" s="2730"/>
      <c r="N556" s="2730"/>
      <c r="O556" s="2730"/>
      <c r="P556" s="2730"/>
      <c r="Q556" s="2730"/>
      <c r="R556" s="2730"/>
      <c r="S556" s="2730"/>
      <c r="T556" s="2730"/>
      <c r="U556" s="2730"/>
      <c r="V556" s="2730"/>
      <c r="W556" s="2730"/>
      <c r="X556" s="2730"/>
      <c r="Y556" s="2730"/>
      <c r="Z556" s="2730"/>
      <c r="AA556" s="2730"/>
      <c r="AB556" s="2730"/>
      <c r="AC556" s="2720">
        <f t="shared" si="329"/>
        <v>0</v>
      </c>
      <c r="AD556" s="2740"/>
      <c r="AE556" s="2740"/>
      <c r="AF556" s="2740"/>
      <c r="AG556" s="2740"/>
      <c r="AH556" s="2740"/>
      <c r="AI556" s="2740"/>
      <c r="AJ556" s="2740"/>
      <c r="AK556" s="2740"/>
      <c r="AL556" s="2740"/>
      <c r="AM556" s="2740"/>
      <c r="AN556" s="2740"/>
      <c r="AO556" s="2740"/>
      <c r="AP556" s="2740"/>
      <c r="AQ556" s="2740"/>
      <c r="AR556" s="2740"/>
      <c r="AS556" s="2740"/>
      <c r="AT556" s="2750"/>
      <c r="AU556" s="2751"/>
      <c r="AV556" s="1092">
        <f t="shared" si="330"/>
        <v>0</v>
      </c>
      <c r="AW556" s="1092">
        <f t="shared" si="331"/>
        <v>0</v>
      </c>
      <c r="AX556" s="1092">
        <f t="shared" si="332"/>
        <v>0</v>
      </c>
      <c r="AY556" s="2765">
        <f t="shared" si="333"/>
        <v>0</v>
      </c>
      <c r="AZ556" s="2720">
        <f t="shared" si="334"/>
        <v>0</v>
      </c>
      <c r="BA556" s="2720">
        <f t="shared" si="335"/>
        <v>0</v>
      </c>
      <c r="BB556" s="2720">
        <f t="shared" si="336"/>
        <v>0</v>
      </c>
      <c r="BC556" s="2720">
        <f t="shared" si="337"/>
        <v>0</v>
      </c>
      <c r="BD556" s="2720">
        <f t="shared" si="338"/>
        <v>0</v>
      </c>
      <c r="BE556" s="2720">
        <f t="shared" si="339"/>
        <v>0</v>
      </c>
      <c r="BF556" s="2720">
        <f t="shared" si="340"/>
        <v>0</v>
      </c>
      <c r="BG556" s="2720">
        <f t="shared" si="341"/>
        <v>0</v>
      </c>
      <c r="BH556" s="2720">
        <f t="shared" si="342"/>
        <v>0</v>
      </c>
      <c r="BI556" s="2720">
        <f t="shared" si="343"/>
        <v>0</v>
      </c>
      <c r="BJ556" s="2720">
        <f t="shared" si="344"/>
        <v>0</v>
      </c>
      <c r="BK556" s="2720">
        <f t="shared" si="345"/>
        <v>0</v>
      </c>
      <c r="BL556" s="2720">
        <f t="shared" si="346"/>
        <v>0</v>
      </c>
      <c r="BM556" s="2720">
        <f t="shared" si="347"/>
        <v>0</v>
      </c>
      <c r="BN556" s="2720">
        <f t="shared" si="348"/>
        <v>0</v>
      </c>
      <c r="BO556" s="2720">
        <f t="shared" si="349"/>
        <v>0</v>
      </c>
      <c r="BP556" s="2720">
        <f t="shared" si="350"/>
        <v>0</v>
      </c>
      <c r="BQ556" s="2720">
        <f t="shared" si="351"/>
        <v>0</v>
      </c>
      <c r="BR556" s="2720">
        <f t="shared" si="352"/>
        <v>0</v>
      </c>
      <c r="BS556" s="2720">
        <f t="shared" si="353"/>
        <v>0</v>
      </c>
      <c r="BT556" s="2772">
        <f t="shared" si="354"/>
        <v>0</v>
      </c>
    </row>
    <row r="557" spans="1:72">
      <c r="A557" s="2717"/>
      <c r="B557" s="2718"/>
      <c r="C557" s="2718"/>
      <c r="D557" s="2719"/>
      <c r="E557" s="2720">
        <f t="shared" si="326"/>
        <v>0</v>
      </c>
      <c r="F557" s="2721"/>
      <c r="G557" s="2722">
        <f t="shared" si="327"/>
        <v>0</v>
      </c>
      <c r="H557" s="2723">
        <f t="shared" si="328"/>
        <v>0</v>
      </c>
      <c r="I557" s="2730"/>
      <c r="J557" s="2730"/>
      <c r="K557" s="2730"/>
      <c r="L557" s="2730"/>
      <c r="M557" s="2730"/>
      <c r="N557" s="2730"/>
      <c r="O557" s="2730"/>
      <c r="P557" s="2730"/>
      <c r="Q557" s="2730"/>
      <c r="R557" s="2730"/>
      <c r="S557" s="2730"/>
      <c r="T557" s="2730"/>
      <c r="U557" s="2730"/>
      <c r="V557" s="2730"/>
      <c r="W557" s="2730"/>
      <c r="X557" s="2730"/>
      <c r="Y557" s="2730"/>
      <c r="Z557" s="2730"/>
      <c r="AA557" s="2730"/>
      <c r="AB557" s="2730"/>
      <c r="AC557" s="2720">
        <f t="shared" si="329"/>
        <v>0</v>
      </c>
      <c r="AD557" s="2740"/>
      <c r="AE557" s="2740"/>
      <c r="AF557" s="2740"/>
      <c r="AG557" s="2740"/>
      <c r="AH557" s="2740"/>
      <c r="AI557" s="2740"/>
      <c r="AJ557" s="2740"/>
      <c r="AK557" s="2740"/>
      <c r="AL557" s="2740"/>
      <c r="AM557" s="2740"/>
      <c r="AN557" s="2740"/>
      <c r="AO557" s="2740"/>
      <c r="AP557" s="2740"/>
      <c r="AQ557" s="2740"/>
      <c r="AR557" s="2740"/>
      <c r="AS557" s="2740"/>
      <c r="AT557" s="2750"/>
      <c r="AU557" s="2751"/>
      <c r="AV557" s="1092">
        <f t="shared" si="330"/>
        <v>0</v>
      </c>
      <c r="AW557" s="1092">
        <f t="shared" si="331"/>
        <v>0</v>
      </c>
      <c r="AX557" s="1092">
        <f t="shared" si="332"/>
        <v>0</v>
      </c>
      <c r="AY557" s="2765">
        <f t="shared" si="333"/>
        <v>0</v>
      </c>
      <c r="AZ557" s="2720">
        <f t="shared" si="334"/>
        <v>0</v>
      </c>
      <c r="BA557" s="2720">
        <f t="shared" si="335"/>
        <v>0</v>
      </c>
      <c r="BB557" s="2720">
        <f t="shared" si="336"/>
        <v>0</v>
      </c>
      <c r="BC557" s="2720">
        <f t="shared" si="337"/>
        <v>0</v>
      </c>
      <c r="BD557" s="2720">
        <f t="shared" si="338"/>
        <v>0</v>
      </c>
      <c r="BE557" s="2720">
        <f t="shared" si="339"/>
        <v>0</v>
      </c>
      <c r="BF557" s="2720">
        <f t="shared" si="340"/>
        <v>0</v>
      </c>
      <c r="BG557" s="2720">
        <f t="shared" si="341"/>
        <v>0</v>
      </c>
      <c r="BH557" s="2720">
        <f t="shared" si="342"/>
        <v>0</v>
      </c>
      <c r="BI557" s="2720">
        <f t="shared" si="343"/>
        <v>0</v>
      </c>
      <c r="BJ557" s="2720">
        <f t="shared" si="344"/>
        <v>0</v>
      </c>
      <c r="BK557" s="2720">
        <f t="shared" si="345"/>
        <v>0</v>
      </c>
      <c r="BL557" s="2720">
        <f t="shared" si="346"/>
        <v>0</v>
      </c>
      <c r="BM557" s="2720">
        <f t="shared" si="347"/>
        <v>0</v>
      </c>
      <c r="BN557" s="2720">
        <f t="shared" si="348"/>
        <v>0</v>
      </c>
      <c r="BO557" s="2720">
        <f t="shared" si="349"/>
        <v>0</v>
      </c>
      <c r="BP557" s="2720">
        <f t="shared" si="350"/>
        <v>0</v>
      </c>
      <c r="BQ557" s="2720">
        <f t="shared" si="351"/>
        <v>0</v>
      </c>
      <c r="BR557" s="2720">
        <f t="shared" si="352"/>
        <v>0</v>
      </c>
      <c r="BS557" s="2720">
        <f t="shared" si="353"/>
        <v>0</v>
      </c>
      <c r="BT557" s="2772">
        <f t="shared" si="354"/>
        <v>0</v>
      </c>
    </row>
    <row r="558" spans="1:72">
      <c r="A558" s="2717"/>
      <c r="B558" s="2718"/>
      <c r="C558" s="2718"/>
      <c r="D558" s="2719"/>
      <c r="E558" s="2720">
        <f t="shared" si="326"/>
        <v>0</v>
      </c>
      <c r="F558" s="2721"/>
      <c r="G558" s="2722">
        <f t="shared" si="327"/>
        <v>0</v>
      </c>
      <c r="H558" s="2723">
        <f t="shared" si="328"/>
        <v>0</v>
      </c>
      <c r="I558" s="2730"/>
      <c r="J558" s="2730"/>
      <c r="K558" s="2730"/>
      <c r="L558" s="2730"/>
      <c r="M558" s="2730"/>
      <c r="N558" s="2730"/>
      <c r="O558" s="2730"/>
      <c r="P558" s="2730"/>
      <c r="Q558" s="2730"/>
      <c r="R558" s="2730"/>
      <c r="S558" s="2730"/>
      <c r="T558" s="2730"/>
      <c r="U558" s="2730"/>
      <c r="V558" s="2730"/>
      <c r="W558" s="2730"/>
      <c r="X558" s="2730"/>
      <c r="Y558" s="2730"/>
      <c r="Z558" s="2730"/>
      <c r="AA558" s="2730"/>
      <c r="AB558" s="2730"/>
      <c r="AC558" s="2720">
        <f t="shared" si="329"/>
        <v>0</v>
      </c>
      <c r="AD558" s="2740"/>
      <c r="AE558" s="2740"/>
      <c r="AF558" s="2740"/>
      <c r="AG558" s="2740"/>
      <c r="AH558" s="2740"/>
      <c r="AI558" s="2740"/>
      <c r="AJ558" s="2740"/>
      <c r="AK558" s="2740"/>
      <c r="AL558" s="2740"/>
      <c r="AM558" s="2740"/>
      <c r="AN558" s="2740"/>
      <c r="AO558" s="2740"/>
      <c r="AP558" s="2740"/>
      <c r="AQ558" s="2740"/>
      <c r="AR558" s="2740"/>
      <c r="AS558" s="2740"/>
      <c r="AT558" s="2750"/>
      <c r="AU558" s="2751"/>
      <c r="AV558" s="1092">
        <f t="shared" si="330"/>
        <v>0</v>
      </c>
      <c r="AW558" s="1092">
        <f t="shared" si="331"/>
        <v>0</v>
      </c>
      <c r="AX558" s="1092">
        <f t="shared" si="332"/>
        <v>0</v>
      </c>
      <c r="AY558" s="2765">
        <f t="shared" si="333"/>
        <v>0</v>
      </c>
      <c r="AZ558" s="2720">
        <f t="shared" si="334"/>
        <v>0</v>
      </c>
      <c r="BA558" s="2720">
        <f t="shared" si="335"/>
        <v>0</v>
      </c>
      <c r="BB558" s="2720">
        <f t="shared" si="336"/>
        <v>0</v>
      </c>
      <c r="BC558" s="2720">
        <f t="shared" si="337"/>
        <v>0</v>
      </c>
      <c r="BD558" s="2720">
        <f t="shared" si="338"/>
        <v>0</v>
      </c>
      <c r="BE558" s="2720">
        <f t="shared" si="339"/>
        <v>0</v>
      </c>
      <c r="BF558" s="2720">
        <f t="shared" si="340"/>
        <v>0</v>
      </c>
      <c r="BG558" s="2720">
        <f t="shared" si="341"/>
        <v>0</v>
      </c>
      <c r="BH558" s="2720">
        <f t="shared" si="342"/>
        <v>0</v>
      </c>
      <c r="BI558" s="2720">
        <f t="shared" si="343"/>
        <v>0</v>
      </c>
      <c r="BJ558" s="2720">
        <f t="shared" si="344"/>
        <v>0</v>
      </c>
      <c r="BK558" s="2720">
        <f t="shared" si="345"/>
        <v>0</v>
      </c>
      <c r="BL558" s="2720">
        <f t="shared" si="346"/>
        <v>0</v>
      </c>
      <c r="BM558" s="2720">
        <f t="shared" si="347"/>
        <v>0</v>
      </c>
      <c r="BN558" s="2720">
        <f t="shared" si="348"/>
        <v>0</v>
      </c>
      <c r="BO558" s="2720">
        <f t="shared" si="349"/>
        <v>0</v>
      </c>
      <c r="BP558" s="2720">
        <f t="shared" si="350"/>
        <v>0</v>
      </c>
      <c r="BQ558" s="2720">
        <f t="shared" si="351"/>
        <v>0</v>
      </c>
      <c r="BR558" s="2720">
        <f t="shared" si="352"/>
        <v>0</v>
      </c>
      <c r="BS558" s="2720">
        <f t="shared" si="353"/>
        <v>0</v>
      </c>
      <c r="BT558" s="2772">
        <f t="shared" si="354"/>
        <v>0</v>
      </c>
    </row>
    <row r="559" spans="1:72">
      <c r="A559" s="2717"/>
      <c r="B559" s="2718"/>
      <c r="C559" s="2718"/>
      <c r="D559" s="2719"/>
      <c r="E559" s="2720">
        <f t="shared" si="326"/>
        <v>0</v>
      </c>
      <c r="F559" s="2721"/>
      <c r="G559" s="2722">
        <f t="shared" si="327"/>
        <v>0</v>
      </c>
      <c r="H559" s="2723">
        <f t="shared" si="328"/>
        <v>0</v>
      </c>
      <c r="I559" s="2730"/>
      <c r="J559" s="2730"/>
      <c r="K559" s="2730"/>
      <c r="L559" s="2730"/>
      <c r="M559" s="2730"/>
      <c r="N559" s="2730"/>
      <c r="O559" s="2730"/>
      <c r="P559" s="2730"/>
      <c r="Q559" s="2730"/>
      <c r="R559" s="2730"/>
      <c r="S559" s="2730"/>
      <c r="T559" s="2730"/>
      <c r="U559" s="2730"/>
      <c r="V559" s="2730"/>
      <c r="W559" s="2730"/>
      <c r="X559" s="2730"/>
      <c r="Y559" s="2730"/>
      <c r="Z559" s="2730"/>
      <c r="AA559" s="2730"/>
      <c r="AB559" s="2730"/>
      <c r="AC559" s="2720">
        <f t="shared" si="329"/>
        <v>0</v>
      </c>
      <c r="AD559" s="2740"/>
      <c r="AE559" s="2740"/>
      <c r="AF559" s="2740"/>
      <c r="AG559" s="2740"/>
      <c r="AH559" s="2740"/>
      <c r="AI559" s="2740"/>
      <c r="AJ559" s="2740"/>
      <c r="AK559" s="2740"/>
      <c r="AL559" s="2740"/>
      <c r="AM559" s="2740"/>
      <c r="AN559" s="2740"/>
      <c r="AO559" s="2740"/>
      <c r="AP559" s="2740"/>
      <c r="AQ559" s="2740"/>
      <c r="AR559" s="2740"/>
      <c r="AS559" s="2740"/>
      <c r="AT559" s="2750"/>
      <c r="AU559" s="2751"/>
      <c r="AV559" s="1092">
        <f t="shared" si="330"/>
        <v>0</v>
      </c>
      <c r="AW559" s="1092">
        <f t="shared" si="331"/>
        <v>0</v>
      </c>
      <c r="AX559" s="1092">
        <f t="shared" si="332"/>
        <v>0</v>
      </c>
      <c r="AY559" s="2765">
        <f t="shared" si="333"/>
        <v>0</v>
      </c>
      <c r="AZ559" s="2720">
        <f t="shared" si="334"/>
        <v>0</v>
      </c>
      <c r="BA559" s="2720">
        <f t="shared" si="335"/>
        <v>0</v>
      </c>
      <c r="BB559" s="2720">
        <f t="shared" si="336"/>
        <v>0</v>
      </c>
      <c r="BC559" s="2720">
        <f t="shared" si="337"/>
        <v>0</v>
      </c>
      <c r="BD559" s="2720">
        <f t="shared" si="338"/>
        <v>0</v>
      </c>
      <c r="BE559" s="2720">
        <f t="shared" si="339"/>
        <v>0</v>
      </c>
      <c r="BF559" s="2720">
        <f t="shared" si="340"/>
        <v>0</v>
      </c>
      <c r="BG559" s="2720">
        <f t="shared" si="341"/>
        <v>0</v>
      </c>
      <c r="BH559" s="2720">
        <f t="shared" si="342"/>
        <v>0</v>
      </c>
      <c r="BI559" s="2720">
        <f t="shared" si="343"/>
        <v>0</v>
      </c>
      <c r="BJ559" s="2720">
        <f t="shared" si="344"/>
        <v>0</v>
      </c>
      <c r="BK559" s="2720">
        <f t="shared" si="345"/>
        <v>0</v>
      </c>
      <c r="BL559" s="2720">
        <f t="shared" si="346"/>
        <v>0</v>
      </c>
      <c r="BM559" s="2720">
        <f t="shared" si="347"/>
        <v>0</v>
      </c>
      <c r="BN559" s="2720">
        <f t="shared" si="348"/>
        <v>0</v>
      </c>
      <c r="BO559" s="2720">
        <f t="shared" si="349"/>
        <v>0</v>
      </c>
      <c r="BP559" s="2720">
        <f t="shared" si="350"/>
        <v>0</v>
      </c>
      <c r="BQ559" s="2720">
        <f t="shared" si="351"/>
        <v>0</v>
      </c>
      <c r="BR559" s="2720">
        <f t="shared" si="352"/>
        <v>0</v>
      </c>
      <c r="BS559" s="2720">
        <f t="shared" si="353"/>
        <v>0</v>
      </c>
      <c r="BT559" s="2772">
        <f t="shared" si="354"/>
        <v>0</v>
      </c>
    </row>
    <row r="560" spans="1:72">
      <c r="A560" s="2717"/>
      <c r="B560" s="2718"/>
      <c r="C560" s="2718"/>
      <c r="D560" s="2719"/>
      <c r="E560" s="2720">
        <f t="shared" si="326"/>
        <v>0</v>
      </c>
      <c r="F560" s="2721"/>
      <c r="G560" s="2722">
        <f t="shared" si="327"/>
        <v>0</v>
      </c>
      <c r="H560" s="2723">
        <f t="shared" si="328"/>
        <v>0</v>
      </c>
      <c r="I560" s="2730"/>
      <c r="J560" s="2730"/>
      <c r="K560" s="2730"/>
      <c r="L560" s="2730"/>
      <c r="M560" s="2730"/>
      <c r="N560" s="2730"/>
      <c r="O560" s="2730"/>
      <c r="P560" s="2730"/>
      <c r="Q560" s="2730"/>
      <c r="R560" s="2730"/>
      <c r="S560" s="2730"/>
      <c r="T560" s="2730"/>
      <c r="U560" s="2730"/>
      <c r="V560" s="2730"/>
      <c r="W560" s="2730"/>
      <c r="X560" s="2730"/>
      <c r="Y560" s="2730"/>
      <c r="Z560" s="2730"/>
      <c r="AA560" s="2730"/>
      <c r="AB560" s="2730"/>
      <c r="AC560" s="2720">
        <f t="shared" si="329"/>
        <v>0</v>
      </c>
      <c r="AD560" s="2740"/>
      <c r="AE560" s="2740"/>
      <c r="AF560" s="2740"/>
      <c r="AG560" s="2740"/>
      <c r="AH560" s="2740"/>
      <c r="AI560" s="2740"/>
      <c r="AJ560" s="2740"/>
      <c r="AK560" s="2740"/>
      <c r="AL560" s="2740"/>
      <c r="AM560" s="2740"/>
      <c r="AN560" s="2740"/>
      <c r="AO560" s="2740"/>
      <c r="AP560" s="2740"/>
      <c r="AQ560" s="2740"/>
      <c r="AR560" s="2740"/>
      <c r="AS560" s="2740"/>
      <c r="AT560" s="2750"/>
      <c r="AU560" s="2751"/>
      <c r="AV560" s="1092">
        <f t="shared" si="330"/>
        <v>0</v>
      </c>
      <c r="AW560" s="1092">
        <f t="shared" si="331"/>
        <v>0</v>
      </c>
      <c r="AX560" s="1092">
        <f t="shared" si="332"/>
        <v>0</v>
      </c>
      <c r="AY560" s="2765">
        <f t="shared" si="333"/>
        <v>0</v>
      </c>
      <c r="AZ560" s="2720">
        <f t="shared" si="334"/>
        <v>0</v>
      </c>
      <c r="BA560" s="2720">
        <f t="shared" si="335"/>
        <v>0</v>
      </c>
      <c r="BB560" s="2720">
        <f t="shared" si="336"/>
        <v>0</v>
      </c>
      <c r="BC560" s="2720">
        <f t="shared" si="337"/>
        <v>0</v>
      </c>
      <c r="BD560" s="2720">
        <f t="shared" si="338"/>
        <v>0</v>
      </c>
      <c r="BE560" s="2720">
        <f t="shared" si="339"/>
        <v>0</v>
      </c>
      <c r="BF560" s="2720">
        <f t="shared" si="340"/>
        <v>0</v>
      </c>
      <c r="BG560" s="2720">
        <f t="shared" si="341"/>
        <v>0</v>
      </c>
      <c r="BH560" s="2720">
        <f t="shared" si="342"/>
        <v>0</v>
      </c>
      <c r="BI560" s="2720">
        <f t="shared" si="343"/>
        <v>0</v>
      </c>
      <c r="BJ560" s="2720">
        <f t="shared" si="344"/>
        <v>0</v>
      </c>
      <c r="BK560" s="2720">
        <f t="shared" si="345"/>
        <v>0</v>
      </c>
      <c r="BL560" s="2720">
        <f t="shared" si="346"/>
        <v>0</v>
      </c>
      <c r="BM560" s="2720">
        <f t="shared" si="347"/>
        <v>0</v>
      </c>
      <c r="BN560" s="2720">
        <f t="shared" si="348"/>
        <v>0</v>
      </c>
      <c r="BO560" s="2720">
        <f t="shared" si="349"/>
        <v>0</v>
      </c>
      <c r="BP560" s="2720">
        <f t="shared" si="350"/>
        <v>0</v>
      </c>
      <c r="BQ560" s="2720">
        <f t="shared" si="351"/>
        <v>0</v>
      </c>
      <c r="BR560" s="2720">
        <f t="shared" si="352"/>
        <v>0</v>
      </c>
      <c r="BS560" s="2720">
        <f t="shared" si="353"/>
        <v>0</v>
      </c>
      <c r="BT560" s="2772">
        <f t="shared" si="354"/>
        <v>0</v>
      </c>
    </row>
    <row r="561" spans="1:72">
      <c r="A561" s="2717"/>
      <c r="B561" s="2718"/>
      <c r="C561" s="2718"/>
      <c r="D561" s="2719"/>
      <c r="E561" s="2720">
        <f t="shared" si="326"/>
        <v>0</v>
      </c>
      <c r="F561" s="2721"/>
      <c r="G561" s="2722">
        <f t="shared" si="327"/>
        <v>0</v>
      </c>
      <c r="H561" s="2723">
        <f t="shared" si="328"/>
        <v>0</v>
      </c>
      <c r="I561" s="2730"/>
      <c r="J561" s="2730"/>
      <c r="K561" s="2730"/>
      <c r="L561" s="2730"/>
      <c r="M561" s="2730"/>
      <c r="N561" s="2730"/>
      <c r="O561" s="2730"/>
      <c r="P561" s="2730"/>
      <c r="Q561" s="2730"/>
      <c r="R561" s="2730"/>
      <c r="S561" s="2730"/>
      <c r="T561" s="2730"/>
      <c r="U561" s="2730"/>
      <c r="V561" s="2730"/>
      <c r="W561" s="2730"/>
      <c r="X561" s="2730"/>
      <c r="Y561" s="2730"/>
      <c r="Z561" s="2730"/>
      <c r="AA561" s="2730"/>
      <c r="AB561" s="2730"/>
      <c r="AC561" s="2720">
        <f t="shared" si="329"/>
        <v>0</v>
      </c>
      <c r="AD561" s="2740"/>
      <c r="AE561" s="2740"/>
      <c r="AF561" s="2740"/>
      <c r="AG561" s="2740"/>
      <c r="AH561" s="2740"/>
      <c r="AI561" s="2740"/>
      <c r="AJ561" s="2740"/>
      <c r="AK561" s="2740"/>
      <c r="AL561" s="2740"/>
      <c r="AM561" s="2740"/>
      <c r="AN561" s="2740"/>
      <c r="AO561" s="2740"/>
      <c r="AP561" s="2740"/>
      <c r="AQ561" s="2740"/>
      <c r="AR561" s="2740"/>
      <c r="AS561" s="2740"/>
      <c r="AT561" s="2750"/>
      <c r="AU561" s="2751"/>
      <c r="AV561" s="1092">
        <f t="shared" si="330"/>
        <v>0</v>
      </c>
      <c r="AW561" s="1092">
        <f t="shared" si="331"/>
        <v>0</v>
      </c>
      <c r="AX561" s="1092">
        <f t="shared" si="332"/>
        <v>0</v>
      </c>
      <c r="AY561" s="2765">
        <f t="shared" si="333"/>
        <v>0</v>
      </c>
      <c r="AZ561" s="2720">
        <f t="shared" si="334"/>
        <v>0</v>
      </c>
      <c r="BA561" s="2720">
        <f t="shared" si="335"/>
        <v>0</v>
      </c>
      <c r="BB561" s="2720">
        <f t="shared" si="336"/>
        <v>0</v>
      </c>
      <c r="BC561" s="2720">
        <f t="shared" si="337"/>
        <v>0</v>
      </c>
      <c r="BD561" s="2720">
        <f t="shared" si="338"/>
        <v>0</v>
      </c>
      <c r="BE561" s="2720">
        <f t="shared" si="339"/>
        <v>0</v>
      </c>
      <c r="BF561" s="2720">
        <f t="shared" si="340"/>
        <v>0</v>
      </c>
      <c r="BG561" s="2720">
        <f t="shared" si="341"/>
        <v>0</v>
      </c>
      <c r="BH561" s="2720">
        <f t="shared" si="342"/>
        <v>0</v>
      </c>
      <c r="BI561" s="2720">
        <f t="shared" si="343"/>
        <v>0</v>
      </c>
      <c r="BJ561" s="2720">
        <f t="shared" si="344"/>
        <v>0</v>
      </c>
      <c r="BK561" s="2720">
        <f t="shared" si="345"/>
        <v>0</v>
      </c>
      <c r="BL561" s="2720">
        <f t="shared" si="346"/>
        <v>0</v>
      </c>
      <c r="BM561" s="2720">
        <f t="shared" si="347"/>
        <v>0</v>
      </c>
      <c r="BN561" s="2720">
        <f t="shared" si="348"/>
        <v>0</v>
      </c>
      <c r="BO561" s="2720">
        <f t="shared" si="349"/>
        <v>0</v>
      </c>
      <c r="BP561" s="2720">
        <f t="shared" si="350"/>
        <v>0</v>
      </c>
      <c r="BQ561" s="2720">
        <f t="shared" si="351"/>
        <v>0</v>
      </c>
      <c r="BR561" s="2720">
        <f t="shared" si="352"/>
        <v>0</v>
      </c>
      <c r="BS561" s="2720">
        <f t="shared" si="353"/>
        <v>0</v>
      </c>
      <c r="BT561" s="2772">
        <f t="shared" si="354"/>
        <v>0</v>
      </c>
    </row>
    <row r="562" spans="1:72">
      <c r="A562" s="2717"/>
      <c r="B562" s="2718"/>
      <c r="C562" s="2718"/>
      <c r="D562" s="2719"/>
      <c r="E562" s="2720">
        <f t="shared" si="326"/>
        <v>0</v>
      </c>
      <c r="F562" s="2721"/>
      <c r="G562" s="2722">
        <f t="shared" si="327"/>
        <v>0</v>
      </c>
      <c r="H562" s="2723">
        <f t="shared" si="328"/>
        <v>0</v>
      </c>
      <c r="I562" s="2730"/>
      <c r="J562" s="2730"/>
      <c r="K562" s="2730"/>
      <c r="L562" s="2730"/>
      <c r="M562" s="2730"/>
      <c r="N562" s="2730"/>
      <c r="O562" s="2730"/>
      <c r="P562" s="2730"/>
      <c r="Q562" s="2730"/>
      <c r="R562" s="2730"/>
      <c r="S562" s="2730"/>
      <c r="T562" s="2730"/>
      <c r="U562" s="2730"/>
      <c r="V562" s="2730"/>
      <c r="W562" s="2730"/>
      <c r="X562" s="2730"/>
      <c r="Y562" s="2730"/>
      <c r="Z562" s="2730"/>
      <c r="AA562" s="2730"/>
      <c r="AB562" s="2730"/>
      <c r="AC562" s="2720">
        <f t="shared" si="329"/>
        <v>0</v>
      </c>
      <c r="AD562" s="2740"/>
      <c r="AE562" s="2740"/>
      <c r="AF562" s="2740"/>
      <c r="AG562" s="2740"/>
      <c r="AH562" s="2740"/>
      <c r="AI562" s="2740"/>
      <c r="AJ562" s="2740"/>
      <c r="AK562" s="2740"/>
      <c r="AL562" s="2740"/>
      <c r="AM562" s="2740"/>
      <c r="AN562" s="2740"/>
      <c r="AO562" s="2740"/>
      <c r="AP562" s="2740"/>
      <c r="AQ562" s="2740"/>
      <c r="AR562" s="2740"/>
      <c r="AS562" s="2740"/>
      <c r="AT562" s="2750"/>
      <c r="AU562" s="2751"/>
      <c r="AV562" s="1092">
        <f t="shared" si="330"/>
        <v>0</v>
      </c>
      <c r="AW562" s="1092">
        <f t="shared" si="331"/>
        <v>0</v>
      </c>
      <c r="AX562" s="1092">
        <f t="shared" si="332"/>
        <v>0</v>
      </c>
      <c r="AY562" s="2765">
        <f t="shared" si="333"/>
        <v>0</v>
      </c>
      <c r="AZ562" s="2720">
        <f t="shared" si="334"/>
        <v>0</v>
      </c>
      <c r="BA562" s="2720">
        <f t="shared" si="335"/>
        <v>0</v>
      </c>
      <c r="BB562" s="2720">
        <f t="shared" si="336"/>
        <v>0</v>
      </c>
      <c r="BC562" s="2720">
        <f t="shared" si="337"/>
        <v>0</v>
      </c>
      <c r="BD562" s="2720">
        <f t="shared" si="338"/>
        <v>0</v>
      </c>
      <c r="BE562" s="2720">
        <f t="shared" si="339"/>
        <v>0</v>
      </c>
      <c r="BF562" s="2720">
        <f t="shared" si="340"/>
        <v>0</v>
      </c>
      <c r="BG562" s="2720">
        <f t="shared" si="341"/>
        <v>0</v>
      </c>
      <c r="BH562" s="2720">
        <f t="shared" si="342"/>
        <v>0</v>
      </c>
      <c r="BI562" s="2720">
        <f t="shared" si="343"/>
        <v>0</v>
      </c>
      <c r="BJ562" s="2720">
        <f t="shared" si="344"/>
        <v>0</v>
      </c>
      <c r="BK562" s="2720">
        <f t="shared" si="345"/>
        <v>0</v>
      </c>
      <c r="BL562" s="2720">
        <f t="shared" si="346"/>
        <v>0</v>
      </c>
      <c r="BM562" s="2720">
        <f t="shared" si="347"/>
        <v>0</v>
      </c>
      <c r="BN562" s="2720">
        <f t="shared" si="348"/>
        <v>0</v>
      </c>
      <c r="BO562" s="2720">
        <f t="shared" si="349"/>
        <v>0</v>
      </c>
      <c r="BP562" s="2720">
        <f t="shared" si="350"/>
        <v>0</v>
      </c>
      <c r="BQ562" s="2720">
        <f t="shared" si="351"/>
        <v>0</v>
      </c>
      <c r="BR562" s="2720">
        <f t="shared" si="352"/>
        <v>0</v>
      </c>
      <c r="BS562" s="2720">
        <f t="shared" si="353"/>
        <v>0</v>
      </c>
      <c r="BT562" s="2772">
        <f t="shared" si="354"/>
        <v>0</v>
      </c>
    </row>
    <row r="563" spans="1:72">
      <c r="A563" s="2717"/>
      <c r="B563" s="2718"/>
      <c r="C563" s="2718"/>
      <c r="D563" s="2719"/>
      <c r="E563" s="2720">
        <f t="shared" si="326"/>
        <v>0</v>
      </c>
      <c r="F563" s="2721"/>
      <c r="G563" s="2722">
        <f t="shared" si="327"/>
        <v>0</v>
      </c>
      <c r="H563" s="2723">
        <f t="shared" si="328"/>
        <v>0</v>
      </c>
      <c r="I563" s="2730"/>
      <c r="J563" s="2730"/>
      <c r="K563" s="2730"/>
      <c r="L563" s="2730"/>
      <c r="M563" s="2730"/>
      <c r="N563" s="2730"/>
      <c r="O563" s="2730"/>
      <c r="P563" s="2730"/>
      <c r="Q563" s="2730"/>
      <c r="R563" s="2730"/>
      <c r="S563" s="2730"/>
      <c r="T563" s="2730"/>
      <c r="U563" s="2730"/>
      <c r="V563" s="2730"/>
      <c r="W563" s="2730"/>
      <c r="X563" s="2730"/>
      <c r="Y563" s="2730"/>
      <c r="Z563" s="2730"/>
      <c r="AA563" s="2730"/>
      <c r="AB563" s="2730"/>
      <c r="AC563" s="2720">
        <f t="shared" si="329"/>
        <v>0</v>
      </c>
      <c r="AD563" s="2740"/>
      <c r="AE563" s="2740"/>
      <c r="AF563" s="2740"/>
      <c r="AG563" s="2740"/>
      <c r="AH563" s="2740"/>
      <c r="AI563" s="2740"/>
      <c r="AJ563" s="2740"/>
      <c r="AK563" s="2740"/>
      <c r="AL563" s="2740"/>
      <c r="AM563" s="2740"/>
      <c r="AN563" s="2740"/>
      <c r="AO563" s="2740"/>
      <c r="AP563" s="2740"/>
      <c r="AQ563" s="2740"/>
      <c r="AR563" s="2740"/>
      <c r="AS563" s="2740"/>
      <c r="AT563" s="2750"/>
      <c r="AU563" s="2751"/>
      <c r="AV563" s="1092">
        <f t="shared" si="330"/>
        <v>0</v>
      </c>
      <c r="AW563" s="1092">
        <f t="shared" si="331"/>
        <v>0</v>
      </c>
      <c r="AX563" s="1092">
        <f t="shared" si="332"/>
        <v>0</v>
      </c>
      <c r="AY563" s="2765">
        <f t="shared" si="333"/>
        <v>0</v>
      </c>
      <c r="AZ563" s="2720">
        <f t="shared" si="334"/>
        <v>0</v>
      </c>
      <c r="BA563" s="2720">
        <f t="shared" si="335"/>
        <v>0</v>
      </c>
      <c r="BB563" s="2720">
        <f t="shared" si="336"/>
        <v>0</v>
      </c>
      <c r="BC563" s="2720">
        <f t="shared" si="337"/>
        <v>0</v>
      </c>
      <c r="BD563" s="2720">
        <f t="shared" si="338"/>
        <v>0</v>
      </c>
      <c r="BE563" s="2720">
        <f t="shared" si="339"/>
        <v>0</v>
      </c>
      <c r="BF563" s="2720">
        <f t="shared" si="340"/>
        <v>0</v>
      </c>
      <c r="BG563" s="2720">
        <f t="shared" si="341"/>
        <v>0</v>
      </c>
      <c r="BH563" s="2720">
        <f t="shared" si="342"/>
        <v>0</v>
      </c>
      <c r="BI563" s="2720">
        <f t="shared" si="343"/>
        <v>0</v>
      </c>
      <c r="BJ563" s="2720">
        <f t="shared" si="344"/>
        <v>0</v>
      </c>
      <c r="BK563" s="2720">
        <f t="shared" si="345"/>
        <v>0</v>
      </c>
      <c r="BL563" s="2720">
        <f t="shared" si="346"/>
        <v>0</v>
      </c>
      <c r="BM563" s="2720">
        <f t="shared" si="347"/>
        <v>0</v>
      </c>
      <c r="BN563" s="2720">
        <f t="shared" si="348"/>
        <v>0</v>
      </c>
      <c r="BO563" s="2720">
        <f t="shared" si="349"/>
        <v>0</v>
      </c>
      <c r="BP563" s="2720">
        <f t="shared" si="350"/>
        <v>0</v>
      </c>
      <c r="BQ563" s="2720">
        <f t="shared" si="351"/>
        <v>0</v>
      </c>
      <c r="BR563" s="2720">
        <f t="shared" si="352"/>
        <v>0</v>
      </c>
      <c r="BS563" s="2720">
        <f t="shared" si="353"/>
        <v>0</v>
      </c>
      <c r="BT563" s="2772">
        <f t="shared" si="354"/>
        <v>0</v>
      </c>
    </row>
    <row r="564" spans="1:72">
      <c r="A564" s="2717"/>
      <c r="B564" s="2718"/>
      <c r="C564" s="2718"/>
      <c r="D564" s="2719"/>
      <c r="E564" s="2720">
        <f t="shared" si="326"/>
        <v>0</v>
      </c>
      <c r="F564" s="2721"/>
      <c r="G564" s="2722">
        <f t="shared" si="327"/>
        <v>0</v>
      </c>
      <c r="H564" s="2723">
        <f t="shared" si="328"/>
        <v>0</v>
      </c>
      <c r="I564" s="2730"/>
      <c r="J564" s="2730"/>
      <c r="K564" s="2730"/>
      <c r="L564" s="2730"/>
      <c r="M564" s="2730"/>
      <c r="N564" s="2730"/>
      <c r="O564" s="2730"/>
      <c r="P564" s="2730"/>
      <c r="Q564" s="2730"/>
      <c r="R564" s="2730"/>
      <c r="S564" s="2730"/>
      <c r="T564" s="2730"/>
      <c r="U564" s="2730"/>
      <c r="V564" s="2730"/>
      <c r="W564" s="2730"/>
      <c r="X564" s="2730"/>
      <c r="Y564" s="2730"/>
      <c r="Z564" s="2730"/>
      <c r="AA564" s="2730"/>
      <c r="AB564" s="2730"/>
      <c r="AC564" s="2720">
        <f t="shared" si="329"/>
        <v>0</v>
      </c>
      <c r="AD564" s="2740"/>
      <c r="AE564" s="2740"/>
      <c r="AF564" s="2740"/>
      <c r="AG564" s="2740"/>
      <c r="AH564" s="2740"/>
      <c r="AI564" s="2740"/>
      <c r="AJ564" s="2740"/>
      <c r="AK564" s="2740"/>
      <c r="AL564" s="2740"/>
      <c r="AM564" s="2740"/>
      <c r="AN564" s="2740"/>
      <c r="AO564" s="2740"/>
      <c r="AP564" s="2740"/>
      <c r="AQ564" s="2740"/>
      <c r="AR564" s="2740"/>
      <c r="AS564" s="2740"/>
      <c r="AT564" s="2750"/>
      <c r="AU564" s="2751"/>
      <c r="AV564" s="1092">
        <f t="shared" si="330"/>
        <v>0</v>
      </c>
      <c r="AW564" s="1092">
        <f t="shared" si="331"/>
        <v>0</v>
      </c>
      <c r="AX564" s="1092">
        <f t="shared" si="332"/>
        <v>0</v>
      </c>
      <c r="AY564" s="2765">
        <f t="shared" si="333"/>
        <v>0</v>
      </c>
      <c r="AZ564" s="2720">
        <f t="shared" si="334"/>
        <v>0</v>
      </c>
      <c r="BA564" s="2720">
        <f t="shared" si="335"/>
        <v>0</v>
      </c>
      <c r="BB564" s="2720">
        <f t="shared" si="336"/>
        <v>0</v>
      </c>
      <c r="BC564" s="2720">
        <f t="shared" si="337"/>
        <v>0</v>
      </c>
      <c r="BD564" s="2720">
        <f t="shared" si="338"/>
        <v>0</v>
      </c>
      <c r="BE564" s="2720">
        <f t="shared" si="339"/>
        <v>0</v>
      </c>
      <c r="BF564" s="2720">
        <f t="shared" si="340"/>
        <v>0</v>
      </c>
      <c r="BG564" s="2720">
        <f t="shared" si="341"/>
        <v>0</v>
      </c>
      <c r="BH564" s="2720">
        <f t="shared" si="342"/>
        <v>0</v>
      </c>
      <c r="BI564" s="2720">
        <f t="shared" si="343"/>
        <v>0</v>
      </c>
      <c r="BJ564" s="2720">
        <f t="shared" si="344"/>
        <v>0</v>
      </c>
      <c r="BK564" s="2720">
        <f t="shared" si="345"/>
        <v>0</v>
      </c>
      <c r="BL564" s="2720">
        <f t="shared" si="346"/>
        <v>0</v>
      </c>
      <c r="BM564" s="2720">
        <f t="shared" si="347"/>
        <v>0</v>
      </c>
      <c r="BN564" s="2720">
        <f t="shared" si="348"/>
        <v>0</v>
      </c>
      <c r="BO564" s="2720">
        <f t="shared" si="349"/>
        <v>0</v>
      </c>
      <c r="BP564" s="2720">
        <f t="shared" si="350"/>
        <v>0</v>
      </c>
      <c r="BQ564" s="2720">
        <f t="shared" si="351"/>
        <v>0</v>
      </c>
      <c r="BR564" s="2720">
        <f t="shared" si="352"/>
        <v>0</v>
      </c>
      <c r="BS564" s="2720">
        <f t="shared" si="353"/>
        <v>0</v>
      </c>
      <c r="BT564" s="2772">
        <f t="shared" si="354"/>
        <v>0</v>
      </c>
    </row>
    <row r="565" spans="1:72">
      <c r="A565" s="2717"/>
      <c r="B565" s="2718"/>
      <c r="C565" s="2718"/>
      <c r="D565" s="2719"/>
      <c r="E565" s="2720">
        <f t="shared" si="326"/>
        <v>0</v>
      </c>
      <c r="F565" s="2721"/>
      <c r="G565" s="2722">
        <f t="shared" si="327"/>
        <v>0</v>
      </c>
      <c r="H565" s="2723">
        <f t="shared" si="328"/>
        <v>0</v>
      </c>
      <c r="I565" s="2730"/>
      <c r="J565" s="2730"/>
      <c r="K565" s="2730"/>
      <c r="L565" s="2730"/>
      <c r="M565" s="2730"/>
      <c r="N565" s="2730"/>
      <c r="O565" s="2730"/>
      <c r="P565" s="2730"/>
      <c r="Q565" s="2730"/>
      <c r="R565" s="2730"/>
      <c r="S565" s="2730"/>
      <c r="T565" s="2730"/>
      <c r="U565" s="2730"/>
      <c r="V565" s="2730"/>
      <c r="W565" s="2730"/>
      <c r="X565" s="2730"/>
      <c r="Y565" s="2730"/>
      <c r="Z565" s="2730"/>
      <c r="AA565" s="2730"/>
      <c r="AB565" s="2730"/>
      <c r="AC565" s="2720">
        <f t="shared" si="329"/>
        <v>0</v>
      </c>
      <c r="AD565" s="2740"/>
      <c r="AE565" s="2740"/>
      <c r="AF565" s="2740"/>
      <c r="AG565" s="2740"/>
      <c r="AH565" s="2740"/>
      <c r="AI565" s="2740"/>
      <c r="AJ565" s="2740"/>
      <c r="AK565" s="2740"/>
      <c r="AL565" s="2740"/>
      <c r="AM565" s="2740"/>
      <c r="AN565" s="2740"/>
      <c r="AO565" s="2740"/>
      <c r="AP565" s="2740"/>
      <c r="AQ565" s="2740"/>
      <c r="AR565" s="2740"/>
      <c r="AS565" s="2740"/>
      <c r="AT565" s="2750"/>
      <c r="AU565" s="2751"/>
      <c r="AV565" s="1092">
        <f t="shared" si="330"/>
        <v>0</v>
      </c>
      <c r="AW565" s="1092">
        <f t="shared" si="331"/>
        <v>0</v>
      </c>
      <c r="AX565" s="1092">
        <f t="shared" si="332"/>
        <v>0</v>
      </c>
      <c r="AY565" s="2765">
        <f t="shared" si="333"/>
        <v>0</v>
      </c>
      <c r="AZ565" s="2720">
        <f t="shared" si="334"/>
        <v>0</v>
      </c>
      <c r="BA565" s="2720">
        <f t="shared" si="335"/>
        <v>0</v>
      </c>
      <c r="BB565" s="2720">
        <f t="shared" si="336"/>
        <v>0</v>
      </c>
      <c r="BC565" s="2720">
        <f t="shared" si="337"/>
        <v>0</v>
      </c>
      <c r="BD565" s="2720">
        <f t="shared" si="338"/>
        <v>0</v>
      </c>
      <c r="BE565" s="2720">
        <f t="shared" si="339"/>
        <v>0</v>
      </c>
      <c r="BF565" s="2720">
        <f t="shared" si="340"/>
        <v>0</v>
      </c>
      <c r="BG565" s="2720">
        <f t="shared" si="341"/>
        <v>0</v>
      </c>
      <c r="BH565" s="2720">
        <f t="shared" si="342"/>
        <v>0</v>
      </c>
      <c r="BI565" s="2720">
        <f t="shared" si="343"/>
        <v>0</v>
      </c>
      <c r="BJ565" s="2720">
        <f t="shared" si="344"/>
        <v>0</v>
      </c>
      <c r="BK565" s="2720">
        <f t="shared" si="345"/>
        <v>0</v>
      </c>
      <c r="BL565" s="2720">
        <f t="shared" si="346"/>
        <v>0</v>
      </c>
      <c r="BM565" s="2720">
        <f t="shared" si="347"/>
        <v>0</v>
      </c>
      <c r="BN565" s="2720">
        <f t="shared" si="348"/>
        <v>0</v>
      </c>
      <c r="BO565" s="2720">
        <f t="shared" si="349"/>
        <v>0</v>
      </c>
      <c r="BP565" s="2720">
        <f t="shared" si="350"/>
        <v>0</v>
      </c>
      <c r="BQ565" s="2720">
        <f t="shared" si="351"/>
        <v>0</v>
      </c>
      <c r="BR565" s="2720">
        <f t="shared" si="352"/>
        <v>0</v>
      </c>
      <c r="BS565" s="2720">
        <f t="shared" si="353"/>
        <v>0</v>
      </c>
      <c r="BT565" s="2772">
        <f t="shared" si="354"/>
        <v>0</v>
      </c>
    </row>
    <row r="566" spans="1:72">
      <c r="A566" s="2717"/>
      <c r="B566" s="2718"/>
      <c r="C566" s="2718"/>
      <c r="D566" s="2719"/>
      <c r="E566" s="2720">
        <f t="shared" si="326"/>
        <v>0</v>
      </c>
      <c r="F566" s="2721"/>
      <c r="G566" s="2722">
        <f t="shared" si="327"/>
        <v>0</v>
      </c>
      <c r="H566" s="2723">
        <f t="shared" si="328"/>
        <v>0</v>
      </c>
      <c r="I566" s="2730"/>
      <c r="J566" s="2730"/>
      <c r="K566" s="2730"/>
      <c r="L566" s="2730"/>
      <c r="M566" s="2730"/>
      <c r="N566" s="2730"/>
      <c r="O566" s="2730"/>
      <c r="P566" s="2730"/>
      <c r="Q566" s="2730"/>
      <c r="R566" s="2730"/>
      <c r="S566" s="2730"/>
      <c r="T566" s="2730"/>
      <c r="U566" s="2730"/>
      <c r="V566" s="2730"/>
      <c r="W566" s="2730"/>
      <c r="X566" s="2730"/>
      <c r="Y566" s="2730"/>
      <c r="Z566" s="2730"/>
      <c r="AA566" s="2730"/>
      <c r="AB566" s="2730"/>
      <c r="AC566" s="2720">
        <f t="shared" si="329"/>
        <v>0</v>
      </c>
      <c r="AD566" s="2740"/>
      <c r="AE566" s="2740"/>
      <c r="AF566" s="2740"/>
      <c r="AG566" s="2740"/>
      <c r="AH566" s="2740"/>
      <c r="AI566" s="2740"/>
      <c r="AJ566" s="2740"/>
      <c r="AK566" s="2740"/>
      <c r="AL566" s="2740"/>
      <c r="AM566" s="2740"/>
      <c r="AN566" s="2740"/>
      <c r="AO566" s="2740"/>
      <c r="AP566" s="2740"/>
      <c r="AQ566" s="2740"/>
      <c r="AR566" s="2740"/>
      <c r="AS566" s="2740"/>
      <c r="AT566" s="2750"/>
      <c r="AU566" s="2751"/>
      <c r="AV566" s="1092">
        <f t="shared" si="330"/>
        <v>0</v>
      </c>
      <c r="AW566" s="1092">
        <f t="shared" si="331"/>
        <v>0</v>
      </c>
      <c r="AX566" s="1092">
        <f t="shared" si="332"/>
        <v>0</v>
      </c>
      <c r="AY566" s="2765">
        <f t="shared" si="333"/>
        <v>0</v>
      </c>
      <c r="AZ566" s="2720">
        <f t="shared" si="334"/>
        <v>0</v>
      </c>
      <c r="BA566" s="2720">
        <f t="shared" si="335"/>
        <v>0</v>
      </c>
      <c r="BB566" s="2720">
        <f t="shared" si="336"/>
        <v>0</v>
      </c>
      <c r="BC566" s="2720">
        <f t="shared" si="337"/>
        <v>0</v>
      </c>
      <c r="BD566" s="2720">
        <f t="shared" si="338"/>
        <v>0</v>
      </c>
      <c r="BE566" s="2720">
        <f t="shared" si="339"/>
        <v>0</v>
      </c>
      <c r="BF566" s="2720">
        <f t="shared" si="340"/>
        <v>0</v>
      </c>
      <c r="BG566" s="2720">
        <f t="shared" si="341"/>
        <v>0</v>
      </c>
      <c r="BH566" s="2720">
        <f t="shared" si="342"/>
        <v>0</v>
      </c>
      <c r="BI566" s="2720">
        <f t="shared" si="343"/>
        <v>0</v>
      </c>
      <c r="BJ566" s="2720">
        <f t="shared" si="344"/>
        <v>0</v>
      </c>
      <c r="BK566" s="2720">
        <f t="shared" si="345"/>
        <v>0</v>
      </c>
      <c r="BL566" s="2720">
        <f t="shared" si="346"/>
        <v>0</v>
      </c>
      <c r="BM566" s="2720">
        <f t="shared" si="347"/>
        <v>0</v>
      </c>
      <c r="BN566" s="2720">
        <f t="shared" si="348"/>
        <v>0</v>
      </c>
      <c r="BO566" s="2720">
        <f t="shared" si="349"/>
        <v>0</v>
      </c>
      <c r="BP566" s="2720">
        <f t="shared" si="350"/>
        <v>0</v>
      </c>
      <c r="BQ566" s="2720">
        <f t="shared" si="351"/>
        <v>0</v>
      </c>
      <c r="BR566" s="2720">
        <f t="shared" si="352"/>
        <v>0</v>
      </c>
      <c r="BS566" s="2720">
        <f t="shared" si="353"/>
        <v>0</v>
      </c>
      <c r="BT566" s="2772">
        <f t="shared" si="354"/>
        <v>0</v>
      </c>
    </row>
    <row r="567" spans="1:72">
      <c r="A567" s="2717"/>
      <c r="B567" s="2718"/>
      <c r="C567" s="2718"/>
      <c r="D567" s="2719"/>
      <c r="E567" s="2720">
        <f t="shared" si="326"/>
        <v>0</v>
      </c>
      <c r="F567" s="2721"/>
      <c r="G567" s="2722">
        <f t="shared" si="327"/>
        <v>0</v>
      </c>
      <c r="H567" s="2723">
        <f t="shared" si="328"/>
        <v>0</v>
      </c>
      <c r="I567" s="2730"/>
      <c r="J567" s="2730"/>
      <c r="K567" s="2730"/>
      <c r="L567" s="2730"/>
      <c r="M567" s="2730"/>
      <c r="N567" s="2730"/>
      <c r="O567" s="2730"/>
      <c r="P567" s="2730"/>
      <c r="Q567" s="2730"/>
      <c r="R567" s="2730"/>
      <c r="S567" s="2730"/>
      <c r="T567" s="2730"/>
      <c r="U567" s="2730"/>
      <c r="V567" s="2730"/>
      <c r="W567" s="2730"/>
      <c r="X567" s="2730"/>
      <c r="Y567" s="2730"/>
      <c r="Z567" s="2730"/>
      <c r="AA567" s="2730"/>
      <c r="AB567" s="2730"/>
      <c r="AC567" s="2720">
        <f t="shared" si="329"/>
        <v>0</v>
      </c>
      <c r="AD567" s="2740"/>
      <c r="AE567" s="2740"/>
      <c r="AF567" s="2740"/>
      <c r="AG567" s="2740"/>
      <c r="AH567" s="2740"/>
      <c r="AI567" s="2740"/>
      <c r="AJ567" s="2740"/>
      <c r="AK567" s="2740"/>
      <c r="AL567" s="2740"/>
      <c r="AM567" s="2740"/>
      <c r="AN567" s="2740"/>
      <c r="AO567" s="2740"/>
      <c r="AP567" s="2740"/>
      <c r="AQ567" s="2740"/>
      <c r="AR567" s="2740"/>
      <c r="AS567" s="2740"/>
      <c r="AT567" s="2750"/>
      <c r="AU567" s="2751"/>
      <c r="AV567" s="1092">
        <f t="shared" si="330"/>
        <v>0</v>
      </c>
      <c r="AW567" s="1092">
        <f t="shared" si="331"/>
        <v>0</v>
      </c>
      <c r="AX567" s="1092">
        <f t="shared" si="332"/>
        <v>0</v>
      </c>
      <c r="AY567" s="2765">
        <f t="shared" si="333"/>
        <v>0</v>
      </c>
      <c r="AZ567" s="2720">
        <f t="shared" si="334"/>
        <v>0</v>
      </c>
      <c r="BA567" s="2720">
        <f t="shared" si="335"/>
        <v>0</v>
      </c>
      <c r="BB567" s="2720">
        <f t="shared" si="336"/>
        <v>0</v>
      </c>
      <c r="BC567" s="2720">
        <f t="shared" si="337"/>
        <v>0</v>
      </c>
      <c r="BD567" s="2720">
        <f t="shared" si="338"/>
        <v>0</v>
      </c>
      <c r="BE567" s="2720">
        <f t="shared" si="339"/>
        <v>0</v>
      </c>
      <c r="BF567" s="2720">
        <f t="shared" si="340"/>
        <v>0</v>
      </c>
      <c r="BG567" s="2720">
        <f t="shared" si="341"/>
        <v>0</v>
      </c>
      <c r="BH567" s="2720">
        <f t="shared" si="342"/>
        <v>0</v>
      </c>
      <c r="BI567" s="2720">
        <f t="shared" si="343"/>
        <v>0</v>
      </c>
      <c r="BJ567" s="2720">
        <f t="shared" si="344"/>
        <v>0</v>
      </c>
      <c r="BK567" s="2720">
        <f t="shared" si="345"/>
        <v>0</v>
      </c>
      <c r="BL567" s="2720">
        <f t="shared" si="346"/>
        <v>0</v>
      </c>
      <c r="BM567" s="2720">
        <f t="shared" si="347"/>
        <v>0</v>
      </c>
      <c r="BN567" s="2720">
        <f t="shared" si="348"/>
        <v>0</v>
      </c>
      <c r="BO567" s="2720">
        <f t="shared" si="349"/>
        <v>0</v>
      </c>
      <c r="BP567" s="2720">
        <f t="shared" si="350"/>
        <v>0</v>
      </c>
      <c r="BQ567" s="2720">
        <f t="shared" si="351"/>
        <v>0</v>
      </c>
      <c r="BR567" s="2720">
        <f t="shared" si="352"/>
        <v>0</v>
      </c>
      <c r="BS567" s="2720">
        <f t="shared" si="353"/>
        <v>0</v>
      </c>
      <c r="BT567" s="2772">
        <f t="shared" si="354"/>
        <v>0</v>
      </c>
    </row>
    <row r="568" spans="1:72">
      <c r="A568" s="2717"/>
      <c r="B568" s="2718"/>
      <c r="C568" s="2718"/>
      <c r="D568" s="2719"/>
      <c r="E568" s="2720">
        <f t="shared" si="326"/>
        <v>0</v>
      </c>
      <c r="F568" s="2721"/>
      <c r="G568" s="2722">
        <f t="shared" si="327"/>
        <v>0</v>
      </c>
      <c r="H568" s="2723">
        <f t="shared" si="328"/>
        <v>0</v>
      </c>
      <c r="I568" s="2730"/>
      <c r="J568" s="2730"/>
      <c r="K568" s="2730"/>
      <c r="L568" s="2730"/>
      <c r="M568" s="2730"/>
      <c r="N568" s="2730"/>
      <c r="O568" s="2730"/>
      <c r="P568" s="2730"/>
      <c r="Q568" s="2730"/>
      <c r="R568" s="2730"/>
      <c r="S568" s="2730"/>
      <c r="T568" s="2730"/>
      <c r="U568" s="2730"/>
      <c r="V568" s="2730"/>
      <c r="W568" s="2730"/>
      <c r="X568" s="2730"/>
      <c r="Y568" s="2730"/>
      <c r="Z568" s="2730"/>
      <c r="AA568" s="2730"/>
      <c r="AB568" s="2730"/>
      <c r="AC568" s="2720">
        <f t="shared" si="329"/>
        <v>0</v>
      </c>
      <c r="AD568" s="2740"/>
      <c r="AE568" s="2740"/>
      <c r="AF568" s="2740"/>
      <c r="AG568" s="2740"/>
      <c r="AH568" s="2740"/>
      <c r="AI568" s="2740"/>
      <c r="AJ568" s="2740"/>
      <c r="AK568" s="2740"/>
      <c r="AL568" s="2740"/>
      <c r="AM568" s="2740"/>
      <c r="AN568" s="2740"/>
      <c r="AO568" s="2740"/>
      <c r="AP568" s="2740"/>
      <c r="AQ568" s="2740"/>
      <c r="AR568" s="2740"/>
      <c r="AS568" s="2740"/>
      <c r="AT568" s="2750"/>
      <c r="AU568" s="2751"/>
      <c r="AV568" s="1092">
        <f t="shared" si="330"/>
        <v>0</v>
      </c>
      <c r="AW568" s="1092">
        <f t="shared" si="331"/>
        <v>0</v>
      </c>
      <c r="AX568" s="1092">
        <f t="shared" si="332"/>
        <v>0</v>
      </c>
      <c r="AY568" s="2765">
        <f t="shared" si="333"/>
        <v>0</v>
      </c>
      <c r="AZ568" s="2720">
        <f t="shared" si="334"/>
        <v>0</v>
      </c>
      <c r="BA568" s="2720">
        <f t="shared" si="335"/>
        <v>0</v>
      </c>
      <c r="BB568" s="2720">
        <f t="shared" si="336"/>
        <v>0</v>
      </c>
      <c r="BC568" s="2720">
        <f t="shared" si="337"/>
        <v>0</v>
      </c>
      <c r="BD568" s="2720">
        <f t="shared" si="338"/>
        <v>0</v>
      </c>
      <c r="BE568" s="2720">
        <f t="shared" si="339"/>
        <v>0</v>
      </c>
      <c r="BF568" s="2720">
        <f t="shared" si="340"/>
        <v>0</v>
      </c>
      <c r="BG568" s="2720">
        <f t="shared" si="341"/>
        <v>0</v>
      </c>
      <c r="BH568" s="2720">
        <f t="shared" si="342"/>
        <v>0</v>
      </c>
      <c r="BI568" s="2720">
        <f t="shared" si="343"/>
        <v>0</v>
      </c>
      <c r="BJ568" s="2720">
        <f t="shared" si="344"/>
        <v>0</v>
      </c>
      <c r="BK568" s="2720">
        <f t="shared" si="345"/>
        <v>0</v>
      </c>
      <c r="BL568" s="2720">
        <f t="shared" si="346"/>
        <v>0</v>
      </c>
      <c r="BM568" s="2720">
        <f t="shared" si="347"/>
        <v>0</v>
      </c>
      <c r="BN568" s="2720">
        <f t="shared" si="348"/>
        <v>0</v>
      </c>
      <c r="BO568" s="2720">
        <f t="shared" si="349"/>
        <v>0</v>
      </c>
      <c r="BP568" s="2720">
        <f t="shared" si="350"/>
        <v>0</v>
      </c>
      <c r="BQ568" s="2720">
        <f t="shared" si="351"/>
        <v>0</v>
      </c>
      <c r="BR568" s="2720">
        <f t="shared" si="352"/>
        <v>0</v>
      </c>
      <c r="BS568" s="2720">
        <f t="shared" si="353"/>
        <v>0</v>
      </c>
      <c r="BT568" s="2772">
        <f t="shared" si="354"/>
        <v>0</v>
      </c>
    </row>
    <row r="569" spans="1:72">
      <c r="A569" s="2717"/>
      <c r="B569" s="2718"/>
      <c r="C569" s="2718"/>
      <c r="D569" s="2719"/>
      <c r="E569" s="2720">
        <f t="shared" si="326"/>
        <v>0</v>
      </c>
      <c r="F569" s="2721"/>
      <c r="G569" s="2722">
        <f t="shared" si="327"/>
        <v>0</v>
      </c>
      <c r="H569" s="2723">
        <f t="shared" si="328"/>
        <v>0</v>
      </c>
      <c r="I569" s="2730"/>
      <c r="J569" s="2730"/>
      <c r="K569" s="2730"/>
      <c r="L569" s="2730"/>
      <c r="M569" s="2730"/>
      <c r="N569" s="2730"/>
      <c r="O569" s="2730"/>
      <c r="P569" s="2730"/>
      <c r="Q569" s="2730"/>
      <c r="R569" s="2730"/>
      <c r="S569" s="2730"/>
      <c r="T569" s="2730"/>
      <c r="U569" s="2730"/>
      <c r="V569" s="2730"/>
      <c r="W569" s="2730"/>
      <c r="X569" s="2730"/>
      <c r="Y569" s="2730"/>
      <c r="Z569" s="2730"/>
      <c r="AA569" s="2730"/>
      <c r="AB569" s="2730"/>
      <c r="AC569" s="2720">
        <f t="shared" si="329"/>
        <v>0</v>
      </c>
      <c r="AD569" s="2740"/>
      <c r="AE569" s="2740"/>
      <c r="AF569" s="2740"/>
      <c r="AG569" s="2740"/>
      <c r="AH569" s="2740"/>
      <c r="AI569" s="2740"/>
      <c r="AJ569" s="2740"/>
      <c r="AK569" s="2740"/>
      <c r="AL569" s="2740"/>
      <c r="AM569" s="2740"/>
      <c r="AN569" s="2740"/>
      <c r="AO569" s="2740"/>
      <c r="AP569" s="2740"/>
      <c r="AQ569" s="2740"/>
      <c r="AR569" s="2740"/>
      <c r="AS569" s="2740"/>
      <c r="AT569" s="2750"/>
      <c r="AU569" s="2751"/>
      <c r="AV569" s="1092">
        <f t="shared" si="330"/>
        <v>0</v>
      </c>
      <c r="AW569" s="1092">
        <f t="shared" si="331"/>
        <v>0</v>
      </c>
      <c r="AX569" s="1092">
        <f t="shared" si="332"/>
        <v>0</v>
      </c>
      <c r="AY569" s="2765">
        <f t="shared" si="333"/>
        <v>0</v>
      </c>
      <c r="AZ569" s="2720">
        <f t="shared" si="334"/>
        <v>0</v>
      </c>
      <c r="BA569" s="2720">
        <f t="shared" si="335"/>
        <v>0</v>
      </c>
      <c r="BB569" s="2720">
        <f t="shared" si="336"/>
        <v>0</v>
      </c>
      <c r="BC569" s="2720">
        <f t="shared" si="337"/>
        <v>0</v>
      </c>
      <c r="BD569" s="2720">
        <f t="shared" si="338"/>
        <v>0</v>
      </c>
      <c r="BE569" s="2720">
        <f t="shared" si="339"/>
        <v>0</v>
      </c>
      <c r="BF569" s="2720">
        <f t="shared" si="340"/>
        <v>0</v>
      </c>
      <c r="BG569" s="2720">
        <f t="shared" si="341"/>
        <v>0</v>
      </c>
      <c r="BH569" s="2720">
        <f t="shared" si="342"/>
        <v>0</v>
      </c>
      <c r="BI569" s="2720">
        <f t="shared" si="343"/>
        <v>0</v>
      </c>
      <c r="BJ569" s="2720">
        <f t="shared" si="344"/>
        <v>0</v>
      </c>
      <c r="BK569" s="2720">
        <f t="shared" si="345"/>
        <v>0</v>
      </c>
      <c r="BL569" s="2720">
        <f t="shared" si="346"/>
        <v>0</v>
      </c>
      <c r="BM569" s="2720">
        <f t="shared" si="347"/>
        <v>0</v>
      </c>
      <c r="BN569" s="2720">
        <f t="shared" si="348"/>
        <v>0</v>
      </c>
      <c r="BO569" s="2720">
        <f t="shared" si="349"/>
        <v>0</v>
      </c>
      <c r="BP569" s="2720">
        <f t="shared" si="350"/>
        <v>0</v>
      </c>
      <c r="BQ569" s="2720">
        <f t="shared" si="351"/>
        <v>0</v>
      </c>
      <c r="BR569" s="2720">
        <f t="shared" si="352"/>
        <v>0</v>
      </c>
      <c r="BS569" s="2720">
        <f t="shared" si="353"/>
        <v>0</v>
      </c>
      <c r="BT569" s="2772">
        <f t="shared" si="354"/>
        <v>0</v>
      </c>
    </row>
    <row r="570" spans="1:72">
      <c r="A570" s="2717"/>
      <c r="B570" s="2718"/>
      <c r="C570" s="2718"/>
      <c r="D570" s="2719"/>
      <c r="E570" s="2720">
        <f t="shared" si="326"/>
        <v>0</v>
      </c>
      <c r="F570" s="2721"/>
      <c r="G570" s="2722">
        <f t="shared" si="327"/>
        <v>0</v>
      </c>
      <c r="H570" s="2723">
        <f t="shared" si="328"/>
        <v>0</v>
      </c>
      <c r="I570" s="2730"/>
      <c r="J570" s="2730"/>
      <c r="K570" s="2730"/>
      <c r="L570" s="2730"/>
      <c r="M570" s="2730"/>
      <c r="N570" s="2730"/>
      <c r="O570" s="2730"/>
      <c r="P570" s="2730"/>
      <c r="Q570" s="2730"/>
      <c r="R570" s="2730"/>
      <c r="S570" s="2730"/>
      <c r="T570" s="2730"/>
      <c r="U570" s="2730"/>
      <c r="V570" s="2730"/>
      <c r="W570" s="2730"/>
      <c r="X570" s="2730"/>
      <c r="Y570" s="2730"/>
      <c r="Z570" s="2730"/>
      <c r="AA570" s="2730"/>
      <c r="AB570" s="2730"/>
      <c r="AC570" s="2720">
        <f t="shared" si="329"/>
        <v>0</v>
      </c>
      <c r="AD570" s="2740"/>
      <c r="AE570" s="2740"/>
      <c r="AF570" s="2740"/>
      <c r="AG570" s="2740"/>
      <c r="AH570" s="2740"/>
      <c r="AI570" s="2740"/>
      <c r="AJ570" s="2740"/>
      <c r="AK570" s="2740"/>
      <c r="AL570" s="2740"/>
      <c r="AM570" s="2740"/>
      <c r="AN570" s="2740"/>
      <c r="AO570" s="2740"/>
      <c r="AP570" s="2740"/>
      <c r="AQ570" s="2740"/>
      <c r="AR570" s="2740"/>
      <c r="AS570" s="2740"/>
      <c r="AT570" s="2750"/>
      <c r="AU570" s="2751"/>
      <c r="AV570" s="1092">
        <f t="shared" si="330"/>
        <v>0</v>
      </c>
      <c r="AW570" s="1092">
        <f t="shared" si="331"/>
        <v>0</v>
      </c>
      <c r="AX570" s="1092">
        <f t="shared" si="332"/>
        <v>0</v>
      </c>
      <c r="AY570" s="2765">
        <f t="shared" si="333"/>
        <v>0</v>
      </c>
      <c r="AZ570" s="2720">
        <f t="shared" si="334"/>
        <v>0</v>
      </c>
      <c r="BA570" s="2720">
        <f t="shared" si="335"/>
        <v>0</v>
      </c>
      <c r="BB570" s="2720">
        <f t="shared" si="336"/>
        <v>0</v>
      </c>
      <c r="BC570" s="2720">
        <f t="shared" si="337"/>
        <v>0</v>
      </c>
      <c r="BD570" s="2720">
        <f t="shared" si="338"/>
        <v>0</v>
      </c>
      <c r="BE570" s="2720">
        <f t="shared" si="339"/>
        <v>0</v>
      </c>
      <c r="BF570" s="2720">
        <f t="shared" si="340"/>
        <v>0</v>
      </c>
      <c r="BG570" s="2720">
        <f t="shared" si="341"/>
        <v>0</v>
      </c>
      <c r="BH570" s="2720">
        <f t="shared" si="342"/>
        <v>0</v>
      </c>
      <c r="BI570" s="2720">
        <f t="shared" si="343"/>
        <v>0</v>
      </c>
      <c r="BJ570" s="2720">
        <f t="shared" si="344"/>
        <v>0</v>
      </c>
      <c r="BK570" s="2720">
        <f t="shared" si="345"/>
        <v>0</v>
      </c>
      <c r="BL570" s="2720">
        <f t="shared" si="346"/>
        <v>0</v>
      </c>
      <c r="BM570" s="2720">
        <f t="shared" si="347"/>
        <v>0</v>
      </c>
      <c r="BN570" s="2720">
        <f t="shared" si="348"/>
        <v>0</v>
      </c>
      <c r="BO570" s="2720">
        <f t="shared" si="349"/>
        <v>0</v>
      </c>
      <c r="BP570" s="2720">
        <f t="shared" si="350"/>
        <v>0</v>
      </c>
      <c r="BQ570" s="2720">
        <f t="shared" si="351"/>
        <v>0</v>
      </c>
      <c r="BR570" s="2720">
        <f t="shared" si="352"/>
        <v>0</v>
      </c>
      <c r="BS570" s="2720">
        <f t="shared" si="353"/>
        <v>0</v>
      </c>
      <c r="BT570" s="2772">
        <f t="shared" si="354"/>
        <v>0</v>
      </c>
    </row>
    <row r="571" spans="1:72">
      <c r="A571" s="2717"/>
      <c r="B571" s="2718"/>
      <c r="C571" s="2718"/>
      <c r="D571" s="2719"/>
      <c r="E571" s="2720">
        <f t="shared" si="326"/>
        <v>0</v>
      </c>
      <c r="F571" s="2721"/>
      <c r="G571" s="2722">
        <f t="shared" si="327"/>
        <v>0</v>
      </c>
      <c r="H571" s="2723">
        <f t="shared" si="328"/>
        <v>0</v>
      </c>
      <c r="I571" s="2730"/>
      <c r="J571" s="2730"/>
      <c r="K571" s="2730"/>
      <c r="L571" s="2730"/>
      <c r="M571" s="2730"/>
      <c r="N571" s="2730"/>
      <c r="O571" s="2730"/>
      <c r="P571" s="2730"/>
      <c r="Q571" s="2730"/>
      <c r="R571" s="2730"/>
      <c r="S571" s="2730"/>
      <c r="T571" s="2730"/>
      <c r="U571" s="2730"/>
      <c r="V571" s="2730"/>
      <c r="W571" s="2730"/>
      <c r="X571" s="2730"/>
      <c r="Y571" s="2730"/>
      <c r="Z571" s="2730"/>
      <c r="AA571" s="2730"/>
      <c r="AB571" s="2730"/>
      <c r="AC571" s="2720">
        <f t="shared" si="329"/>
        <v>0</v>
      </c>
      <c r="AD571" s="2740"/>
      <c r="AE571" s="2740"/>
      <c r="AF571" s="2740"/>
      <c r="AG571" s="2740"/>
      <c r="AH571" s="2740"/>
      <c r="AI571" s="2740"/>
      <c r="AJ571" s="2740"/>
      <c r="AK571" s="2740"/>
      <c r="AL571" s="2740"/>
      <c r="AM571" s="2740"/>
      <c r="AN571" s="2740"/>
      <c r="AO571" s="2740"/>
      <c r="AP571" s="2740"/>
      <c r="AQ571" s="2740"/>
      <c r="AR571" s="2740"/>
      <c r="AS571" s="2740"/>
      <c r="AT571" s="2750"/>
      <c r="AU571" s="2751"/>
      <c r="AV571" s="1092">
        <f t="shared" si="330"/>
        <v>0</v>
      </c>
      <c r="AW571" s="1092">
        <f t="shared" si="331"/>
        <v>0</v>
      </c>
      <c r="AX571" s="1092">
        <f t="shared" si="332"/>
        <v>0</v>
      </c>
      <c r="AY571" s="2765">
        <f t="shared" si="333"/>
        <v>0</v>
      </c>
      <c r="AZ571" s="2720">
        <f t="shared" si="334"/>
        <v>0</v>
      </c>
      <c r="BA571" s="2720">
        <f t="shared" si="335"/>
        <v>0</v>
      </c>
      <c r="BB571" s="2720">
        <f t="shared" si="336"/>
        <v>0</v>
      </c>
      <c r="BC571" s="2720">
        <f t="shared" si="337"/>
        <v>0</v>
      </c>
      <c r="BD571" s="2720">
        <f t="shared" si="338"/>
        <v>0</v>
      </c>
      <c r="BE571" s="2720">
        <f t="shared" si="339"/>
        <v>0</v>
      </c>
      <c r="BF571" s="2720">
        <f t="shared" si="340"/>
        <v>0</v>
      </c>
      <c r="BG571" s="2720">
        <f t="shared" si="341"/>
        <v>0</v>
      </c>
      <c r="BH571" s="2720">
        <f t="shared" si="342"/>
        <v>0</v>
      </c>
      <c r="BI571" s="2720">
        <f t="shared" si="343"/>
        <v>0</v>
      </c>
      <c r="BJ571" s="2720">
        <f t="shared" si="344"/>
        <v>0</v>
      </c>
      <c r="BK571" s="2720">
        <f t="shared" si="345"/>
        <v>0</v>
      </c>
      <c r="BL571" s="2720">
        <f t="shared" si="346"/>
        <v>0</v>
      </c>
      <c r="BM571" s="2720">
        <f t="shared" si="347"/>
        <v>0</v>
      </c>
      <c r="BN571" s="2720">
        <f t="shared" si="348"/>
        <v>0</v>
      </c>
      <c r="BO571" s="2720">
        <f t="shared" si="349"/>
        <v>0</v>
      </c>
      <c r="BP571" s="2720">
        <f t="shared" si="350"/>
        <v>0</v>
      </c>
      <c r="BQ571" s="2720">
        <f t="shared" si="351"/>
        <v>0</v>
      </c>
      <c r="BR571" s="2720">
        <f t="shared" si="352"/>
        <v>0</v>
      </c>
      <c r="BS571" s="2720">
        <f t="shared" si="353"/>
        <v>0</v>
      </c>
      <c r="BT571" s="2772">
        <f t="shared" si="354"/>
        <v>0</v>
      </c>
    </row>
    <row r="572" spans="1:72">
      <c r="A572" s="2717"/>
      <c r="B572" s="2718"/>
      <c r="C572" s="2718"/>
      <c r="D572" s="2719"/>
      <c r="E572" s="2720">
        <f t="shared" si="326"/>
        <v>0</v>
      </c>
      <c r="F572" s="2721"/>
      <c r="G572" s="2722">
        <f t="shared" si="327"/>
        <v>0</v>
      </c>
      <c r="H572" s="2723">
        <f t="shared" si="328"/>
        <v>0</v>
      </c>
      <c r="I572" s="2730"/>
      <c r="J572" s="2730"/>
      <c r="K572" s="2730"/>
      <c r="L572" s="2730"/>
      <c r="M572" s="2730"/>
      <c r="N572" s="2730"/>
      <c r="O572" s="2730"/>
      <c r="P572" s="2730"/>
      <c r="Q572" s="2730"/>
      <c r="R572" s="2730"/>
      <c r="S572" s="2730"/>
      <c r="T572" s="2730"/>
      <c r="U572" s="2730"/>
      <c r="V572" s="2730"/>
      <c r="W572" s="2730"/>
      <c r="X572" s="2730"/>
      <c r="Y572" s="2730"/>
      <c r="Z572" s="2730"/>
      <c r="AA572" s="2730"/>
      <c r="AB572" s="2730"/>
      <c r="AC572" s="2720">
        <f t="shared" si="329"/>
        <v>0</v>
      </c>
      <c r="AD572" s="2740"/>
      <c r="AE572" s="2740"/>
      <c r="AF572" s="2740"/>
      <c r="AG572" s="2740"/>
      <c r="AH572" s="2740"/>
      <c r="AI572" s="2740"/>
      <c r="AJ572" s="2740"/>
      <c r="AK572" s="2740"/>
      <c r="AL572" s="2740"/>
      <c r="AM572" s="2740"/>
      <c r="AN572" s="2740"/>
      <c r="AO572" s="2740"/>
      <c r="AP572" s="2740"/>
      <c r="AQ572" s="2740"/>
      <c r="AR572" s="2740"/>
      <c r="AS572" s="2740"/>
      <c r="AT572" s="2750"/>
      <c r="AU572" s="2751"/>
      <c r="AV572" s="1092">
        <f t="shared" si="330"/>
        <v>0</v>
      </c>
      <c r="AW572" s="1092">
        <f t="shared" si="331"/>
        <v>0</v>
      </c>
      <c r="AX572" s="1092">
        <f t="shared" si="332"/>
        <v>0</v>
      </c>
      <c r="AY572" s="2765">
        <f t="shared" si="333"/>
        <v>0</v>
      </c>
      <c r="AZ572" s="2720">
        <f t="shared" si="334"/>
        <v>0</v>
      </c>
      <c r="BA572" s="2720">
        <f t="shared" si="335"/>
        <v>0</v>
      </c>
      <c r="BB572" s="2720">
        <f t="shared" si="336"/>
        <v>0</v>
      </c>
      <c r="BC572" s="2720">
        <f t="shared" si="337"/>
        <v>0</v>
      </c>
      <c r="BD572" s="2720">
        <f t="shared" si="338"/>
        <v>0</v>
      </c>
      <c r="BE572" s="2720">
        <f t="shared" si="339"/>
        <v>0</v>
      </c>
      <c r="BF572" s="2720">
        <f t="shared" si="340"/>
        <v>0</v>
      </c>
      <c r="BG572" s="2720">
        <f t="shared" si="341"/>
        <v>0</v>
      </c>
      <c r="BH572" s="2720">
        <f t="shared" si="342"/>
        <v>0</v>
      </c>
      <c r="BI572" s="2720">
        <f t="shared" si="343"/>
        <v>0</v>
      </c>
      <c r="BJ572" s="2720">
        <f t="shared" si="344"/>
        <v>0</v>
      </c>
      <c r="BK572" s="2720">
        <f t="shared" si="345"/>
        <v>0</v>
      </c>
      <c r="BL572" s="2720">
        <f t="shared" si="346"/>
        <v>0</v>
      </c>
      <c r="BM572" s="2720">
        <f t="shared" si="347"/>
        <v>0</v>
      </c>
      <c r="BN572" s="2720">
        <f t="shared" si="348"/>
        <v>0</v>
      </c>
      <c r="BO572" s="2720">
        <f t="shared" si="349"/>
        <v>0</v>
      </c>
      <c r="BP572" s="2720">
        <f t="shared" si="350"/>
        <v>0</v>
      </c>
      <c r="BQ572" s="2720">
        <f t="shared" si="351"/>
        <v>0</v>
      </c>
      <c r="BR572" s="2720">
        <f t="shared" si="352"/>
        <v>0</v>
      </c>
      <c r="BS572" s="2720">
        <f t="shared" si="353"/>
        <v>0</v>
      </c>
      <c r="BT572" s="2772">
        <f t="shared" si="354"/>
        <v>0</v>
      </c>
    </row>
    <row r="573" spans="1:72">
      <c r="A573" s="2717"/>
      <c r="B573" s="2718"/>
      <c r="C573" s="2718"/>
      <c r="D573" s="2719"/>
      <c r="E573" s="2720">
        <f t="shared" si="326"/>
        <v>0</v>
      </c>
      <c r="F573" s="2721"/>
      <c r="G573" s="2722">
        <f t="shared" si="327"/>
        <v>0</v>
      </c>
      <c r="H573" s="2723">
        <f t="shared" si="328"/>
        <v>0</v>
      </c>
      <c r="I573" s="2730"/>
      <c r="J573" s="2730"/>
      <c r="K573" s="2730"/>
      <c r="L573" s="2730"/>
      <c r="M573" s="2730"/>
      <c r="N573" s="2730"/>
      <c r="O573" s="2730"/>
      <c r="P573" s="2730"/>
      <c r="Q573" s="2730"/>
      <c r="R573" s="2730"/>
      <c r="S573" s="2730"/>
      <c r="T573" s="2730"/>
      <c r="U573" s="2730"/>
      <c r="V573" s="2730"/>
      <c r="W573" s="2730"/>
      <c r="X573" s="2730"/>
      <c r="Y573" s="2730"/>
      <c r="Z573" s="2730"/>
      <c r="AA573" s="2730"/>
      <c r="AB573" s="2730"/>
      <c r="AC573" s="2720">
        <f t="shared" si="329"/>
        <v>0</v>
      </c>
      <c r="AD573" s="2740"/>
      <c r="AE573" s="2740"/>
      <c r="AF573" s="2740"/>
      <c r="AG573" s="2740"/>
      <c r="AH573" s="2740"/>
      <c r="AI573" s="2740"/>
      <c r="AJ573" s="2740"/>
      <c r="AK573" s="2740"/>
      <c r="AL573" s="2740"/>
      <c r="AM573" s="2740"/>
      <c r="AN573" s="2740"/>
      <c r="AO573" s="2740"/>
      <c r="AP573" s="2740"/>
      <c r="AQ573" s="2740"/>
      <c r="AR573" s="2740"/>
      <c r="AS573" s="2740"/>
      <c r="AT573" s="2750"/>
      <c r="AU573" s="2751"/>
      <c r="AV573" s="1092">
        <f t="shared" si="330"/>
        <v>0</v>
      </c>
      <c r="AW573" s="1092">
        <f t="shared" si="331"/>
        <v>0</v>
      </c>
      <c r="AX573" s="1092">
        <f t="shared" si="332"/>
        <v>0</v>
      </c>
      <c r="AY573" s="2765">
        <f t="shared" si="333"/>
        <v>0</v>
      </c>
      <c r="AZ573" s="2720">
        <f t="shared" si="334"/>
        <v>0</v>
      </c>
      <c r="BA573" s="2720">
        <f t="shared" si="335"/>
        <v>0</v>
      </c>
      <c r="BB573" s="2720">
        <f t="shared" si="336"/>
        <v>0</v>
      </c>
      <c r="BC573" s="2720">
        <f t="shared" si="337"/>
        <v>0</v>
      </c>
      <c r="BD573" s="2720">
        <f t="shared" si="338"/>
        <v>0</v>
      </c>
      <c r="BE573" s="2720">
        <f t="shared" si="339"/>
        <v>0</v>
      </c>
      <c r="BF573" s="2720">
        <f t="shared" si="340"/>
        <v>0</v>
      </c>
      <c r="BG573" s="2720">
        <f t="shared" si="341"/>
        <v>0</v>
      </c>
      <c r="BH573" s="2720">
        <f t="shared" si="342"/>
        <v>0</v>
      </c>
      <c r="BI573" s="2720">
        <f t="shared" si="343"/>
        <v>0</v>
      </c>
      <c r="BJ573" s="2720">
        <f t="shared" si="344"/>
        <v>0</v>
      </c>
      <c r="BK573" s="2720">
        <f t="shared" si="345"/>
        <v>0</v>
      </c>
      <c r="BL573" s="2720">
        <f t="shared" si="346"/>
        <v>0</v>
      </c>
      <c r="BM573" s="2720">
        <f t="shared" si="347"/>
        <v>0</v>
      </c>
      <c r="BN573" s="2720">
        <f t="shared" si="348"/>
        <v>0</v>
      </c>
      <c r="BO573" s="2720">
        <f t="shared" si="349"/>
        <v>0</v>
      </c>
      <c r="BP573" s="2720">
        <f t="shared" si="350"/>
        <v>0</v>
      </c>
      <c r="BQ573" s="2720">
        <f t="shared" si="351"/>
        <v>0</v>
      </c>
      <c r="BR573" s="2720">
        <f t="shared" si="352"/>
        <v>0</v>
      </c>
      <c r="BS573" s="2720">
        <f t="shared" si="353"/>
        <v>0</v>
      </c>
      <c r="BT573" s="2772">
        <f t="shared" si="354"/>
        <v>0</v>
      </c>
    </row>
    <row r="574" spans="1:72">
      <c r="A574" s="2717"/>
      <c r="B574" s="2718"/>
      <c r="C574" s="2718"/>
      <c r="D574" s="2719"/>
      <c r="E574" s="2720">
        <f t="shared" si="326"/>
        <v>0</v>
      </c>
      <c r="F574" s="2721"/>
      <c r="G574" s="2722">
        <f t="shared" si="327"/>
        <v>0</v>
      </c>
      <c r="H574" s="2723">
        <f t="shared" si="328"/>
        <v>0</v>
      </c>
      <c r="I574" s="2730"/>
      <c r="J574" s="2730"/>
      <c r="K574" s="2730"/>
      <c r="L574" s="2730"/>
      <c r="M574" s="2730"/>
      <c r="N574" s="2730"/>
      <c r="O574" s="2730"/>
      <c r="P574" s="2730"/>
      <c r="Q574" s="2730"/>
      <c r="R574" s="2730"/>
      <c r="S574" s="2730"/>
      <c r="T574" s="2730"/>
      <c r="U574" s="2730"/>
      <c r="V574" s="2730"/>
      <c r="W574" s="2730"/>
      <c r="X574" s="2730"/>
      <c r="Y574" s="2730"/>
      <c r="Z574" s="2730"/>
      <c r="AA574" s="2730"/>
      <c r="AB574" s="2730"/>
      <c r="AC574" s="2720">
        <f t="shared" si="329"/>
        <v>0</v>
      </c>
      <c r="AD574" s="2740"/>
      <c r="AE574" s="2740"/>
      <c r="AF574" s="2740"/>
      <c r="AG574" s="2740"/>
      <c r="AH574" s="2740"/>
      <c r="AI574" s="2740"/>
      <c r="AJ574" s="2740"/>
      <c r="AK574" s="2740"/>
      <c r="AL574" s="2740"/>
      <c r="AM574" s="2740"/>
      <c r="AN574" s="2740"/>
      <c r="AO574" s="2740"/>
      <c r="AP574" s="2740"/>
      <c r="AQ574" s="2740"/>
      <c r="AR574" s="2740"/>
      <c r="AS574" s="2740"/>
      <c r="AT574" s="2750"/>
      <c r="AU574" s="2751"/>
      <c r="AV574" s="1092">
        <f t="shared" si="330"/>
        <v>0</v>
      </c>
      <c r="AW574" s="1092">
        <f t="shared" si="331"/>
        <v>0</v>
      </c>
      <c r="AX574" s="1092">
        <f t="shared" si="332"/>
        <v>0</v>
      </c>
      <c r="AY574" s="2765">
        <f t="shared" si="333"/>
        <v>0</v>
      </c>
      <c r="AZ574" s="2720">
        <f t="shared" si="334"/>
        <v>0</v>
      </c>
      <c r="BA574" s="2720">
        <f t="shared" si="335"/>
        <v>0</v>
      </c>
      <c r="BB574" s="2720">
        <f t="shared" si="336"/>
        <v>0</v>
      </c>
      <c r="BC574" s="2720">
        <f t="shared" si="337"/>
        <v>0</v>
      </c>
      <c r="BD574" s="2720">
        <f t="shared" si="338"/>
        <v>0</v>
      </c>
      <c r="BE574" s="2720">
        <f t="shared" si="339"/>
        <v>0</v>
      </c>
      <c r="BF574" s="2720">
        <f t="shared" si="340"/>
        <v>0</v>
      </c>
      <c r="BG574" s="2720">
        <f t="shared" si="341"/>
        <v>0</v>
      </c>
      <c r="BH574" s="2720">
        <f t="shared" si="342"/>
        <v>0</v>
      </c>
      <c r="BI574" s="2720">
        <f t="shared" si="343"/>
        <v>0</v>
      </c>
      <c r="BJ574" s="2720">
        <f t="shared" si="344"/>
        <v>0</v>
      </c>
      <c r="BK574" s="2720">
        <f t="shared" si="345"/>
        <v>0</v>
      </c>
      <c r="BL574" s="2720">
        <f t="shared" si="346"/>
        <v>0</v>
      </c>
      <c r="BM574" s="2720">
        <f t="shared" si="347"/>
        <v>0</v>
      </c>
      <c r="BN574" s="2720">
        <f t="shared" si="348"/>
        <v>0</v>
      </c>
      <c r="BO574" s="2720">
        <f t="shared" si="349"/>
        <v>0</v>
      </c>
      <c r="BP574" s="2720">
        <f t="shared" si="350"/>
        <v>0</v>
      </c>
      <c r="BQ574" s="2720">
        <f t="shared" si="351"/>
        <v>0</v>
      </c>
      <c r="BR574" s="2720">
        <f t="shared" si="352"/>
        <v>0</v>
      </c>
      <c r="BS574" s="2720">
        <f t="shared" si="353"/>
        <v>0</v>
      </c>
      <c r="BT574" s="2772">
        <f t="shared" si="354"/>
        <v>0</v>
      </c>
    </row>
    <row r="575" spans="1:72">
      <c r="A575" s="2717"/>
      <c r="B575" s="2718"/>
      <c r="C575" s="2718"/>
      <c r="D575" s="2719"/>
      <c r="E575" s="2720">
        <f t="shared" si="326"/>
        <v>0</v>
      </c>
      <c r="F575" s="2721"/>
      <c r="G575" s="2722">
        <f t="shared" si="327"/>
        <v>0</v>
      </c>
      <c r="H575" s="2723">
        <f t="shared" si="328"/>
        <v>0</v>
      </c>
      <c r="I575" s="2730"/>
      <c r="J575" s="2730"/>
      <c r="K575" s="2730"/>
      <c r="L575" s="2730"/>
      <c r="M575" s="2730"/>
      <c r="N575" s="2730"/>
      <c r="O575" s="2730"/>
      <c r="P575" s="2730"/>
      <c r="Q575" s="2730"/>
      <c r="R575" s="2730"/>
      <c r="S575" s="2730"/>
      <c r="T575" s="2730"/>
      <c r="U575" s="2730"/>
      <c r="V575" s="2730"/>
      <c r="W575" s="2730"/>
      <c r="X575" s="2730"/>
      <c r="Y575" s="2730"/>
      <c r="Z575" s="2730"/>
      <c r="AA575" s="2730"/>
      <c r="AB575" s="2730"/>
      <c r="AC575" s="2720">
        <f t="shared" si="329"/>
        <v>0</v>
      </c>
      <c r="AD575" s="2740"/>
      <c r="AE575" s="2740"/>
      <c r="AF575" s="2740"/>
      <c r="AG575" s="2740"/>
      <c r="AH575" s="2740"/>
      <c r="AI575" s="2740"/>
      <c r="AJ575" s="2740"/>
      <c r="AK575" s="2740"/>
      <c r="AL575" s="2740"/>
      <c r="AM575" s="2740"/>
      <c r="AN575" s="2740"/>
      <c r="AO575" s="2740"/>
      <c r="AP575" s="2740"/>
      <c r="AQ575" s="2740"/>
      <c r="AR575" s="2740"/>
      <c r="AS575" s="2740"/>
      <c r="AT575" s="2750"/>
      <c r="AU575" s="2751"/>
      <c r="AV575" s="1092">
        <f t="shared" si="330"/>
        <v>0</v>
      </c>
      <c r="AW575" s="1092">
        <f t="shared" si="331"/>
        <v>0</v>
      </c>
      <c r="AX575" s="1092">
        <f t="shared" si="332"/>
        <v>0</v>
      </c>
      <c r="AY575" s="2765">
        <f t="shared" si="333"/>
        <v>0</v>
      </c>
      <c r="AZ575" s="2720">
        <f t="shared" si="334"/>
        <v>0</v>
      </c>
      <c r="BA575" s="2720">
        <f t="shared" si="335"/>
        <v>0</v>
      </c>
      <c r="BB575" s="2720">
        <f t="shared" si="336"/>
        <v>0</v>
      </c>
      <c r="BC575" s="2720">
        <f t="shared" si="337"/>
        <v>0</v>
      </c>
      <c r="BD575" s="2720">
        <f t="shared" si="338"/>
        <v>0</v>
      </c>
      <c r="BE575" s="2720">
        <f t="shared" si="339"/>
        <v>0</v>
      </c>
      <c r="BF575" s="2720">
        <f t="shared" si="340"/>
        <v>0</v>
      </c>
      <c r="BG575" s="2720">
        <f t="shared" si="341"/>
        <v>0</v>
      </c>
      <c r="BH575" s="2720">
        <f t="shared" si="342"/>
        <v>0</v>
      </c>
      <c r="BI575" s="2720">
        <f t="shared" si="343"/>
        <v>0</v>
      </c>
      <c r="BJ575" s="2720">
        <f t="shared" si="344"/>
        <v>0</v>
      </c>
      <c r="BK575" s="2720">
        <f t="shared" si="345"/>
        <v>0</v>
      </c>
      <c r="BL575" s="2720">
        <f t="shared" si="346"/>
        <v>0</v>
      </c>
      <c r="BM575" s="2720">
        <f t="shared" si="347"/>
        <v>0</v>
      </c>
      <c r="BN575" s="2720">
        <f t="shared" si="348"/>
        <v>0</v>
      </c>
      <c r="BO575" s="2720">
        <f t="shared" si="349"/>
        <v>0</v>
      </c>
      <c r="BP575" s="2720">
        <f t="shared" si="350"/>
        <v>0</v>
      </c>
      <c r="BQ575" s="2720">
        <f t="shared" si="351"/>
        <v>0</v>
      </c>
      <c r="BR575" s="2720">
        <f t="shared" si="352"/>
        <v>0</v>
      </c>
      <c r="BS575" s="2720">
        <f t="shared" si="353"/>
        <v>0</v>
      </c>
      <c r="BT575" s="2772">
        <f t="shared" si="354"/>
        <v>0</v>
      </c>
    </row>
    <row r="576" spans="1:72">
      <c r="A576" s="2717"/>
      <c r="B576" s="2718"/>
      <c r="C576" s="2718"/>
      <c r="D576" s="2719"/>
      <c r="E576" s="2720">
        <f t="shared" si="326"/>
        <v>0</v>
      </c>
      <c r="F576" s="2721"/>
      <c r="G576" s="2722">
        <f t="shared" si="327"/>
        <v>0</v>
      </c>
      <c r="H576" s="2723">
        <f t="shared" si="328"/>
        <v>0</v>
      </c>
      <c r="I576" s="2730"/>
      <c r="J576" s="2730"/>
      <c r="K576" s="2730"/>
      <c r="L576" s="2730"/>
      <c r="M576" s="2730"/>
      <c r="N576" s="2730"/>
      <c r="O576" s="2730"/>
      <c r="P576" s="2730"/>
      <c r="Q576" s="2730"/>
      <c r="R576" s="2730"/>
      <c r="S576" s="2730"/>
      <c r="T576" s="2730"/>
      <c r="U576" s="2730"/>
      <c r="V576" s="2730"/>
      <c r="W576" s="2730"/>
      <c r="X576" s="2730"/>
      <c r="Y576" s="2730"/>
      <c r="Z576" s="2730"/>
      <c r="AA576" s="2730"/>
      <c r="AB576" s="2730"/>
      <c r="AC576" s="2720">
        <f t="shared" si="329"/>
        <v>0</v>
      </c>
      <c r="AD576" s="2740"/>
      <c r="AE576" s="2740"/>
      <c r="AF576" s="2740"/>
      <c r="AG576" s="2740"/>
      <c r="AH576" s="2740"/>
      <c r="AI576" s="2740"/>
      <c r="AJ576" s="2740"/>
      <c r="AK576" s="2740"/>
      <c r="AL576" s="2740"/>
      <c r="AM576" s="2740"/>
      <c r="AN576" s="2740"/>
      <c r="AO576" s="2740"/>
      <c r="AP576" s="2740"/>
      <c r="AQ576" s="2740"/>
      <c r="AR576" s="2740"/>
      <c r="AS576" s="2740"/>
      <c r="AT576" s="2750"/>
      <c r="AU576" s="2751"/>
      <c r="AV576" s="1092">
        <f t="shared" si="330"/>
        <v>0</v>
      </c>
      <c r="AW576" s="1092">
        <f t="shared" si="331"/>
        <v>0</v>
      </c>
      <c r="AX576" s="1092">
        <f t="shared" si="332"/>
        <v>0</v>
      </c>
      <c r="AY576" s="2765">
        <f t="shared" si="333"/>
        <v>0</v>
      </c>
      <c r="AZ576" s="2720">
        <f t="shared" si="334"/>
        <v>0</v>
      </c>
      <c r="BA576" s="2720">
        <f t="shared" si="335"/>
        <v>0</v>
      </c>
      <c r="BB576" s="2720">
        <f t="shared" si="336"/>
        <v>0</v>
      </c>
      <c r="BC576" s="2720">
        <f t="shared" si="337"/>
        <v>0</v>
      </c>
      <c r="BD576" s="2720">
        <f t="shared" si="338"/>
        <v>0</v>
      </c>
      <c r="BE576" s="2720">
        <f t="shared" si="339"/>
        <v>0</v>
      </c>
      <c r="BF576" s="2720">
        <f t="shared" si="340"/>
        <v>0</v>
      </c>
      <c r="BG576" s="2720">
        <f t="shared" si="341"/>
        <v>0</v>
      </c>
      <c r="BH576" s="2720">
        <f t="shared" si="342"/>
        <v>0</v>
      </c>
      <c r="BI576" s="2720">
        <f t="shared" si="343"/>
        <v>0</v>
      </c>
      <c r="BJ576" s="2720">
        <f t="shared" si="344"/>
        <v>0</v>
      </c>
      <c r="BK576" s="2720">
        <f t="shared" si="345"/>
        <v>0</v>
      </c>
      <c r="BL576" s="2720">
        <f t="shared" si="346"/>
        <v>0</v>
      </c>
      <c r="BM576" s="2720">
        <f t="shared" si="347"/>
        <v>0</v>
      </c>
      <c r="BN576" s="2720">
        <f t="shared" si="348"/>
        <v>0</v>
      </c>
      <c r="BO576" s="2720">
        <f t="shared" si="349"/>
        <v>0</v>
      </c>
      <c r="BP576" s="2720">
        <f t="shared" si="350"/>
        <v>0</v>
      </c>
      <c r="BQ576" s="2720">
        <f t="shared" si="351"/>
        <v>0</v>
      </c>
      <c r="BR576" s="2720">
        <f t="shared" si="352"/>
        <v>0</v>
      </c>
      <c r="BS576" s="2720">
        <f t="shared" si="353"/>
        <v>0</v>
      </c>
      <c r="BT576" s="2772">
        <f t="shared" si="354"/>
        <v>0</v>
      </c>
    </row>
    <row r="577" spans="1:72">
      <c r="A577" s="2717"/>
      <c r="B577" s="2718"/>
      <c r="C577" s="2718"/>
      <c r="D577" s="2719"/>
      <c r="E577" s="2720">
        <f t="shared" si="326"/>
        <v>0</v>
      </c>
      <c r="F577" s="2721"/>
      <c r="G577" s="2722">
        <f t="shared" si="327"/>
        <v>0</v>
      </c>
      <c r="H577" s="2723">
        <f t="shared" si="328"/>
        <v>0</v>
      </c>
      <c r="I577" s="2730"/>
      <c r="J577" s="2730"/>
      <c r="K577" s="2730"/>
      <c r="L577" s="2730"/>
      <c r="M577" s="2730"/>
      <c r="N577" s="2730"/>
      <c r="O577" s="2730"/>
      <c r="P577" s="2730"/>
      <c r="Q577" s="2730"/>
      <c r="R577" s="2730"/>
      <c r="S577" s="2730"/>
      <c r="T577" s="2730"/>
      <c r="U577" s="2730"/>
      <c r="V577" s="2730"/>
      <c r="W577" s="2730"/>
      <c r="X577" s="2730"/>
      <c r="Y577" s="2730"/>
      <c r="Z577" s="2730"/>
      <c r="AA577" s="2730"/>
      <c r="AB577" s="2730"/>
      <c r="AC577" s="2720">
        <f t="shared" si="329"/>
        <v>0</v>
      </c>
      <c r="AD577" s="2740"/>
      <c r="AE577" s="2740"/>
      <c r="AF577" s="2740"/>
      <c r="AG577" s="2740"/>
      <c r="AH577" s="2740"/>
      <c r="AI577" s="2740"/>
      <c r="AJ577" s="2740"/>
      <c r="AK577" s="2740"/>
      <c r="AL577" s="2740"/>
      <c r="AM577" s="2740"/>
      <c r="AN577" s="2740"/>
      <c r="AO577" s="2740"/>
      <c r="AP577" s="2740"/>
      <c r="AQ577" s="2740"/>
      <c r="AR577" s="2740"/>
      <c r="AS577" s="2740"/>
      <c r="AT577" s="2750"/>
      <c r="AU577" s="2751"/>
      <c r="AV577" s="1092">
        <f t="shared" si="330"/>
        <v>0</v>
      </c>
      <c r="AW577" s="1092">
        <f t="shared" si="331"/>
        <v>0</v>
      </c>
      <c r="AX577" s="1092">
        <f t="shared" si="332"/>
        <v>0</v>
      </c>
      <c r="AY577" s="2765">
        <f t="shared" si="333"/>
        <v>0</v>
      </c>
      <c r="AZ577" s="2720">
        <f t="shared" si="334"/>
        <v>0</v>
      </c>
      <c r="BA577" s="2720">
        <f t="shared" si="335"/>
        <v>0</v>
      </c>
      <c r="BB577" s="2720">
        <f t="shared" si="336"/>
        <v>0</v>
      </c>
      <c r="BC577" s="2720">
        <f t="shared" si="337"/>
        <v>0</v>
      </c>
      <c r="BD577" s="2720">
        <f t="shared" si="338"/>
        <v>0</v>
      </c>
      <c r="BE577" s="2720">
        <f t="shared" si="339"/>
        <v>0</v>
      </c>
      <c r="BF577" s="2720">
        <f t="shared" si="340"/>
        <v>0</v>
      </c>
      <c r="BG577" s="2720">
        <f t="shared" si="341"/>
        <v>0</v>
      </c>
      <c r="BH577" s="2720">
        <f t="shared" si="342"/>
        <v>0</v>
      </c>
      <c r="BI577" s="2720">
        <f t="shared" si="343"/>
        <v>0</v>
      </c>
      <c r="BJ577" s="2720">
        <f t="shared" si="344"/>
        <v>0</v>
      </c>
      <c r="BK577" s="2720">
        <f t="shared" si="345"/>
        <v>0</v>
      </c>
      <c r="BL577" s="2720">
        <f t="shared" si="346"/>
        <v>0</v>
      </c>
      <c r="BM577" s="2720">
        <f t="shared" si="347"/>
        <v>0</v>
      </c>
      <c r="BN577" s="2720">
        <f t="shared" si="348"/>
        <v>0</v>
      </c>
      <c r="BO577" s="2720">
        <f t="shared" si="349"/>
        <v>0</v>
      </c>
      <c r="BP577" s="2720">
        <f t="shared" si="350"/>
        <v>0</v>
      </c>
      <c r="BQ577" s="2720">
        <f t="shared" si="351"/>
        <v>0</v>
      </c>
      <c r="BR577" s="2720">
        <f t="shared" si="352"/>
        <v>0</v>
      </c>
      <c r="BS577" s="2720">
        <f t="shared" si="353"/>
        <v>0</v>
      </c>
      <c r="BT577" s="2772">
        <f t="shared" si="354"/>
        <v>0</v>
      </c>
    </row>
    <row r="578" spans="1:72">
      <c r="A578" s="2717"/>
      <c r="B578" s="2718"/>
      <c r="C578" s="2718"/>
      <c r="D578" s="2719"/>
      <c r="E578" s="2720">
        <f t="shared" si="326"/>
        <v>0</v>
      </c>
      <c r="F578" s="2721"/>
      <c r="G578" s="2722">
        <f t="shared" si="327"/>
        <v>0</v>
      </c>
      <c r="H578" s="2723">
        <f t="shared" si="328"/>
        <v>0</v>
      </c>
      <c r="I578" s="2730"/>
      <c r="J578" s="2730"/>
      <c r="K578" s="2730"/>
      <c r="L578" s="2730"/>
      <c r="M578" s="2730"/>
      <c r="N578" s="2730"/>
      <c r="O578" s="2730"/>
      <c r="P578" s="2730"/>
      <c r="Q578" s="2730"/>
      <c r="R578" s="2730"/>
      <c r="S578" s="2730"/>
      <c r="T578" s="2730"/>
      <c r="U578" s="2730"/>
      <c r="V578" s="2730"/>
      <c r="W578" s="2730"/>
      <c r="X578" s="2730"/>
      <c r="Y578" s="2730"/>
      <c r="Z578" s="2730"/>
      <c r="AA578" s="2730"/>
      <c r="AB578" s="2730"/>
      <c r="AC578" s="2720">
        <f t="shared" si="329"/>
        <v>0</v>
      </c>
      <c r="AD578" s="2740"/>
      <c r="AE578" s="2740"/>
      <c r="AF578" s="2740"/>
      <c r="AG578" s="2740"/>
      <c r="AH578" s="2740"/>
      <c r="AI578" s="2740"/>
      <c r="AJ578" s="2740"/>
      <c r="AK578" s="2740"/>
      <c r="AL578" s="2740"/>
      <c r="AM578" s="2740"/>
      <c r="AN578" s="2740"/>
      <c r="AO578" s="2740"/>
      <c r="AP578" s="2740"/>
      <c r="AQ578" s="2740"/>
      <c r="AR578" s="2740"/>
      <c r="AS578" s="2740"/>
      <c r="AT578" s="2750"/>
      <c r="AU578" s="2751"/>
      <c r="AV578" s="1092">
        <f t="shared" si="330"/>
        <v>0</v>
      </c>
      <c r="AW578" s="1092">
        <f t="shared" si="331"/>
        <v>0</v>
      </c>
      <c r="AX578" s="1092">
        <f t="shared" si="332"/>
        <v>0</v>
      </c>
      <c r="AY578" s="2765">
        <f t="shared" si="333"/>
        <v>0</v>
      </c>
      <c r="AZ578" s="2720">
        <f t="shared" si="334"/>
        <v>0</v>
      </c>
      <c r="BA578" s="2720">
        <f t="shared" si="335"/>
        <v>0</v>
      </c>
      <c r="BB578" s="2720">
        <f t="shared" si="336"/>
        <v>0</v>
      </c>
      <c r="BC578" s="2720">
        <f t="shared" si="337"/>
        <v>0</v>
      </c>
      <c r="BD578" s="2720">
        <f t="shared" si="338"/>
        <v>0</v>
      </c>
      <c r="BE578" s="2720">
        <f t="shared" si="339"/>
        <v>0</v>
      </c>
      <c r="BF578" s="2720">
        <f t="shared" si="340"/>
        <v>0</v>
      </c>
      <c r="BG578" s="2720">
        <f t="shared" si="341"/>
        <v>0</v>
      </c>
      <c r="BH578" s="2720">
        <f t="shared" si="342"/>
        <v>0</v>
      </c>
      <c r="BI578" s="2720">
        <f t="shared" si="343"/>
        <v>0</v>
      </c>
      <c r="BJ578" s="2720">
        <f t="shared" si="344"/>
        <v>0</v>
      </c>
      <c r="BK578" s="2720">
        <f t="shared" si="345"/>
        <v>0</v>
      </c>
      <c r="BL578" s="2720">
        <f t="shared" si="346"/>
        <v>0</v>
      </c>
      <c r="BM578" s="2720">
        <f t="shared" si="347"/>
        <v>0</v>
      </c>
      <c r="BN578" s="2720">
        <f t="shared" si="348"/>
        <v>0</v>
      </c>
      <c r="BO578" s="2720">
        <f t="shared" si="349"/>
        <v>0</v>
      </c>
      <c r="BP578" s="2720">
        <f t="shared" si="350"/>
        <v>0</v>
      </c>
      <c r="BQ578" s="2720">
        <f t="shared" si="351"/>
        <v>0</v>
      </c>
      <c r="BR578" s="2720">
        <f t="shared" si="352"/>
        <v>0</v>
      </c>
      <c r="BS578" s="2720">
        <f t="shared" si="353"/>
        <v>0</v>
      </c>
      <c r="BT578" s="2772">
        <f t="shared" si="354"/>
        <v>0</v>
      </c>
    </row>
    <row r="579" spans="1:72">
      <c r="A579" s="2717"/>
      <c r="B579" s="2718"/>
      <c r="C579" s="2718"/>
      <c r="D579" s="2719"/>
      <c r="E579" s="2720">
        <f t="shared" si="326"/>
        <v>0</v>
      </c>
      <c r="F579" s="2721"/>
      <c r="G579" s="2722">
        <f t="shared" si="327"/>
        <v>0</v>
      </c>
      <c r="H579" s="2723">
        <f t="shared" si="328"/>
        <v>0</v>
      </c>
      <c r="I579" s="2730"/>
      <c r="J579" s="2730"/>
      <c r="K579" s="2730"/>
      <c r="L579" s="2730"/>
      <c r="M579" s="2730"/>
      <c r="N579" s="2730"/>
      <c r="O579" s="2730"/>
      <c r="P579" s="2730"/>
      <c r="Q579" s="2730"/>
      <c r="R579" s="2730"/>
      <c r="S579" s="2730"/>
      <c r="T579" s="2730"/>
      <c r="U579" s="2730"/>
      <c r="V579" s="2730"/>
      <c r="W579" s="2730"/>
      <c r="X579" s="2730"/>
      <c r="Y579" s="2730"/>
      <c r="Z579" s="2730"/>
      <c r="AA579" s="2730"/>
      <c r="AB579" s="2730"/>
      <c r="AC579" s="2720">
        <f t="shared" si="329"/>
        <v>0</v>
      </c>
      <c r="AD579" s="2740"/>
      <c r="AE579" s="2740"/>
      <c r="AF579" s="2740"/>
      <c r="AG579" s="2740"/>
      <c r="AH579" s="2740"/>
      <c r="AI579" s="2740"/>
      <c r="AJ579" s="2740"/>
      <c r="AK579" s="2740"/>
      <c r="AL579" s="2740"/>
      <c r="AM579" s="2740"/>
      <c r="AN579" s="2740"/>
      <c r="AO579" s="2740"/>
      <c r="AP579" s="2740"/>
      <c r="AQ579" s="2740"/>
      <c r="AR579" s="2740"/>
      <c r="AS579" s="2740"/>
      <c r="AT579" s="2750"/>
      <c r="AU579" s="2751"/>
      <c r="AV579" s="1092">
        <f t="shared" si="330"/>
        <v>0</v>
      </c>
      <c r="AW579" s="1092">
        <f t="shared" si="331"/>
        <v>0</v>
      </c>
      <c r="AX579" s="1092">
        <f t="shared" si="332"/>
        <v>0</v>
      </c>
      <c r="AY579" s="2765">
        <f t="shared" si="333"/>
        <v>0</v>
      </c>
      <c r="AZ579" s="2720">
        <f t="shared" si="334"/>
        <v>0</v>
      </c>
      <c r="BA579" s="2720">
        <f t="shared" si="335"/>
        <v>0</v>
      </c>
      <c r="BB579" s="2720">
        <f t="shared" si="336"/>
        <v>0</v>
      </c>
      <c r="BC579" s="2720">
        <f t="shared" si="337"/>
        <v>0</v>
      </c>
      <c r="BD579" s="2720">
        <f t="shared" si="338"/>
        <v>0</v>
      </c>
      <c r="BE579" s="2720">
        <f t="shared" si="339"/>
        <v>0</v>
      </c>
      <c r="BF579" s="2720">
        <f t="shared" si="340"/>
        <v>0</v>
      </c>
      <c r="BG579" s="2720">
        <f t="shared" si="341"/>
        <v>0</v>
      </c>
      <c r="BH579" s="2720">
        <f t="shared" si="342"/>
        <v>0</v>
      </c>
      <c r="BI579" s="2720">
        <f t="shared" si="343"/>
        <v>0</v>
      </c>
      <c r="BJ579" s="2720">
        <f t="shared" si="344"/>
        <v>0</v>
      </c>
      <c r="BK579" s="2720">
        <f t="shared" si="345"/>
        <v>0</v>
      </c>
      <c r="BL579" s="2720">
        <f t="shared" si="346"/>
        <v>0</v>
      </c>
      <c r="BM579" s="2720">
        <f t="shared" si="347"/>
        <v>0</v>
      </c>
      <c r="BN579" s="2720">
        <f t="shared" si="348"/>
        <v>0</v>
      </c>
      <c r="BO579" s="2720">
        <f t="shared" si="349"/>
        <v>0</v>
      </c>
      <c r="BP579" s="2720">
        <f t="shared" si="350"/>
        <v>0</v>
      </c>
      <c r="BQ579" s="2720">
        <f t="shared" si="351"/>
        <v>0</v>
      </c>
      <c r="BR579" s="2720">
        <f t="shared" si="352"/>
        <v>0</v>
      </c>
      <c r="BS579" s="2720">
        <f t="shared" si="353"/>
        <v>0</v>
      </c>
      <c r="BT579" s="2772">
        <f t="shared" si="354"/>
        <v>0</v>
      </c>
    </row>
    <row r="580" spans="1:72">
      <c r="A580" s="2717"/>
      <c r="B580" s="2718"/>
      <c r="C580" s="2718"/>
      <c r="D580" s="2719"/>
      <c r="E580" s="2720">
        <f t="shared" si="326"/>
        <v>0</v>
      </c>
      <c r="F580" s="2721"/>
      <c r="G580" s="2722">
        <f t="shared" si="327"/>
        <v>0</v>
      </c>
      <c r="H580" s="2723">
        <f t="shared" si="328"/>
        <v>0</v>
      </c>
      <c r="I580" s="2730"/>
      <c r="J580" s="2730"/>
      <c r="K580" s="2730"/>
      <c r="L580" s="2730"/>
      <c r="M580" s="2730"/>
      <c r="N580" s="2730"/>
      <c r="O580" s="2730"/>
      <c r="P580" s="2730"/>
      <c r="Q580" s="2730"/>
      <c r="R580" s="2730"/>
      <c r="S580" s="2730"/>
      <c r="T580" s="2730"/>
      <c r="U580" s="2730"/>
      <c r="V580" s="2730"/>
      <c r="W580" s="2730"/>
      <c r="X580" s="2730"/>
      <c r="Y580" s="2730"/>
      <c r="Z580" s="2730"/>
      <c r="AA580" s="2730"/>
      <c r="AB580" s="2730"/>
      <c r="AC580" s="2720">
        <f t="shared" si="329"/>
        <v>0</v>
      </c>
      <c r="AD580" s="2740"/>
      <c r="AE580" s="2740"/>
      <c r="AF580" s="2740"/>
      <c r="AG580" s="2740"/>
      <c r="AH580" s="2740"/>
      <c r="AI580" s="2740"/>
      <c r="AJ580" s="2740"/>
      <c r="AK580" s="2740"/>
      <c r="AL580" s="2740"/>
      <c r="AM580" s="2740"/>
      <c r="AN580" s="2740"/>
      <c r="AO580" s="2740"/>
      <c r="AP580" s="2740"/>
      <c r="AQ580" s="2740"/>
      <c r="AR580" s="2740"/>
      <c r="AS580" s="2740"/>
      <c r="AT580" s="2750"/>
      <c r="AU580" s="2751"/>
      <c r="AV580" s="1092">
        <f t="shared" si="330"/>
        <v>0</v>
      </c>
      <c r="AW580" s="1092">
        <f t="shared" si="331"/>
        <v>0</v>
      </c>
      <c r="AX580" s="1092">
        <f t="shared" si="332"/>
        <v>0</v>
      </c>
      <c r="AY580" s="2765">
        <f t="shared" si="333"/>
        <v>0</v>
      </c>
      <c r="AZ580" s="2720">
        <f t="shared" si="334"/>
        <v>0</v>
      </c>
      <c r="BA580" s="2720">
        <f t="shared" si="335"/>
        <v>0</v>
      </c>
      <c r="BB580" s="2720">
        <f t="shared" si="336"/>
        <v>0</v>
      </c>
      <c r="BC580" s="2720">
        <f t="shared" si="337"/>
        <v>0</v>
      </c>
      <c r="BD580" s="2720">
        <f t="shared" si="338"/>
        <v>0</v>
      </c>
      <c r="BE580" s="2720">
        <f t="shared" si="339"/>
        <v>0</v>
      </c>
      <c r="BF580" s="2720">
        <f t="shared" si="340"/>
        <v>0</v>
      </c>
      <c r="BG580" s="2720">
        <f t="shared" si="341"/>
        <v>0</v>
      </c>
      <c r="BH580" s="2720">
        <f t="shared" si="342"/>
        <v>0</v>
      </c>
      <c r="BI580" s="2720">
        <f t="shared" si="343"/>
        <v>0</v>
      </c>
      <c r="BJ580" s="2720">
        <f t="shared" si="344"/>
        <v>0</v>
      </c>
      <c r="BK580" s="2720">
        <f t="shared" si="345"/>
        <v>0</v>
      </c>
      <c r="BL580" s="2720">
        <f t="shared" si="346"/>
        <v>0</v>
      </c>
      <c r="BM580" s="2720">
        <f t="shared" si="347"/>
        <v>0</v>
      </c>
      <c r="BN580" s="2720">
        <f t="shared" si="348"/>
        <v>0</v>
      </c>
      <c r="BO580" s="2720">
        <f t="shared" si="349"/>
        <v>0</v>
      </c>
      <c r="BP580" s="2720">
        <f t="shared" si="350"/>
        <v>0</v>
      </c>
      <c r="BQ580" s="2720">
        <f t="shared" si="351"/>
        <v>0</v>
      </c>
      <c r="BR580" s="2720">
        <f t="shared" si="352"/>
        <v>0</v>
      </c>
      <c r="BS580" s="2720">
        <f t="shared" si="353"/>
        <v>0</v>
      </c>
      <c r="BT580" s="2772">
        <f t="shared" si="354"/>
        <v>0</v>
      </c>
    </row>
    <row r="581" spans="1:72">
      <c r="A581" s="2717"/>
      <c r="B581" s="2718"/>
      <c r="C581" s="2718"/>
      <c r="D581" s="2719"/>
      <c r="E581" s="2720">
        <f t="shared" si="326"/>
        <v>0</v>
      </c>
      <c r="F581" s="2721"/>
      <c r="G581" s="2722">
        <f t="shared" si="327"/>
        <v>0</v>
      </c>
      <c r="H581" s="2723">
        <f t="shared" si="328"/>
        <v>0</v>
      </c>
      <c r="I581" s="2730"/>
      <c r="J581" s="2730"/>
      <c r="K581" s="2730"/>
      <c r="L581" s="2730"/>
      <c r="M581" s="2730"/>
      <c r="N581" s="2730"/>
      <c r="O581" s="2730"/>
      <c r="P581" s="2730"/>
      <c r="Q581" s="2730"/>
      <c r="R581" s="2730"/>
      <c r="S581" s="2730"/>
      <c r="T581" s="2730"/>
      <c r="U581" s="2730"/>
      <c r="V581" s="2730"/>
      <c r="W581" s="2730"/>
      <c r="X581" s="2730"/>
      <c r="Y581" s="2730"/>
      <c r="Z581" s="2730"/>
      <c r="AA581" s="2730"/>
      <c r="AB581" s="2730"/>
      <c r="AC581" s="2720">
        <f t="shared" si="329"/>
        <v>0</v>
      </c>
      <c r="AD581" s="2740"/>
      <c r="AE581" s="2740"/>
      <c r="AF581" s="2740"/>
      <c r="AG581" s="2740"/>
      <c r="AH581" s="2740"/>
      <c r="AI581" s="2740"/>
      <c r="AJ581" s="2740"/>
      <c r="AK581" s="2740"/>
      <c r="AL581" s="2740"/>
      <c r="AM581" s="2740"/>
      <c r="AN581" s="2740"/>
      <c r="AO581" s="2740"/>
      <c r="AP581" s="2740"/>
      <c r="AQ581" s="2740"/>
      <c r="AR581" s="2740"/>
      <c r="AS581" s="2740"/>
      <c r="AT581" s="2750"/>
      <c r="AU581" s="2751"/>
      <c r="AV581" s="1092">
        <f t="shared" si="330"/>
        <v>0</v>
      </c>
      <c r="AW581" s="1092">
        <f t="shared" si="331"/>
        <v>0</v>
      </c>
      <c r="AX581" s="1092">
        <f t="shared" si="332"/>
        <v>0</v>
      </c>
      <c r="AY581" s="2765">
        <f t="shared" si="333"/>
        <v>0</v>
      </c>
      <c r="AZ581" s="2720">
        <f t="shared" si="334"/>
        <v>0</v>
      </c>
      <c r="BA581" s="2720">
        <f t="shared" si="335"/>
        <v>0</v>
      </c>
      <c r="BB581" s="2720">
        <f t="shared" si="336"/>
        <v>0</v>
      </c>
      <c r="BC581" s="2720">
        <f t="shared" si="337"/>
        <v>0</v>
      </c>
      <c r="BD581" s="2720">
        <f t="shared" si="338"/>
        <v>0</v>
      </c>
      <c r="BE581" s="2720">
        <f t="shared" si="339"/>
        <v>0</v>
      </c>
      <c r="BF581" s="2720">
        <f t="shared" si="340"/>
        <v>0</v>
      </c>
      <c r="BG581" s="2720">
        <f t="shared" si="341"/>
        <v>0</v>
      </c>
      <c r="BH581" s="2720">
        <f t="shared" si="342"/>
        <v>0</v>
      </c>
      <c r="BI581" s="2720">
        <f t="shared" si="343"/>
        <v>0</v>
      </c>
      <c r="BJ581" s="2720">
        <f t="shared" si="344"/>
        <v>0</v>
      </c>
      <c r="BK581" s="2720">
        <f t="shared" si="345"/>
        <v>0</v>
      </c>
      <c r="BL581" s="2720">
        <f t="shared" si="346"/>
        <v>0</v>
      </c>
      <c r="BM581" s="2720">
        <f t="shared" si="347"/>
        <v>0</v>
      </c>
      <c r="BN581" s="2720">
        <f t="shared" si="348"/>
        <v>0</v>
      </c>
      <c r="BO581" s="2720">
        <f t="shared" si="349"/>
        <v>0</v>
      </c>
      <c r="BP581" s="2720">
        <f t="shared" si="350"/>
        <v>0</v>
      </c>
      <c r="BQ581" s="2720">
        <f t="shared" si="351"/>
        <v>0</v>
      </c>
      <c r="BR581" s="2720">
        <f t="shared" si="352"/>
        <v>0</v>
      </c>
      <c r="BS581" s="2720">
        <f t="shared" si="353"/>
        <v>0</v>
      </c>
      <c r="BT581" s="2772">
        <f t="shared" si="354"/>
        <v>0</v>
      </c>
    </row>
    <row r="582" spans="1:72">
      <c r="A582" s="2717"/>
      <c r="B582" s="2718"/>
      <c r="C582" s="2718"/>
      <c r="D582" s="2719"/>
      <c r="E582" s="2720">
        <f t="shared" si="326"/>
        <v>0</v>
      </c>
      <c r="F582" s="2721"/>
      <c r="G582" s="2722">
        <f t="shared" si="327"/>
        <v>0</v>
      </c>
      <c r="H582" s="2723">
        <f t="shared" si="328"/>
        <v>0</v>
      </c>
      <c r="I582" s="2730"/>
      <c r="J582" s="2730"/>
      <c r="K582" s="2730"/>
      <c r="L582" s="2730"/>
      <c r="M582" s="2730"/>
      <c r="N582" s="2730"/>
      <c r="O582" s="2730"/>
      <c r="P582" s="2730"/>
      <c r="Q582" s="2730"/>
      <c r="R582" s="2730"/>
      <c r="S582" s="2730"/>
      <c r="T582" s="2730"/>
      <c r="U582" s="2730"/>
      <c r="V582" s="2730"/>
      <c r="W582" s="2730"/>
      <c r="X582" s="2730"/>
      <c r="Y582" s="2730"/>
      <c r="Z582" s="2730"/>
      <c r="AA582" s="2730"/>
      <c r="AB582" s="2730"/>
      <c r="AC582" s="2720">
        <f t="shared" si="329"/>
        <v>0</v>
      </c>
      <c r="AD582" s="2740"/>
      <c r="AE582" s="2740"/>
      <c r="AF582" s="2740"/>
      <c r="AG582" s="2740"/>
      <c r="AH582" s="2740"/>
      <c r="AI582" s="2740"/>
      <c r="AJ582" s="2740"/>
      <c r="AK582" s="2740"/>
      <c r="AL582" s="2740"/>
      <c r="AM582" s="2740"/>
      <c r="AN582" s="2740"/>
      <c r="AO582" s="2740"/>
      <c r="AP582" s="2740"/>
      <c r="AQ582" s="2740"/>
      <c r="AR582" s="2740"/>
      <c r="AS582" s="2740"/>
      <c r="AT582" s="2750"/>
      <c r="AU582" s="2751"/>
      <c r="AV582" s="1092">
        <f t="shared" si="330"/>
        <v>0</v>
      </c>
      <c r="AW582" s="1092">
        <f t="shared" si="331"/>
        <v>0</v>
      </c>
      <c r="AX582" s="1092">
        <f t="shared" si="332"/>
        <v>0</v>
      </c>
      <c r="AY582" s="2765">
        <f t="shared" si="333"/>
        <v>0</v>
      </c>
      <c r="AZ582" s="2720">
        <f t="shared" si="334"/>
        <v>0</v>
      </c>
      <c r="BA582" s="2720">
        <f t="shared" si="335"/>
        <v>0</v>
      </c>
      <c r="BB582" s="2720">
        <f t="shared" si="336"/>
        <v>0</v>
      </c>
      <c r="BC582" s="2720">
        <f t="shared" si="337"/>
        <v>0</v>
      </c>
      <c r="BD582" s="2720">
        <f t="shared" si="338"/>
        <v>0</v>
      </c>
      <c r="BE582" s="2720">
        <f t="shared" si="339"/>
        <v>0</v>
      </c>
      <c r="BF582" s="2720">
        <f t="shared" si="340"/>
        <v>0</v>
      </c>
      <c r="BG582" s="2720">
        <f t="shared" si="341"/>
        <v>0</v>
      </c>
      <c r="BH582" s="2720">
        <f t="shared" si="342"/>
        <v>0</v>
      </c>
      <c r="BI582" s="2720">
        <f t="shared" si="343"/>
        <v>0</v>
      </c>
      <c r="BJ582" s="2720">
        <f t="shared" si="344"/>
        <v>0</v>
      </c>
      <c r="BK582" s="2720">
        <f t="shared" si="345"/>
        <v>0</v>
      </c>
      <c r="BL582" s="2720">
        <f t="shared" si="346"/>
        <v>0</v>
      </c>
      <c r="BM582" s="2720">
        <f t="shared" si="347"/>
        <v>0</v>
      </c>
      <c r="BN582" s="2720">
        <f t="shared" si="348"/>
        <v>0</v>
      </c>
      <c r="BO582" s="2720">
        <f t="shared" si="349"/>
        <v>0</v>
      </c>
      <c r="BP582" s="2720">
        <f t="shared" si="350"/>
        <v>0</v>
      </c>
      <c r="BQ582" s="2720">
        <f t="shared" si="351"/>
        <v>0</v>
      </c>
      <c r="BR582" s="2720">
        <f t="shared" si="352"/>
        <v>0</v>
      </c>
      <c r="BS582" s="2720">
        <f t="shared" si="353"/>
        <v>0</v>
      </c>
      <c r="BT582" s="2772">
        <f t="shared" si="354"/>
        <v>0</v>
      </c>
    </row>
    <row r="583" spans="1:72">
      <c r="A583" s="2717"/>
      <c r="B583" s="2718"/>
      <c r="C583" s="2718"/>
      <c r="D583" s="2719"/>
      <c r="E583" s="2720">
        <f t="shared" si="326"/>
        <v>0</v>
      </c>
      <c r="F583" s="2721"/>
      <c r="G583" s="2722">
        <f t="shared" si="327"/>
        <v>0</v>
      </c>
      <c r="H583" s="2723">
        <f t="shared" si="328"/>
        <v>0</v>
      </c>
      <c r="I583" s="2730"/>
      <c r="J583" s="2730"/>
      <c r="K583" s="2730"/>
      <c r="L583" s="2730"/>
      <c r="M583" s="2730"/>
      <c r="N583" s="2730"/>
      <c r="O583" s="2730"/>
      <c r="P583" s="2730"/>
      <c r="Q583" s="2730"/>
      <c r="R583" s="2730"/>
      <c r="S583" s="2730"/>
      <c r="T583" s="2730"/>
      <c r="U583" s="2730"/>
      <c r="V583" s="2730"/>
      <c r="W583" s="2730"/>
      <c r="X583" s="2730"/>
      <c r="Y583" s="2730"/>
      <c r="Z583" s="2730"/>
      <c r="AA583" s="2730"/>
      <c r="AB583" s="2730"/>
      <c r="AC583" s="2720">
        <f t="shared" si="329"/>
        <v>0</v>
      </c>
      <c r="AD583" s="2740"/>
      <c r="AE583" s="2740"/>
      <c r="AF583" s="2740"/>
      <c r="AG583" s="2740"/>
      <c r="AH583" s="2740"/>
      <c r="AI583" s="2740"/>
      <c r="AJ583" s="2740"/>
      <c r="AK583" s="2740"/>
      <c r="AL583" s="2740"/>
      <c r="AM583" s="2740"/>
      <c r="AN583" s="2740"/>
      <c r="AO583" s="2740"/>
      <c r="AP583" s="2740"/>
      <c r="AQ583" s="2740"/>
      <c r="AR583" s="2740"/>
      <c r="AS583" s="2740"/>
      <c r="AT583" s="2750"/>
      <c r="AU583" s="2751"/>
      <c r="AV583" s="1092">
        <f t="shared" si="330"/>
        <v>0</v>
      </c>
      <c r="AW583" s="1092">
        <f t="shared" si="331"/>
        <v>0</v>
      </c>
      <c r="AX583" s="1092">
        <f t="shared" si="332"/>
        <v>0</v>
      </c>
      <c r="AY583" s="2765">
        <f t="shared" si="333"/>
        <v>0</v>
      </c>
      <c r="AZ583" s="2720">
        <f t="shared" si="334"/>
        <v>0</v>
      </c>
      <c r="BA583" s="2720">
        <f t="shared" si="335"/>
        <v>0</v>
      </c>
      <c r="BB583" s="2720">
        <f t="shared" si="336"/>
        <v>0</v>
      </c>
      <c r="BC583" s="2720">
        <f t="shared" si="337"/>
        <v>0</v>
      </c>
      <c r="BD583" s="2720">
        <f t="shared" si="338"/>
        <v>0</v>
      </c>
      <c r="BE583" s="2720">
        <f t="shared" si="339"/>
        <v>0</v>
      </c>
      <c r="BF583" s="2720">
        <f t="shared" si="340"/>
        <v>0</v>
      </c>
      <c r="BG583" s="2720">
        <f t="shared" si="341"/>
        <v>0</v>
      </c>
      <c r="BH583" s="2720">
        <f t="shared" si="342"/>
        <v>0</v>
      </c>
      <c r="BI583" s="2720">
        <f t="shared" si="343"/>
        <v>0</v>
      </c>
      <c r="BJ583" s="2720">
        <f t="shared" si="344"/>
        <v>0</v>
      </c>
      <c r="BK583" s="2720">
        <f t="shared" si="345"/>
        <v>0</v>
      </c>
      <c r="BL583" s="2720">
        <f t="shared" si="346"/>
        <v>0</v>
      </c>
      <c r="BM583" s="2720">
        <f t="shared" si="347"/>
        <v>0</v>
      </c>
      <c r="BN583" s="2720">
        <f t="shared" si="348"/>
        <v>0</v>
      </c>
      <c r="BO583" s="2720">
        <f t="shared" si="349"/>
        <v>0</v>
      </c>
      <c r="BP583" s="2720">
        <f t="shared" si="350"/>
        <v>0</v>
      </c>
      <c r="BQ583" s="2720">
        <f t="shared" si="351"/>
        <v>0</v>
      </c>
      <c r="BR583" s="2720">
        <f t="shared" si="352"/>
        <v>0</v>
      </c>
      <c r="BS583" s="2720">
        <f t="shared" si="353"/>
        <v>0</v>
      </c>
      <c r="BT583" s="2772">
        <f t="shared" si="354"/>
        <v>0</v>
      </c>
    </row>
    <row r="584" spans="1:72">
      <c r="A584" s="2717"/>
      <c r="B584" s="2718"/>
      <c r="C584" s="2718"/>
      <c r="D584" s="2719"/>
      <c r="E584" s="2720">
        <f t="shared" si="326"/>
        <v>0</v>
      </c>
      <c r="F584" s="2721"/>
      <c r="G584" s="2722">
        <f t="shared" si="327"/>
        <v>0</v>
      </c>
      <c r="H584" s="2723">
        <f t="shared" si="328"/>
        <v>0</v>
      </c>
      <c r="I584" s="2730"/>
      <c r="J584" s="2730"/>
      <c r="K584" s="2730"/>
      <c r="L584" s="2730"/>
      <c r="M584" s="2730"/>
      <c r="N584" s="2730"/>
      <c r="O584" s="2730"/>
      <c r="P584" s="2730"/>
      <c r="Q584" s="2730"/>
      <c r="R584" s="2730"/>
      <c r="S584" s="2730"/>
      <c r="T584" s="2730"/>
      <c r="U584" s="2730"/>
      <c r="V584" s="2730"/>
      <c r="W584" s="2730"/>
      <c r="X584" s="2730"/>
      <c r="Y584" s="2730"/>
      <c r="Z584" s="2730"/>
      <c r="AA584" s="2730"/>
      <c r="AB584" s="2730"/>
      <c r="AC584" s="2720">
        <f t="shared" si="329"/>
        <v>0</v>
      </c>
      <c r="AD584" s="2740"/>
      <c r="AE584" s="2740"/>
      <c r="AF584" s="2740"/>
      <c r="AG584" s="2740"/>
      <c r="AH584" s="2740"/>
      <c r="AI584" s="2740"/>
      <c r="AJ584" s="2740"/>
      <c r="AK584" s="2740"/>
      <c r="AL584" s="2740"/>
      <c r="AM584" s="2740"/>
      <c r="AN584" s="2740"/>
      <c r="AO584" s="2740"/>
      <c r="AP584" s="2740"/>
      <c r="AQ584" s="2740"/>
      <c r="AR584" s="2740"/>
      <c r="AS584" s="2740"/>
      <c r="AT584" s="2750"/>
      <c r="AU584" s="2751"/>
      <c r="AV584" s="1092">
        <f t="shared" si="330"/>
        <v>0</v>
      </c>
      <c r="AW584" s="1092">
        <f t="shared" si="331"/>
        <v>0</v>
      </c>
      <c r="AX584" s="1092">
        <f t="shared" si="332"/>
        <v>0</v>
      </c>
      <c r="AY584" s="2765">
        <f t="shared" si="333"/>
        <v>0</v>
      </c>
      <c r="AZ584" s="2720">
        <f t="shared" si="334"/>
        <v>0</v>
      </c>
      <c r="BA584" s="2720">
        <f t="shared" si="335"/>
        <v>0</v>
      </c>
      <c r="BB584" s="2720">
        <f t="shared" si="336"/>
        <v>0</v>
      </c>
      <c r="BC584" s="2720">
        <f t="shared" si="337"/>
        <v>0</v>
      </c>
      <c r="BD584" s="2720">
        <f t="shared" si="338"/>
        <v>0</v>
      </c>
      <c r="BE584" s="2720">
        <f t="shared" si="339"/>
        <v>0</v>
      </c>
      <c r="BF584" s="2720">
        <f t="shared" si="340"/>
        <v>0</v>
      </c>
      <c r="BG584" s="2720">
        <f t="shared" si="341"/>
        <v>0</v>
      </c>
      <c r="BH584" s="2720">
        <f t="shared" si="342"/>
        <v>0</v>
      </c>
      <c r="BI584" s="2720">
        <f t="shared" si="343"/>
        <v>0</v>
      </c>
      <c r="BJ584" s="2720">
        <f t="shared" si="344"/>
        <v>0</v>
      </c>
      <c r="BK584" s="2720">
        <f t="shared" si="345"/>
        <v>0</v>
      </c>
      <c r="BL584" s="2720">
        <f t="shared" si="346"/>
        <v>0</v>
      </c>
      <c r="BM584" s="2720">
        <f t="shared" si="347"/>
        <v>0</v>
      </c>
      <c r="BN584" s="2720">
        <f t="shared" si="348"/>
        <v>0</v>
      </c>
      <c r="BO584" s="2720">
        <f t="shared" si="349"/>
        <v>0</v>
      </c>
      <c r="BP584" s="2720">
        <f t="shared" si="350"/>
        <v>0</v>
      </c>
      <c r="BQ584" s="2720">
        <f t="shared" si="351"/>
        <v>0</v>
      </c>
      <c r="BR584" s="2720">
        <f t="shared" si="352"/>
        <v>0</v>
      </c>
      <c r="BS584" s="2720">
        <f t="shared" si="353"/>
        <v>0</v>
      </c>
      <c r="BT584" s="2772">
        <f t="shared" si="354"/>
        <v>0</v>
      </c>
    </row>
    <row r="585" spans="1:72">
      <c r="A585" s="2717"/>
      <c r="B585" s="2717"/>
      <c r="C585" s="2717"/>
      <c r="D585" s="2719"/>
      <c r="E585" s="2720">
        <f t="shared" si="326"/>
        <v>0</v>
      </c>
      <c r="F585" s="2773"/>
      <c r="G585" s="2722">
        <f t="shared" si="327"/>
        <v>0</v>
      </c>
      <c r="H585" s="2723">
        <f t="shared" si="328"/>
        <v>0</v>
      </c>
      <c r="I585" s="2774"/>
      <c r="J585" s="2774"/>
      <c r="K585" s="2730"/>
      <c r="L585" s="2730"/>
      <c r="M585" s="2730"/>
      <c r="N585" s="2730"/>
      <c r="O585" s="2730"/>
      <c r="P585" s="2730"/>
      <c r="Q585" s="2730"/>
      <c r="R585" s="2730"/>
      <c r="S585" s="2730"/>
      <c r="T585" s="2730"/>
      <c r="U585" s="2730"/>
      <c r="V585" s="2730"/>
      <c r="W585" s="2730"/>
      <c r="X585" s="2730"/>
      <c r="Y585" s="2730"/>
      <c r="Z585" s="2730"/>
      <c r="AA585" s="2730"/>
      <c r="AB585" s="2730"/>
      <c r="AC585" s="2720">
        <f t="shared" si="329"/>
        <v>0</v>
      </c>
      <c r="AD585" s="2740"/>
      <c r="AE585" s="2740"/>
      <c r="AF585" s="2740"/>
      <c r="AG585" s="2740"/>
      <c r="AH585" s="2740"/>
      <c r="AI585" s="2740"/>
      <c r="AJ585" s="2740"/>
      <c r="AK585" s="2740"/>
      <c r="AL585" s="2740"/>
      <c r="AM585" s="2740"/>
      <c r="AN585" s="2740"/>
      <c r="AO585" s="2740"/>
      <c r="AP585" s="2740"/>
      <c r="AQ585" s="2740"/>
      <c r="AR585" s="2740"/>
      <c r="AS585" s="2740"/>
      <c r="AT585" s="2740"/>
      <c r="AU585" s="2775"/>
      <c r="AV585" s="1092">
        <f t="shared" si="330"/>
        <v>0</v>
      </c>
      <c r="AW585" s="1092">
        <f t="shared" si="331"/>
        <v>0</v>
      </c>
      <c r="AX585" s="1092">
        <f t="shared" si="332"/>
        <v>0</v>
      </c>
      <c r="AY585" s="2765">
        <f t="shared" si="333"/>
        <v>0</v>
      </c>
      <c r="AZ585" s="2720">
        <f t="shared" si="334"/>
        <v>0</v>
      </c>
      <c r="BA585" s="2720">
        <f t="shared" si="335"/>
        <v>0</v>
      </c>
      <c r="BB585" s="2720">
        <f t="shared" si="336"/>
        <v>0</v>
      </c>
      <c r="BC585" s="2720">
        <f t="shared" si="337"/>
        <v>0</v>
      </c>
      <c r="BD585" s="2720">
        <f t="shared" si="338"/>
        <v>0</v>
      </c>
      <c r="BE585" s="2720">
        <f t="shared" si="339"/>
        <v>0</v>
      </c>
      <c r="BF585" s="2720">
        <f t="shared" si="340"/>
        <v>0</v>
      </c>
      <c r="BG585" s="2720">
        <f t="shared" si="341"/>
        <v>0</v>
      </c>
      <c r="BH585" s="2720">
        <f t="shared" si="342"/>
        <v>0</v>
      </c>
      <c r="BI585" s="2720">
        <f t="shared" si="343"/>
        <v>0</v>
      </c>
      <c r="BJ585" s="2720">
        <f t="shared" si="344"/>
        <v>0</v>
      </c>
      <c r="BK585" s="2720">
        <f t="shared" si="345"/>
        <v>0</v>
      </c>
      <c r="BL585" s="2720">
        <f t="shared" si="346"/>
        <v>0</v>
      </c>
      <c r="BM585" s="2720">
        <f t="shared" si="347"/>
        <v>0</v>
      </c>
      <c r="BN585" s="2720">
        <f t="shared" si="348"/>
        <v>0</v>
      </c>
      <c r="BO585" s="2720">
        <f t="shared" si="349"/>
        <v>0</v>
      </c>
      <c r="BP585" s="2720">
        <f t="shared" si="350"/>
        <v>0</v>
      </c>
      <c r="BQ585" s="2720">
        <f t="shared" si="351"/>
        <v>0</v>
      </c>
      <c r="BR585" s="2720">
        <f t="shared" si="352"/>
        <v>0</v>
      </c>
      <c r="BS585" s="2720">
        <f t="shared" si="353"/>
        <v>0</v>
      </c>
      <c r="BT585" s="2772">
        <f t="shared" si="354"/>
        <v>0</v>
      </c>
    </row>
    <row r="586" spans="1:72">
      <c r="A586" s="2717"/>
      <c r="B586" s="2717"/>
      <c r="C586" s="2717"/>
      <c r="D586" s="2719"/>
      <c r="E586" s="2720">
        <f t="shared" si="326"/>
        <v>0</v>
      </c>
      <c r="F586" s="2773"/>
      <c r="G586" s="2722">
        <f t="shared" si="327"/>
        <v>0</v>
      </c>
      <c r="H586" s="2723">
        <f t="shared" si="328"/>
        <v>0</v>
      </c>
      <c r="I586" s="2730"/>
      <c r="J586" s="2730"/>
      <c r="K586" s="2730"/>
      <c r="L586" s="2730"/>
      <c r="M586" s="2730"/>
      <c r="N586" s="2730"/>
      <c r="O586" s="2730"/>
      <c r="P586" s="2730"/>
      <c r="Q586" s="2730"/>
      <c r="R586" s="2730"/>
      <c r="S586" s="2730"/>
      <c r="T586" s="2730"/>
      <c r="U586" s="2730"/>
      <c r="V586" s="2730"/>
      <c r="W586" s="2730"/>
      <c r="X586" s="2730"/>
      <c r="Y586" s="2730"/>
      <c r="Z586" s="2730"/>
      <c r="AA586" s="2730"/>
      <c r="AB586" s="2730"/>
      <c r="AC586" s="2720">
        <f t="shared" si="329"/>
        <v>0</v>
      </c>
      <c r="AD586" s="2740"/>
      <c r="AE586" s="2740"/>
      <c r="AF586" s="2740"/>
      <c r="AG586" s="2740"/>
      <c r="AH586" s="2740"/>
      <c r="AI586" s="2740"/>
      <c r="AJ586" s="2740"/>
      <c r="AK586" s="2740"/>
      <c r="AL586" s="2740"/>
      <c r="AM586" s="2740"/>
      <c r="AN586" s="2740"/>
      <c r="AO586" s="2740"/>
      <c r="AP586" s="2740"/>
      <c r="AQ586" s="2740"/>
      <c r="AR586" s="2740"/>
      <c r="AS586" s="2740"/>
      <c r="AT586" s="2740"/>
      <c r="AU586" s="2775"/>
      <c r="AV586" s="1092">
        <f t="shared" si="330"/>
        <v>0</v>
      </c>
      <c r="AW586" s="1092">
        <f t="shared" si="331"/>
        <v>0</v>
      </c>
      <c r="AX586" s="1092">
        <f t="shared" si="332"/>
        <v>0</v>
      </c>
      <c r="AY586" s="2765">
        <f t="shared" si="333"/>
        <v>0</v>
      </c>
      <c r="AZ586" s="2720">
        <f t="shared" si="334"/>
        <v>0</v>
      </c>
      <c r="BA586" s="2720">
        <f t="shared" si="335"/>
        <v>0</v>
      </c>
      <c r="BB586" s="2720">
        <f t="shared" si="336"/>
        <v>0</v>
      </c>
      <c r="BC586" s="2720">
        <f t="shared" si="337"/>
        <v>0</v>
      </c>
      <c r="BD586" s="2720">
        <f t="shared" si="338"/>
        <v>0</v>
      </c>
      <c r="BE586" s="2720">
        <f t="shared" si="339"/>
        <v>0</v>
      </c>
      <c r="BF586" s="2720">
        <f t="shared" si="340"/>
        <v>0</v>
      </c>
      <c r="BG586" s="2720">
        <f t="shared" si="341"/>
        <v>0</v>
      </c>
      <c r="BH586" s="2720">
        <f t="shared" si="342"/>
        <v>0</v>
      </c>
      <c r="BI586" s="2720">
        <f t="shared" si="343"/>
        <v>0</v>
      </c>
      <c r="BJ586" s="2720">
        <f t="shared" si="344"/>
        <v>0</v>
      </c>
      <c r="BK586" s="2720">
        <f t="shared" si="345"/>
        <v>0</v>
      </c>
      <c r="BL586" s="2720">
        <f t="shared" si="346"/>
        <v>0</v>
      </c>
      <c r="BM586" s="2720">
        <f t="shared" si="347"/>
        <v>0</v>
      </c>
      <c r="BN586" s="2720">
        <f t="shared" si="348"/>
        <v>0</v>
      </c>
      <c r="BO586" s="2720">
        <f t="shared" si="349"/>
        <v>0</v>
      </c>
      <c r="BP586" s="2720">
        <f t="shared" si="350"/>
        <v>0</v>
      </c>
      <c r="BQ586" s="2720">
        <f t="shared" si="351"/>
        <v>0</v>
      </c>
      <c r="BR586" s="2720">
        <f t="shared" si="352"/>
        <v>0</v>
      </c>
      <c r="BS586" s="2720">
        <f t="shared" si="353"/>
        <v>0</v>
      </c>
      <c r="BT586" s="2772">
        <f t="shared" si="354"/>
        <v>0</v>
      </c>
    </row>
    <row r="587" spans="1:72">
      <c r="A587" s="2717"/>
      <c r="B587" s="2717"/>
      <c r="C587" s="2717"/>
      <c r="D587" s="2719"/>
      <c r="E587" s="2720">
        <f t="shared" si="326"/>
        <v>0</v>
      </c>
      <c r="F587" s="2773"/>
      <c r="G587" s="2722">
        <f t="shared" si="327"/>
        <v>0</v>
      </c>
      <c r="H587" s="2723">
        <f t="shared" si="328"/>
        <v>0</v>
      </c>
      <c r="I587" s="2730"/>
      <c r="J587" s="2730"/>
      <c r="K587" s="2730"/>
      <c r="L587" s="2730"/>
      <c r="M587" s="2730"/>
      <c r="N587" s="2730"/>
      <c r="O587" s="2730"/>
      <c r="P587" s="2730"/>
      <c r="Q587" s="2730"/>
      <c r="R587" s="2730"/>
      <c r="S587" s="2730"/>
      <c r="T587" s="2730"/>
      <c r="U587" s="2730"/>
      <c r="V587" s="2730"/>
      <c r="W587" s="2730"/>
      <c r="X587" s="2730"/>
      <c r="Y587" s="2730"/>
      <c r="Z587" s="2730"/>
      <c r="AA587" s="2730"/>
      <c r="AB587" s="2730"/>
      <c r="AC587" s="2720">
        <f t="shared" si="329"/>
        <v>0</v>
      </c>
      <c r="AD587" s="2740"/>
      <c r="AE587" s="2740"/>
      <c r="AF587" s="2740"/>
      <c r="AG587" s="2740"/>
      <c r="AH587" s="2740"/>
      <c r="AI587" s="2740"/>
      <c r="AJ587" s="2740"/>
      <c r="AK587" s="2740"/>
      <c r="AL587" s="2740"/>
      <c r="AM587" s="2740"/>
      <c r="AN587" s="2740"/>
      <c r="AO587" s="2740"/>
      <c r="AP587" s="2740"/>
      <c r="AQ587" s="2740"/>
      <c r="AR587" s="2740"/>
      <c r="AS587" s="2740"/>
      <c r="AT587" s="2740"/>
      <c r="AU587" s="2775"/>
      <c r="AV587" s="1092">
        <f t="shared" si="330"/>
        <v>0</v>
      </c>
      <c r="AW587" s="1092">
        <f t="shared" si="331"/>
        <v>0</v>
      </c>
      <c r="AX587" s="1092">
        <f t="shared" si="332"/>
        <v>0</v>
      </c>
      <c r="AY587" s="2765">
        <f t="shared" si="333"/>
        <v>0</v>
      </c>
      <c r="AZ587" s="2720">
        <f t="shared" si="334"/>
        <v>0</v>
      </c>
      <c r="BA587" s="2720">
        <f t="shared" si="335"/>
        <v>0</v>
      </c>
      <c r="BB587" s="2720">
        <f t="shared" si="336"/>
        <v>0</v>
      </c>
      <c r="BC587" s="2720">
        <f t="shared" si="337"/>
        <v>0</v>
      </c>
      <c r="BD587" s="2720">
        <f t="shared" si="338"/>
        <v>0</v>
      </c>
      <c r="BE587" s="2720">
        <f t="shared" si="339"/>
        <v>0</v>
      </c>
      <c r="BF587" s="2720">
        <f t="shared" si="340"/>
        <v>0</v>
      </c>
      <c r="BG587" s="2720">
        <f t="shared" si="341"/>
        <v>0</v>
      </c>
      <c r="BH587" s="2720">
        <f t="shared" si="342"/>
        <v>0</v>
      </c>
      <c r="BI587" s="2720">
        <f t="shared" si="343"/>
        <v>0</v>
      </c>
      <c r="BJ587" s="2720">
        <f t="shared" si="344"/>
        <v>0</v>
      </c>
      <c r="BK587" s="2720">
        <f t="shared" si="345"/>
        <v>0</v>
      </c>
      <c r="BL587" s="2720">
        <f t="shared" si="346"/>
        <v>0</v>
      </c>
      <c r="BM587" s="2720">
        <f t="shared" si="347"/>
        <v>0</v>
      </c>
      <c r="BN587" s="2720">
        <f t="shared" si="348"/>
        <v>0</v>
      </c>
      <c r="BO587" s="2720">
        <f t="shared" si="349"/>
        <v>0</v>
      </c>
      <c r="BP587" s="2720">
        <f t="shared" si="350"/>
        <v>0</v>
      </c>
      <c r="BQ587" s="2720">
        <f t="shared" si="351"/>
        <v>0</v>
      </c>
      <c r="BR587" s="2720">
        <f t="shared" si="352"/>
        <v>0</v>
      </c>
      <c r="BS587" s="2720">
        <f t="shared" si="353"/>
        <v>0</v>
      </c>
      <c r="BT587" s="2772">
        <f t="shared" si="354"/>
        <v>0</v>
      </c>
    </row>
    <row r="588" spans="1:72" s="2687" customFormat="1">
      <c r="A588" s="2776"/>
      <c r="B588" s="2776"/>
      <c r="C588" s="2776"/>
      <c r="D588" s="2776"/>
      <c r="E588" s="2777"/>
      <c r="F588" s="2777"/>
      <c r="G588" s="2776"/>
      <c r="H588" s="2777"/>
      <c r="I588" s="2777"/>
      <c r="J588" s="2777"/>
      <c r="K588" s="2777"/>
      <c r="L588" s="2777"/>
      <c r="M588" s="2777"/>
      <c r="N588" s="2777"/>
      <c r="O588" s="2777"/>
      <c r="P588" s="2777"/>
      <c r="Q588" s="2777"/>
      <c r="R588" s="2777"/>
      <c r="S588" s="2777"/>
      <c r="T588" s="2777"/>
      <c r="U588" s="2777"/>
      <c r="V588" s="2777"/>
      <c r="W588" s="2777"/>
      <c r="X588" s="2777"/>
      <c r="Y588" s="2777"/>
      <c r="Z588" s="2777"/>
      <c r="AA588" s="2777"/>
      <c r="AB588" s="2777"/>
      <c r="AC588" s="2777"/>
      <c r="AD588" s="2777"/>
      <c r="AE588" s="2777"/>
      <c r="AF588" s="2777"/>
      <c r="AG588" s="2777"/>
      <c r="AH588" s="2777"/>
      <c r="AI588" s="2777"/>
      <c r="AJ588" s="2777"/>
      <c r="AK588" s="2777"/>
      <c r="AL588" s="2777"/>
      <c r="AM588" s="2777"/>
      <c r="AN588" s="2777"/>
      <c r="AO588" s="2777"/>
      <c r="AP588" s="2777"/>
      <c r="AQ588" s="2777"/>
      <c r="AR588" s="2777"/>
      <c r="AS588" s="2777"/>
      <c r="AT588" s="2777"/>
      <c r="AU588" s="2776"/>
      <c r="AV588" s="2776"/>
      <c r="AW588" s="2776"/>
      <c r="AX588" s="2776"/>
    </row>
    <row r="589" spans="1:72" s="2688" customFormat="1">
      <c r="C589" s="2778"/>
      <c r="D589" s="2778"/>
    </row>
    <row r="590" spans="1:72" s="2688" customFormat="1">
      <c r="C590" s="2778"/>
      <c r="D590" s="2778"/>
    </row>
    <row r="593" spans="2:2">
      <c r="B593" s="2778"/>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81" customWidth="1"/>
    <col min="2" max="2" width="10.625" style="2681" customWidth="1"/>
    <col min="3" max="3" width="15.75" style="2681" customWidth="1"/>
    <col min="4" max="7" width="9.5" style="2681" customWidth="1"/>
    <col min="8" max="13" width="9.125" style="2681" customWidth="1"/>
    <col min="14" max="16384" width="9" style="2681"/>
  </cols>
  <sheetData>
    <row r="1" spans="1:13" ht="14.25">
      <c r="A1" s="3152" t="s">
        <v>476</v>
      </c>
      <c r="B1" s="3152" t="s">
        <v>477</v>
      </c>
      <c r="C1" s="3152" t="s">
        <v>478</v>
      </c>
      <c r="D1" s="3151" t="s">
        <v>479</v>
      </c>
      <c r="E1" s="3151" t="s">
        <v>480</v>
      </c>
      <c r="F1" s="3151"/>
      <c r="G1" s="3151"/>
      <c r="H1" s="3151"/>
      <c r="I1" s="3151"/>
      <c r="J1" s="3151"/>
      <c r="K1" s="3151"/>
      <c r="L1" s="3151"/>
      <c r="M1" s="3151"/>
    </row>
    <row r="2" spans="1:13" ht="27" customHeight="1">
      <c r="A2" s="3152"/>
      <c r="B2" s="3152"/>
      <c r="C2" s="3152"/>
      <c r="D2" s="3151"/>
      <c r="E2" s="3151" t="s">
        <v>481</v>
      </c>
      <c r="F2" s="3151" t="s">
        <v>482</v>
      </c>
      <c r="G2" s="3151"/>
      <c r="H2" s="3151"/>
      <c r="I2" s="3151"/>
      <c r="J2" s="3151" t="s">
        <v>483</v>
      </c>
      <c r="K2" s="3151"/>
      <c r="L2" s="3151"/>
      <c r="M2" s="3151"/>
    </row>
    <row r="3" spans="1:13" ht="28.5">
      <c r="A3" s="3152"/>
      <c r="B3" s="3152"/>
      <c r="C3" s="3152"/>
      <c r="D3" s="3151"/>
      <c r="E3" s="3151"/>
      <c r="F3" s="2683" t="s">
        <v>484</v>
      </c>
      <c r="G3" s="2683" t="s">
        <v>485</v>
      </c>
      <c r="H3" s="2683" t="s">
        <v>486</v>
      </c>
      <c r="I3" s="2683" t="s">
        <v>487</v>
      </c>
      <c r="J3" s="2683" t="s">
        <v>484</v>
      </c>
      <c r="K3" s="2683" t="s">
        <v>488</v>
      </c>
      <c r="L3" s="2683" t="s">
        <v>489</v>
      </c>
      <c r="M3" s="2683" t="s">
        <v>490</v>
      </c>
    </row>
    <row r="4" spans="1:13" ht="42.75">
      <c r="A4" s="2683" t="s">
        <v>491</v>
      </c>
      <c r="B4" s="2683" t="s">
        <v>492</v>
      </c>
      <c r="C4" s="2683" t="s">
        <v>493</v>
      </c>
      <c r="D4" s="2682">
        <v>3807.94</v>
      </c>
      <c r="E4" s="2682">
        <v>20666.91</v>
      </c>
      <c r="F4" s="2682">
        <v>19673</v>
      </c>
      <c r="G4" s="2682">
        <v>0</v>
      </c>
      <c r="H4" s="2682">
        <v>19673</v>
      </c>
      <c r="I4" s="2682">
        <v>0</v>
      </c>
      <c r="J4" s="2682">
        <v>993.91</v>
      </c>
      <c r="K4" s="2682">
        <v>0</v>
      </c>
      <c r="L4" s="2682">
        <v>0</v>
      </c>
      <c r="M4" s="2682">
        <v>993.91</v>
      </c>
    </row>
    <row r="5" spans="1:13" ht="42.75">
      <c r="A5" s="2683" t="s">
        <v>491</v>
      </c>
      <c r="B5" s="2683" t="s">
        <v>494</v>
      </c>
      <c r="C5" s="2683" t="s">
        <v>495</v>
      </c>
      <c r="D5" s="2682">
        <v>3667.86</v>
      </c>
      <c r="E5" s="2682">
        <v>19906.61</v>
      </c>
      <c r="F5" s="2682">
        <v>18792.87</v>
      </c>
      <c r="G5" s="2682">
        <v>18792.87</v>
      </c>
      <c r="H5" s="2682">
        <v>0</v>
      </c>
      <c r="I5" s="2682">
        <v>0</v>
      </c>
      <c r="J5" s="2682">
        <v>1113.74</v>
      </c>
      <c r="K5" s="2682">
        <v>55.59</v>
      </c>
      <c r="L5" s="2682">
        <v>0</v>
      </c>
      <c r="M5" s="2682">
        <v>1058.1500000000001</v>
      </c>
    </row>
    <row r="6" spans="1:13" ht="42.75">
      <c r="A6" s="2683" t="s">
        <v>491</v>
      </c>
      <c r="B6" s="2683" t="s">
        <v>494</v>
      </c>
      <c r="C6" s="2683" t="s">
        <v>496</v>
      </c>
      <c r="D6" s="2682">
        <v>2067.52</v>
      </c>
      <c r="E6" s="2682">
        <v>11221.06</v>
      </c>
      <c r="F6" s="2682">
        <v>9934.1299999999992</v>
      </c>
      <c r="G6" s="2682">
        <v>9934.1299999999992</v>
      </c>
      <c r="H6" s="2682">
        <v>0</v>
      </c>
      <c r="I6" s="2682">
        <v>0</v>
      </c>
      <c r="J6" s="2682">
        <v>1286.93</v>
      </c>
      <c r="K6" s="2682">
        <v>0</v>
      </c>
      <c r="L6" s="2682">
        <v>0</v>
      </c>
      <c r="M6" s="2682">
        <v>1286.93</v>
      </c>
    </row>
    <row r="7" spans="1:13" ht="42.75">
      <c r="A7" s="2683" t="s">
        <v>491</v>
      </c>
      <c r="B7" s="2683" t="s">
        <v>494</v>
      </c>
      <c r="C7" s="2683" t="s">
        <v>497</v>
      </c>
      <c r="D7" s="2682">
        <v>8.18</v>
      </c>
      <c r="E7" s="2682">
        <v>44.41</v>
      </c>
      <c r="F7" s="2682">
        <v>0</v>
      </c>
      <c r="G7" s="2682">
        <v>0</v>
      </c>
      <c r="H7" s="2682">
        <v>0</v>
      </c>
      <c r="I7" s="2682">
        <v>0</v>
      </c>
      <c r="J7" s="2682">
        <v>44.41</v>
      </c>
      <c r="K7" s="2682">
        <v>44.41</v>
      </c>
      <c r="L7" s="2682">
        <v>0</v>
      </c>
      <c r="M7" s="2682">
        <v>0</v>
      </c>
    </row>
    <row r="8" spans="1:13" ht="42.75">
      <c r="A8" s="2683" t="s">
        <v>491</v>
      </c>
      <c r="B8" s="2683" t="s">
        <v>494</v>
      </c>
      <c r="C8" s="2683" t="s">
        <v>487</v>
      </c>
      <c r="D8" s="2682">
        <v>2455.5300000000002</v>
      </c>
      <c r="E8" s="2682">
        <v>13326.96</v>
      </c>
      <c r="F8" s="2682">
        <v>9231.0499999999993</v>
      </c>
      <c r="G8" s="2682">
        <v>0</v>
      </c>
      <c r="H8" s="2682">
        <v>0</v>
      </c>
      <c r="I8" s="2682">
        <v>9231.0499999999993</v>
      </c>
      <c r="J8" s="2682">
        <v>4095.91</v>
      </c>
      <c r="K8" s="2682">
        <v>0</v>
      </c>
      <c r="L8" s="2682">
        <v>3320.79</v>
      </c>
      <c r="M8" s="2682">
        <v>775.12</v>
      </c>
    </row>
    <row r="9" spans="1:13" ht="27" customHeight="1">
      <c r="A9" s="3151" t="s">
        <v>498</v>
      </c>
      <c r="B9" s="3151"/>
      <c r="C9" s="3151"/>
      <c r="D9" s="2682">
        <v>12007.03</v>
      </c>
      <c r="E9" s="2682">
        <v>65165.95</v>
      </c>
      <c r="F9" s="2682">
        <v>57631.05</v>
      </c>
      <c r="G9" s="2682">
        <v>28727</v>
      </c>
      <c r="H9" s="2682">
        <v>19673</v>
      </c>
      <c r="I9" s="2682">
        <v>9231.0499999999993</v>
      </c>
      <c r="J9" s="2682">
        <v>7534.9</v>
      </c>
      <c r="K9" s="2682">
        <v>100</v>
      </c>
      <c r="L9" s="2682">
        <v>3320.79</v>
      </c>
      <c r="M9" s="2682">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90" zoomScaleNormal="100" zoomScaleSheetLayoutView="90" workbookViewId="0">
      <selection activeCell="F21" activeCellId="1" sqref="F19 F21"/>
    </sheetView>
  </sheetViews>
  <sheetFormatPr defaultColWidth="9.25" defaultRowHeight="14.25"/>
  <cols>
    <col min="1" max="1" width="12.125" style="2597" customWidth="1"/>
    <col min="2" max="2" width="10.25" style="2597" customWidth="1"/>
    <col min="3" max="3" width="18.5" style="2597" customWidth="1"/>
    <col min="4" max="4" width="11.625" style="2597" customWidth="1"/>
    <col min="5" max="5" width="13.375" style="2597" customWidth="1"/>
    <col min="6" max="8" width="11.5" style="2597" customWidth="1"/>
    <col min="9" max="9" width="11.125" style="2597" customWidth="1"/>
    <col min="10" max="10" width="3.125" style="2598" customWidth="1"/>
    <col min="11" max="16" width="10" style="2597" customWidth="1"/>
    <col min="17" max="17" width="2.625" style="2597" customWidth="1"/>
    <col min="18" max="18" width="9.375" style="2597" customWidth="1"/>
    <col min="19" max="19" width="10.5" style="2597" customWidth="1"/>
    <col min="20" max="16384" width="9.25" style="2597"/>
  </cols>
  <sheetData>
    <row r="1" spans="1:16" ht="18.75">
      <c r="A1" s="2029" t="s">
        <v>499</v>
      </c>
      <c r="B1" s="2103"/>
      <c r="C1" s="2103"/>
      <c r="D1" s="2103"/>
      <c r="E1" s="2103"/>
      <c r="F1" s="2103"/>
      <c r="G1" s="2103"/>
      <c r="H1" s="2103"/>
      <c r="I1" s="2103"/>
      <c r="J1" s="2103"/>
      <c r="K1" s="2103"/>
      <c r="L1" s="2103"/>
      <c r="M1" s="2103"/>
      <c r="N1" s="2103"/>
      <c r="O1" s="2103"/>
      <c r="P1" s="2103"/>
    </row>
    <row r="2" spans="1:16" ht="15">
      <c r="A2" s="3162" t="s">
        <v>500</v>
      </c>
      <c r="B2" s="3162"/>
      <c r="C2" s="3162"/>
      <c r="D2" s="1942" t="s">
        <v>501</v>
      </c>
      <c r="E2" s="2599" t="s">
        <v>502</v>
      </c>
      <c r="F2" s="2600"/>
      <c r="G2" s="2601"/>
      <c r="H2" s="2602"/>
      <c r="I2" s="2255" t="s">
        <v>503</v>
      </c>
      <c r="J2" s="2600"/>
      <c r="K2" s="2600"/>
      <c r="L2" s="2600"/>
      <c r="M2" s="2600"/>
      <c r="N2" s="1218"/>
      <c r="O2" s="2600"/>
      <c r="P2" s="2600"/>
    </row>
    <row r="3" spans="1:16" ht="15">
      <c r="A3" s="3163" t="s">
        <v>504</v>
      </c>
      <c r="B3" s="3163"/>
      <c r="C3" s="3163"/>
      <c r="D3" s="2603">
        <f>'数据-基础表'!AY6</f>
        <v>11660.67</v>
      </c>
      <c r="E3" s="2603">
        <f>'数据-基础表'!AZ5</f>
        <v>39222.729999999996</v>
      </c>
      <c r="F3" s="2600"/>
      <c r="G3" s="2604"/>
      <c r="H3" s="2055" t="s">
        <v>505</v>
      </c>
      <c r="I3" s="2663">
        <f>ROUND('数据-基础表'!B3/'数据-基础表'!A3,2)</f>
        <v>3.36</v>
      </c>
      <c r="J3" s="2600"/>
      <c r="K3" s="2600"/>
      <c r="L3" s="2600"/>
      <c r="M3" s="2600"/>
      <c r="N3" s="1218"/>
      <c r="O3" s="2600"/>
      <c r="P3" s="2600"/>
    </row>
    <row r="4" spans="1:16" ht="15">
      <c r="A4" s="3164"/>
      <c r="B4" s="3165"/>
      <c r="C4" s="3166"/>
      <c r="D4" s="2605" t="s">
        <v>501</v>
      </c>
      <c r="E4" s="2606" t="s">
        <v>502</v>
      </c>
      <c r="F4" s="2600"/>
      <c r="G4" s="2607" t="s">
        <v>506</v>
      </c>
      <c r="H4" s="2055" t="s">
        <v>507</v>
      </c>
      <c r="I4" s="2663">
        <f>ROUND(SUMIF('数据-基础表'!I9:AS9,"地上",'数据-基础表'!I5:AS5)/'数据-基础表'!A3,2)</f>
        <v>3.22</v>
      </c>
      <c r="J4" s="2600"/>
      <c r="K4" s="2600"/>
      <c r="L4" s="2600"/>
      <c r="M4" s="2600"/>
      <c r="N4" s="1218"/>
      <c r="O4" s="2600"/>
      <c r="P4" s="2600"/>
    </row>
    <row r="5" spans="1:16">
      <c r="A5" s="2608" t="s">
        <v>508</v>
      </c>
      <c r="B5" s="3167" t="s">
        <v>509</v>
      </c>
      <c r="C5" s="3167"/>
      <c r="D5" s="2609">
        <f>ROUND($D$3*E5/$E$3,2)</f>
        <v>10899.74</v>
      </c>
      <c r="E5" s="2610">
        <f>SUMIF('数据-基础表'!$11:$11,"住宅",'数据-基础表'!$5:$5)</f>
        <v>36663.219999999994</v>
      </c>
      <c r="F5" s="2600"/>
      <c r="G5" s="2604"/>
      <c r="H5" s="2055" t="s">
        <v>505</v>
      </c>
      <c r="I5" s="2663">
        <f>ROUND(E31/D31,2)</f>
        <v>3.36</v>
      </c>
      <c r="J5" s="2600"/>
      <c r="K5" s="2600"/>
      <c r="L5" s="2600"/>
      <c r="M5" s="2600"/>
      <c r="N5" s="2600"/>
      <c r="O5" s="2600"/>
      <c r="P5" s="2600"/>
    </row>
    <row r="6" spans="1:16">
      <c r="A6" s="2611"/>
      <c r="B6" s="3167" t="s">
        <v>510</v>
      </c>
      <c r="C6" s="3167"/>
      <c r="D6" s="2609">
        <f>ROUND($D$3*E6/$E$3,2)</f>
        <v>760.93</v>
      </c>
      <c r="E6" s="2610">
        <f>E3-E5</f>
        <v>2559.510000000002</v>
      </c>
      <c r="F6" s="2600"/>
      <c r="G6" s="2612" t="s">
        <v>511</v>
      </c>
      <c r="H6" s="2613" t="s">
        <v>507</v>
      </c>
      <c r="I6" s="2664">
        <f>ROUND(F31/D31,2)</f>
        <v>3.22</v>
      </c>
      <c r="J6" s="2600"/>
      <c r="K6" s="2600"/>
      <c r="L6" s="2600"/>
      <c r="M6" s="2600"/>
      <c r="N6" s="2600"/>
      <c r="O6" s="2600"/>
      <c r="P6" s="2600"/>
    </row>
    <row r="7" spans="1:16" ht="15">
      <c r="A7" s="3153"/>
      <c r="B7" s="3154"/>
      <c r="C7" s="3155"/>
      <c r="D7" s="2605" t="s">
        <v>501</v>
      </c>
      <c r="E7" s="2614" t="s">
        <v>512</v>
      </c>
      <c r="F7" s="2600"/>
      <c r="G7" s="2615" t="s">
        <v>513</v>
      </c>
      <c r="H7" s="2616"/>
      <c r="I7" s="3418"/>
      <c r="J7" s="2600"/>
      <c r="K7" s="2600"/>
      <c r="L7" s="2600"/>
      <c r="M7" s="2600"/>
      <c r="N7" s="2600"/>
      <c r="O7" s="2600"/>
      <c r="P7" s="2600"/>
    </row>
    <row r="8" spans="1:16">
      <c r="A8" s="2608" t="s">
        <v>514</v>
      </c>
      <c r="B8" s="2617" t="s">
        <v>515</v>
      </c>
      <c r="C8" s="2609" t="s">
        <v>516</v>
      </c>
      <c r="D8" s="2609">
        <f t="shared" ref="D8:D15" si="0">ROUND($D$3*E8/$E$3,2)</f>
        <v>11164.2</v>
      </c>
      <c r="E8" s="2618">
        <f>SUMIF('数据-基础表'!BB10:BK10,"地上",'数据-基础表'!BB5:BK5)</f>
        <v>37552.749999999993</v>
      </c>
      <c r="F8" s="2600"/>
      <c r="G8" s="2619"/>
      <c r="H8" s="2619"/>
      <c r="I8" s="2600"/>
      <c r="J8" s="2600"/>
      <c r="K8" s="2600"/>
      <c r="L8" s="2600"/>
      <c r="M8" s="2600"/>
      <c r="N8" s="2600"/>
      <c r="O8" s="2600"/>
      <c r="P8" s="2600"/>
    </row>
    <row r="9" spans="1:16">
      <c r="A9" s="2620"/>
      <c r="B9" s="2621"/>
      <c r="C9" s="2609" t="s">
        <v>517</v>
      </c>
      <c r="D9" s="2609">
        <f t="shared" si="0"/>
        <v>0</v>
      </c>
      <c r="E9" s="2622">
        <v>0</v>
      </c>
      <c r="F9" s="2600"/>
      <c r="G9" s="2619"/>
      <c r="H9" s="2619"/>
      <c r="I9" s="2600"/>
      <c r="J9" s="2600"/>
      <c r="K9" s="2600"/>
      <c r="L9" s="2600"/>
      <c r="M9" s="2600"/>
      <c r="N9" s="2600"/>
      <c r="O9" s="2600"/>
      <c r="P9" s="2600"/>
    </row>
    <row r="10" spans="1:16">
      <c r="A10" s="2620"/>
      <c r="B10" s="2621"/>
      <c r="C10" s="2609" t="s">
        <v>518</v>
      </c>
      <c r="D10" s="2609">
        <f t="shared" si="0"/>
        <v>0</v>
      </c>
      <c r="E10" s="2618">
        <f>SUMPRODUCT(('数据-基础表'!BB10:BK10="地下")*('数据-基础表'!BB11:BK11="商业")*('数据-基础表'!BB5:BK5))</f>
        <v>0</v>
      </c>
      <c r="F10" s="2600"/>
      <c r="G10" s="2619"/>
      <c r="H10" s="2619"/>
      <c r="I10" s="2600"/>
      <c r="J10" s="2600"/>
      <c r="K10" s="2600"/>
      <c r="L10" s="2600"/>
      <c r="M10" s="2600"/>
      <c r="N10" s="2600"/>
      <c r="O10" s="2600"/>
      <c r="P10" s="2600"/>
    </row>
    <row r="11" spans="1:16">
      <c r="A11" s="2620"/>
      <c r="B11" s="2621"/>
      <c r="C11" s="2609" t="s">
        <v>519</v>
      </c>
      <c r="D11" s="2609">
        <f t="shared" si="0"/>
        <v>0</v>
      </c>
      <c r="E11" s="2618">
        <f>SUMPRODUCT(('数据-基础表'!BB10:BK10="地下")*('数据-基础表'!BB11:BK11="办公")*('数据-基础表'!BB5:BK5))+'数据-基础表'!BP5</f>
        <v>0</v>
      </c>
      <c r="F11" s="2600"/>
      <c r="G11" s="2619"/>
      <c r="H11" s="2619"/>
      <c r="I11" s="2600"/>
      <c r="J11" s="2600"/>
      <c r="K11" s="2600"/>
      <c r="L11" s="2600"/>
      <c r="M11" s="2600"/>
      <c r="N11" s="2600"/>
      <c r="O11" s="2600"/>
      <c r="P11" s="2600"/>
    </row>
    <row r="12" spans="1:16">
      <c r="A12" s="2620"/>
      <c r="B12" s="2621"/>
      <c r="C12" s="2609" t="s">
        <v>520</v>
      </c>
      <c r="D12" s="2609">
        <f t="shared" si="0"/>
        <v>496.47</v>
      </c>
      <c r="E12" s="2618">
        <f>SUMPRODUCT(('数据-基础表'!BB10:BK10="地下")*('数据-基础表'!BB11:BK11="仓储")*('数据-基础表'!BB5:BK5))</f>
        <v>1669.98</v>
      </c>
      <c r="F12" s="2600"/>
      <c r="G12" s="2619"/>
      <c r="H12" s="2619"/>
      <c r="I12" s="2600"/>
      <c r="J12" s="2600"/>
      <c r="K12" s="2600"/>
      <c r="L12" s="2600"/>
      <c r="M12" s="2600"/>
      <c r="N12" s="2600"/>
      <c r="O12" s="2600"/>
      <c r="P12" s="2600"/>
    </row>
    <row r="13" spans="1:16">
      <c r="A13" s="2620"/>
      <c r="B13" s="2621"/>
      <c r="C13" s="2609" t="s">
        <v>521</v>
      </c>
      <c r="D13" s="2609">
        <f t="shared" si="0"/>
        <v>0</v>
      </c>
      <c r="E13" s="2618">
        <f>SUMPRODUCT(('数据-基础表'!BB10:BK10="地下")*('数据-基础表'!BB11:BK11="车库")*('数据-基础表'!BB5:BK5))</f>
        <v>0</v>
      </c>
      <c r="F13" s="2600"/>
      <c r="G13" s="2619"/>
      <c r="H13" s="2619"/>
      <c r="I13" s="2600"/>
      <c r="J13" s="2600"/>
      <c r="K13" s="2600"/>
      <c r="L13" s="2600"/>
      <c r="M13" s="2600"/>
      <c r="N13" s="2600"/>
      <c r="O13" s="2600"/>
      <c r="P13" s="2600"/>
    </row>
    <row r="14" spans="1:16">
      <c r="A14" s="2620"/>
      <c r="B14" s="2621"/>
      <c r="C14" s="2609" t="s">
        <v>522</v>
      </c>
      <c r="D14" s="2609">
        <f t="shared" si="0"/>
        <v>0</v>
      </c>
      <c r="E14" s="2618">
        <f>SUMPRODUCT(('数据-基础表'!BB10:BK10="地下")*('数据-基础表'!BB11:BK11="车库—商业")*('数据-基础表'!BB5:BK5))</f>
        <v>0</v>
      </c>
      <c r="F14" s="2600"/>
      <c r="G14" s="2619"/>
      <c r="H14" s="2619"/>
      <c r="I14" s="2600"/>
      <c r="J14" s="2600"/>
      <c r="K14" s="2600"/>
      <c r="L14" s="2600"/>
      <c r="M14" s="2600"/>
      <c r="N14" s="2600"/>
      <c r="O14" s="2600"/>
      <c r="P14" s="2600"/>
    </row>
    <row r="15" spans="1:16">
      <c r="A15" s="2620"/>
      <c r="B15" s="2621"/>
      <c r="C15" s="2609" t="s">
        <v>523</v>
      </c>
      <c r="D15" s="2609">
        <f t="shared" si="0"/>
        <v>0</v>
      </c>
      <c r="E15" s="2618">
        <f>SUMPRODUCT(('数据-基础表'!BB10:BK10="地下")*('数据-基础表'!BB11:BK11="车库—办公")*('数据-基础表'!BB5:BK5))</f>
        <v>0</v>
      </c>
      <c r="F15" s="2600"/>
      <c r="G15" s="2619"/>
      <c r="H15" s="2619"/>
      <c r="I15" s="2600"/>
      <c r="J15" s="2600"/>
      <c r="K15" s="2600"/>
      <c r="L15" s="2600"/>
      <c r="M15" s="2600"/>
      <c r="N15" s="2600"/>
      <c r="O15" s="2600"/>
      <c r="P15" s="2600"/>
    </row>
    <row r="16" spans="1:16" ht="15">
      <c r="A16" s="2611"/>
      <c r="B16" s="2621"/>
      <c r="C16" s="2617" t="s">
        <v>524</v>
      </c>
      <c r="D16" s="2617">
        <f>SUM(D8:D15)</f>
        <v>11660.67</v>
      </c>
      <c r="E16" s="2623">
        <f>SUM(E8:E15)</f>
        <v>39222.729999999996</v>
      </c>
      <c r="F16" s="2600"/>
      <c r="G16" s="2619"/>
      <c r="H16" s="2624" t="s">
        <v>525</v>
      </c>
      <c r="I16" s="2665"/>
      <c r="J16" s="2103"/>
      <c r="K16" s="3156" t="s">
        <v>525</v>
      </c>
      <c r="L16" s="3157"/>
      <c r="M16" s="3157"/>
      <c r="N16" s="3157"/>
      <c r="O16" s="3157"/>
      <c r="P16" s="3158"/>
    </row>
    <row r="17" spans="1:19" ht="15">
      <c r="A17" s="2559" t="s">
        <v>526</v>
      </c>
      <c r="B17" s="2625" t="s">
        <v>527</v>
      </c>
      <c r="C17" s="2558" t="s">
        <v>528</v>
      </c>
      <c r="D17" s="2626" t="s">
        <v>501</v>
      </c>
      <c r="E17" s="2627" t="s">
        <v>502</v>
      </c>
      <c r="F17" s="2628"/>
      <c r="G17" s="2629"/>
      <c r="H17" s="2630" t="s">
        <v>529</v>
      </c>
      <c r="I17" s="2666" t="s">
        <v>530</v>
      </c>
      <c r="J17" s="2103"/>
      <c r="K17" s="3159" t="s">
        <v>531</v>
      </c>
      <c r="L17" s="3160"/>
      <c r="M17" s="3161"/>
      <c r="N17" s="3159" t="s">
        <v>532</v>
      </c>
      <c r="O17" s="3160"/>
      <c r="P17" s="3161"/>
      <c r="R17" s="2679" t="s">
        <v>533</v>
      </c>
      <c r="S17" s="2044"/>
    </row>
    <row r="18" spans="1:19" ht="15">
      <c r="A18" s="2620"/>
      <c r="B18" s="2631"/>
      <c r="C18" s="2632"/>
      <c r="D18" s="2633"/>
      <c r="E18" s="2634" t="s">
        <v>534</v>
      </c>
      <c r="F18" s="2635" t="s">
        <v>507</v>
      </c>
      <c r="G18" s="2636" t="s">
        <v>535</v>
      </c>
      <c r="H18" s="2564" t="s">
        <v>536</v>
      </c>
      <c r="I18" s="2667" t="s">
        <v>537</v>
      </c>
      <c r="J18" s="2103"/>
      <c r="K18" s="2564" t="s">
        <v>538</v>
      </c>
      <c r="L18" s="2268" t="s">
        <v>539</v>
      </c>
      <c r="M18" s="2663" t="s">
        <v>540</v>
      </c>
      <c r="N18" s="2564" t="s">
        <v>538</v>
      </c>
      <c r="O18" s="2268" t="s">
        <v>539</v>
      </c>
      <c r="P18" s="2663" t="s">
        <v>540</v>
      </c>
      <c r="R18" s="2055" t="s">
        <v>536</v>
      </c>
      <c r="S18" s="2055" t="s">
        <v>537</v>
      </c>
    </row>
    <row r="19" spans="1:19">
      <c r="A19" s="2637"/>
      <c r="B19" s="2617" t="s">
        <v>541</v>
      </c>
      <c r="C19" s="2638" t="s">
        <v>2766</v>
      </c>
      <c r="D19" s="2609">
        <f>ROUND($D$3*E19/$E$3,2)</f>
        <v>10020.290000000001</v>
      </c>
      <c r="E19" s="2639">
        <f t="shared" ref="E19:E26" si="1">SUM(F19:G19)</f>
        <v>33705.019999999997</v>
      </c>
      <c r="F19" s="2640">
        <f>'数据-基础表'!I5</f>
        <v>33705.019999999997</v>
      </c>
      <c r="G19" s="2641"/>
      <c r="H19" s="2548">
        <f>ROUND($D$3*I19/$E$3,2)</f>
        <v>0</v>
      </c>
      <c r="I19" s="2618">
        <f t="shared" ref="I19:I26" si="2">IF($I$17="自定义",P19,M19)</f>
        <v>0</v>
      </c>
      <c r="J19" s="2103"/>
      <c r="K19" s="2668">
        <f t="shared" ref="K19:K26" si="3">ROUND(E$28*E19/E$27,2)</f>
        <v>0</v>
      </c>
      <c r="L19" s="2055">
        <f t="shared" ref="L19:L26" si="4">ROUND(IF(COUNTIF(C19,"*住宅*")&gt;0,E$29*E19/E$32,0),2)</f>
        <v>0</v>
      </c>
      <c r="M19" s="2669">
        <f>K19+L19</f>
        <v>0</v>
      </c>
      <c r="N19" s="2670"/>
      <c r="O19" s="2671"/>
      <c r="P19" s="2669">
        <f>N19+O19</f>
        <v>0</v>
      </c>
      <c r="R19" s="2055">
        <f t="shared" ref="R19:S26" si="5">D19+H19</f>
        <v>10020.290000000001</v>
      </c>
      <c r="S19" s="2680">
        <f t="shared" si="5"/>
        <v>33705.019999999997</v>
      </c>
    </row>
    <row r="20" spans="1:19">
      <c r="A20" s="2642"/>
      <c r="B20" s="2617" t="s">
        <v>541</v>
      </c>
      <c r="C20" s="2638" t="s">
        <v>465</v>
      </c>
      <c r="D20" s="2609">
        <f t="shared" ref="D20:D26" si="6">ROUND($D$3*E20/$E$3,2)</f>
        <v>264.45</v>
      </c>
      <c r="E20" s="2639">
        <f t="shared" si="1"/>
        <v>889.53</v>
      </c>
      <c r="F20" s="2640">
        <f>'数据-基础表'!K5</f>
        <v>889.53</v>
      </c>
      <c r="G20" s="2641"/>
      <c r="H20" s="2548">
        <f t="shared" ref="H20:H26" si="7">ROUND($D$3*I20/$E$3,2)</f>
        <v>0</v>
      </c>
      <c r="I20" s="2618">
        <f t="shared" si="2"/>
        <v>0</v>
      </c>
      <c r="J20" s="2103"/>
      <c r="K20" s="2668">
        <f t="shared" si="3"/>
        <v>0</v>
      </c>
      <c r="L20" s="2055">
        <f t="shared" si="4"/>
        <v>0</v>
      </c>
      <c r="M20" s="2669">
        <f t="shared" ref="M20:M26" si="8">K20+L20</f>
        <v>0</v>
      </c>
      <c r="N20" s="2670"/>
      <c r="O20" s="2671"/>
      <c r="P20" s="2669">
        <f t="shared" ref="P20:P26" si="9">N20+O20</f>
        <v>0</v>
      </c>
      <c r="R20" s="2055">
        <f t="shared" si="5"/>
        <v>264.45</v>
      </c>
      <c r="S20" s="2680">
        <f t="shared" si="5"/>
        <v>889.53</v>
      </c>
    </row>
    <row r="21" spans="1:19">
      <c r="A21" s="2642"/>
      <c r="B21" s="2617" t="s">
        <v>541</v>
      </c>
      <c r="C21" s="3059" t="s">
        <v>2768</v>
      </c>
      <c r="D21" s="2609">
        <f t="shared" si="6"/>
        <v>879.45</v>
      </c>
      <c r="E21" s="2639">
        <f t="shared" si="1"/>
        <v>2958.2</v>
      </c>
      <c r="F21" s="2640">
        <f>'数据-基础表'!M5</f>
        <v>2958.2</v>
      </c>
      <c r="G21" s="2641"/>
      <c r="H21" s="2548">
        <f t="shared" si="7"/>
        <v>0</v>
      </c>
      <c r="I21" s="2618">
        <f t="shared" si="2"/>
        <v>0</v>
      </c>
      <c r="J21" s="2103"/>
      <c r="K21" s="2668">
        <f t="shared" si="3"/>
        <v>0</v>
      </c>
      <c r="L21" s="2055">
        <f t="shared" si="4"/>
        <v>0</v>
      </c>
      <c r="M21" s="2669">
        <f t="shared" si="8"/>
        <v>0</v>
      </c>
      <c r="N21" s="2670"/>
      <c r="O21" s="2671"/>
      <c r="P21" s="2669">
        <f t="shared" si="9"/>
        <v>0</v>
      </c>
      <c r="R21" s="2055">
        <f t="shared" si="5"/>
        <v>879.45</v>
      </c>
      <c r="S21" s="2680">
        <f t="shared" si="5"/>
        <v>2958.2</v>
      </c>
    </row>
    <row r="22" spans="1:19">
      <c r="A22" s="2642"/>
      <c r="B22" s="2617" t="s">
        <v>541</v>
      </c>
      <c r="C22" s="3060" t="s">
        <v>2769</v>
      </c>
      <c r="D22" s="2609">
        <f t="shared" si="6"/>
        <v>496.47</v>
      </c>
      <c r="E22" s="2639">
        <f t="shared" si="1"/>
        <v>1669.98</v>
      </c>
      <c r="F22" s="2644"/>
      <c r="G22" s="2645">
        <f>'数据-基础表'!O5</f>
        <v>1669.98</v>
      </c>
      <c r="H22" s="2548">
        <f t="shared" si="7"/>
        <v>0</v>
      </c>
      <c r="I22" s="2618">
        <f t="shared" si="2"/>
        <v>0</v>
      </c>
      <c r="J22" s="2103"/>
      <c r="K22" s="2668">
        <f t="shared" si="3"/>
        <v>0</v>
      </c>
      <c r="L22" s="2055">
        <f t="shared" si="4"/>
        <v>0</v>
      </c>
      <c r="M22" s="2669">
        <f t="shared" si="8"/>
        <v>0</v>
      </c>
      <c r="N22" s="2670"/>
      <c r="O22" s="2671"/>
      <c r="P22" s="2669">
        <f t="shared" si="9"/>
        <v>0</v>
      </c>
      <c r="R22" s="2055">
        <f t="shared" si="5"/>
        <v>496.47</v>
      </c>
      <c r="S22" s="2680">
        <f t="shared" si="5"/>
        <v>1669.98</v>
      </c>
    </row>
    <row r="23" spans="1:19">
      <c r="A23" s="2642"/>
      <c r="B23" s="2617" t="s">
        <v>541</v>
      </c>
      <c r="C23" s="2643"/>
      <c r="D23" s="2609">
        <f t="shared" si="6"/>
        <v>0</v>
      </c>
      <c r="E23" s="2639">
        <f t="shared" si="1"/>
        <v>0</v>
      </c>
      <c r="F23" s="2644"/>
      <c r="G23" s="2645"/>
      <c r="H23" s="2548">
        <f t="shared" si="7"/>
        <v>0</v>
      </c>
      <c r="I23" s="2618">
        <f t="shared" si="2"/>
        <v>0</v>
      </c>
      <c r="J23" s="2103"/>
      <c r="K23" s="2668">
        <f t="shared" si="3"/>
        <v>0</v>
      </c>
      <c r="L23" s="2055">
        <f t="shared" si="4"/>
        <v>0</v>
      </c>
      <c r="M23" s="2669">
        <f t="shared" si="8"/>
        <v>0</v>
      </c>
      <c r="N23" s="2670"/>
      <c r="O23" s="2671"/>
      <c r="P23" s="2669">
        <f t="shared" si="9"/>
        <v>0</v>
      </c>
      <c r="R23" s="2055">
        <f t="shared" si="5"/>
        <v>0</v>
      </c>
      <c r="S23" s="2680">
        <f t="shared" si="5"/>
        <v>0</v>
      </c>
    </row>
    <row r="24" spans="1:19">
      <c r="A24" s="2642"/>
      <c r="B24" s="2617" t="s">
        <v>541</v>
      </c>
      <c r="C24" s="2643"/>
      <c r="D24" s="2609">
        <f t="shared" si="6"/>
        <v>0</v>
      </c>
      <c r="E24" s="2639">
        <f t="shared" si="1"/>
        <v>0</v>
      </c>
      <c r="F24" s="2644"/>
      <c r="G24" s="2645"/>
      <c r="H24" s="2548">
        <f t="shared" si="7"/>
        <v>0</v>
      </c>
      <c r="I24" s="2618">
        <f t="shared" si="2"/>
        <v>0</v>
      </c>
      <c r="J24" s="2103"/>
      <c r="K24" s="2668">
        <f t="shared" si="3"/>
        <v>0</v>
      </c>
      <c r="L24" s="2055">
        <f t="shared" si="4"/>
        <v>0</v>
      </c>
      <c r="M24" s="2669">
        <f t="shared" si="8"/>
        <v>0</v>
      </c>
      <c r="N24" s="2670"/>
      <c r="O24" s="2671"/>
      <c r="P24" s="2669">
        <f t="shared" si="9"/>
        <v>0</v>
      </c>
      <c r="R24" s="2055">
        <f t="shared" si="5"/>
        <v>0</v>
      </c>
      <c r="S24" s="2680">
        <f t="shared" si="5"/>
        <v>0</v>
      </c>
    </row>
    <row r="25" spans="1:19">
      <c r="A25" s="2642"/>
      <c r="B25" s="2617" t="s">
        <v>541</v>
      </c>
      <c r="C25" s="2643"/>
      <c r="D25" s="2609">
        <f t="shared" si="6"/>
        <v>0</v>
      </c>
      <c r="E25" s="2639">
        <f t="shared" si="1"/>
        <v>0</v>
      </c>
      <c r="F25" s="2644"/>
      <c r="G25" s="2645"/>
      <c r="H25" s="2608">
        <f t="shared" si="7"/>
        <v>0</v>
      </c>
      <c r="I25" s="2618">
        <f t="shared" si="2"/>
        <v>0</v>
      </c>
      <c r="J25" s="2103"/>
      <c r="K25" s="2668">
        <f t="shared" si="3"/>
        <v>0</v>
      </c>
      <c r="L25" s="2055">
        <f t="shared" si="4"/>
        <v>0</v>
      </c>
      <c r="M25" s="2669">
        <f t="shared" si="8"/>
        <v>0</v>
      </c>
      <c r="N25" s="2670"/>
      <c r="O25" s="2671"/>
      <c r="P25" s="2669">
        <f t="shared" si="9"/>
        <v>0</v>
      </c>
      <c r="R25" s="2055">
        <f t="shared" si="5"/>
        <v>0</v>
      </c>
      <c r="S25" s="2680">
        <f t="shared" si="5"/>
        <v>0</v>
      </c>
    </row>
    <row r="26" spans="1:19">
      <c r="A26" s="2642"/>
      <c r="B26" s="2617" t="s">
        <v>541</v>
      </c>
      <c r="C26" s="2646"/>
      <c r="D26" s="2609">
        <f t="shared" si="6"/>
        <v>0</v>
      </c>
      <c r="E26" s="2639">
        <f t="shared" si="1"/>
        <v>0</v>
      </c>
      <c r="F26" s="2644"/>
      <c r="G26" s="2645"/>
      <c r="H26" s="2608">
        <f t="shared" si="7"/>
        <v>0</v>
      </c>
      <c r="I26" s="2618">
        <f t="shared" si="2"/>
        <v>0</v>
      </c>
      <c r="J26" s="2103"/>
      <c r="K26" s="2604">
        <f t="shared" si="3"/>
        <v>0</v>
      </c>
      <c r="L26" s="2613">
        <f t="shared" si="4"/>
        <v>0</v>
      </c>
      <c r="M26" s="2653">
        <f t="shared" si="8"/>
        <v>0</v>
      </c>
      <c r="N26" s="2672"/>
      <c r="O26" s="2673"/>
      <c r="P26" s="2653">
        <f t="shared" si="9"/>
        <v>0</v>
      </c>
      <c r="R26" s="2055">
        <f t="shared" si="5"/>
        <v>0</v>
      </c>
      <c r="S26" s="2680">
        <f t="shared" si="5"/>
        <v>0</v>
      </c>
    </row>
    <row r="27" spans="1:19" ht="28.5">
      <c r="A27" s="2642"/>
      <c r="B27" s="2609"/>
      <c r="C27" s="2258" t="s">
        <v>542</v>
      </c>
      <c r="D27" s="2647">
        <f>SUM(D19:D26)</f>
        <v>11660.660000000002</v>
      </c>
      <c r="E27" s="2648">
        <f>IF(SUM(E19:E26)='数据-基础表'!BA5,SUM(E19:E26),IF(F27="地上面积有误","面积有误","地下面积有误"))</f>
        <v>39222.729999999996</v>
      </c>
      <c r="F27" s="2647">
        <f>IF(SUM(F19:F26)=E8,SUM(F19:F26),"地上面积有误")</f>
        <v>37552.749999999993</v>
      </c>
      <c r="G27" s="2649">
        <f>SUM(G19:G26)</f>
        <v>1669.98</v>
      </c>
      <c r="H27" s="2650">
        <f>SUM(H19:H26)</f>
        <v>0</v>
      </c>
      <c r="I27" s="2674">
        <f>SUM(I19:I26)</f>
        <v>0</v>
      </c>
      <c r="J27" s="2103"/>
      <c r="K27" s="2675">
        <f t="shared" ref="K27:P27" si="10">SUM(K19:K26)</f>
        <v>0</v>
      </c>
      <c r="L27" s="2676">
        <f t="shared" si="10"/>
        <v>0</v>
      </c>
      <c r="M27" s="2677">
        <f t="shared" si="10"/>
        <v>0</v>
      </c>
      <c r="N27" s="2675">
        <f t="shared" si="10"/>
        <v>0</v>
      </c>
      <c r="O27" s="2676">
        <f t="shared" si="10"/>
        <v>0</v>
      </c>
      <c r="P27" s="2678">
        <f t="shared" si="10"/>
        <v>0</v>
      </c>
      <c r="R27" s="2591" t="str">
        <f>IF(SUM(R19:R26)=$D$3,SUM(R19:R26),SUM(R19:R26)&amp;"误差"&amp;ROUND(SUM(R19:R26)-$D$3,2))</f>
        <v>11660.66误差-0.01</v>
      </c>
      <c r="S27" s="2055">
        <f>IF(SUM(S19:S26)=$E$3,SUM(S19:S26),SUM(S19:S26)&amp;"误差"&amp;ROUND(SUM(S19:S26)-E3,2))</f>
        <v>39222.729999999996</v>
      </c>
    </row>
    <row r="28" spans="1:19">
      <c r="A28" s="2642"/>
      <c r="B28" s="2617" t="s">
        <v>543</v>
      </c>
      <c r="C28" s="2568" t="s">
        <v>544</v>
      </c>
      <c r="D28" s="2609">
        <f>ROUND($D$3*E28/$E$3,2)</f>
        <v>0</v>
      </c>
      <c r="E28" s="2639">
        <f>SUM(F28:G28)</f>
        <v>0</v>
      </c>
      <c r="F28" s="2044">
        <f>'数据-基础表'!BQ5+'数据-基础表'!BS5</f>
        <v>0</v>
      </c>
      <c r="G28" s="2651">
        <f>'数据-基础表'!BR5+'数据-基础表'!BT5</f>
        <v>0</v>
      </c>
      <c r="H28" s="2600"/>
      <c r="I28" s="2600"/>
      <c r="J28" s="2600"/>
      <c r="K28" s="2600"/>
      <c r="L28" s="2600"/>
      <c r="M28" s="2600"/>
      <c r="N28" s="2600"/>
      <c r="O28" s="2600"/>
      <c r="P28" s="2600"/>
    </row>
    <row r="29" spans="1:19">
      <c r="A29" s="2642"/>
      <c r="B29" s="2617" t="s">
        <v>543</v>
      </c>
      <c r="C29" s="2101" t="s">
        <v>545</v>
      </c>
      <c r="D29" s="2609">
        <f>ROUND($D$3*E29/$E$3,2)</f>
        <v>0</v>
      </c>
      <c r="E29" s="2639">
        <f>SUM(F29:G29)</f>
        <v>0</v>
      </c>
      <c r="F29" s="2652">
        <f>'数据-基础表'!BM5+'数据-基础表'!BO5</f>
        <v>0</v>
      </c>
      <c r="G29" s="2653">
        <f>'数据-基础表'!BN5+'数据-基础表'!BP5</f>
        <v>0</v>
      </c>
      <c r="H29" s="2600"/>
      <c r="I29" s="2600"/>
      <c r="J29" s="2600"/>
      <c r="K29" s="2600"/>
      <c r="L29" s="2600"/>
      <c r="M29" s="2600"/>
      <c r="N29" s="2600"/>
      <c r="O29" s="2600"/>
      <c r="P29" s="2600"/>
    </row>
    <row r="30" spans="1:19" ht="15">
      <c r="A30" s="2642"/>
      <c r="B30" s="2617"/>
      <c r="C30" s="2654" t="s">
        <v>542</v>
      </c>
      <c r="D30" s="2647">
        <f>SUM(D28:D29)</f>
        <v>0</v>
      </c>
      <c r="E30" s="2647">
        <f>SUM(E28:E29)</f>
        <v>0</v>
      </c>
      <c r="F30" s="2647">
        <f>SUM(F28:F29)</f>
        <v>0</v>
      </c>
      <c r="G30" s="2649">
        <f>SUM(G28:G29)</f>
        <v>0</v>
      </c>
      <c r="H30" s="2600"/>
      <c r="I30" s="2600"/>
      <c r="J30" s="2600"/>
      <c r="K30" s="2600"/>
      <c r="L30" s="2600"/>
      <c r="M30" s="2600"/>
      <c r="N30" s="2600"/>
      <c r="O30" s="2600"/>
      <c r="P30" s="2600"/>
    </row>
    <row r="31" spans="1:19" ht="15">
      <c r="A31" s="2655"/>
      <c r="B31" s="2656"/>
      <c r="C31" s="1985" t="s">
        <v>546</v>
      </c>
      <c r="D31" s="2657">
        <f>D27+D30</f>
        <v>11660.660000000002</v>
      </c>
      <c r="E31" s="2657">
        <f>E27+E30</f>
        <v>39222.729999999996</v>
      </c>
      <c r="F31" s="2658">
        <f>F27+F30</f>
        <v>37552.749999999993</v>
      </c>
      <c r="G31" s="2659">
        <f>G27+G30</f>
        <v>1669.98</v>
      </c>
      <c r="H31" s="2600"/>
      <c r="I31" s="2600"/>
      <c r="J31" s="2600"/>
      <c r="K31" s="2600"/>
      <c r="L31" s="2600"/>
      <c r="M31" s="2600"/>
      <c r="N31" s="2600"/>
      <c r="O31" s="2600"/>
      <c r="P31" s="2600"/>
    </row>
    <row r="32" spans="1:19">
      <c r="A32" s="2660"/>
      <c r="B32" s="2660" t="s">
        <v>547</v>
      </c>
      <c r="C32" s="2660"/>
      <c r="D32" s="2660"/>
      <c r="E32" s="2661">
        <f>SUMIF(C19:C26,"*住宅*",E19:E26)</f>
        <v>36663.219999999994</v>
      </c>
      <c r="F32" s="2660"/>
      <c r="G32" s="2660"/>
      <c r="H32" s="2600"/>
      <c r="I32" s="2600"/>
      <c r="J32" s="2600"/>
      <c r="K32" s="2600"/>
      <c r="L32" s="2600"/>
      <c r="M32" s="2600"/>
      <c r="N32" s="2600"/>
      <c r="O32" s="2600"/>
      <c r="P32" s="2600"/>
    </row>
    <row r="33" spans="4:8">
      <c r="D33" s="2662"/>
    </row>
    <row r="35" spans="4:8">
      <c r="H35" s="2597">
        <f>F19+F21</f>
        <v>36663.219999999994</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E58" sqref="E58"/>
    </sheetView>
  </sheetViews>
  <sheetFormatPr defaultColWidth="13.75" defaultRowHeight="12.75"/>
  <cols>
    <col min="1" max="1" width="20.875" style="2400" customWidth="1"/>
    <col min="2" max="2" width="12" style="2401" customWidth="1"/>
    <col min="3" max="3" width="12.75" style="2401" customWidth="1"/>
    <col min="4" max="4" width="9.125" style="2402" customWidth="1"/>
    <col min="5" max="5" width="15" style="2401" customWidth="1"/>
    <col min="6" max="10" width="8.875" style="2401" customWidth="1"/>
    <col min="11" max="12" width="12.375" style="2403" customWidth="1"/>
    <col min="13" max="13" width="8.625" style="2401" customWidth="1"/>
    <col min="14" max="14" width="11.875" style="2401" customWidth="1"/>
    <col min="15" max="15" width="8.5" style="2401" customWidth="1"/>
    <col min="16" max="17" width="10.875" style="2401" customWidth="1"/>
    <col min="18" max="19" width="12.5" style="2401" customWidth="1"/>
    <col min="20" max="20" width="12.125" style="2401" customWidth="1"/>
    <col min="21" max="21" width="7.5" style="2401" customWidth="1"/>
    <col min="22" max="22" width="6.375" style="2401" customWidth="1"/>
    <col min="23" max="30" width="6.75" style="2401" customWidth="1"/>
    <col min="31" max="31" width="8" style="2401" customWidth="1"/>
    <col min="32" max="34" width="7.25" style="2401" customWidth="1"/>
    <col min="35" max="39" width="8" style="2401" customWidth="1"/>
    <col min="40" max="40" width="13.75" style="2399"/>
    <col min="41" max="41" width="11.625" style="2399" customWidth="1"/>
    <col min="42" max="42" width="9.75" style="2399" customWidth="1"/>
    <col min="43" max="67" width="13.75" style="2399"/>
    <col min="68" max="16384" width="13.75" style="2401"/>
  </cols>
  <sheetData>
    <row r="1" spans="1:67" ht="18.75">
      <c r="A1" s="2404" t="s">
        <v>548</v>
      </c>
      <c r="B1" s="2405"/>
      <c r="C1" s="1734"/>
      <c r="D1" s="2406"/>
      <c r="E1" s="1734"/>
      <c r="F1" s="1734"/>
      <c r="G1" s="1734"/>
      <c r="H1" s="1734"/>
      <c r="I1" s="1734"/>
      <c r="J1" s="1734"/>
      <c r="K1" s="278"/>
      <c r="L1" s="278"/>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925"/>
      <c r="AO1" s="1925"/>
      <c r="AP1" s="1925"/>
      <c r="AQ1" s="1925"/>
      <c r="AR1" s="1925"/>
    </row>
    <row r="2" spans="1:67" s="2396" customFormat="1" ht="15">
      <c r="A2" s="2407" t="s">
        <v>549</v>
      </c>
      <c r="B2" s="2408">
        <f>项目基本情况!D3</f>
        <v>44288</v>
      </c>
      <c r="C2" s="2409"/>
      <c r="D2" s="2410"/>
      <c r="E2" s="2409"/>
      <c r="F2" s="2409"/>
      <c r="G2" s="2409"/>
      <c r="H2" s="2409"/>
      <c r="I2" s="2409"/>
      <c r="J2" s="2409"/>
      <c r="K2" s="2505"/>
      <c r="L2" s="2505"/>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442"/>
      <c r="AO2" s="2442"/>
      <c r="AP2" s="2442"/>
      <c r="AQ2" s="2442"/>
      <c r="AR2" s="2442"/>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row>
    <row r="3" spans="1:67" s="2396" customFormat="1" ht="14.25">
      <c r="A3" s="2411"/>
      <c r="B3" s="2412"/>
      <c r="C3" s="2409"/>
      <c r="D3" s="2410"/>
      <c r="E3" s="2409"/>
      <c r="F3" s="2409"/>
      <c r="G3" s="2409"/>
      <c r="H3" s="2409"/>
      <c r="I3" s="2409"/>
      <c r="J3" s="2409"/>
      <c r="K3" s="2505"/>
      <c r="L3" s="2505"/>
      <c r="M3" s="2409"/>
      <c r="N3" s="2409"/>
      <c r="O3" s="2409"/>
      <c r="P3" s="2409"/>
      <c r="Q3" s="2409"/>
      <c r="R3" s="2409"/>
      <c r="S3" s="2409"/>
      <c r="T3" s="2409"/>
      <c r="U3" s="2409"/>
      <c r="V3" s="2409"/>
      <c r="W3" s="2409"/>
      <c r="X3" s="2409"/>
      <c r="Y3" s="2409"/>
      <c r="Z3" s="2409"/>
      <c r="AA3" s="2409"/>
      <c r="AB3" s="2409"/>
      <c r="AC3" s="2409"/>
      <c r="AD3" s="2409"/>
      <c r="AE3" s="2409"/>
      <c r="AF3" s="2409"/>
      <c r="AG3" s="2409"/>
      <c r="AH3" s="2409"/>
      <c r="AI3" s="2409"/>
      <c r="AJ3" s="2409"/>
      <c r="AK3" s="2409"/>
      <c r="AL3" s="2409"/>
      <c r="AM3" s="2409"/>
      <c r="AN3" s="2442"/>
      <c r="AO3" s="2442"/>
      <c r="AP3" s="2442"/>
      <c r="AQ3" s="2442"/>
      <c r="AR3" s="2442"/>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row>
    <row r="4" spans="1:67" s="2396" customFormat="1" ht="14.25">
      <c r="A4" s="1349" t="s">
        <v>550</v>
      </c>
      <c r="B4" s="2062"/>
      <c r="C4" s="2413"/>
      <c r="D4" s="2414"/>
      <c r="E4" s="2413" t="s">
        <v>551</v>
      </c>
      <c r="F4" s="2413"/>
      <c r="G4" s="2413"/>
      <c r="H4" s="2413"/>
      <c r="I4" s="2413"/>
      <c r="J4" s="2506"/>
      <c r="K4" s="2507"/>
      <c r="L4" s="2508"/>
      <c r="M4" s="2413"/>
      <c r="N4" s="2413" t="s">
        <v>552</v>
      </c>
      <c r="O4" s="2413"/>
      <c r="P4" s="2413"/>
      <c r="Q4" s="2413"/>
      <c r="R4" s="2413"/>
      <c r="S4" s="2506"/>
      <c r="T4" s="2531" t="str">
        <f>'数据-汇总表'!I17</f>
        <v>按面积比例</v>
      </c>
      <c r="U4" s="2062" t="s">
        <v>553</v>
      </c>
      <c r="V4" s="2413"/>
      <c r="W4" s="2413"/>
      <c r="X4" s="2413"/>
      <c r="Y4" s="2506"/>
      <c r="Z4" s="2558" t="s">
        <v>554</v>
      </c>
      <c r="AA4" s="2558"/>
      <c r="AB4" s="2558"/>
      <c r="AC4" s="2558"/>
      <c r="AD4" s="2558"/>
      <c r="AE4" s="2559" t="s">
        <v>555</v>
      </c>
      <c r="AF4" s="2558"/>
      <c r="AG4" s="2572"/>
      <c r="AH4" s="2062"/>
      <c r="AI4" s="2413"/>
      <c r="AJ4" s="2413"/>
      <c r="AK4" s="2413"/>
      <c r="AL4" s="2413"/>
      <c r="AM4" s="2506"/>
      <c r="AN4" s="2442"/>
      <c r="AO4" s="2442"/>
      <c r="AP4" s="2442"/>
      <c r="AQ4" s="2442"/>
      <c r="AR4" s="2442"/>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row>
    <row r="5" spans="1:67" s="2397" customFormat="1" ht="42">
      <c r="A5" s="2415" t="s">
        <v>528</v>
      </c>
      <c r="B5" s="2416" t="s">
        <v>527</v>
      </c>
      <c r="C5" s="2417" t="s">
        <v>556</v>
      </c>
      <c r="D5" s="2418" t="s">
        <v>557</v>
      </c>
      <c r="E5" s="2419" t="s">
        <v>558</v>
      </c>
      <c r="F5" s="2420" t="s">
        <v>559</v>
      </c>
      <c r="G5" s="2419" t="s">
        <v>560</v>
      </c>
      <c r="H5" s="2419" t="s">
        <v>561</v>
      </c>
      <c r="I5" s="2419" t="s">
        <v>562</v>
      </c>
      <c r="J5" s="2509" t="s">
        <v>563</v>
      </c>
      <c r="K5" s="2510" t="s">
        <v>537</v>
      </c>
      <c r="L5" s="2511" t="s">
        <v>564</v>
      </c>
      <c r="M5" s="2512" t="s">
        <v>565</v>
      </c>
      <c r="N5" s="2513" t="s">
        <v>566</v>
      </c>
      <c r="O5" s="2511" t="s">
        <v>567</v>
      </c>
      <c r="P5" s="2514" t="s">
        <v>568</v>
      </c>
      <c r="Q5" s="1233" t="s">
        <v>569</v>
      </c>
      <c r="R5" s="2532" t="s">
        <v>570</v>
      </c>
      <c r="S5" s="2533" t="s">
        <v>571</v>
      </c>
      <c r="T5" s="2534" t="s">
        <v>572</v>
      </c>
      <c r="U5" s="2535" t="s">
        <v>573</v>
      </c>
      <c r="V5" s="2419" t="s">
        <v>574</v>
      </c>
      <c r="W5" s="2419" t="s">
        <v>575</v>
      </c>
      <c r="X5" s="914"/>
      <c r="Y5" s="1366" t="s">
        <v>576</v>
      </c>
      <c r="Z5" s="2560" t="s">
        <v>573</v>
      </c>
      <c r="AA5" s="2419" t="s">
        <v>574</v>
      </c>
      <c r="AB5" s="2419" t="s">
        <v>575</v>
      </c>
      <c r="AC5" s="914"/>
      <c r="AD5" s="914" t="s">
        <v>576</v>
      </c>
      <c r="AE5" s="2535" t="s">
        <v>577</v>
      </c>
      <c r="AF5" s="2419" t="s">
        <v>578</v>
      </c>
      <c r="AG5" s="1366" t="s">
        <v>579</v>
      </c>
      <c r="AH5" s="2535" t="s">
        <v>580</v>
      </c>
      <c r="AI5" s="2560" t="s">
        <v>581</v>
      </c>
      <c r="AJ5" s="2560" t="s">
        <v>582</v>
      </c>
      <c r="AK5" s="2419" t="s">
        <v>583</v>
      </c>
      <c r="AL5" s="2419" t="s">
        <v>584</v>
      </c>
      <c r="AM5" s="1366" t="s">
        <v>585</v>
      </c>
      <c r="AN5" s="2573" t="s">
        <v>586</v>
      </c>
      <c r="AO5" s="2590" t="s">
        <v>587</v>
      </c>
      <c r="AP5" s="2591" t="s">
        <v>588</v>
      </c>
      <c r="AQ5" s="2592" t="s">
        <v>589</v>
      </c>
      <c r="AR5" s="2592" t="s">
        <v>590</v>
      </c>
      <c r="AS5" s="2328"/>
      <c r="AT5" s="2328"/>
      <c r="AU5" s="2328"/>
      <c r="AV5" s="2328"/>
      <c r="AW5" s="2328"/>
      <c r="AX5" s="2328"/>
      <c r="AY5" s="2328"/>
      <c r="AZ5" s="2328"/>
      <c r="BA5" s="2328"/>
      <c r="BB5" s="2328"/>
      <c r="BC5" s="2328"/>
      <c r="BD5" s="2328"/>
      <c r="BE5" s="2328"/>
      <c r="BF5" s="2328"/>
      <c r="BG5" s="2328"/>
      <c r="BH5" s="2328"/>
      <c r="BI5" s="2328"/>
      <c r="BJ5" s="2328"/>
      <c r="BK5" s="2328"/>
      <c r="BL5" s="2328"/>
      <c r="BM5" s="2328"/>
      <c r="BN5" s="2328"/>
      <c r="BO5" s="2328"/>
    </row>
    <row r="6" spans="1:67" s="2396" customFormat="1" ht="14.25">
      <c r="A6" s="2421" t="str">
        <f>'数据-汇总表'!C19</f>
        <v>住宅（小高层）</v>
      </c>
      <c r="B6" s="2422" t="str">
        <f>IF(A6=0,"","经营性")</f>
        <v>经营性</v>
      </c>
      <c r="C6" s="2423" t="s">
        <v>464</v>
      </c>
      <c r="D6" s="2424">
        <f>SUMIF(项目基本情况!D$12:I$12,C6,项目基本情况!D$14:I$14)</f>
        <v>70</v>
      </c>
      <c r="E6" s="2425">
        <f>IF(B6="","",SUMIF(项目基本情况!D$12:I$12,C6,项目基本情况!D$13:I$13))</f>
        <v>69749</v>
      </c>
      <c r="F6" s="2426">
        <f>SUMIF(项目基本情况!D$12:I$12,C6,项目基本情况!D$15:I$15)</f>
        <v>69.75</v>
      </c>
      <c r="G6" s="2427">
        <f>IF(ISERROR(ROUND(POWER(1+H6,D6-F6)*(POWER(1+H6,F6)-1)/(POWER(1+H6,D6)-1),3)),0,ROUND(POWER(1+H6,D6-F6)*(POWER(1+H6,F6)-1)/(POWER(1+H6,D6)-1),3))</f>
        <v>1</v>
      </c>
      <c r="H6" s="2428">
        <v>0.05</v>
      </c>
      <c r="I6" s="2428">
        <v>5.5E-2</v>
      </c>
      <c r="J6" s="2429">
        <v>0.08</v>
      </c>
      <c r="K6" s="2515">
        <f>SUMIF('数据-汇总表'!C$19:C$33,A6,'数据-汇总表'!E$19:E$33)</f>
        <v>33705.019999999997</v>
      </c>
      <c r="L6" s="2516">
        <v>8000</v>
      </c>
      <c r="M6" s="2517">
        <f t="shared" ref="M6:M14" si="0">ROUND(K6*L6/10000,0)</f>
        <v>26964</v>
      </c>
      <c r="N6" s="2518">
        <f>P20</f>
        <v>0.27</v>
      </c>
      <c r="O6" s="2517">
        <f>IF($N$5="成新度","——",ROUND(M6*N6,0))</f>
        <v>7280</v>
      </c>
      <c r="P6" s="2519">
        <f>IF($N$5="成新度","——",M6-O6)</f>
        <v>19684</v>
      </c>
      <c r="Q6" s="2536">
        <v>0.2</v>
      </c>
      <c r="R6" s="2537">
        <f ca="1">SUMIF('数据-汇总表'!C$19:C$33,A6,'数据-汇总表'!R$19:R$27)</f>
        <v>10020.290000000001</v>
      </c>
      <c r="S6" s="2538">
        <f>IF('数据-汇总表'!$I$17="按面积比例",SUMIF('数据-汇总表'!C$19:C$33,A6,'数据-汇总表'!K$19:K$33),SUMIF('数据-汇总表'!C$19:C$33,A6,'数据-汇总表'!N$19:N$33))</f>
        <v>0</v>
      </c>
      <c r="T6" s="2539">
        <f>ROUND($L$14*S6/10000,0)</f>
        <v>0</v>
      </c>
      <c r="U6" s="2540"/>
      <c r="V6" s="2541"/>
      <c r="W6" s="2541"/>
      <c r="X6" s="2542"/>
      <c r="Y6" s="2561"/>
      <c r="Z6" s="2562"/>
      <c r="AA6" s="2429"/>
      <c r="AB6" s="2429"/>
      <c r="AC6" s="2542"/>
      <c r="AD6" s="2563"/>
      <c r="AE6" s="2564">
        <f ca="1">IF(AN6="",0,SUMIF(INDIRECT("'"&amp;AN6&amp;"'"&amp;"!E:E"),$AE$5,INDIRECT("'"&amp;AN6&amp;"'"&amp;"!F:F")))</f>
        <v>0</v>
      </c>
      <c r="AF6" s="2041"/>
      <c r="AG6" s="1540">
        <f>IF(AF6="",0,AE6-AF6)</f>
        <v>0</v>
      </c>
      <c r="AH6" s="2546"/>
      <c r="AI6" s="2574"/>
      <c r="AJ6" s="2575"/>
      <c r="AK6" s="2576"/>
      <c r="AL6" s="2577"/>
      <c r="AM6" s="2578"/>
      <c r="AN6" s="2579"/>
      <c r="AO6" s="1103" t="e">
        <f ca="1">SUMIF(INDIRECT("'"&amp;AN6&amp;"'"&amp;"!A:A"),"总价",INDIRECT("'"&amp;AN6&amp;"'"&amp;"!B:B"))</f>
        <v>#REF!</v>
      </c>
      <c r="AP6" s="2593">
        <f>IF(C6="住宅",K6*L6,0)</f>
        <v>269640160</v>
      </c>
      <c r="AQ6" s="1103">
        <f>ROUND($L$14*$N$14*S6/10000,0)</f>
        <v>0</v>
      </c>
      <c r="AR6" s="1103">
        <f>ROUND($L$14*(1-$N$14)*S6/10000,0)</f>
        <v>0</v>
      </c>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row>
    <row r="7" spans="1:67" s="2396" customFormat="1" ht="14.25">
      <c r="A7" s="2421" t="str">
        <f>'数据-汇总表'!C20</f>
        <v>商业</v>
      </c>
      <c r="B7" s="2422" t="str">
        <f t="shared" ref="B7:B13" si="1">IF(A7=0,"","经营性")</f>
        <v>经营性</v>
      </c>
      <c r="C7" s="2423" t="s">
        <v>465</v>
      </c>
      <c r="D7" s="2424">
        <f>SUMIF(项目基本情况!D$12:I$12,C7,项目基本情况!D$14:I$14)</f>
        <v>40</v>
      </c>
      <c r="E7" s="2425">
        <f>IF(B7="","",SUMIF(项目基本情况!D$12:I$12,C7,项目基本情况!D$13:I$13))</f>
        <v>58792</v>
      </c>
      <c r="F7" s="2426">
        <f>SUMIF(项目基本情况!D$12:I$12,C7,项目基本情况!D$15:I$15)</f>
        <v>39.729999999999997</v>
      </c>
      <c r="G7" s="2427">
        <f t="shared" ref="G7:G13" si="2">IF(ISERROR(ROUND(POWER(1+H7,D7-F7)*(POWER(1+H7,F7)-1)/(POWER(1+H7,D7)-1),3)),0,ROUND(POWER(1+H7,D7-F7)*(POWER(1+H7,F7)-1)/(POWER(1+H7,D7)-1),3))</f>
        <v>0.998</v>
      </c>
      <c r="H7" s="2428">
        <v>5.5E-2</v>
      </c>
      <c r="I7" s="2428">
        <v>0.06</v>
      </c>
      <c r="J7" s="2429">
        <v>0.08</v>
      </c>
      <c r="K7" s="2515">
        <f>SUMIF('数据-汇总表'!C$19:C$33,A7,'数据-汇总表'!E$19:E$33)</f>
        <v>889.53</v>
      </c>
      <c r="L7" s="2516">
        <f>L6</f>
        <v>8000</v>
      </c>
      <c r="M7" s="2517">
        <f t="shared" si="0"/>
        <v>712</v>
      </c>
      <c r="N7" s="2518">
        <f>N6</f>
        <v>0.27</v>
      </c>
      <c r="O7" s="2517">
        <f t="shared" ref="O7:O14" si="3">IF($N$5="成新度","——",ROUND(M7*N7,0))</f>
        <v>192</v>
      </c>
      <c r="P7" s="2519">
        <f t="shared" ref="P7:P14" si="4">IF($N$5="成新度","——",M7-O7)</f>
        <v>520</v>
      </c>
      <c r="Q7" s="2536">
        <v>0.2</v>
      </c>
      <c r="R7" s="2537">
        <f ca="1">SUMIF('数据-汇总表'!C$19:C$33,A7,'数据-汇总表'!R$19:R$27)</f>
        <v>264.45</v>
      </c>
      <c r="S7" s="2538">
        <f>IF('数据-汇总表'!$I$17="按面积比例",SUMIF('数据-汇总表'!C$19:C$33,A7,'数据-汇总表'!K$19:K$33),SUMIF('数据-汇总表'!C$19:C$33,A7,'数据-汇总表'!N$19:N$33))</f>
        <v>0</v>
      </c>
      <c r="T7" s="2539">
        <f t="shared" ref="T7:T13" si="5">ROUND($L$14*S7/10000,0)</f>
        <v>0</v>
      </c>
      <c r="U7" s="2540">
        <v>8</v>
      </c>
      <c r="V7" s="2541">
        <v>0.03</v>
      </c>
      <c r="W7" s="3422">
        <v>0.1</v>
      </c>
      <c r="X7" s="2542"/>
      <c r="Y7" s="3061">
        <v>1</v>
      </c>
      <c r="Z7" s="2562"/>
      <c r="AA7" s="2429"/>
      <c r="AB7" s="2429"/>
      <c r="AC7" s="2542"/>
      <c r="AD7" s="2563"/>
      <c r="AE7" s="2564">
        <f t="shared" ref="AE7:AE13" ca="1" si="6">IF(AN7="",0,SUMIF(INDIRECT("'"&amp;AN7&amp;"'"&amp;"!E:E"),$AE$5,INDIRECT("'"&amp;AN7&amp;"'"&amp;"!F:F")))</f>
        <v>38.33</v>
      </c>
      <c r="AF7" s="2041"/>
      <c r="AG7" s="1540">
        <f t="shared" ref="AG7:AG13" si="7">IF(AF7="",0,AE7-AF7)</f>
        <v>0</v>
      </c>
      <c r="AH7" s="2546"/>
      <c r="AI7" s="2574">
        <v>365</v>
      </c>
      <c r="AJ7" s="2575"/>
      <c r="AK7" s="2576">
        <v>1.4999999999999999E-2</v>
      </c>
      <c r="AL7" s="2577">
        <v>2E-3</v>
      </c>
      <c r="AM7" s="2578">
        <v>0.02</v>
      </c>
      <c r="AN7" s="2579" t="s">
        <v>591</v>
      </c>
      <c r="AO7" s="1103">
        <f t="shared" ref="AO7:AO13" ca="1" si="8">SUMIF(INDIRECT("'"&amp;AN7&amp;"'"&amp;"!A:A"),"总价",INDIRECT("'"&amp;AN7&amp;"'"&amp;"!B:B"))</f>
        <v>3804</v>
      </c>
      <c r="AP7" s="2593">
        <f t="shared" ref="AP7:AP13" si="9">IF(C7="住宅",K7*L7,0)</f>
        <v>0</v>
      </c>
      <c r="AQ7" s="1103">
        <f t="shared" ref="AQ7:AQ13" si="10">ROUND($L$14*$N$14*S7/10000,0)</f>
        <v>0</v>
      </c>
      <c r="AR7" s="1103">
        <f t="shared" ref="AR7:AR13" si="11">ROUND($L$14*(1-$N$14)*S7/10000,0)</f>
        <v>0</v>
      </c>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row>
    <row r="8" spans="1:67" s="2396" customFormat="1" ht="14.25">
      <c r="A8" s="2421" t="str">
        <f>'数据-汇总表'!C21</f>
        <v>住宅（1层）</v>
      </c>
      <c r="B8" s="2422" t="str">
        <f t="shared" si="1"/>
        <v>经营性</v>
      </c>
      <c r="C8" s="2423" t="s">
        <v>464</v>
      </c>
      <c r="D8" s="2424">
        <f>SUMIF(项目基本情况!D$12:I$12,C8,项目基本情况!D$14:I$14)</f>
        <v>70</v>
      </c>
      <c r="E8" s="2425">
        <f>IF(B8="","",SUMIF(项目基本情况!D$12:I$12,C8,项目基本情况!D$13:I$13))</f>
        <v>69749</v>
      </c>
      <c r="F8" s="2426">
        <f>SUMIF(项目基本情况!D$12:I$12,C8,项目基本情况!D$15:I$15)</f>
        <v>69.75</v>
      </c>
      <c r="G8" s="2427">
        <f t="shared" si="2"/>
        <v>1</v>
      </c>
      <c r="H8" s="2428">
        <f>H6</f>
        <v>0.05</v>
      </c>
      <c r="I8" s="2428">
        <f>I6</f>
        <v>5.5E-2</v>
      </c>
      <c r="J8" s="2429">
        <v>0.08</v>
      </c>
      <c r="K8" s="2515">
        <f>SUMIF('数据-汇总表'!C$19:C$33,A8,'数据-汇总表'!E$19:E$33)</f>
        <v>2958.2</v>
      </c>
      <c r="L8" s="2516">
        <f>L6</f>
        <v>8000</v>
      </c>
      <c r="M8" s="2517">
        <f t="shared" si="0"/>
        <v>2367</v>
      </c>
      <c r="N8" s="2518">
        <f>N6</f>
        <v>0.27</v>
      </c>
      <c r="O8" s="2517">
        <f t="shared" si="3"/>
        <v>639</v>
      </c>
      <c r="P8" s="2519">
        <f t="shared" si="4"/>
        <v>1728</v>
      </c>
      <c r="Q8" s="2536">
        <v>0.2</v>
      </c>
      <c r="R8" s="2537">
        <f ca="1">SUMIF('数据-汇总表'!C$19:C$33,A8,'数据-汇总表'!R$19:R$27)</f>
        <v>879.45</v>
      </c>
      <c r="S8" s="2538">
        <f>IF('数据-汇总表'!$I$17="按面积比例",SUMIF('数据-汇总表'!C$19:C$33,A8,'数据-汇总表'!K$19:K$33),SUMIF('数据-汇总表'!C$19:C$33,A8,'数据-汇总表'!N$19:N$33))</f>
        <v>0</v>
      </c>
      <c r="T8" s="2539">
        <f t="shared" si="5"/>
        <v>0</v>
      </c>
      <c r="U8" s="2543"/>
      <c r="V8" s="2544"/>
      <c r="W8" s="2544"/>
      <c r="X8" s="2542"/>
      <c r="Y8" s="2565"/>
      <c r="Z8" s="2562"/>
      <c r="AA8" s="2429"/>
      <c r="AB8" s="2429"/>
      <c r="AC8" s="2542"/>
      <c r="AD8" s="2563"/>
      <c r="AE8" s="2564">
        <f t="shared" ca="1" si="6"/>
        <v>0</v>
      </c>
      <c r="AF8" s="2041"/>
      <c r="AG8" s="1540">
        <f t="shared" si="7"/>
        <v>0</v>
      </c>
      <c r="AH8" s="2580"/>
      <c r="AI8" s="2574"/>
      <c r="AJ8" s="2575"/>
      <c r="AK8" s="2581"/>
      <c r="AL8" s="2582"/>
      <c r="AM8" s="2583"/>
      <c r="AN8" s="2579"/>
      <c r="AO8" s="1103" t="e">
        <f t="shared" ca="1" si="8"/>
        <v>#REF!</v>
      </c>
      <c r="AP8" s="2593">
        <f t="shared" si="9"/>
        <v>23665600</v>
      </c>
      <c r="AQ8" s="1103">
        <f t="shared" si="10"/>
        <v>0</v>
      </c>
      <c r="AR8" s="1103">
        <f t="shared" si="11"/>
        <v>0</v>
      </c>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row>
    <row r="9" spans="1:67" s="2396" customFormat="1" ht="14.25">
      <c r="A9" s="2421" t="str">
        <f>'数据-汇总表'!C22</f>
        <v>仓储</v>
      </c>
      <c r="B9" s="2422" t="str">
        <f t="shared" si="1"/>
        <v>经营性</v>
      </c>
      <c r="C9" s="2423" t="s">
        <v>466</v>
      </c>
      <c r="D9" s="2424">
        <f>SUMIF(项目基本情况!D$12:I$12,C9,项目基本情况!D$14:I$14)</f>
        <v>50</v>
      </c>
      <c r="E9" s="2425">
        <f>IF(B9="","",SUMIF(项目基本情况!D$12:I$12,C9,项目基本情况!D$13:I$13))</f>
        <v>62444</v>
      </c>
      <c r="F9" s="2426">
        <f>SUMIF(项目基本情况!D$12:I$12,C9,项目基本情况!D$15:I$15)</f>
        <v>49.74</v>
      </c>
      <c r="G9" s="2427">
        <f t="shared" si="2"/>
        <v>0.999</v>
      </c>
      <c r="H9" s="2429">
        <f>H8</f>
        <v>0.05</v>
      </c>
      <c r="I9" s="2429">
        <f>I8</f>
        <v>5.5E-2</v>
      </c>
      <c r="J9" s="2429">
        <f>J8</f>
        <v>0.08</v>
      </c>
      <c r="K9" s="2515">
        <f>SUMIF('数据-汇总表'!C$19:C$33,A9,'数据-汇总表'!E$19:E$33)</f>
        <v>1669.98</v>
      </c>
      <c r="L9" s="2516">
        <f>L8</f>
        <v>8000</v>
      </c>
      <c r="M9" s="2517">
        <f t="shared" si="0"/>
        <v>1336</v>
      </c>
      <c r="N9" s="2518">
        <f>N8</f>
        <v>0.27</v>
      </c>
      <c r="O9" s="2517">
        <f t="shared" si="3"/>
        <v>361</v>
      </c>
      <c r="P9" s="2519">
        <f t="shared" si="4"/>
        <v>975</v>
      </c>
      <c r="Q9" s="2545">
        <v>0.2</v>
      </c>
      <c r="R9" s="2537">
        <f ca="1">SUMIF('数据-汇总表'!C$19:C$33,A9,'数据-汇总表'!R$19:R$27)</f>
        <v>496.47</v>
      </c>
      <c r="S9" s="2538">
        <f>IF('数据-汇总表'!$I$17="按面积比例",SUMIF('数据-汇总表'!C$19:C$33,A9,'数据-汇总表'!K$19:K$33),SUMIF('数据-汇总表'!C$19:C$33,A9,'数据-汇总表'!N$19:N$33))</f>
        <v>0</v>
      </c>
      <c r="T9" s="2539">
        <f t="shared" si="5"/>
        <v>0</v>
      </c>
      <c r="U9" s="2540"/>
      <c r="V9" s="2541"/>
      <c r="W9" s="2541"/>
      <c r="X9" s="2542"/>
      <c r="Y9" s="2561"/>
      <c r="Z9" s="2562"/>
      <c r="AA9" s="2429"/>
      <c r="AB9" s="2429"/>
      <c r="AC9" s="2542"/>
      <c r="AD9" s="2563"/>
      <c r="AE9" s="2564">
        <f t="shared" ca="1" si="6"/>
        <v>0</v>
      </c>
      <c r="AF9" s="2041"/>
      <c r="AG9" s="1540">
        <f t="shared" si="7"/>
        <v>0</v>
      </c>
      <c r="AH9" s="2546"/>
      <c r="AI9" s="2574"/>
      <c r="AJ9" s="2575"/>
      <c r="AK9" s="2576"/>
      <c r="AL9" s="2577"/>
      <c r="AM9" s="2578"/>
      <c r="AN9" s="2579"/>
      <c r="AO9" s="1103" t="e">
        <f t="shared" ca="1" si="8"/>
        <v>#REF!</v>
      </c>
      <c r="AP9" s="2593">
        <f t="shared" si="9"/>
        <v>0</v>
      </c>
      <c r="AQ9" s="1103">
        <f t="shared" si="10"/>
        <v>0</v>
      </c>
      <c r="AR9" s="1103">
        <f t="shared" si="11"/>
        <v>0</v>
      </c>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row>
    <row r="10" spans="1:67" s="2396" customFormat="1" ht="14.25">
      <c r="A10" s="2421">
        <f>'数据-汇总表'!C23</f>
        <v>0</v>
      </c>
      <c r="B10" s="2422" t="str">
        <f t="shared" si="1"/>
        <v/>
      </c>
      <c r="C10" s="2423"/>
      <c r="D10" s="2424">
        <f>SUMIF(项目基本情况!D$12:I$12,C10,项目基本情况!D$14:I$14)</f>
        <v>0</v>
      </c>
      <c r="E10" s="2425" t="str">
        <f>IF(B10="","",SUMIF(项目基本情况!D$12:I$12,C10,项目基本情况!D$13:I$13))</f>
        <v/>
      </c>
      <c r="F10" s="2426">
        <f>SUMIF(项目基本情况!D$12:I$12,C10,项目基本情况!D$15:I$15)</f>
        <v>0</v>
      </c>
      <c r="G10" s="2427">
        <f t="shared" si="2"/>
        <v>0</v>
      </c>
      <c r="H10" s="2429"/>
      <c r="I10" s="2429"/>
      <c r="J10" s="2429"/>
      <c r="K10" s="2515">
        <f>SUMIF('数据-汇总表'!C$19:C$33,A10,'数据-汇总表'!E$19:E$33)</f>
        <v>0</v>
      </c>
      <c r="L10" s="2516"/>
      <c r="M10" s="2517">
        <f t="shared" si="0"/>
        <v>0</v>
      </c>
      <c r="N10" s="2518"/>
      <c r="O10" s="2517">
        <f t="shared" si="3"/>
        <v>0</v>
      </c>
      <c r="P10" s="2519">
        <f t="shared" si="4"/>
        <v>0</v>
      </c>
      <c r="Q10" s="2545"/>
      <c r="R10" s="2537">
        <f ca="1">SUMIF('数据-汇总表'!C$19:C$33,A10,'数据-汇总表'!R$19:R$27)</f>
        <v>0</v>
      </c>
      <c r="S10" s="2538">
        <f>IF('数据-汇总表'!$I$17="按面积比例",SUMIF('数据-汇总表'!C$19:C$33,A10,'数据-汇总表'!K$19:K$33),SUMIF('数据-汇总表'!C$19:C$33,A10,'数据-汇总表'!N$19:N$33))</f>
        <v>0</v>
      </c>
      <c r="T10" s="2539">
        <f t="shared" si="5"/>
        <v>0</v>
      </c>
      <c r="U10" s="2540"/>
      <c r="V10" s="2541"/>
      <c r="W10" s="2541"/>
      <c r="X10" s="2542"/>
      <c r="Y10" s="2561"/>
      <c r="Z10" s="2562"/>
      <c r="AA10" s="2429"/>
      <c r="AB10" s="2429"/>
      <c r="AC10" s="2542"/>
      <c r="AD10" s="2563"/>
      <c r="AE10" s="2564">
        <f t="shared" ca="1" si="6"/>
        <v>0</v>
      </c>
      <c r="AF10" s="2041"/>
      <c r="AG10" s="1540">
        <f t="shared" si="7"/>
        <v>0</v>
      </c>
      <c r="AH10" s="2546"/>
      <c r="AI10" s="2574"/>
      <c r="AJ10" s="2575"/>
      <c r="AK10" s="2576"/>
      <c r="AL10" s="2577"/>
      <c r="AM10" s="2578"/>
      <c r="AN10" s="2579"/>
      <c r="AO10" s="1103" t="e">
        <f t="shared" ca="1" si="8"/>
        <v>#REF!</v>
      </c>
      <c r="AP10" s="2593">
        <f t="shared" si="9"/>
        <v>0</v>
      </c>
      <c r="AQ10" s="1103">
        <f t="shared" si="10"/>
        <v>0</v>
      </c>
      <c r="AR10" s="1103">
        <f t="shared" si="11"/>
        <v>0</v>
      </c>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row>
    <row r="11" spans="1:67" s="2396" customFormat="1" ht="14.25">
      <c r="A11" s="2421">
        <f>'数据-汇总表'!C24</f>
        <v>0</v>
      </c>
      <c r="B11" s="2422" t="str">
        <f t="shared" si="1"/>
        <v/>
      </c>
      <c r="C11" s="2423"/>
      <c r="D11" s="2424">
        <f>SUMIF(项目基本情况!D$12:I$12,C11,项目基本情况!D$14:I$14)</f>
        <v>0</v>
      </c>
      <c r="E11" s="2425" t="str">
        <f>IF(B11="","",SUMIF(项目基本情况!D$12:I$12,C11,项目基本情况!D$13:I$13))</f>
        <v/>
      </c>
      <c r="F11" s="2426">
        <f>SUMIF(项目基本情况!D$12:I$12,C11,项目基本情况!D$15:I$15)</f>
        <v>0</v>
      </c>
      <c r="G11" s="2427">
        <f t="shared" si="2"/>
        <v>0</v>
      </c>
      <c r="H11" s="2429"/>
      <c r="I11" s="2429"/>
      <c r="J11" s="2429"/>
      <c r="K11" s="2515">
        <f>SUMIF('数据-汇总表'!C$19:C$33,A11,'数据-汇总表'!E$19:E$33)</f>
        <v>0</v>
      </c>
      <c r="L11" s="2520"/>
      <c r="M11" s="2517">
        <f t="shared" si="0"/>
        <v>0</v>
      </c>
      <c r="N11" s="2521"/>
      <c r="O11" s="2517">
        <f t="shared" si="3"/>
        <v>0</v>
      </c>
      <c r="P11" s="2519">
        <f t="shared" si="4"/>
        <v>0</v>
      </c>
      <c r="Q11" s="2545"/>
      <c r="R11" s="2537">
        <f ca="1">SUMIF('数据-汇总表'!C$19:C$33,A11,'数据-汇总表'!R$19:R$27)</f>
        <v>0</v>
      </c>
      <c r="S11" s="2538">
        <f>IF('数据-汇总表'!$I$17="按面积比例",SUMIF('数据-汇总表'!C$19:C$33,A11,'数据-汇总表'!K$19:K$33),SUMIF('数据-汇总表'!C$19:C$33,A11,'数据-汇总表'!N$19:N$33))</f>
        <v>0</v>
      </c>
      <c r="T11" s="2539">
        <f t="shared" si="5"/>
        <v>0</v>
      </c>
      <c r="U11" s="2546"/>
      <c r="V11" s="2429"/>
      <c r="W11" s="2429"/>
      <c r="X11" s="2542"/>
      <c r="Y11" s="2561"/>
      <c r="Z11" s="2566"/>
      <c r="AA11" s="2429"/>
      <c r="AB11" s="2429"/>
      <c r="AC11" s="2542"/>
      <c r="AD11" s="2563"/>
      <c r="AE11" s="2564">
        <f t="shared" ca="1" si="6"/>
        <v>0</v>
      </c>
      <c r="AF11" s="2041"/>
      <c r="AG11" s="1540">
        <f t="shared" si="7"/>
        <v>0</v>
      </c>
      <c r="AH11" s="2546"/>
      <c r="AI11" s="2574"/>
      <c r="AJ11" s="2575"/>
      <c r="AK11" s="2584"/>
      <c r="AL11" s="2585"/>
      <c r="AM11" s="2586"/>
      <c r="AN11" s="2579"/>
      <c r="AO11" s="1103" t="e">
        <f t="shared" ca="1" si="8"/>
        <v>#REF!</v>
      </c>
      <c r="AP11" s="2593">
        <f t="shared" si="9"/>
        <v>0</v>
      </c>
      <c r="AQ11" s="1103">
        <f t="shared" si="10"/>
        <v>0</v>
      </c>
      <c r="AR11" s="1103">
        <f t="shared" si="11"/>
        <v>0</v>
      </c>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row>
    <row r="12" spans="1:67" s="2396" customFormat="1" ht="14.25">
      <c r="A12" s="2421">
        <f>'数据-汇总表'!C25</f>
        <v>0</v>
      </c>
      <c r="B12" s="2422" t="str">
        <f t="shared" si="1"/>
        <v/>
      </c>
      <c r="C12" s="2423"/>
      <c r="D12" s="2424">
        <f>SUMIF(项目基本情况!D$12:I$12,C12,项目基本情况!D$14:I$14)</f>
        <v>0</v>
      </c>
      <c r="E12" s="2425" t="str">
        <f>IF(B12="","",SUMIF(项目基本情况!D$12:I$12,C12,项目基本情况!D$13:I$13))</f>
        <v/>
      </c>
      <c r="F12" s="2426">
        <f>SUMIF(项目基本情况!D$12:I$12,C12,项目基本情况!D$15:I$15)</f>
        <v>0</v>
      </c>
      <c r="G12" s="2427">
        <f t="shared" si="2"/>
        <v>0</v>
      </c>
      <c r="H12" s="2429"/>
      <c r="I12" s="2429"/>
      <c r="J12" s="2429"/>
      <c r="K12" s="2515">
        <f>SUMIF('数据-汇总表'!C$19:C$33,A12,'数据-汇总表'!E$19:E$33)</f>
        <v>0</v>
      </c>
      <c r="L12" s="2520"/>
      <c r="M12" s="2517">
        <f t="shared" si="0"/>
        <v>0</v>
      </c>
      <c r="N12" s="2521"/>
      <c r="O12" s="2517">
        <f t="shared" si="3"/>
        <v>0</v>
      </c>
      <c r="P12" s="2519">
        <f t="shared" si="4"/>
        <v>0</v>
      </c>
      <c r="Q12" s="2545"/>
      <c r="R12" s="2537">
        <f ca="1">SUMIF('数据-汇总表'!C$19:C$33,A12,'数据-汇总表'!R$19:R$27)</f>
        <v>0</v>
      </c>
      <c r="S12" s="2538">
        <f>IF('数据-汇总表'!$I$17="按面积比例",SUMIF('数据-汇总表'!C$19:C$33,A12,'数据-汇总表'!K$19:K$33),SUMIF('数据-汇总表'!C$19:C$33,A12,'数据-汇总表'!N$19:N$33))</f>
        <v>0</v>
      </c>
      <c r="T12" s="2539">
        <f t="shared" si="5"/>
        <v>0</v>
      </c>
      <c r="U12" s="2546"/>
      <c r="V12" s="2429"/>
      <c r="W12" s="2429"/>
      <c r="X12" s="2542"/>
      <c r="Y12" s="2561"/>
      <c r="Z12" s="2566"/>
      <c r="AA12" s="2429"/>
      <c r="AB12" s="2429"/>
      <c r="AC12" s="2542"/>
      <c r="AD12" s="2563"/>
      <c r="AE12" s="2564">
        <f t="shared" ca="1" si="6"/>
        <v>0</v>
      </c>
      <c r="AF12" s="2041"/>
      <c r="AG12" s="1540">
        <f t="shared" si="7"/>
        <v>0</v>
      </c>
      <c r="AH12" s="2546"/>
      <c r="AI12" s="2574"/>
      <c r="AJ12" s="2575"/>
      <c r="AK12" s="2584"/>
      <c r="AL12" s="2585"/>
      <c r="AM12" s="2586"/>
      <c r="AN12" s="2579"/>
      <c r="AO12" s="1103" t="e">
        <f t="shared" ca="1" si="8"/>
        <v>#REF!</v>
      </c>
      <c r="AP12" s="2593">
        <f t="shared" si="9"/>
        <v>0</v>
      </c>
      <c r="AQ12" s="1103">
        <f t="shared" si="10"/>
        <v>0</v>
      </c>
      <c r="AR12" s="1103">
        <f t="shared" si="11"/>
        <v>0</v>
      </c>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row>
    <row r="13" spans="1:67" s="2396" customFormat="1" ht="14.25">
      <c r="A13" s="2421">
        <f>'数据-汇总表'!C26</f>
        <v>0</v>
      </c>
      <c r="B13" s="2422" t="str">
        <f t="shared" si="1"/>
        <v/>
      </c>
      <c r="C13" s="2423"/>
      <c r="D13" s="2424">
        <f>SUMIF(项目基本情况!D$12:I$12,C13,项目基本情况!D$14:I$14)</f>
        <v>0</v>
      </c>
      <c r="E13" s="2425" t="str">
        <f>IF(B13="","",SUMIF(项目基本情况!D$12:I$12,C13,项目基本情况!D$13:I$13))</f>
        <v/>
      </c>
      <c r="F13" s="2426">
        <f>SUMIF(项目基本情况!D$12:I$12,C13,项目基本情况!D$15:I$15)</f>
        <v>0</v>
      </c>
      <c r="G13" s="2427">
        <f t="shared" si="2"/>
        <v>0</v>
      </c>
      <c r="H13" s="2429"/>
      <c r="I13" s="2429"/>
      <c r="J13" s="2429"/>
      <c r="K13" s="2515">
        <f>SUMIF('数据-汇总表'!C$19:C$33,A13,'数据-汇总表'!E$19:E$33)</f>
        <v>0</v>
      </c>
      <c r="L13" s="2520"/>
      <c r="M13" s="2517">
        <f t="shared" si="0"/>
        <v>0</v>
      </c>
      <c r="N13" s="2521"/>
      <c r="O13" s="2517">
        <f t="shared" si="3"/>
        <v>0</v>
      </c>
      <c r="P13" s="2519">
        <f t="shared" si="4"/>
        <v>0</v>
      </c>
      <c r="Q13" s="2545"/>
      <c r="R13" s="2537">
        <f ca="1">SUMIF('数据-汇总表'!C$19:C$33,A13,'数据-汇总表'!R$19:R$27)</f>
        <v>0</v>
      </c>
      <c r="S13" s="2538">
        <f>IF('数据-汇总表'!$I$17="按面积比例",SUMIF('数据-汇总表'!C$19:C$33,A13,'数据-汇总表'!K$19:K$33),SUMIF('数据-汇总表'!C$19:C$33,A13,'数据-汇总表'!N$19:N$33))</f>
        <v>0</v>
      </c>
      <c r="T13" s="2539">
        <f t="shared" si="5"/>
        <v>0</v>
      </c>
      <c r="U13" s="2540"/>
      <c r="V13" s="2541"/>
      <c r="W13" s="2541"/>
      <c r="X13" s="2542"/>
      <c r="Y13" s="2561"/>
      <c r="Z13" s="2562"/>
      <c r="AA13" s="2429"/>
      <c r="AB13" s="2429"/>
      <c r="AC13" s="2542"/>
      <c r="AD13" s="2563"/>
      <c r="AE13" s="2564">
        <f t="shared" ca="1" si="6"/>
        <v>0</v>
      </c>
      <c r="AF13" s="2041"/>
      <c r="AG13" s="1540">
        <f t="shared" si="7"/>
        <v>0</v>
      </c>
      <c r="AH13" s="2546"/>
      <c r="AI13" s="2574"/>
      <c r="AJ13" s="2575"/>
      <c r="AK13" s="2576"/>
      <c r="AL13" s="2577"/>
      <c r="AM13" s="2578"/>
      <c r="AN13" s="2579"/>
      <c r="AO13" s="1103" t="e">
        <f t="shared" ca="1" si="8"/>
        <v>#REF!</v>
      </c>
      <c r="AP13" s="2593">
        <f t="shared" si="9"/>
        <v>0</v>
      </c>
      <c r="AQ13" s="1103">
        <f t="shared" si="10"/>
        <v>0</v>
      </c>
      <c r="AR13" s="1103">
        <f t="shared" si="11"/>
        <v>0</v>
      </c>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row>
    <row r="14" spans="1:67" s="2396" customFormat="1" ht="14.25">
      <c r="A14" s="2430" t="s">
        <v>544</v>
      </c>
      <c r="B14" s="2422" t="s">
        <v>543</v>
      </c>
      <c r="C14" s="2431" t="s">
        <v>544</v>
      </c>
      <c r="D14" s="2424"/>
      <c r="E14" s="2425"/>
      <c r="F14" s="2426"/>
      <c r="G14" s="2427"/>
      <c r="H14" s="2432"/>
      <c r="I14" s="2432"/>
      <c r="J14" s="2432"/>
      <c r="K14" s="2515">
        <f>SUMIF('数据-汇总表'!C$19:C$33,A14,'数据-汇总表'!E$19:E$33)</f>
        <v>0</v>
      </c>
      <c r="L14" s="2520"/>
      <c r="M14" s="2517">
        <f t="shared" si="0"/>
        <v>0</v>
      </c>
      <c r="N14" s="2521"/>
      <c r="O14" s="2517">
        <f t="shared" si="3"/>
        <v>0</v>
      </c>
      <c r="P14" s="2519">
        <f t="shared" si="4"/>
        <v>0</v>
      </c>
      <c r="Q14" s="2547"/>
      <c r="R14" s="2537"/>
      <c r="S14" s="2538"/>
      <c r="T14" s="2539"/>
      <c r="U14" s="2548"/>
      <c r="V14" s="2549"/>
      <c r="W14" s="2549"/>
      <c r="X14" s="2550"/>
      <c r="Y14" s="2567"/>
      <c r="Z14" s="2568"/>
      <c r="AA14" s="2569"/>
      <c r="AB14" s="2569"/>
      <c r="AC14" s="2542"/>
      <c r="AD14" s="2550"/>
      <c r="AE14" s="2564"/>
      <c r="AF14" s="1103"/>
      <c r="AG14" s="1540"/>
      <c r="AH14" s="2564"/>
      <c r="AI14" s="1091"/>
      <c r="AJ14" s="1102"/>
      <c r="AK14" s="2587"/>
      <c r="AL14" s="2588"/>
      <c r="AM14" s="2589"/>
      <c r="AN14" s="1925"/>
      <c r="AO14" s="2442"/>
      <c r="AP14" s="2442"/>
      <c r="AQ14" s="2442"/>
      <c r="AR14" s="2442"/>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row>
    <row r="15" spans="1:67" s="2396" customFormat="1" ht="27">
      <c r="A15" s="2430" t="s">
        <v>545</v>
      </c>
      <c r="B15" s="2422" t="s">
        <v>543</v>
      </c>
      <c r="C15" s="2431" t="s">
        <v>592</v>
      </c>
      <c r="D15" s="2424"/>
      <c r="E15" s="2425"/>
      <c r="F15" s="2426"/>
      <c r="G15" s="2427"/>
      <c r="H15" s="2432"/>
      <c r="I15" s="2432"/>
      <c r="J15" s="2432"/>
      <c r="K15" s="2515">
        <f>SUMIF('数据-汇总表'!C$19:C$33,A15,'数据-汇总表'!E$19:E$33)</f>
        <v>0</v>
      </c>
      <c r="L15" s="2522"/>
      <c r="M15" s="2517"/>
      <c r="N15" s="2523"/>
      <c r="O15" s="2517"/>
      <c r="P15" s="2519"/>
      <c r="Q15" s="2547"/>
      <c r="R15" s="2537"/>
      <c r="S15" s="2538"/>
      <c r="T15" s="2539"/>
      <c r="U15" s="2548"/>
      <c r="V15" s="2549"/>
      <c r="W15" s="2549"/>
      <c r="X15" s="2550"/>
      <c r="Y15" s="2567"/>
      <c r="Z15" s="2568"/>
      <c r="AA15" s="2569"/>
      <c r="AB15" s="2569"/>
      <c r="AC15" s="2542"/>
      <c r="AD15" s="2550"/>
      <c r="AE15" s="2564"/>
      <c r="AF15" s="1103"/>
      <c r="AG15" s="1540"/>
      <c r="AH15" s="2564"/>
      <c r="AI15" s="1091"/>
      <c r="AJ15" s="1102"/>
      <c r="AK15" s="2587"/>
      <c r="AL15" s="2588"/>
      <c r="AM15" s="2589"/>
      <c r="AN15" s="1925"/>
      <c r="AO15" s="2442"/>
      <c r="AP15" s="2442"/>
      <c r="AQ15" s="2442"/>
      <c r="AR15" s="2442"/>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row>
    <row r="16" spans="1:67" s="2396" customFormat="1" ht="15">
      <c r="A16" s="2433" t="s">
        <v>546</v>
      </c>
      <c r="B16" s="2434"/>
      <c r="C16" s="1983"/>
      <c r="D16" s="2435"/>
      <c r="E16" s="2434"/>
      <c r="F16" s="2434"/>
      <c r="G16" s="2436">
        <f>ROUND(SUMPRODUCT(G6:G13,K6:K13)/SUMPRODUCT((G6:G13&gt;0)*(K6:K13)),3)</f>
        <v>1</v>
      </c>
      <c r="H16" s="2437">
        <f>ROUND(SUMPRODUCT(H6:H13,K6:K13)/SUMPRODUCT((H6:H13&gt;0)*(K6:K13)),3)</f>
        <v>0.05</v>
      </c>
      <c r="I16" s="2524"/>
      <c r="J16" s="2524"/>
      <c r="K16" s="2525">
        <f>SUM(K6:K15)</f>
        <v>39222.729999999996</v>
      </c>
      <c r="L16" s="2526">
        <f>ROUND(M16*10000/SUM(K6:K14),0)</f>
        <v>8000</v>
      </c>
      <c r="M16" s="2526">
        <f>SUM(M6:M14)</f>
        <v>31379</v>
      </c>
      <c r="N16" s="2527">
        <f>ROUND(SUMPRODUCT(M6:M14,N6:N14)/M16,3)</f>
        <v>0.27</v>
      </c>
      <c r="O16" s="2526">
        <f>SUM(O6:O14)</f>
        <v>8472</v>
      </c>
      <c r="P16" s="2526">
        <f>SUM(P6:P14)</f>
        <v>22907</v>
      </c>
      <c r="Q16" s="2551">
        <f>ROUND(SUMPRODUCT(Q6:Q13,K6:K13)/SUMPRODUCT((Q6:Q13&gt;0)*(K6:K13)),2)</f>
        <v>0.2</v>
      </c>
      <c r="R16" s="2552">
        <f ca="1">SUM(R6:R13)</f>
        <v>11660.660000000002</v>
      </c>
      <c r="S16" s="2553">
        <f>SUM(S6:S13)</f>
        <v>0</v>
      </c>
      <c r="T16" s="2554">
        <f>IF(SUMIF(T6:T13,"&lt;9E307")=M14,SUMIF(T6:T13,"&lt;9E307"),"有误，请检查")</f>
        <v>0</v>
      </c>
      <c r="U16" s="2555"/>
      <c r="V16" s="2556"/>
      <c r="W16" s="2556"/>
      <c r="X16" s="2557"/>
      <c r="Y16" s="2570"/>
      <c r="Z16" s="2571"/>
      <c r="AA16" s="2556"/>
      <c r="AB16" s="2556"/>
      <c r="AC16" s="2557"/>
      <c r="AD16" s="2557"/>
      <c r="AE16" s="2555"/>
      <c r="AF16" s="2556"/>
      <c r="AG16" s="2570"/>
      <c r="AH16" s="2555"/>
      <c r="AI16" s="2571"/>
      <c r="AJ16" s="2571"/>
      <c r="AK16" s="2556"/>
      <c r="AL16" s="2556"/>
      <c r="AM16" s="2570"/>
      <c r="AN16" s="1925"/>
      <c r="AO16" s="2442"/>
      <c r="AP16" s="2442"/>
      <c r="AQ16" s="2442"/>
      <c r="AR16" s="2442"/>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row>
    <row r="17" spans="1:67">
      <c r="A17" s="2438"/>
      <c r="B17" s="2439"/>
      <c r="C17" s="1925"/>
      <c r="D17" s="2440"/>
      <c r="E17" s="2440"/>
      <c r="F17" s="1925"/>
      <c r="G17" s="1925"/>
      <c r="H17" s="1925"/>
      <c r="I17" s="1925"/>
      <c r="J17" s="1925"/>
      <c r="K17" s="2528"/>
      <c r="L17" s="2528"/>
      <c r="M17" s="1925" t="s">
        <v>2770</v>
      </c>
      <c r="N17" s="2529" t="s">
        <v>2771</v>
      </c>
      <c r="O17" s="1925"/>
      <c r="P17" s="1925">
        <f>0.6*0.5</f>
        <v>0.3</v>
      </c>
      <c r="Q17" s="1925">
        <v>15618.67</v>
      </c>
      <c r="R17" s="1925">
        <f>P17*Q17</f>
        <v>4685.6009999999997</v>
      </c>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row>
    <row r="18" spans="1:67" ht="14.25">
      <c r="A18" s="1349" t="s">
        <v>593</v>
      </c>
      <c r="B18" s="2441"/>
      <c r="C18" s="2442"/>
      <c r="D18" s="2443"/>
      <c r="E18" s="2442"/>
      <c r="F18" s="2442"/>
      <c r="G18" s="2442"/>
      <c r="H18" s="2442"/>
      <c r="I18" s="2442"/>
      <c r="J18" s="2442"/>
      <c r="K18" s="2528"/>
      <c r="L18" s="2528"/>
      <c r="M18" s="1925" t="s">
        <v>2772</v>
      </c>
      <c r="N18" s="1925" t="s">
        <v>2775</v>
      </c>
      <c r="O18" s="1925"/>
      <c r="P18" s="1925">
        <f>8/10*P17</f>
        <v>0.24</v>
      </c>
      <c r="Q18" s="1925">
        <v>13864.94</v>
      </c>
      <c r="R18" s="1925">
        <f t="shared" ref="R18:R19" si="12">P18*Q18</f>
        <v>3327.5855999999999</v>
      </c>
      <c r="S18" s="1925"/>
      <c r="T18" s="1925"/>
      <c r="U18" s="1925"/>
      <c r="V18" s="1925"/>
      <c r="W18" s="1925"/>
      <c r="X18" s="1925"/>
      <c r="Y18" s="1925"/>
      <c r="Z18" s="1925"/>
      <c r="AA18" s="1925"/>
      <c r="AB18" s="1925"/>
      <c r="AC18" s="1925"/>
      <c r="AD18" s="1925"/>
      <c r="AE18" s="1925"/>
      <c r="AF18" s="1925"/>
      <c r="AG18" s="1925"/>
      <c r="AH18" s="1925"/>
      <c r="AI18" s="1925"/>
      <c r="AJ18" s="1925"/>
      <c r="AK18" s="1925"/>
      <c r="AL18" s="1925"/>
      <c r="AM18" s="1925"/>
      <c r="AN18" s="1925"/>
      <c r="AO18" s="1925"/>
      <c r="AP18" s="1925"/>
      <c r="AQ18" s="1925"/>
      <c r="AR18" s="1925"/>
    </row>
    <row r="19" spans="1:67" ht="14.25">
      <c r="A19" s="2444" t="s">
        <v>594</v>
      </c>
      <c r="B19" s="2445">
        <v>0</v>
      </c>
      <c r="C19" s="2446" t="s">
        <v>595</v>
      </c>
      <c r="D19" s="2443"/>
      <c r="E19" s="2442"/>
      <c r="F19" s="2442"/>
      <c r="G19" s="2442"/>
      <c r="H19" s="2442"/>
      <c r="I19" s="2442"/>
      <c r="J19" s="2442"/>
      <c r="K19" s="2528"/>
      <c r="L19" s="2528"/>
      <c r="M19" s="1925" t="s">
        <v>2773</v>
      </c>
      <c r="N19" s="1925" t="s">
        <v>2774</v>
      </c>
      <c r="O19" s="1925"/>
      <c r="P19" s="1925">
        <f>9/10*P17</f>
        <v>0.27</v>
      </c>
      <c r="Q19" s="1925">
        <v>11251.76</v>
      </c>
      <c r="R19" s="1925">
        <f t="shared" si="12"/>
        <v>3037.9752000000003</v>
      </c>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row>
    <row r="20" spans="1:67" ht="14.25">
      <c r="A20" s="2447" t="s">
        <v>596</v>
      </c>
      <c r="B20" s="2448">
        <v>2</v>
      </c>
      <c r="C20" s="2449" t="s">
        <v>597</v>
      </c>
      <c r="D20" s="2443"/>
      <c r="E20" s="2442"/>
      <c r="F20" s="2442"/>
      <c r="G20" s="2442"/>
      <c r="H20" s="2442"/>
      <c r="I20" s="2442"/>
      <c r="J20" s="2442"/>
      <c r="K20" s="2528"/>
      <c r="L20" s="2528"/>
      <c r="M20" s="1925" t="s">
        <v>2855</v>
      </c>
      <c r="N20" s="1925"/>
      <c r="O20" s="1925"/>
      <c r="P20" s="1925">
        <f>ROUND(R20/Q20,2)</f>
        <v>0.27</v>
      </c>
      <c r="Q20" s="1925">
        <f>Q17+Q18+Q19</f>
        <v>40735.370000000003</v>
      </c>
      <c r="R20" s="1925">
        <f>R17+R18+R19</f>
        <v>11051.1618</v>
      </c>
      <c r="S20" s="1925"/>
      <c r="T20" s="1925"/>
      <c r="U20" s="1925"/>
      <c r="V20" s="1925"/>
      <c r="W20" s="1925"/>
      <c r="X20" s="1925"/>
      <c r="Y20" s="1925"/>
      <c r="Z20" s="1925"/>
      <c r="AA20" s="1925"/>
      <c r="AB20" s="1925"/>
      <c r="AC20" s="1925"/>
      <c r="AD20" s="1925"/>
      <c r="AE20" s="1925"/>
      <c r="AF20" s="1925"/>
      <c r="AG20" s="1925"/>
      <c r="AH20" s="1925"/>
      <c r="AI20" s="1925"/>
      <c r="AJ20" s="1925"/>
      <c r="AK20" s="1925"/>
      <c r="AL20" s="1925"/>
      <c r="AM20" s="1925"/>
      <c r="AN20" s="1925"/>
      <c r="AO20" s="1925"/>
      <c r="AP20" s="1925"/>
      <c r="AQ20" s="1925"/>
      <c r="AR20" s="1925"/>
    </row>
    <row r="21" spans="1:67" ht="14.25">
      <c r="A21" s="2450" t="s">
        <v>598</v>
      </c>
      <c r="B21" s="2448">
        <v>0.6</v>
      </c>
      <c r="C21" s="2442"/>
      <c r="D21" s="2443"/>
      <c r="E21" s="2442"/>
      <c r="F21" s="2442"/>
      <c r="G21" s="2442"/>
      <c r="H21" s="2442"/>
      <c r="I21" s="2442"/>
      <c r="J21" s="2442"/>
      <c r="K21" s="2528"/>
      <c r="L21" s="2528"/>
      <c r="M21" s="1925" t="s">
        <v>2856</v>
      </c>
      <c r="N21" s="1925"/>
      <c r="O21" s="1925"/>
      <c r="P21" s="1925"/>
      <c r="Q21" s="1925"/>
      <c r="R21" s="1925"/>
      <c r="S21" s="1925"/>
      <c r="T21" s="1925"/>
      <c r="U21" s="1925"/>
      <c r="V21" s="1925"/>
      <c r="W21" s="1925"/>
      <c r="X21" s="1925"/>
      <c r="Y21" s="1925"/>
      <c r="Z21" s="1925"/>
      <c r="AA21" s="1925"/>
      <c r="AB21" s="1925"/>
      <c r="AC21" s="1925"/>
      <c r="AD21" s="1925"/>
      <c r="AE21" s="1925"/>
      <c r="AF21" s="1925"/>
      <c r="AG21" s="1925"/>
      <c r="AH21" s="1925"/>
      <c r="AI21" s="1925"/>
      <c r="AJ21" s="1925"/>
      <c r="AK21" s="1925"/>
      <c r="AL21" s="1925"/>
      <c r="AM21" s="1925"/>
      <c r="AN21" s="1925"/>
      <c r="AO21" s="1925"/>
      <c r="AP21" s="1925"/>
      <c r="AQ21" s="1925"/>
      <c r="AR21" s="1925"/>
    </row>
    <row r="22" spans="1:67" ht="14.25">
      <c r="A22" s="2447" t="s">
        <v>599</v>
      </c>
      <c r="B22" s="2451">
        <f>B19+B20</f>
        <v>2</v>
      </c>
      <c r="C22" s="2442"/>
      <c r="D22" s="2443"/>
      <c r="E22" s="2442"/>
      <c r="F22" s="2442"/>
      <c r="G22" s="2442"/>
      <c r="H22" s="2442"/>
      <c r="I22" s="2442"/>
      <c r="J22" s="2442"/>
      <c r="K22" s="2528"/>
      <c r="L22" s="2528"/>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5"/>
      <c r="AQ22" s="1925"/>
      <c r="AR22" s="1925"/>
    </row>
    <row r="23" spans="1:67" ht="14.25">
      <c r="A23" s="2450" t="s">
        <v>600</v>
      </c>
      <c r="B23" s="2451">
        <f>B19+B21</f>
        <v>0.6</v>
      </c>
      <c r="C23" s="2442"/>
      <c r="D23" s="2443"/>
      <c r="E23" s="2442"/>
      <c r="F23" s="2442"/>
      <c r="G23" s="2442"/>
      <c r="H23" s="2442"/>
      <c r="I23" s="2442"/>
      <c r="J23" s="2442"/>
      <c r="K23" s="2528"/>
      <c r="L23" s="2528"/>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5"/>
      <c r="AK23" s="1925"/>
      <c r="AL23" s="1925"/>
      <c r="AM23" s="1925"/>
      <c r="AN23" s="1925"/>
      <c r="AO23" s="1925"/>
      <c r="AP23" s="1925"/>
      <c r="AQ23" s="1925"/>
      <c r="AR23" s="1925"/>
    </row>
    <row r="24" spans="1:67" ht="14.25">
      <c r="A24" s="2452" t="s">
        <v>601</v>
      </c>
      <c r="B24" s="2453">
        <f>B20-B21</f>
        <v>1.4</v>
      </c>
      <c r="C24" s="2442"/>
      <c r="D24" s="2443"/>
      <c r="E24" s="2442"/>
      <c r="F24" s="2442"/>
      <c r="G24" s="2442"/>
      <c r="H24" s="2442"/>
      <c r="I24" s="2442"/>
      <c r="J24" s="2442"/>
      <c r="K24" s="2528"/>
      <c r="L24" s="2528"/>
      <c r="M24" s="1925"/>
      <c r="N24" s="1925"/>
      <c r="O24" s="1925"/>
      <c r="P24" s="1925"/>
      <c r="Q24" s="1925"/>
      <c r="R24" s="1925"/>
      <c r="S24" s="1925"/>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row>
    <row r="25" spans="1:67" ht="14.25">
      <c r="A25" s="2411"/>
      <c r="B25" s="2412"/>
      <c r="C25" s="2442"/>
      <c r="D25" s="2443"/>
      <c r="E25" s="2442"/>
      <c r="F25" s="2442"/>
      <c r="G25" s="2442"/>
      <c r="H25" s="2442"/>
      <c r="I25" s="2442"/>
      <c r="J25" s="2442"/>
      <c r="K25" s="2528"/>
      <c r="L25" s="2528"/>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5"/>
      <c r="AJ25" s="1925"/>
      <c r="AK25" s="1925"/>
      <c r="AL25" s="1925"/>
      <c r="AM25" s="1925"/>
      <c r="AN25" s="1925"/>
      <c r="AO25" s="1925"/>
      <c r="AP25" s="1925"/>
      <c r="AQ25" s="1925"/>
      <c r="AR25" s="1925"/>
    </row>
    <row r="26" spans="1:67" ht="14.25">
      <c r="A26" s="2407" t="s">
        <v>602</v>
      </c>
      <c r="B26" s="2454" t="s">
        <v>603</v>
      </c>
      <c r="C26" s="2455" t="s">
        <v>604</v>
      </c>
      <c r="D26" s="2443"/>
      <c r="E26" s="2442"/>
      <c r="F26" s="2442"/>
      <c r="G26" s="2442"/>
      <c r="H26" s="2442"/>
      <c r="I26" s="2442"/>
      <c r="J26" s="2442"/>
      <c r="K26" s="2528"/>
      <c r="L26" s="2528"/>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5"/>
      <c r="AK26" s="1925"/>
      <c r="AL26" s="1925"/>
      <c r="AM26" s="1925"/>
      <c r="AN26" s="1925"/>
      <c r="AO26" s="1925"/>
      <c r="AP26" s="1925"/>
      <c r="AQ26" s="1925"/>
      <c r="AR26" s="1925"/>
    </row>
    <row r="27" spans="1:67" s="2398" customFormat="1" ht="27.75">
      <c r="A27" s="2456" t="s">
        <v>605</v>
      </c>
      <c r="B27" s="2457">
        <v>160</v>
      </c>
      <c r="C27" s="2458" t="s">
        <v>606</v>
      </c>
      <c r="D27" s="2459"/>
      <c r="E27" s="1218"/>
      <c r="F27" s="1218"/>
      <c r="G27" s="2442"/>
      <c r="H27" s="2442"/>
      <c r="I27" s="2442"/>
      <c r="J27" s="2442"/>
      <c r="K27" s="2528"/>
      <c r="L27" s="2528"/>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c r="AI27" s="1925"/>
      <c r="AJ27" s="1925"/>
      <c r="AK27" s="1925"/>
      <c r="AL27" s="1925"/>
      <c r="AM27" s="1925"/>
      <c r="AN27" s="1925"/>
      <c r="AO27" s="1925"/>
      <c r="AP27" s="1925"/>
      <c r="AQ27" s="1925"/>
      <c r="AR27" s="1925"/>
      <c r="AS27" s="1913"/>
      <c r="AT27" s="1913"/>
      <c r="AU27" s="1913"/>
      <c r="AV27" s="1913"/>
      <c r="AW27" s="1913"/>
      <c r="AX27" s="1913"/>
      <c r="AY27" s="1913"/>
      <c r="AZ27" s="1913"/>
      <c r="BA27" s="1913"/>
      <c r="BB27" s="1913"/>
      <c r="BC27" s="1913"/>
      <c r="BD27" s="1913"/>
      <c r="BE27" s="1913"/>
      <c r="BF27" s="1913"/>
      <c r="BG27" s="1913"/>
      <c r="BH27" s="1913"/>
      <c r="BI27" s="1913"/>
      <c r="BJ27" s="1913"/>
      <c r="BK27" s="1913"/>
      <c r="BL27" s="1913"/>
      <c r="BM27" s="1913"/>
      <c r="BN27" s="1913"/>
      <c r="BO27" s="1913"/>
    </row>
    <row r="28" spans="1:67" s="2398" customFormat="1" ht="27.75">
      <c r="A28" s="2460" t="s">
        <v>607</v>
      </c>
      <c r="B28" s="2461">
        <v>200</v>
      </c>
      <c r="C28" s="2462"/>
      <c r="D28" s="2459"/>
      <c r="E28" s="1218"/>
      <c r="F28" s="1218"/>
      <c r="G28" s="2442"/>
      <c r="H28" s="2442"/>
      <c r="I28" s="2442"/>
      <c r="J28" s="2442"/>
      <c r="K28" s="2528"/>
      <c r="L28" s="2528"/>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c r="AI28" s="1925"/>
      <c r="AJ28" s="1925"/>
      <c r="AK28" s="1925"/>
      <c r="AL28" s="1925"/>
      <c r="AM28" s="1925"/>
      <c r="AN28" s="1925"/>
      <c r="AO28" s="1925"/>
      <c r="AP28" s="1925"/>
      <c r="AQ28" s="1925"/>
      <c r="AR28" s="1925"/>
      <c r="AS28" s="1913"/>
      <c r="AT28" s="1913"/>
      <c r="AU28" s="1913"/>
      <c r="AV28" s="1913"/>
      <c r="AW28" s="1913"/>
      <c r="AX28" s="1913"/>
      <c r="AY28" s="1913"/>
      <c r="AZ28" s="1913"/>
      <c r="BA28" s="1913"/>
      <c r="BB28" s="1913"/>
      <c r="BC28" s="1913"/>
      <c r="BD28" s="1913"/>
      <c r="BE28" s="1913"/>
      <c r="BF28" s="1913"/>
      <c r="BG28" s="1913"/>
      <c r="BH28" s="1913"/>
      <c r="BI28" s="1913"/>
      <c r="BJ28" s="1913"/>
      <c r="BK28" s="1913"/>
      <c r="BL28" s="1913"/>
      <c r="BM28" s="1913"/>
      <c r="BN28" s="1913"/>
      <c r="BO28" s="1913"/>
    </row>
    <row r="29" spans="1:67" s="2398" customFormat="1" ht="27.75">
      <c r="A29" s="2463" t="s">
        <v>608</v>
      </c>
      <c r="B29" s="3075">
        <v>0</v>
      </c>
      <c r="C29" s="2464" t="s">
        <v>609</v>
      </c>
      <c r="D29" s="2459"/>
      <c r="E29" s="1218"/>
      <c r="F29" s="1218"/>
      <c r="G29" s="2442"/>
      <c r="H29" s="2442"/>
      <c r="I29" s="2442"/>
      <c r="J29" s="2442"/>
      <c r="K29" s="2528"/>
      <c r="L29" s="2528"/>
      <c r="M29" s="1925"/>
      <c r="N29" s="1925"/>
      <c r="O29" s="1925"/>
      <c r="P29" s="1925"/>
      <c r="Q29" s="1925"/>
      <c r="R29" s="1925"/>
      <c r="S29" s="1925"/>
      <c r="T29" s="1925"/>
      <c r="U29" s="1925"/>
      <c r="V29" s="1925"/>
      <c r="W29" s="1925"/>
      <c r="X29" s="1925"/>
      <c r="Y29" s="1925"/>
      <c r="Z29" s="1925"/>
      <c r="AA29" s="1925"/>
      <c r="AB29" s="1925"/>
      <c r="AC29" s="1925"/>
      <c r="AD29" s="1925"/>
      <c r="AE29" s="1925"/>
      <c r="AF29" s="1925"/>
      <c r="AG29" s="1925"/>
      <c r="AH29" s="1925"/>
      <c r="AI29" s="1925"/>
      <c r="AJ29" s="1925"/>
      <c r="AK29" s="1925"/>
      <c r="AL29" s="1925"/>
      <c r="AM29" s="1925"/>
      <c r="AN29" s="1925"/>
      <c r="AO29" s="1925"/>
      <c r="AP29" s="1925"/>
      <c r="AQ29" s="1925"/>
      <c r="AR29" s="1925"/>
      <c r="AS29" s="1913"/>
      <c r="AT29" s="1913"/>
      <c r="AU29" s="1913"/>
      <c r="AV29" s="1913"/>
      <c r="AW29" s="1913"/>
      <c r="AX29" s="1913"/>
      <c r="AY29" s="1913"/>
      <c r="AZ29" s="1913"/>
      <c r="BA29" s="1913"/>
      <c r="BB29" s="1913"/>
      <c r="BC29" s="1913"/>
      <c r="BD29" s="1913"/>
      <c r="BE29" s="1913"/>
      <c r="BF29" s="1913"/>
      <c r="BG29" s="1913"/>
      <c r="BH29" s="1913"/>
      <c r="BI29" s="1913"/>
      <c r="BJ29" s="1913"/>
      <c r="BK29" s="1913"/>
      <c r="BL29" s="1913"/>
      <c r="BM29" s="1913"/>
      <c r="BN29" s="1913"/>
      <c r="BO29" s="1913"/>
    </row>
    <row r="30" spans="1:67" s="2398" customFormat="1" ht="27">
      <c r="A30" s="2465" t="s">
        <v>610</v>
      </c>
      <c r="B30" s="2466">
        <v>200</v>
      </c>
      <c r="C30" s="2462"/>
      <c r="D30" s="2459"/>
      <c r="E30" s="1218"/>
      <c r="F30" s="1218"/>
      <c r="G30" s="2442"/>
      <c r="H30" s="2442"/>
      <c r="I30" s="2442"/>
      <c r="J30" s="2442"/>
      <c r="K30" s="2528"/>
      <c r="L30" s="2528"/>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5"/>
      <c r="AK30" s="1925"/>
      <c r="AL30" s="1925"/>
      <c r="AM30" s="1925"/>
      <c r="AN30" s="1925"/>
      <c r="AO30" s="1925"/>
      <c r="AP30" s="1925"/>
      <c r="AQ30" s="1925"/>
      <c r="AR30" s="1925"/>
      <c r="AS30" s="1913"/>
      <c r="AT30" s="1913"/>
      <c r="AU30" s="1913"/>
      <c r="AV30" s="1913"/>
      <c r="AW30" s="1913"/>
      <c r="AX30" s="1913"/>
      <c r="AY30" s="1913"/>
      <c r="AZ30" s="1913"/>
      <c r="BA30" s="1913"/>
      <c r="BB30" s="1913"/>
      <c r="BC30" s="1913"/>
      <c r="BD30" s="1913"/>
      <c r="BE30" s="1913"/>
      <c r="BF30" s="1913"/>
      <c r="BG30" s="1913"/>
      <c r="BH30" s="1913"/>
      <c r="BI30" s="1913"/>
      <c r="BJ30" s="1913"/>
      <c r="BK30" s="1913"/>
      <c r="BL30" s="1913"/>
      <c r="BM30" s="1913"/>
      <c r="BN30" s="1913"/>
      <c r="BO30" s="1913"/>
    </row>
    <row r="31" spans="1:67" s="2398" customFormat="1" ht="27">
      <c r="A31" s="2460" t="s">
        <v>611</v>
      </c>
      <c r="B31" s="2467">
        <f>B30-B32</f>
        <v>200</v>
      </c>
      <c r="C31" s="2468"/>
      <c r="D31" s="2459"/>
      <c r="E31" s="1218"/>
      <c r="F31" s="1218"/>
      <c r="G31" s="2442"/>
      <c r="H31" s="2442"/>
      <c r="I31" s="2442"/>
      <c r="J31" s="2442"/>
      <c r="K31" s="2528"/>
      <c r="L31" s="2528"/>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5"/>
      <c r="AK31" s="1925"/>
      <c r="AL31" s="1925"/>
      <c r="AM31" s="1925"/>
      <c r="AN31" s="1925"/>
      <c r="AO31" s="1925"/>
      <c r="AP31" s="1925"/>
      <c r="AQ31" s="1925"/>
      <c r="AR31" s="1925"/>
      <c r="AS31" s="1913"/>
      <c r="AT31" s="1913"/>
      <c r="AU31" s="1913"/>
      <c r="AV31" s="1913"/>
      <c r="AW31" s="1913"/>
      <c r="AX31" s="1913"/>
      <c r="AY31" s="1913"/>
      <c r="AZ31" s="1913"/>
      <c r="BA31" s="1913"/>
      <c r="BB31" s="1913"/>
      <c r="BC31" s="1913"/>
      <c r="BD31" s="1913"/>
      <c r="BE31" s="1913"/>
      <c r="BF31" s="1913"/>
      <c r="BG31" s="1913"/>
      <c r="BH31" s="1913"/>
      <c r="BI31" s="1913"/>
      <c r="BJ31" s="1913"/>
      <c r="BK31" s="1913"/>
      <c r="BL31" s="1913"/>
      <c r="BM31" s="1913"/>
      <c r="BN31" s="1913"/>
      <c r="BO31" s="1913"/>
    </row>
    <row r="32" spans="1:67" s="2398" customFormat="1" ht="27">
      <c r="A32" s="2469" t="s">
        <v>612</v>
      </c>
      <c r="B32" s="2470">
        <v>0</v>
      </c>
      <c r="C32" s="2462"/>
      <c r="D32" s="2443"/>
      <c r="E32" s="2442"/>
      <c r="F32" s="2442"/>
      <c r="G32" s="2442"/>
      <c r="H32" s="2442"/>
      <c r="I32" s="2442"/>
      <c r="J32" s="2442"/>
      <c r="K32" s="2528"/>
      <c r="L32" s="2528"/>
      <c r="M32" s="1925"/>
      <c r="N32" s="1925"/>
      <c r="O32" s="1925"/>
      <c r="P32" s="1925"/>
      <c r="Q32" s="1925"/>
      <c r="R32" s="1925"/>
      <c r="S32" s="1925"/>
      <c r="T32" s="1925"/>
      <c r="U32" s="1925"/>
      <c r="V32" s="1925"/>
      <c r="W32" s="1925"/>
      <c r="X32" s="1925"/>
      <c r="Y32" s="1925"/>
      <c r="Z32" s="1925"/>
      <c r="AA32" s="1925"/>
      <c r="AB32" s="1925"/>
      <c r="AC32" s="1925"/>
      <c r="AD32" s="1925"/>
      <c r="AE32" s="1925"/>
      <c r="AF32" s="1925"/>
      <c r="AG32" s="1925"/>
      <c r="AH32" s="1925"/>
      <c r="AI32" s="1925"/>
      <c r="AJ32" s="1925"/>
      <c r="AK32" s="1925"/>
      <c r="AL32" s="1925"/>
      <c r="AM32" s="1925"/>
      <c r="AN32" s="1925"/>
      <c r="AO32" s="1925"/>
      <c r="AP32" s="1925"/>
      <c r="AQ32" s="1925"/>
      <c r="AR32" s="1925"/>
      <c r="AS32" s="1913"/>
      <c r="AT32" s="1913"/>
      <c r="AU32" s="1913"/>
      <c r="AV32" s="1913"/>
      <c r="AW32" s="1913"/>
      <c r="AX32" s="1913"/>
      <c r="AY32" s="1913"/>
      <c r="AZ32" s="1913"/>
      <c r="BA32" s="1913"/>
      <c r="BB32" s="1913"/>
      <c r="BC32" s="1913"/>
      <c r="BD32" s="1913"/>
      <c r="BE32" s="1913"/>
      <c r="BF32" s="1913"/>
      <c r="BG32" s="1913"/>
      <c r="BH32" s="1913"/>
      <c r="BI32" s="1913"/>
      <c r="BJ32" s="1913"/>
      <c r="BK32" s="1913"/>
      <c r="BL32" s="1913"/>
      <c r="BM32" s="1913"/>
      <c r="BN32" s="1913"/>
      <c r="BO32" s="1913"/>
    </row>
    <row r="33" spans="1:67" s="2398" customFormat="1" ht="14.25">
      <c r="A33" s="2456" t="s">
        <v>613</v>
      </c>
      <c r="B33" s="2471">
        <v>0.05</v>
      </c>
      <c r="C33" s="2472" t="s">
        <v>614</v>
      </c>
      <c r="D33" s="2443"/>
      <c r="E33" s="2442"/>
      <c r="F33" s="2442"/>
      <c r="G33" s="2442"/>
      <c r="H33" s="2442"/>
      <c r="I33" s="2442"/>
      <c r="J33" s="2442"/>
      <c r="K33" s="2528"/>
      <c r="L33" s="2528"/>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5"/>
      <c r="AK33" s="1925"/>
      <c r="AL33" s="1925"/>
      <c r="AM33" s="1925"/>
      <c r="AN33" s="1925"/>
      <c r="AO33" s="1925"/>
      <c r="AP33" s="1925"/>
      <c r="AQ33" s="1925"/>
      <c r="AR33" s="1925"/>
      <c r="AS33" s="1913"/>
      <c r="AT33" s="1913"/>
      <c r="AU33" s="1913"/>
      <c r="AV33" s="1913"/>
      <c r="AW33" s="1913"/>
      <c r="AX33" s="1913"/>
      <c r="AY33" s="1913"/>
      <c r="AZ33" s="1913"/>
      <c r="BA33" s="1913"/>
      <c r="BB33" s="1913"/>
      <c r="BC33" s="1913"/>
      <c r="BD33" s="1913"/>
      <c r="BE33" s="1913"/>
      <c r="BF33" s="1913"/>
      <c r="BG33" s="1913"/>
      <c r="BH33" s="1913"/>
      <c r="BI33" s="1913"/>
      <c r="BJ33" s="1913"/>
      <c r="BK33" s="1913"/>
      <c r="BL33" s="1913"/>
      <c r="BM33" s="1913"/>
      <c r="BN33" s="1913"/>
      <c r="BO33" s="1913"/>
    </row>
    <row r="34" spans="1:67" s="2398" customFormat="1" ht="14.25">
      <c r="A34" s="2460" t="s">
        <v>615</v>
      </c>
      <c r="B34" s="2473">
        <v>0.05</v>
      </c>
      <c r="C34" s="2472" t="s">
        <v>616</v>
      </c>
      <c r="D34" s="2474" t="s">
        <v>617</v>
      </c>
      <c r="E34" s="2439"/>
      <c r="F34" s="2442"/>
      <c r="G34" s="2442"/>
      <c r="H34" s="2442"/>
      <c r="I34" s="2442"/>
      <c r="J34" s="2442"/>
      <c r="K34" s="2528"/>
      <c r="L34" s="2528"/>
      <c r="M34" s="1925"/>
      <c r="N34" s="1925"/>
      <c r="O34" s="1925"/>
      <c r="P34" s="1925"/>
      <c r="Q34" s="1925"/>
      <c r="R34" s="1925"/>
      <c r="S34" s="1925"/>
      <c r="T34" s="1925"/>
      <c r="U34" s="1925"/>
      <c r="V34" s="1925"/>
      <c r="W34" s="1925"/>
      <c r="X34" s="1925"/>
      <c r="Y34" s="1925"/>
      <c r="Z34" s="1925"/>
      <c r="AA34" s="1925"/>
      <c r="AB34" s="1925"/>
      <c r="AC34" s="1925"/>
      <c r="AD34" s="1925"/>
      <c r="AE34" s="1925"/>
      <c r="AF34" s="1925"/>
      <c r="AG34" s="1925"/>
      <c r="AH34" s="1925"/>
      <c r="AI34" s="1925"/>
      <c r="AJ34" s="1925"/>
      <c r="AK34" s="1925"/>
      <c r="AL34" s="1925"/>
      <c r="AM34" s="1925"/>
      <c r="AN34" s="1925"/>
      <c r="AO34" s="1925"/>
      <c r="AP34" s="1925"/>
      <c r="AQ34" s="1925"/>
      <c r="AR34" s="1925"/>
      <c r="AS34" s="1913"/>
      <c r="AT34" s="1913"/>
      <c r="AU34" s="1913"/>
      <c r="AV34" s="1913"/>
      <c r="AW34" s="1913"/>
      <c r="AX34" s="1913"/>
      <c r="AY34" s="1913"/>
      <c r="AZ34" s="1913"/>
      <c r="BA34" s="1913"/>
      <c r="BB34" s="1913"/>
      <c r="BC34" s="1913"/>
      <c r="BD34" s="1913"/>
      <c r="BE34" s="1913"/>
      <c r="BF34" s="1913"/>
      <c r="BG34" s="1913"/>
      <c r="BH34" s="1913"/>
      <c r="BI34" s="1913"/>
      <c r="BJ34" s="1913"/>
      <c r="BK34" s="1913"/>
      <c r="BL34" s="1913"/>
      <c r="BM34" s="1913"/>
      <c r="BN34" s="1913"/>
      <c r="BO34" s="1913"/>
    </row>
    <row r="35" spans="1:67" s="2398" customFormat="1" ht="14.25">
      <c r="A35" s="2460" t="s">
        <v>618</v>
      </c>
      <c r="B35" s="2461">
        <v>200</v>
      </c>
      <c r="C35" s="2472" t="s">
        <v>619</v>
      </c>
      <c r="D35" s="2459"/>
      <c r="E35" s="1218"/>
      <c r="F35" s="1218"/>
      <c r="G35" s="2442"/>
      <c r="H35" s="2442"/>
      <c r="I35" s="2442"/>
      <c r="J35" s="2442"/>
      <c r="K35" s="2528"/>
      <c r="L35" s="2528"/>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c r="AI35" s="1925"/>
      <c r="AJ35" s="1925"/>
      <c r="AK35" s="1925"/>
      <c r="AL35" s="1925"/>
      <c r="AM35" s="1925"/>
      <c r="AN35" s="1925"/>
      <c r="AO35" s="1925"/>
      <c r="AP35" s="1925"/>
      <c r="AQ35" s="1925"/>
      <c r="AR35" s="1925"/>
      <c r="AS35" s="1913"/>
      <c r="AT35" s="1913"/>
      <c r="AU35" s="1913"/>
      <c r="AV35" s="1913"/>
      <c r="AW35" s="1913"/>
      <c r="AX35" s="1913"/>
      <c r="AY35" s="1913"/>
      <c r="AZ35" s="1913"/>
      <c r="BA35" s="1913"/>
      <c r="BB35" s="1913"/>
      <c r="BC35" s="1913"/>
      <c r="BD35" s="1913"/>
      <c r="BE35" s="1913"/>
      <c r="BF35" s="1913"/>
      <c r="BG35" s="1913"/>
      <c r="BH35" s="1913"/>
      <c r="BI35" s="1913"/>
      <c r="BJ35" s="1913"/>
      <c r="BK35" s="1913"/>
      <c r="BL35" s="1913"/>
      <c r="BM35" s="1913"/>
      <c r="BN35" s="1913"/>
      <c r="BO35" s="1913"/>
    </row>
    <row r="36" spans="1:67" ht="14.25">
      <c r="A36" s="2463" t="s">
        <v>620</v>
      </c>
      <c r="B36" s="2475">
        <v>1.4999999999999999E-2</v>
      </c>
      <c r="C36" s="2472" t="s">
        <v>621</v>
      </c>
      <c r="D36" s="2443"/>
      <c r="E36" s="2442"/>
      <c r="F36" s="2442"/>
      <c r="G36" s="2442"/>
      <c r="H36" s="2442"/>
      <c r="I36" s="2442"/>
      <c r="J36" s="2442"/>
      <c r="K36" s="2528"/>
      <c r="L36" s="2528"/>
      <c r="M36" s="1925"/>
      <c r="N36" s="1925"/>
      <c r="O36" s="1925"/>
      <c r="P36" s="1925"/>
      <c r="Q36" s="1925"/>
      <c r="R36" s="1925"/>
      <c r="S36" s="1925"/>
      <c r="T36" s="1925"/>
      <c r="U36" s="1925"/>
      <c r="V36" s="1925"/>
      <c r="W36" s="1925"/>
      <c r="X36" s="1925"/>
      <c r="Y36" s="1925"/>
      <c r="Z36" s="1925"/>
      <c r="AA36" s="1925"/>
      <c r="AB36" s="1925"/>
      <c r="AC36" s="1925"/>
      <c r="AD36" s="1925"/>
      <c r="AE36" s="1925"/>
      <c r="AF36" s="1925"/>
      <c r="AG36" s="1925"/>
      <c r="AH36" s="1925"/>
      <c r="AI36" s="1925"/>
      <c r="AJ36" s="1925"/>
      <c r="AK36" s="1925"/>
      <c r="AL36" s="1925"/>
      <c r="AM36" s="1925"/>
      <c r="AN36" s="1925"/>
      <c r="AO36" s="1925"/>
      <c r="AP36" s="1925"/>
      <c r="AQ36" s="1925"/>
      <c r="AR36" s="1925"/>
    </row>
    <row r="37" spans="1:67" ht="14.25">
      <c r="A37" s="2465" t="s">
        <v>622</v>
      </c>
      <c r="B37" s="2476">
        <v>0.03</v>
      </c>
      <c r="C37" s="2472" t="s">
        <v>623</v>
      </c>
      <c r="D37" s="2443"/>
      <c r="E37" s="2442"/>
      <c r="F37" s="2442"/>
      <c r="G37" s="2442"/>
      <c r="H37" s="2442"/>
      <c r="I37" s="2442"/>
      <c r="J37" s="2442"/>
      <c r="K37" s="2528"/>
      <c r="L37" s="2528"/>
      <c r="M37" s="1925"/>
      <c r="N37" s="1925"/>
      <c r="O37" s="1925"/>
      <c r="P37" s="1925"/>
      <c r="Q37" s="1925"/>
      <c r="R37" s="1925"/>
      <c r="S37" s="1925"/>
      <c r="T37" s="1925"/>
      <c r="U37" s="1925"/>
      <c r="V37" s="1925"/>
      <c r="W37" s="1925"/>
      <c r="X37" s="1925"/>
      <c r="Y37" s="1925"/>
      <c r="Z37" s="1925"/>
      <c r="AA37" s="1925"/>
      <c r="AB37" s="1925"/>
      <c r="AC37" s="1925"/>
      <c r="AD37" s="1925"/>
      <c r="AE37" s="1925"/>
      <c r="AF37" s="1925"/>
      <c r="AG37" s="1925"/>
      <c r="AH37" s="1925"/>
      <c r="AI37" s="1925"/>
      <c r="AJ37" s="1925"/>
      <c r="AK37" s="1925"/>
      <c r="AL37" s="1925"/>
      <c r="AM37" s="1925"/>
      <c r="AN37" s="1925"/>
      <c r="AO37" s="1925"/>
      <c r="AP37" s="1925"/>
      <c r="AQ37" s="1925"/>
      <c r="AR37" s="1925"/>
    </row>
    <row r="38" spans="1:67" ht="14.25">
      <c r="A38" s="2460" t="s">
        <v>624</v>
      </c>
      <c r="B38" s="2473">
        <v>0.02</v>
      </c>
      <c r="C38" s="2472" t="s">
        <v>623</v>
      </c>
      <c r="D38" s="2443"/>
      <c r="E38" s="2442"/>
      <c r="F38" s="2442"/>
      <c r="G38" s="2442"/>
      <c r="H38" s="2442"/>
      <c r="I38" s="2442"/>
      <c r="J38" s="2442"/>
      <c r="K38" s="2528"/>
      <c r="L38" s="2528"/>
      <c r="M38" s="1925"/>
      <c r="N38" s="1925"/>
      <c r="O38" s="1925"/>
      <c r="P38" s="1925"/>
      <c r="Q38" s="1925"/>
      <c r="R38" s="1925"/>
      <c r="S38" s="1925"/>
      <c r="T38" s="1925"/>
      <c r="U38" s="1925"/>
      <c r="V38" s="1925"/>
      <c r="W38" s="1925"/>
      <c r="X38" s="1925"/>
      <c r="Y38" s="1925"/>
      <c r="Z38" s="1925"/>
      <c r="AA38" s="1925"/>
      <c r="AB38" s="1925"/>
      <c r="AC38" s="1925"/>
      <c r="AD38" s="1925"/>
      <c r="AE38" s="1925"/>
      <c r="AF38" s="1925"/>
      <c r="AG38" s="1925"/>
      <c r="AH38" s="1925"/>
      <c r="AI38" s="1925"/>
      <c r="AJ38" s="1925"/>
      <c r="AK38" s="1925"/>
      <c r="AL38" s="1925"/>
      <c r="AM38" s="1925"/>
      <c r="AN38" s="1925"/>
      <c r="AO38" s="1925"/>
      <c r="AP38" s="1925"/>
      <c r="AQ38" s="1925"/>
      <c r="AR38" s="1925"/>
    </row>
    <row r="39" spans="1:67" ht="14.25">
      <c r="A39" s="2469" t="s">
        <v>625</v>
      </c>
      <c r="B39" s="2477">
        <f ca="1">存贷款利率!I1</f>
        <v>1.4999999999999999E-2</v>
      </c>
      <c r="C39" s="2478"/>
      <c r="D39" s="2443"/>
      <c r="E39" s="2442"/>
      <c r="F39" s="2442"/>
      <c r="G39" s="2442"/>
      <c r="H39" s="2442"/>
      <c r="I39" s="2442"/>
      <c r="J39" s="2442"/>
      <c r="K39" s="2528"/>
      <c r="L39" s="2528"/>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c r="AI39" s="1925"/>
      <c r="AJ39" s="1925"/>
      <c r="AK39" s="1925"/>
      <c r="AL39" s="1925"/>
      <c r="AM39" s="1925"/>
      <c r="AN39" s="1925"/>
      <c r="AO39" s="1925"/>
      <c r="AP39" s="1925"/>
      <c r="AQ39" s="1925"/>
      <c r="AR39" s="1925"/>
    </row>
    <row r="40" spans="1:67" ht="28.5">
      <c r="A40" s="2479" t="s">
        <v>626</v>
      </c>
      <c r="B40" s="2480">
        <f ca="1">IF(A40="利息：取LPR",存贷款利率!G1,存贷款利率!G1+C40)</f>
        <v>4.3499999999999997E-2</v>
      </c>
      <c r="C40" s="2481">
        <v>5.0000000000000001E-3</v>
      </c>
      <c r="D40" s="1925"/>
      <c r="E40" s="2443"/>
      <c r="F40" s="2442"/>
      <c r="G40" s="2442"/>
      <c r="H40" s="2442"/>
      <c r="I40" s="2442"/>
      <c r="J40" s="2442"/>
      <c r="K40" s="2528"/>
      <c r="L40" s="2528"/>
      <c r="M40" s="1925"/>
      <c r="N40" s="1925"/>
      <c r="O40" s="1925"/>
      <c r="P40" s="1925"/>
      <c r="Q40" s="1925"/>
      <c r="R40" s="1925"/>
      <c r="S40" s="1925"/>
      <c r="T40" s="1925"/>
      <c r="U40" s="1925"/>
      <c r="V40" s="1925"/>
      <c r="W40" s="1925"/>
      <c r="X40" s="1925"/>
      <c r="Y40" s="1925"/>
      <c r="Z40" s="1925"/>
      <c r="AA40" s="1925"/>
      <c r="AB40" s="1925"/>
      <c r="AC40" s="1925"/>
      <c r="AD40" s="1925"/>
      <c r="AE40" s="1925"/>
      <c r="AF40" s="1925"/>
      <c r="AG40" s="1925"/>
      <c r="AH40" s="1925"/>
      <c r="AI40" s="1925"/>
      <c r="AJ40" s="1925"/>
      <c r="AK40" s="1925"/>
      <c r="AL40" s="1925"/>
      <c r="AM40" s="1925"/>
      <c r="AN40" s="1925"/>
      <c r="AO40" s="1925"/>
      <c r="AP40" s="1925"/>
      <c r="AQ40" s="1925"/>
      <c r="AR40" s="1925"/>
    </row>
    <row r="41" spans="1:67" ht="14.25">
      <c r="A41" s="2456" t="s">
        <v>627</v>
      </c>
      <c r="B41" s="2482">
        <f>B42+B43</f>
        <v>5.6000000000000001E-2</v>
      </c>
      <c r="C41" s="2468"/>
      <c r="D41" s="1925"/>
      <c r="E41" s="2443"/>
      <c r="F41" s="2442"/>
      <c r="G41" s="2442"/>
      <c r="H41" s="2442"/>
      <c r="I41" s="2442"/>
      <c r="J41" s="2442"/>
      <c r="K41" s="2528"/>
      <c r="L41" s="2528"/>
      <c r="M41" s="1925"/>
      <c r="N41" s="1925"/>
      <c r="O41" s="1925"/>
      <c r="P41" s="1925"/>
      <c r="Q41" s="1925"/>
      <c r="R41" s="1925"/>
      <c r="S41" s="1925"/>
      <c r="T41" s="1925"/>
      <c r="U41" s="1925"/>
      <c r="V41" s="1925"/>
      <c r="W41" s="1925"/>
      <c r="X41" s="1925"/>
      <c r="Y41" s="1925"/>
      <c r="Z41" s="1925"/>
      <c r="AA41" s="1925"/>
      <c r="AB41" s="1925"/>
      <c r="AC41" s="1925"/>
      <c r="AD41" s="1925"/>
      <c r="AE41" s="1925"/>
      <c r="AF41" s="1925"/>
      <c r="AG41" s="1925"/>
      <c r="AH41" s="1925"/>
      <c r="AI41" s="1925"/>
      <c r="AJ41" s="1925"/>
      <c r="AK41" s="1925"/>
      <c r="AL41" s="1925"/>
      <c r="AM41" s="1925"/>
      <c r="AN41" s="1925"/>
      <c r="AO41" s="1925"/>
      <c r="AP41" s="1925"/>
      <c r="AQ41" s="1925"/>
      <c r="AR41" s="1925"/>
    </row>
    <row r="42" spans="1:67" ht="14.25">
      <c r="A42" s="2483" t="s">
        <v>628</v>
      </c>
      <c r="B42" s="2484">
        <v>0.05</v>
      </c>
      <c r="C42" s="2485">
        <f>IF(B2&lt;DATE(2016,5,1),0,B42)</f>
        <v>0.05</v>
      </c>
      <c r="D42" s="2443"/>
      <c r="E42" s="2442"/>
      <c r="F42" s="2442"/>
      <c r="G42" s="2442"/>
      <c r="H42" s="2442"/>
      <c r="I42" s="2442"/>
      <c r="J42" s="2442"/>
      <c r="K42" s="2528"/>
      <c r="L42" s="2528"/>
      <c r="M42" s="1925"/>
      <c r="N42" s="1925"/>
      <c r="O42" s="1925"/>
      <c r="P42" s="1925"/>
      <c r="Q42" s="1925"/>
      <c r="R42" s="1925"/>
      <c r="S42" s="1925"/>
      <c r="T42" s="1925"/>
      <c r="U42" s="1925"/>
      <c r="V42" s="1925"/>
      <c r="W42" s="1925"/>
      <c r="X42" s="1925"/>
      <c r="Y42" s="1925"/>
      <c r="Z42" s="1925"/>
      <c r="AA42" s="1925"/>
      <c r="AB42" s="1925"/>
      <c r="AC42" s="1925"/>
      <c r="AD42" s="1925"/>
      <c r="AE42" s="1925"/>
      <c r="AF42" s="1925"/>
      <c r="AG42" s="1925"/>
      <c r="AH42" s="1925"/>
      <c r="AI42" s="1925"/>
      <c r="AJ42" s="1925"/>
      <c r="AK42" s="1925"/>
      <c r="AL42" s="1925"/>
      <c r="AM42" s="1925"/>
      <c r="AN42" s="1925"/>
      <c r="AO42" s="1925"/>
      <c r="AP42" s="1925"/>
      <c r="AQ42" s="1925"/>
      <c r="AR42" s="1925"/>
    </row>
    <row r="43" spans="1:67" ht="14.25">
      <c r="A43" s="2483" t="s">
        <v>629</v>
      </c>
      <c r="B43" s="2486">
        <f>B42*(B44+B45+B46)+B47</f>
        <v>6.000000000000001E-3</v>
      </c>
      <c r="C43" s="2468"/>
      <c r="D43" s="2443"/>
      <c r="E43" s="2442"/>
      <c r="F43" s="2442"/>
      <c r="G43" s="2442"/>
      <c r="H43" s="2442"/>
      <c r="I43" s="2442"/>
      <c r="J43" s="2442"/>
      <c r="K43" s="2528"/>
      <c r="L43" s="2528"/>
      <c r="M43" s="1925"/>
      <c r="N43" s="1925"/>
      <c r="O43" s="1925"/>
      <c r="P43" s="1925"/>
      <c r="Q43" s="1925"/>
      <c r="R43" s="1925"/>
      <c r="S43" s="1925"/>
      <c r="T43" s="1925"/>
      <c r="U43" s="1925"/>
      <c r="V43" s="1925"/>
      <c r="W43" s="1925"/>
      <c r="X43" s="1925"/>
      <c r="Y43" s="1925"/>
      <c r="Z43" s="1925"/>
      <c r="AA43" s="1925"/>
      <c r="AB43" s="1925"/>
      <c r="AC43" s="1925"/>
      <c r="AD43" s="1925"/>
      <c r="AE43" s="1925"/>
      <c r="AF43" s="1925"/>
      <c r="AG43" s="1925"/>
      <c r="AH43" s="1925"/>
      <c r="AI43" s="1925"/>
      <c r="AJ43" s="1925"/>
      <c r="AK43" s="1925"/>
      <c r="AL43" s="1925"/>
      <c r="AM43" s="1925"/>
      <c r="AN43" s="1925"/>
      <c r="AO43" s="1925"/>
      <c r="AP43" s="1925"/>
      <c r="AQ43" s="1925"/>
      <c r="AR43" s="1925"/>
    </row>
    <row r="44" spans="1:67" ht="14.25">
      <c r="A44" s="2487" t="s">
        <v>630</v>
      </c>
      <c r="B44" s="2488">
        <v>7.0000000000000007E-2</v>
      </c>
      <c r="C44" s="2472" t="s">
        <v>631</v>
      </c>
      <c r="D44" s="2443"/>
      <c r="E44" s="2442"/>
      <c r="F44" s="2442"/>
      <c r="G44" s="2442"/>
      <c r="H44" s="2442"/>
      <c r="I44" s="2442"/>
      <c r="J44" s="2442"/>
      <c r="K44" s="2528"/>
      <c r="L44" s="2528"/>
      <c r="M44" s="1925"/>
      <c r="N44" s="1925"/>
      <c r="O44" s="1925"/>
      <c r="P44" s="1925"/>
      <c r="Q44" s="1925"/>
      <c r="R44" s="1925"/>
      <c r="S44" s="1925"/>
      <c r="T44" s="1925"/>
      <c r="U44" s="1925"/>
      <c r="V44" s="1925"/>
      <c r="W44" s="1925"/>
      <c r="X44" s="1925"/>
      <c r="Y44" s="1925"/>
      <c r="Z44" s="1925"/>
      <c r="AA44" s="1925"/>
      <c r="AB44" s="1925"/>
      <c r="AC44" s="1925"/>
      <c r="AD44" s="1925"/>
      <c r="AE44" s="1925"/>
      <c r="AF44" s="1925"/>
      <c r="AG44" s="1925"/>
      <c r="AH44" s="1925"/>
      <c r="AI44" s="1925"/>
      <c r="AJ44" s="1925"/>
      <c r="AK44" s="1925"/>
      <c r="AL44" s="1925"/>
      <c r="AM44" s="1925"/>
      <c r="AN44" s="1925"/>
      <c r="AO44" s="1925"/>
      <c r="AP44" s="1925"/>
      <c r="AQ44" s="1925"/>
      <c r="AR44" s="1925"/>
    </row>
    <row r="45" spans="1:67" ht="14.25">
      <c r="A45" s="2487" t="s">
        <v>632</v>
      </c>
      <c r="B45" s="2484">
        <v>0.03</v>
      </c>
      <c r="C45" s="2464" t="s">
        <v>633</v>
      </c>
      <c r="D45" s="2443"/>
      <c r="E45" s="2442"/>
      <c r="F45" s="2442"/>
      <c r="G45" s="2442"/>
      <c r="H45" s="2442"/>
      <c r="I45" s="2442"/>
      <c r="J45" s="2442"/>
      <c r="K45" s="2528"/>
      <c r="L45" s="2528"/>
      <c r="M45" s="1925"/>
      <c r="N45" s="1925"/>
      <c r="O45" s="1925"/>
      <c r="P45" s="1925"/>
      <c r="Q45" s="1925"/>
      <c r="R45" s="1925"/>
      <c r="S45" s="1925"/>
      <c r="T45" s="1925"/>
      <c r="U45" s="1925"/>
      <c r="V45" s="1925"/>
      <c r="W45" s="1925"/>
      <c r="X45" s="1925"/>
      <c r="Y45" s="1925"/>
      <c r="Z45" s="1925"/>
      <c r="AA45" s="1925"/>
      <c r="AB45" s="1925"/>
      <c r="AC45" s="1925"/>
      <c r="AD45" s="1925"/>
      <c r="AE45" s="1925"/>
      <c r="AF45" s="1925"/>
      <c r="AG45" s="1925"/>
      <c r="AH45" s="1925"/>
      <c r="AI45" s="1925"/>
      <c r="AJ45" s="1925"/>
      <c r="AK45" s="1925"/>
      <c r="AL45" s="1925"/>
      <c r="AM45" s="1925"/>
      <c r="AN45" s="1925"/>
      <c r="AO45" s="1925"/>
      <c r="AP45" s="1925"/>
      <c r="AQ45" s="1925"/>
      <c r="AR45" s="1925"/>
    </row>
    <row r="46" spans="1:67" ht="14.25">
      <c r="A46" s="2487" t="s">
        <v>634</v>
      </c>
      <c r="B46" s="2484">
        <v>0.02</v>
      </c>
      <c r="C46" s="2464" t="s">
        <v>635</v>
      </c>
      <c r="D46" s="2443"/>
      <c r="E46" s="2442"/>
      <c r="F46" s="2442"/>
      <c r="G46" s="2442"/>
      <c r="H46" s="2442"/>
      <c r="I46" s="2442"/>
      <c r="J46" s="2442"/>
      <c r="K46" s="2528"/>
      <c r="L46" s="2528"/>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c r="AI46" s="1925"/>
      <c r="AJ46" s="1925"/>
      <c r="AK46" s="1925"/>
      <c r="AL46" s="1925"/>
      <c r="AM46" s="1925"/>
      <c r="AN46" s="1925"/>
      <c r="AO46" s="1925"/>
      <c r="AP46" s="1925"/>
      <c r="AQ46" s="1925"/>
      <c r="AR46" s="1925"/>
    </row>
    <row r="47" spans="1:67" ht="14.25">
      <c r="A47" s="2489" t="s">
        <v>636</v>
      </c>
      <c r="B47" s="2490"/>
      <c r="C47" s="2491" t="s">
        <v>637</v>
      </c>
      <c r="D47" s="2443"/>
      <c r="E47" s="2442"/>
      <c r="F47" s="2442"/>
      <c r="G47" s="2442"/>
      <c r="H47" s="2442"/>
      <c r="I47" s="2442"/>
      <c r="J47" s="2442"/>
      <c r="K47" s="2528"/>
      <c r="L47" s="2528"/>
      <c r="M47" s="1925"/>
      <c r="N47" s="1925"/>
      <c r="O47" s="1925"/>
      <c r="P47" s="1925"/>
      <c r="Q47" s="1925"/>
      <c r="R47" s="1925"/>
      <c r="S47" s="1925"/>
      <c r="T47" s="1925"/>
      <c r="U47" s="1925"/>
      <c r="V47" s="1925"/>
      <c r="W47" s="1925"/>
      <c r="X47" s="1925"/>
      <c r="Y47" s="1925"/>
      <c r="Z47" s="1925"/>
      <c r="AA47" s="1925"/>
      <c r="AB47" s="1925"/>
      <c r="AC47" s="1925"/>
      <c r="AD47" s="1925"/>
      <c r="AE47" s="1925"/>
      <c r="AF47" s="1925"/>
      <c r="AG47" s="1925"/>
      <c r="AH47" s="1925"/>
      <c r="AI47" s="1925"/>
      <c r="AJ47" s="1925"/>
      <c r="AK47" s="1925"/>
      <c r="AL47" s="1925"/>
      <c r="AM47" s="1925"/>
      <c r="AN47" s="1925"/>
      <c r="AO47" s="1925"/>
      <c r="AP47" s="1925"/>
      <c r="AQ47" s="1925"/>
      <c r="AR47" s="1925"/>
    </row>
    <row r="48" spans="1:67" ht="14.25">
      <c r="A48" s="2492" t="s">
        <v>638</v>
      </c>
      <c r="B48" s="2493">
        <v>0.03</v>
      </c>
      <c r="C48" s="2464" t="s">
        <v>633</v>
      </c>
      <c r="D48" s="2443"/>
      <c r="E48" s="2442"/>
      <c r="F48" s="2442"/>
      <c r="G48" s="2442"/>
      <c r="H48" s="2442"/>
      <c r="I48" s="2442"/>
      <c r="J48" s="2442"/>
      <c r="K48" s="2528"/>
      <c r="L48" s="2528"/>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5"/>
      <c r="AI48" s="1925"/>
      <c r="AJ48" s="1925"/>
      <c r="AK48" s="1925"/>
      <c r="AL48" s="1925"/>
      <c r="AM48" s="1925"/>
      <c r="AN48" s="1925"/>
      <c r="AO48" s="1925"/>
      <c r="AP48" s="1925"/>
      <c r="AQ48" s="1925"/>
      <c r="AR48" s="1925"/>
    </row>
    <row r="49" spans="1:44" ht="14.25">
      <c r="A49" s="2469" t="s">
        <v>639</v>
      </c>
      <c r="B49" s="2484">
        <v>5.0000000000000001E-4</v>
      </c>
      <c r="C49" s="2464" t="s">
        <v>640</v>
      </c>
      <c r="D49" s="2443"/>
      <c r="E49" s="2442"/>
      <c r="F49" s="2442"/>
      <c r="G49" s="2442"/>
      <c r="H49" s="2442"/>
      <c r="I49" s="2442"/>
      <c r="J49" s="2442"/>
      <c r="K49" s="2528"/>
      <c r="L49" s="2528"/>
      <c r="M49" s="1925"/>
      <c r="N49" s="1925"/>
      <c r="O49" s="1925"/>
      <c r="P49" s="1925"/>
      <c r="Q49" s="1925"/>
      <c r="R49" s="1925"/>
      <c r="S49" s="1925"/>
      <c r="T49" s="1925"/>
      <c r="U49" s="1925"/>
      <c r="V49" s="1925"/>
      <c r="W49" s="1925"/>
      <c r="X49" s="1925"/>
      <c r="Y49" s="1925"/>
      <c r="Z49" s="1925"/>
      <c r="AA49" s="1925"/>
      <c r="AB49" s="1925"/>
      <c r="AC49" s="1925"/>
      <c r="AD49" s="1925"/>
      <c r="AE49" s="1925"/>
      <c r="AF49" s="1925"/>
      <c r="AG49" s="1925"/>
      <c r="AH49" s="1925"/>
      <c r="AI49" s="1925"/>
      <c r="AJ49" s="1925"/>
      <c r="AK49" s="1925"/>
      <c r="AL49" s="1925"/>
      <c r="AM49" s="1925"/>
      <c r="AN49" s="1925"/>
      <c r="AO49" s="1925"/>
      <c r="AP49" s="1925"/>
      <c r="AQ49" s="1925"/>
      <c r="AR49" s="1925"/>
    </row>
    <row r="50" spans="1:44" ht="14.25">
      <c r="A50" s="2494" t="s">
        <v>641</v>
      </c>
      <c r="B50" s="2495">
        <v>1.2E-2</v>
      </c>
      <c r="C50" s="1218"/>
      <c r="D50" s="2443"/>
      <c r="E50" s="2442"/>
      <c r="F50" s="2442"/>
      <c r="G50" s="2442"/>
      <c r="H50" s="2442"/>
      <c r="I50" s="2442"/>
      <c r="J50" s="2442"/>
      <c r="K50" s="2528"/>
      <c r="L50" s="2528"/>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5"/>
      <c r="AK50" s="1925"/>
      <c r="AL50" s="1925"/>
      <c r="AM50" s="1925"/>
      <c r="AN50" s="1925"/>
      <c r="AO50" s="1925"/>
      <c r="AP50" s="1925"/>
      <c r="AQ50" s="1925"/>
      <c r="AR50" s="1925"/>
    </row>
    <row r="51" spans="1:44" ht="14.25">
      <c r="A51" s="2463" t="s">
        <v>642</v>
      </c>
      <c r="B51" s="2496">
        <v>0.12</v>
      </c>
      <c r="C51" s="1218"/>
      <c r="D51" s="2443"/>
      <c r="E51" s="2442"/>
      <c r="F51" s="2442"/>
      <c r="G51" s="2442"/>
      <c r="H51" s="2442"/>
      <c r="I51" s="2442"/>
      <c r="J51" s="2442"/>
      <c r="K51" s="2528"/>
      <c r="L51" s="2528"/>
      <c r="M51" s="1925"/>
      <c r="N51" s="1925"/>
      <c r="O51" s="1925"/>
      <c r="P51" s="1925"/>
      <c r="Q51" s="1925"/>
      <c r="R51" s="1925"/>
      <c r="S51" s="1925"/>
      <c r="T51" s="1925"/>
      <c r="U51" s="1925"/>
      <c r="V51" s="1925"/>
      <c r="W51" s="1925"/>
      <c r="X51" s="1925"/>
      <c r="Y51" s="1925"/>
      <c r="Z51" s="1925"/>
      <c r="AA51" s="1925"/>
      <c r="AB51" s="1925"/>
      <c r="AC51" s="1925"/>
      <c r="AD51" s="1925"/>
      <c r="AE51" s="1925"/>
      <c r="AF51" s="1925"/>
      <c r="AG51" s="1925"/>
      <c r="AH51" s="1925"/>
      <c r="AI51" s="1925"/>
      <c r="AJ51" s="1925"/>
      <c r="AK51" s="1925"/>
      <c r="AL51" s="1925"/>
      <c r="AM51" s="1925"/>
      <c r="AN51" s="1925"/>
      <c r="AO51" s="1925"/>
      <c r="AP51" s="1925"/>
      <c r="AQ51" s="1925"/>
      <c r="AR51" s="1925"/>
    </row>
    <row r="52" spans="1:44" ht="14.25">
      <c r="A52" s="2494" t="s">
        <v>643</v>
      </c>
      <c r="B52" s="2497">
        <f>SUMIF(A54:A63,B53,B54:B63)</f>
        <v>12</v>
      </c>
      <c r="C52" s="1218"/>
      <c r="D52" s="2443"/>
      <c r="E52" s="2442"/>
      <c r="F52" s="2442"/>
      <c r="G52" s="2442"/>
      <c r="H52" s="2442"/>
      <c r="I52" s="2442"/>
      <c r="J52" s="2442"/>
      <c r="K52" s="2528"/>
      <c r="L52" s="2528"/>
      <c r="M52" s="1925"/>
      <c r="N52" s="1925"/>
      <c r="O52" s="1925"/>
      <c r="P52" s="1925"/>
      <c r="Q52" s="1925"/>
      <c r="R52" s="1925"/>
      <c r="S52" s="1925"/>
      <c r="T52" s="1925"/>
      <c r="U52" s="1925"/>
      <c r="V52" s="1925"/>
      <c r="W52" s="1925"/>
      <c r="X52" s="1925"/>
      <c r="Y52" s="1925"/>
      <c r="Z52" s="1925"/>
      <c r="AA52" s="1925"/>
      <c r="AB52" s="1925"/>
      <c r="AC52" s="1925"/>
      <c r="AD52" s="1925"/>
      <c r="AE52" s="1925"/>
      <c r="AF52" s="1925"/>
      <c r="AG52" s="1925"/>
      <c r="AH52" s="1925"/>
      <c r="AI52" s="1925"/>
      <c r="AJ52" s="1925"/>
      <c r="AK52" s="1925"/>
      <c r="AL52" s="1925"/>
      <c r="AM52" s="1925"/>
      <c r="AN52" s="1925"/>
      <c r="AO52" s="1925"/>
      <c r="AP52" s="1925"/>
      <c r="AQ52" s="1925"/>
      <c r="AR52" s="1925"/>
    </row>
    <row r="53" spans="1:44" ht="27">
      <c r="A53" s="2460" t="s">
        <v>644</v>
      </c>
      <c r="B53" s="2498" t="s">
        <v>261</v>
      </c>
      <c r="C53" s="1218" t="s">
        <v>645</v>
      </c>
      <c r="D53" s="2499" t="s">
        <v>646</v>
      </c>
      <c r="E53" s="2442"/>
      <c r="F53" s="2442"/>
      <c r="G53" s="2442"/>
      <c r="H53" s="2442"/>
      <c r="I53" s="2442"/>
      <c r="J53" s="2442"/>
      <c r="K53" s="2528"/>
      <c r="L53" s="2528"/>
      <c r="M53" s="1925"/>
      <c r="N53" s="1925"/>
      <c r="O53" s="1925"/>
      <c r="P53" s="1925"/>
      <c r="Q53" s="1925"/>
      <c r="R53" s="1925"/>
      <c r="S53" s="1925"/>
      <c r="T53" s="1925"/>
      <c r="U53" s="1925"/>
      <c r="V53" s="1925"/>
      <c r="W53" s="1925"/>
      <c r="X53" s="1925"/>
      <c r="Y53" s="1925"/>
      <c r="Z53" s="1925"/>
      <c r="AA53" s="1925"/>
      <c r="AB53" s="1925"/>
      <c r="AC53" s="1925"/>
      <c r="AD53" s="1925"/>
      <c r="AE53" s="1925"/>
      <c r="AF53" s="1925"/>
      <c r="AG53" s="1925"/>
      <c r="AH53" s="1925"/>
      <c r="AI53" s="1925"/>
      <c r="AJ53" s="1925"/>
      <c r="AK53" s="1925"/>
      <c r="AL53" s="1925"/>
      <c r="AM53" s="1925"/>
      <c r="AN53" s="1925"/>
      <c r="AO53" s="1925"/>
      <c r="AP53" s="1925"/>
      <c r="AQ53" s="1925"/>
      <c r="AR53" s="1925"/>
    </row>
    <row r="54" spans="1:44" ht="14.25">
      <c r="A54" s="2500" t="s">
        <v>647</v>
      </c>
      <c r="B54" s="2501"/>
      <c r="C54" s="1218">
        <v>30</v>
      </c>
      <c r="D54" s="2443"/>
      <c r="E54" s="2442"/>
      <c r="F54" s="2442"/>
      <c r="G54" s="2442"/>
      <c r="H54" s="2442"/>
      <c r="I54" s="2442"/>
      <c r="J54" s="2442"/>
      <c r="K54" s="2528"/>
      <c r="L54" s="2528"/>
      <c r="M54" s="1925"/>
      <c r="N54" s="1925"/>
      <c r="O54" s="1925"/>
      <c r="P54" s="1925"/>
      <c r="Q54" s="1925"/>
      <c r="R54" s="1925"/>
      <c r="S54" s="1925"/>
      <c r="T54" s="1925"/>
      <c r="U54" s="1925"/>
      <c r="V54" s="1925"/>
      <c r="W54" s="1925"/>
      <c r="X54" s="1925"/>
      <c r="Y54" s="1925"/>
      <c r="Z54" s="1925"/>
      <c r="AA54" s="1925"/>
      <c r="AB54" s="1925"/>
      <c r="AC54" s="1925"/>
      <c r="AD54" s="1925"/>
      <c r="AE54" s="1925"/>
      <c r="AF54" s="1925"/>
      <c r="AG54" s="1925"/>
      <c r="AH54" s="1925"/>
      <c r="AI54" s="1925"/>
      <c r="AJ54" s="1925"/>
      <c r="AK54" s="1925"/>
      <c r="AL54" s="1925"/>
      <c r="AM54" s="1925"/>
      <c r="AN54" s="1925"/>
      <c r="AO54" s="1925"/>
      <c r="AP54" s="1925"/>
      <c r="AQ54" s="1925"/>
      <c r="AR54" s="1925"/>
    </row>
    <row r="55" spans="1:44" ht="14.25">
      <c r="A55" s="2500" t="s">
        <v>648</v>
      </c>
      <c r="B55" s="2501"/>
      <c r="C55" s="1218">
        <v>24</v>
      </c>
      <c r="D55" s="2443"/>
      <c r="E55" s="2442"/>
      <c r="F55" s="2442"/>
      <c r="G55" s="2442"/>
      <c r="H55" s="2442"/>
      <c r="I55" s="2530"/>
      <c r="J55" s="2442"/>
      <c r="K55" s="2528"/>
      <c r="L55" s="2528"/>
      <c r="M55" s="1925"/>
      <c r="N55" s="1925"/>
      <c r="O55" s="1925"/>
      <c r="P55" s="1925"/>
      <c r="Q55" s="1925"/>
      <c r="R55" s="1925"/>
      <c r="S55" s="1925"/>
      <c r="T55" s="1925"/>
      <c r="U55" s="1925"/>
      <c r="V55" s="1925"/>
      <c r="W55" s="1925"/>
      <c r="X55" s="1925"/>
      <c r="Y55" s="1925"/>
      <c r="Z55" s="1925"/>
      <c r="AA55" s="1925"/>
      <c r="AB55" s="1925"/>
      <c r="AC55" s="1925"/>
      <c r="AD55" s="1925"/>
      <c r="AE55" s="1925"/>
      <c r="AF55" s="1925"/>
      <c r="AG55" s="1925"/>
      <c r="AH55" s="1925"/>
      <c r="AI55" s="1925"/>
      <c r="AJ55" s="1925"/>
      <c r="AK55" s="1925"/>
      <c r="AL55" s="1925"/>
      <c r="AM55" s="1925"/>
      <c r="AN55" s="1925"/>
      <c r="AO55" s="1925"/>
      <c r="AP55" s="1925"/>
      <c r="AQ55" s="1925"/>
      <c r="AR55" s="1925"/>
    </row>
    <row r="56" spans="1:44" ht="14.25">
      <c r="A56" s="2500" t="s">
        <v>649</v>
      </c>
      <c r="B56" s="2501"/>
      <c r="C56" s="1218">
        <v>18</v>
      </c>
      <c r="D56" s="2443"/>
      <c r="E56" s="2442"/>
      <c r="F56" s="2442"/>
      <c r="G56" s="2442"/>
      <c r="H56" s="2442"/>
      <c r="I56" s="2442"/>
      <c r="J56" s="2442"/>
      <c r="K56" s="2528"/>
      <c r="L56" s="2528"/>
      <c r="M56" s="1925"/>
      <c r="N56" s="1925"/>
      <c r="O56" s="1925"/>
      <c r="P56" s="1925"/>
      <c r="Q56" s="1925"/>
      <c r="R56" s="1925"/>
      <c r="S56" s="1925"/>
      <c r="T56" s="1925"/>
      <c r="U56" s="1925"/>
      <c r="V56" s="1925"/>
      <c r="W56" s="1925"/>
      <c r="X56" s="1925"/>
      <c r="Y56" s="1925"/>
      <c r="Z56" s="1925"/>
      <c r="AA56" s="1925"/>
      <c r="AB56" s="1925"/>
      <c r="AC56" s="1925"/>
      <c r="AD56" s="1925"/>
      <c r="AE56" s="1925"/>
      <c r="AF56" s="1925"/>
      <c r="AG56" s="1925"/>
      <c r="AH56" s="1925"/>
      <c r="AI56" s="1925"/>
      <c r="AJ56" s="1925"/>
      <c r="AK56" s="1925"/>
      <c r="AL56" s="1925"/>
      <c r="AM56" s="1925"/>
      <c r="AN56" s="1925"/>
      <c r="AO56" s="1925"/>
      <c r="AP56" s="1925"/>
      <c r="AQ56" s="1925"/>
      <c r="AR56" s="1925"/>
    </row>
    <row r="57" spans="1:44" ht="14.25">
      <c r="A57" s="2500" t="s">
        <v>650</v>
      </c>
      <c r="B57" s="2501">
        <v>12</v>
      </c>
      <c r="C57" s="1218">
        <v>12</v>
      </c>
      <c r="D57" s="2443"/>
      <c r="E57" s="2442"/>
      <c r="F57" s="2442"/>
      <c r="G57" s="2442"/>
      <c r="H57" s="2442"/>
      <c r="I57" s="2442"/>
      <c r="J57" s="2442"/>
      <c r="K57" s="2528"/>
      <c r="L57" s="2528"/>
      <c r="M57" s="1925"/>
      <c r="N57" s="1925"/>
      <c r="O57" s="1925"/>
      <c r="P57" s="1925"/>
      <c r="Q57" s="1925"/>
      <c r="R57" s="1925"/>
      <c r="S57" s="1925"/>
      <c r="T57" s="1925"/>
      <c r="U57" s="1925"/>
      <c r="V57" s="1925"/>
      <c r="W57" s="1925"/>
      <c r="X57" s="1925"/>
      <c r="Y57" s="1925"/>
      <c r="Z57" s="1925"/>
      <c r="AA57" s="1925"/>
      <c r="AB57" s="1925"/>
      <c r="AC57" s="1925"/>
      <c r="AD57" s="1925"/>
      <c r="AE57" s="1925"/>
      <c r="AF57" s="1925"/>
      <c r="AG57" s="1925"/>
      <c r="AH57" s="1925"/>
      <c r="AI57" s="1925"/>
      <c r="AJ57" s="1925"/>
      <c r="AK57" s="1925"/>
      <c r="AL57" s="1925"/>
      <c r="AM57" s="1925"/>
      <c r="AN57" s="1925"/>
      <c r="AO57" s="1925"/>
      <c r="AP57" s="1925"/>
      <c r="AQ57" s="1925"/>
      <c r="AR57" s="1925"/>
    </row>
    <row r="58" spans="1:44" ht="14.25">
      <c r="A58" s="2500" t="s">
        <v>651</v>
      </c>
      <c r="B58" s="2501"/>
      <c r="C58" s="1218">
        <v>3</v>
      </c>
      <c r="D58" s="2443"/>
      <c r="E58" s="2442"/>
      <c r="F58" s="2442"/>
      <c r="G58" s="2442"/>
      <c r="H58" s="2442"/>
      <c r="I58" s="2442"/>
      <c r="J58" s="2442"/>
      <c r="K58" s="2528"/>
      <c r="L58" s="2528"/>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c r="AI58" s="1925"/>
      <c r="AJ58" s="1925"/>
      <c r="AK58" s="1925"/>
      <c r="AL58" s="1925"/>
      <c r="AM58" s="1925"/>
      <c r="AN58" s="1925"/>
      <c r="AO58" s="1925"/>
      <c r="AP58" s="1925"/>
      <c r="AQ58" s="1925"/>
      <c r="AR58" s="1925"/>
    </row>
    <row r="59" spans="1:44" ht="14.25">
      <c r="A59" s="2500" t="s">
        <v>652</v>
      </c>
      <c r="B59" s="2501"/>
      <c r="C59" s="1218">
        <v>1.5</v>
      </c>
      <c r="D59" s="2443"/>
      <c r="E59" s="2442"/>
      <c r="F59" s="2442"/>
      <c r="G59" s="2442"/>
      <c r="H59" s="2442"/>
      <c r="I59" s="2442"/>
      <c r="J59" s="2442"/>
      <c r="K59" s="2528"/>
      <c r="L59" s="2528"/>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row>
    <row r="60" spans="1:44" ht="14.25">
      <c r="A60" s="2500" t="s">
        <v>653</v>
      </c>
      <c r="B60" s="2501"/>
      <c r="C60" s="2442"/>
      <c r="D60" s="2443"/>
      <c r="E60" s="2442"/>
      <c r="F60" s="2442"/>
      <c r="G60" s="2442"/>
      <c r="H60" s="2442"/>
      <c r="I60" s="2442"/>
      <c r="J60" s="2442"/>
      <c r="K60" s="2528"/>
      <c r="L60" s="2528"/>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row>
    <row r="61" spans="1:44" ht="14.25">
      <c r="A61" s="2500" t="s">
        <v>654</v>
      </c>
      <c r="B61" s="2501"/>
      <c r="C61" s="2442"/>
      <c r="D61" s="2443"/>
      <c r="E61" s="2442"/>
      <c r="F61" s="2442"/>
      <c r="G61" s="2442"/>
      <c r="H61" s="2442"/>
      <c r="I61" s="2442"/>
      <c r="J61" s="2442"/>
      <c r="K61" s="2528"/>
      <c r="L61" s="2528"/>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row>
    <row r="62" spans="1:44" ht="14.25">
      <c r="A62" s="2500" t="s">
        <v>655</v>
      </c>
      <c r="B62" s="2501"/>
      <c r="C62" s="2442"/>
      <c r="D62" s="2443"/>
      <c r="E62" s="2442"/>
      <c r="F62" s="2442"/>
      <c r="G62" s="2442"/>
      <c r="H62" s="2442"/>
      <c r="I62" s="2442"/>
      <c r="J62" s="2442"/>
      <c r="K62" s="2528"/>
      <c r="L62" s="2528"/>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row>
    <row r="63" spans="1:44" ht="14.25">
      <c r="A63" s="2502" t="s">
        <v>656</v>
      </c>
      <c r="B63" s="2503"/>
      <c r="C63" s="2442"/>
      <c r="D63" s="2443"/>
      <c r="E63" s="2442"/>
      <c r="F63" s="2442"/>
      <c r="G63" s="2442"/>
      <c r="H63" s="2442"/>
      <c r="I63" s="2442"/>
      <c r="J63" s="2442"/>
      <c r="K63" s="2528"/>
      <c r="L63" s="2528"/>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row>
    <row r="64" spans="1:44" s="1998" customFormat="1">
      <c r="A64" s="2504"/>
      <c r="B64" s="1925"/>
      <c r="C64" s="1925"/>
      <c r="D64" s="2440"/>
      <c r="E64" s="1925"/>
      <c r="F64" s="1925"/>
      <c r="G64" s="1925"/>
      <c r="H64" s="1925"/>
      <c r="I64" s="1925"/>
      <c r="J64" s="1925"/>
      <c r="K64" s="2528"/>
      <c r="L64" s="2528"/>
      <c r="M64" s="1925"/>
      <c r="N64" s="1925"/>
      <c r="O64" s="1925"/>
      <c r="P64" s="1925"/>
      <c r="Q64" s="1925"/>
      <c r="R64" s="1925"/>
      <c r="S64" s="1925"/>
      <c r="T64" s="1925"/>
      <c r="U64" s="1925"/>
      <c r="V64" s="1925"/>
      <c r="W64" s="1925"/>
      <c r="X64" s="1925"/>
      <c r="Y64" s="1925"/>
      <c r="Z64" s="1925"/>
      <c r="AA64" s="1925"/>
      <c r="AB64" s="1925"/>
      <c r="AC64" s="1925"/>
      <c r="AD64" s="1925"/>
      <c r="AE64" s="1925"/>
      <c r="AF64" s="1925"/>
      <c r="AG64" s="1925"/>
      <c r="AH64" s="1925"/>
      <c r="AI64" s="1925"/>
      <c r="AJ64" s="1925"/>
      <c r="AK64" s="1925"/>
      <c r="AL64" s="1925"/>
      <c r="AM64" s="1925"/>
      <c r="AN64" s="1925"/>
      <c r="AO64" s="1925"/>
      <c r="AP64" s="1925"/>
      <c r="AQ64" s="1925"/>
      <c r="AR64" s="1925"/>
    </row>
    <row r="65" spans="1:44" s="1998" customFormat="1">
      <c r="A65" s="2504"/>
      <c r="B65" s="1925"/>
      <c r="C65" s="1925"/>
      <c r="D65" s="2440"/>
      <c r="E65" s="1925"/>
      <c r="F65" s="1925"/>
      <c r="G65" s="1925"/>
      <c r="H65" s="1925"/>
      <c r="I65" s="1925"/>
      <c r="J65" s="1925"/>
      <c r="K65" s="2528"/>
      <c r="L65" s="2528"/>
      <c r="M65" s="1925"/>
      <c r="N65" s="1925"/>
      <c r="O65" s="1925"/>
      <c r="P65" s="1925"/>
      <c r="Q65" s="1925"/>
      <c r="R65" s="1925"/>
      <c r="S65" s="1925"/>
      <c r="T65" s="1925"/>
      <c r="U65" s="1925"/>
      <c r="V65" s="1925"/>
      <c r="W65" s="1925"/>
      <c r="X65" s="1925"/>
      <c r="Y65" s="1925"/>
      <c r="Z65" s="1925"/>
      <c r="AA65" s="1925"/>
      <c r="AB65" s="1925"/>
      <c r="AC65" s="1925"/>
      <c r="AD65" s="1925"/>
      <c r="AE65" s="1925"/>
      <c r="AF65" s="1925"/>
      <c r="AG65" s="1925"/>
      <c r="AH65" s="1925"/>
      <c r="AI65" s="1925"/>
      <c r="AJ65" s="1925"/>
      <c r="AK65" s="1925"/>
      <c r="AL65" s="1925"/>
      <c r="AM65" s="1925"/>
      <c r="AN65" s="1925"/>
      <c r="AO65" s="1925"/>
      <c r="AP65" s="1925"/>
      <c r="AQ65" s="1925"/>
      <c r="AR65" s="1925"/>
    </row>
    <row r="66" spans="1:44" s="1998" customFormat="1">
      <c r="A66" s="2504"/>
      <c r="B66" s="1925"/>
      <c r="C66" s="1925"/>
      <c r="D66" s="2440"/>
      <c r="E66" s="1925"/>
      <c r="F66" s="1925"/>
      <c r="G66" s="1925"/>
      <c r="H66" s="1925"/>
      <c r="I66" s="1925"/>
      <c r="J66" s="1925"/>
      <c r="K66" s="2528"/>
      <c r="L66" s="2528"/>
      <c r="M66" s="1925"/>
      <c r="N66" s="1925"/>
      <c r="O66" s="1925"/>
      <c r="P66" s="1925"/>
      <c r="Q66" s="1925"/>
      <c r="R66" s="1925"/>
      <c r="S66" s="1925"/>
      <c r="T66" s="1925"/>
      <c r="U66" s="1925"/>
      <c r="V66" s="1925"/>
      <c r="W66" s="1925"/>
      <c r="X66" s="1925"/>
      <c r="Y66" s="1925"/>
      <c r="Z66" s="1925"/>
      <c r="AA66" s="1925"/>
      <c r="AB66" s="1925"/>
      <c r="AC66" s="1925"/>
      <c r="AD66" s="1925"/>
      <c r="AE66" s="1925"/>
      <c r="AF66" s="1925"/>
      <c r="AG66" s="1925"/>
      <c r="AH66" s="1925"/>
      <c r="AI66" s="1925"/>
      <c r="AJ66" s="1925"/>
      <c r="AK66" s="1925"/>
      <c r="AL66" s="1925"/>
      <c r="AM66" s="1925"/>
      <c r="AN66" s="1925"/>
      <c r="AO66" s="1925"/>
      <c r="AP66" s="1925"/>
      <c r="AQ66" s="1925"/>
      <c r="AR66" s="1925"/>
    </row>
    <row r="67" spans="1:44" s="1998" customFormat="1">
      <c r="A67" s="2504"/>
      <c r="B67" s="1925"/>
      <c r="C67" s="1925"/>
      <c r="D67" s="2440"/>
      <c r="E67" s="1925"/>
      <c r="F67" s="1925"/>
      <c r="G67" s="1925"/>
      <c r="H67" s="1925"/>
      <c r="I67" s="1925"/>
      <c r="J67" s="1925"/>
      <c r="K67" s="2528"/>
      <c r="L67" s="2528"/>
      <c r="M67" s="1925"/>
      <c r="N67" s="1925"/>
      <c r="O67" s="1925"/>
      <c r="P67" s="1925"/>
      <c r="Q67" s="1925"/>
      <c r="R67" s="1925"/>
      <c r="S67" s="1925"/>
      <c r="T67" s="1925"/>
      <c r="U67" s="1925"/>
      <c r="V67" s="1925"/>
      <c r="W67" s="1925"/>
      <c r="X67" s="1925"/>
      <c r="Y67" s="1925"/>
      <c r="Z67" s="1925"/>
      <c r="AA67" s="1925"/>
      <c r="AB67" s="1925"/>
      <c r="AC67" s="1925"/>
      <c r="AD67" s="1925"/>
      <c r="AE67" s="1925"/>
      <c r="AF67" s="1925"/>
      <c r="AG67" s="1925"/>
      <c r="AH67" s="1925"/>
      <c r="AI67" s="1925"/>
      <c r="AJ67" s="1925"/>
      <c r="AK67" s="1925"/>
      <c r="AL67" s="1925"/>
      <c r="AM67" s="1925"/>
      <c r="AN67" s="1925"/>
      <c r="AO67" s="1925"/>
      <c r="AP67" s="1925"/>
      <c r="AQ67" s="1925"/>
      <c r="AR67" s="1925"/>
    </row>
    <row r="68" spans="1:44" s="1998" customFormat="1">
      <c r="A68" s="2504"/>
      <c r="B68" s="1925"/>
      <c r="C68" s="1925"/>
      <c r="D68" s="2440"/>
      <c r="E68" s="1925"/>
      <c r="F68" s="1925"/>
      <c r="G68" s="1925"/>
      <c r="H68" s="1925"/>
      <c r="I68" s="1925"/>
      <c r="J68" s="1925"/>
      <c r="K68" s="2528"/>
      <c r="L68" s="2528"/>
      <c r="M68" s="1925"/>
      <c r="N68" s="1925"/>
      <c r="O68" s="1925"/>
      <c r="P68" s="1925"/>
      <c r="Q68" s="1925"/>
      <c r="R68" s="1925"/>
      <c r="S68" s="1925"/>
      <c r="T68" s="1925"/>
      <c r="U68" s="1925"/>
      <c r="V68" s="1925"/>
      <c r="W68" s="1925"/>
      <c r="X68" s="1925"/>
      <c r="Y68" s="1925"/>
      <c r="Z68" s="1925"/>
      <c r="AA68" s="1925"/>
      <c r="AB68" s="1925"/>
      <c r="AC68" s="1925"/>
      <c r="AD68" s="1925"/>
      <c r="AE68" s="1925"/>
      <c r="AF68" s="1925"/>
      <c r="AG68" s="1925"/>
      <c r="AH68" s="1925"/>
      <c r="AI68" s="1925"/>
      <c r="AJ68" s="1925"/>
      <c r="AK68" s="1925"/>
      <c r="AL68" s="1925"/>
      <c r="AM68" s="1925"/>
      <c r="AN68" s="1925"/>
      <c r="AO68" s="1925"/>
      <c r="AP68" s="1925"/>
      <c r="AQ68" s="1925"/>
      <c r="AR68" s="1925"/>
    </row>
    <row r="69" spans="1:44" s="1998" customFormat="1">
      <c r="A69" s="2307"/>
      <c r="D69" s="2594"/>
      <c r="K69" s="330"/>
      <c r="L69" s="330"/>
    </row>
    <row r="70" spans="1:44" s="1998" customFormat="1">
      <c r="A70" s="2307"/>
      <c r="D70" s="2594"/>
      <c r="K70" s="330"/>
      <c r="L70" s="330"/>
    </row>
    <row r="71" spans="1:44" s="1998" customFormat="1">
      <c r="A71" s="2307"/>
      <c r="D71" s="2594"/>
      <c r="K71" s="330"/>
      <c r="L71" s="330"/>
    </row>
    <row r="72" spans="1:44" s="1998" customFormat="1">
      <c r="A72" s="2307"/>
      <c r="D72" s="2594"/>
      <c r="K72" s="330"/>
      <c r="L72" s="330"/>
    </row>
    <row r="73" spans="1:44" s="1998" customFormat="1">
      <c r="A73" s="2307"/>
      <c r="D73" s="2594"/>
      <c r="K73" s="330"/>
      <c r="L73" s="330"/>
    </row>
    <row r="74" spans="1:44" s="1998" customFormat="1">
      <c r="A74" s="2307"/>
      <c r="D74" s="2594"/>
      <c r="K74" s="330"/>
      <c r="L74" s="330"/>
    </row>
    <row r="75" spans="1:44" s="1998" customFormat="1">
      <c r="A75" s="2307"/>
      <c r="D75" s="2594"/>
      <c r="K75" s="330"/>
      <c r="L75" s="330"/>
    </row>
    <row r="76" spans="1:44" s="1998" customFormat="1">
      <c r="A76" s="2307"/>
      <c r="D76" s="2594"/>
      <c r="K76" s="330"/>
      <c r="L76" s="330"/>
    </row>
    <row r="77" spans="1:44" s="1998" customFormat="1">
      <c r="A77" s="2307"/>
      <c r="D77" s="2594"/>
      <c r="K77" s="330"/>
      <c r="L77" s="330"/>
    </row>
    <row r="78" spans="1:44" s="1998" customFormat="1">
      <c r="A78" s="2307"/>
      <c r="D78" s="2594"/>
      <c r="K78" s="330"/>
      <c r="L78" s="330"/>
    </row>
    <row r="79" spans="1:44" s="1998" customFormat="1">
      <c r="A79" s="2307"/>
      <c r="D79" s="2594"/>
      <c r="K79" s="330"/>
      <c r="L79" s="330"/>
    </row>
    <row r="80" spans="1:44" s="1998" customFormat="1">
      <c r="A80" s="2307"/>
      <c r="D80" s="2594"/>
      <c r="K80" s="330"/>
      <c r="L80" s="330"/>
    </row>
    <row r="81" spans="1:12" s="1998" customFormat="1">
      <c r="A81" s="2307"/>
      <c r="D81" s="2594"/>
      <c r="K81" s="330"/>
      <c r="L81" s="330"/>
    </row>
    <row r="82" spans="1:12" s="1998" customFormat="1">
      <c r="A82" s="2307"/>
      <c r="D82" s="2594"/>
      <c r="K82" s="330"/>
      <c r="L82" s="330"/>
    </row>
    <row r="83" spans="1:12" s="1998" customFormat="1">
      <c r="A83" s="2307"/>
      <c r="D83" s="2594"/>
      <c r="K83" s="330"/>
      <c r="L83" s="330"/>
    </row>
    <row r="84" spans="1:12" s="1998" customFormat="1">
      <c r="A84" s="2307"/>
      <c r="D84" s="2594"/>
      <c r="K84" s="330"/>
      <c r="L84" s="330"/>
    </row>
    <row r="85" spans="1:12" s="1998" customFormat="1">
      <c r="A85" s="2307"/>
      <c r="D85" s="2594"/>
      <c r="K85" s="330"/>
      <c r="L85" s="330"/>
    </row>
    <row r="86" spans="1:12" s="1998" customFormat="1">
      <c r="A86" s="2307"/>
      <c r="D86" s="2594"/>
      <c r="K86" s="330"/>
      <c r="L86" s="330"/>
    </row>
    <row r="87" spans="1:12" s="1998" customFormat="1">
      <c r="A87" s="2307"/>
      <c r="D87" s="2594"/>
      <c r="K87" s="330"/>
      <c r="L87" s="330"/>
    </row>
    <row r="88" spans="1:12" s="1998" customFormat="1">
      <c r="A88" s="2307"/>
      <c r="D88" s="2594"/>
      <c r="K88" s="330"/>
      <c r="L88" s="330"/>
    </row>
    <row r="89" spans="1:12" s="1998" customFormat="1">
      <c r="A89" s="2307"/>
      <c r="D89" s="2594"/>
      <c r="K89" s="330"/>
      <c r="L89" s="330"/>
    </row>
    <row r="90" spans="1:12" s="1998" customFormat="1">
      <c r="A90" s="2307"/>
      <c r="D90" s="2594"/>
      <c r="K90" s="330"/>
      <c r="L90" s="330"/>
    </row>
    <row r="91" spans="1:12" s="1998" customFormat="1">
      <c r="A91" s="2307"/>
      <c r="D91" s="2594"/>
      <c r="K91" s="330"/>
      <c r="L91" s="330"/>
    </row>
    <row r="92" spans="1:12" s="1998" customFormat="1">
      <c r="A92" s="2307"/>
      <c r="D92" s="2594"/>
      <c r="K92" s="330"/>
      <c r="L92" s="330"/>
    </row>
    <row r="93" spans="1:12" s="1998" customFormat="1">
      <c r="A93" s="2307"/>
      <c r="D93" s="2594"/>
      <c r="K93" s="330"/>
      <c r="L93" s="330"/>
    </row>
    <row r="94" spans="1:12" s="1998" customFormat="1">
      <c r="A94" s="2307"/>
      <c r="D94" s="2594"/>
      <c r="K94" s="330"/>
      <c r="L94" s="330"/>
    </row>
    <row r="95" spans="1:12" s="1998" customFormat="1">
      <c r="A95" s="2307"/>
      <c r="D95" s="2594"/>
      <c r="K95" s="330"/>
      <c r="L95" s="330"/>
    </row>
    <row r="96" spans="1:12" s="1998" customFormat="1">
      <c r="A96" s="2307"/>
      <c r="D96" s="2594"/>
      <c r="K96" s="330"/>
      <c r="L96" s="330"/>
    </row>
    <row r="97" spans="1:12" s="1998" customFormat="1">
      <c r="A97" s="2307"/>
      <c r="D97" s="2594"/>
      <c r="K97" s="330"/>
      <c r="L97" s="330"/>
    </row>
    <row r="98" spans="1:12" s="1998" customFormat="1">
      <c r="A98" s="2307"/>
      <c r="D98" s="2594"/>
      <c r="K98" s="330"/>
      <c r="L98" s="330"/>
    </row>
    <row r="99" spans="1:12" s="1998" customFormat="1">
      <c r="A99" s="2307"/>
      <c r="D99" s="2594"/>
      <c r="K99" s="330"/>
      <c r="L99" s="330"/>
    </row>
    <row r="100" spans="1:12" s="1998" customFormat="1">
      <c r="A100" s="2307"/>
      <c r="D100" s="2594"/>
      <c r="K100" s="330"/>
      <c r="L100" s="330"/>
    </row>
    <row r="101" spans="1:12" s="1998" customFormat="1">
      <c r="A101" s="2307"/>
      <c r="D101" s="2594"/>
      <c r="K101" s="330"/>
      <c r="L101" s="330"/>
    </row>
    <row r="102" spans="1:12" s="1998" customFormat="1">
      <c r="A102" s="2307"/>
      <c r="D102" s="2594"/>
      <c r="K102" s="330"/>
      <c r="L102" s="330"/>
    </row>
    <row r="103" spans="1:12" s="1998" customFormat="1">
      <c r="A103" s="2307"/>
      <c r="D103" s="2594"/>
      <c r="K103" s="330"/>
      <c r="L103" s="330"/>
    </row>
    <row r="104" spans="1:12" s="1998" customFormat="1">
      <c r="A104" s="2307"/>
      <c r="D104" s="2594"/>
      <c r="K104" s="330"/>
      <c r="L104" s="330"/>
    </row>
    <row r="105" spans="1:12" s="1998" customFormat="1">
      <c r="A105" s="2307"/>
      <c r="D105" s="2594"/>
      <c r="K105" s="330"/>
      <c r="L105" s="330"/>
    </row>
    <row r="106" spans="1:12" s="1998" customFormat="1">
      <c r="A106" s="2307"/>
      <c r="D106" s="2594"/>
      <c r="K106" s="330"/>
      <c r="L106" s="330"/>
    </row>
    <row r="107" spans="1:12" s="1998" customFormat="1">
      <c r="A107" s="2307"/>
      <c r="D107" s="2594"/>
      <c r="K107" s="330"/>
      <c r="L107" s="330"/>
    </row>
    <row r="108" spans="1:12" s="1998" customFormat="1">
      <c r="A108" s="2307"/>
      <c r="D108" s="2594"/>
      <c r="K108" s="330"/>
      <c r="L108" s="330"/>
    </row>
    <row r="109" spans="1:12" s="1998" customFormat="1">
      <c r="A109" s="2307"/>
      <c r="D109" s="2594"/>
      <c r="K109" s="330"/>
      <c r="L109" s="330"/>
    </row>
    <row r="110" spans="1:12" s="1998" customFormat="1">
      <c r="A110" s="2307"/>
      <c r="D110" s="2594"/>
      <c r="K110" s="330"/>
      <c r="L110" s="330"/>
    </row>
    <row r="111" spans="1:12" s="1998" customFormat="1">
      <c r="A111" s="2307"/>
      <c r="D111" s="2594"/>
      <c r="K111" s="330"/>
      <c r="L111" s="330"/>
    </row>
    <row r="112" spans="1:12" s="1998" customFormat="1">
      <c r="A112" s="2307"/>
      <c r="D112" s="2594"/>
      <c r="K112" s="330"/>
      <c r="L112" s="330"/>
    </row>
    <row r="113" spans="1:12" s="1998" customFormat="1">
      <c r="A113" s="2307"/>
      <c r="D113" s="2594"/>
      <c r="K113" s="330"/>
      <c r="L113" s="330"/>
    </row>
    <row r="114" spans="1:12" s="1998" customFormat="1">
      <c r="A114" s="2307"/>
      <c r="D114" s="2594"/>
      <c r="K114" s="330"/>
      <c r="L114" s="330"/>
    </row>
    <row r="115" spans="1:12" s="1998" customFormat="1">
      <c r="A115" s="2307"/>
      <c r="D115" s="2594"/>
      <c r="K115" s="330"/>
      <c r="L115" s="330"/>
    </row>
    <row r="116" spans="1:12" s="1998" customFormat="1">
      <c r="A116" s="2307"/>
      <c r="D116" s="2594"/>
      <c r="K116" s="330"/>
      <c r="L116" s="330"/>
    </row>
    <row r="117" spans="1:12" s="1998" customFormat="1">
      <c r="A117" s="2307"/>
      <c r="D117" s="2594"/>
      <c r="K117" s="330"/>
      <c r="L117" s="330"/>
    </row>
    <row r="118" spans="1:12" s="1998" customFormat="1">
      <c r="A118" s="2307"/>
      <c r="D118" s="2594"/>
      <c r="K118" s="330"/>
      <c r="L118" s="330"/>
    </row>
    <row r="119" spans="1:12" s="1998" customFormat="1">
      <c r="A119" s="2307"/>
      <c r="D119" s="2594"/>
      <c r="K119" s="330"/>
      <c r="L119" s="330"/>
    </row>
    <row r="120" spans="1:12" s="1998" customFormat="1">
      <c r="A120" s="2307"/>
      <c r="D120" s="2594"/>
      <c r="K120" s="330"/>
      <c r="L120" s="330"/>
    </row>
    <row r="121" spans="1:12" s="1998" customFormat="1">
      <c r="A121" s="2307"/>
      <c r="D121" s="2594"/>
      <c r="K121" s="330"/>
      <c r="L121" s="330"/>
    </row>
    <row r="122" spans="1:12" s="1998" customFormat="1">
      <c r="A122" s="2307"/>
      <c r="D122" s="2594"/>
      <c r="K122" s="330"/>
      <c r="L122" s="330"/>
    </row>
    <row r="123" spans="1:12" s="1998" customFormat="1">
      <c r="A123" s="2307"/>
      <c r="D123" s="2594"/>
      <c r="K123" s="330"/>
      <c r="L123" s="330"/>
    </row>
    <row r="124" spans="1:12" s="1998" customFormat="1">
      <c r="A124" s="2307"/>
      <c r="D124" s="2594"/>
      <c r="K124" s="330"/>
      <c r="L124" s="330"/>
    </row>
    <row r="125" spans="1:12" s="1998" customFormat="1">
      <c r="A125" s="2307"/>
      <c r="D125" s="2594"/>
      <c r="K125" s="330"/>
      <c r="L125" s="330"/>
    </row>
    <row r="126" spans="1:12" s="1998" customFormat="1">
      <c r="A126" s="2307"/>
      <c r="D126" s="2594"/>
      <c r="K126" s="330"/>
      <c r="L126" s="330"/>
    </row>
    <row r="127" spans="1:12" s="1998" customFormat="1">
      <c r="A127" s="2307"/>
      <c r="D127" s="2594"/>
      <c r="K127" s="330"/>
      <c r="L127" s="330"/>
    </row>
    <row r="128" spans="1:12" s="1998" customFormat="1">
      <c r="A128" s="2307"/>
      <c r="D128" s="2594"/>
      <c r="K128" s="330"/>
      <c r="L128" s="330"/>
    </row>
    <row r="129" spans="1:12" s="1998" customFormat="1">
      <c r="A129" s="2307"/>
      <c r="D129" s="2594"/>
      <c r="K129" s="330"/>
      <c r="L129" s="330"/>
    </row>
    <row r="130" spans="1:12" s="1998" customFormat="1">
      <c r="A130" s="2307"/>
      <c r="D130" s="2594"/>
      <c r="K130" s="330"/>
      <c r="L130" s="330"/>
    </row>
    <row r="131" spans="1:12" s="1998" customFormat="1">
      <c r="A131" s="2307"/>
      <c r="D131" s="2594"/>
      <c r="K131" s="330"/>
      <c r="L131" s="330"/>
    </row>
    <row r="132" spans="1:12" s="1998" customFormat="1">
      <c r="A132" s="2307"/>
      <c r="D132" s="2594"/>
      <c r="K132" s="330"/>
      <c r="L132" s="330"/>
    </row>
    <row r="133" spans="1:12" s="1998" customFormat="1">
      <c r="A133" s="2307"/>
      <c r="D133" s="2594"/>
      <c r="K133" s="330"/>
      <c r="L133" s="330"/>
    </row>
    <row r="134" spans="1:12" s="2399" customFormat="1">
      <c r="A134" s="2595"/>
      <c r="D134" s="2596"/>
      <c r="K134" s="232"/>
      <c r="L134" s="232"/>
    </row>
    <row r="135" spans="1:12" s="2399" customFormat="1">
      <c r="A135" s="2595"/>
      <c r="D135" s="2596"/>
      <c r="K135" s="232"/>
      <c r="L135" s="232"/>
    </row>
    <row r="136" spans="1:12" s="2399" customFormat="1">
      <c r="A136" s="2595"/>
      <c r="D136" s="2596"/>
      <c r="K136" s="232"/>
      <c r="L136" s="232"/>
    </row>
    <row r="137" spans="1:12" s="2399" customFormat="1">
      <c r="A137" s="2595"/>
      <c r="D137" s="2596"/>
      <c r="K137" s="232"/>
      <c r="L137" s="232"/>
    </row>
    <row r="138" spans="1:12" s="2399" customFormat="1">
      <c r="A138" s="2595"/>
      <c r="D138" s="2596"/>
      <c r="K138" s="232"/>
      <c r="L138" s="232"/>
    </row>
    <row r="139" spans="1:12" s="2399" customFormat="1">
      <c r="A139" s="2595"/>
      <c r="D139" s="2596"/>
      <c r="K139" s="232"/>
      <c r="L139" s="232"/>
    </row>
    <row r="140" spans="1:12" s="2399" customFormat="1">
      <c r="A140" s="2595"/>
      <c r="D140" s="2596"/>
      <c r="K140" s="232"/>
      <c r="L140" s="232"/>
    </row>
    <row r="141" spans="1:12" s="2399" customFormat="1">
      <c r="A141" s="2595"/>
      <c r="D141" s="2596"/>
      <c r="K141" s="232"/>
      <c r="L141" s="232"/>
    </row>
    <row r="142" spans="1:12" s="2399" customFormat="1">
      <c r="A142" s="2595"/>
      <c r="D142" s="2596"/>
      <c r="K142" s="232"/>
      <c r="L142" s="232"/>
    </row>
    <row r="143" spans="1:12" s="2399" customFormat="1">
      <c r="A143" s="2595"/>
      <c r="D143" s="2596"/>
      <c r="K143" s="232"/>
      <c r="L143" s="232"/>
    </row>
    <row r="144" spans="1:12" s="2399" customFormat="1">
      <c r="A144" s="2595"/>
      <c r="D144" s="2596"/>
      <c r="K144" s="232"/>
      <c r="L144" s="232"/>
    </row>
    <row r="145" spans="1:12" s="2399" customFormat="1">
      <c r="A145" s="2595"/>
      <c r="D145" s="2596"/>
      <c r="K145" s="232"/>
      <c r="L145" s="232"/>
    </row>
    <row r="146" spans="1:12" s="2399" customFormat="1">
      <c r="A146" s="2595"/>
      <c r="D146" s="2596"/>
      <c r="K146" s="232"/>
      <c r="L146" s="232"/>
    </row>
    <row r="147" spans="1:12" s="2399" customFormat="1">
      <c r="A147" s="2595"/>
      <c r="D147" s="2596"/>
      <c r="K147" s="232"/>
      <c r="L147" s="232"/>
    </row>
    <row r="148" spans="1:12" s="2399" customFormat="1">
      <c r="A148" s="2595"/>
      <c r="D148" s="2596"/>
      <c r="K148" s="232"/>
      <c r="L148" s="232"/>
    </row>
    <row r="149" spans="1:12" s="2399" customFormat="1">
      <c r="A149" s="2595"/>
      <c r="D149" s="2596"/>
      <c r="K149" s="232"/>
      <c r="L149" s="232"/>
    </row>
    <row r="150" spans="1:12" s="2399" customFormat="1">
      <c r="A150" s="2595"/>
      <c r="D150" s="2596"/>
      <c r="K150" s="232"/>
      <c r="L150" s="232"/>
    </row>
    <row r="151" spans="1:12" s="2399" customFormat="1">
      <c r="A151" s="2595"/>
      <c r="D151" s="2596"/>
      <c r="K151" s="232"/>
      <c r="L151" s="232"/>
    </row>
    <row r="152" spans="1:12" s="2399" customFormat="1">
      <c r="A152" s="2595"/>
      <c r="D152" s="2596"/>
      <c r="K152" s="232"/>
      <c r="L152" s="232"/>
    </row>
    <row r="153" spans="1:12" s="2399" customFormat="1">
      <c r="A153" s="2595"/>
      <c r="D153" s="2596"/>
      <c r="K153" s="232"/>
      <c r="L153" s="232"/>
    </row>
    <row r="154" spans="1:12" s="2399" customFormat="1">
      <c r="A154" s="2595"/>
      <c r="D154" s="2596"/>
      <c r="K154" s="232"/>
      <c r="L154" s="232"/>
    </row>
    <row r="155" spans="1:12" s="2399" customFormat="1">
      <c r="A155" s="2595"/>
      <c r="D155" s="2596"/>
      <c r="K155" s="232"/>
      <c r="L155" s="232"/>
    </row>
    <row r="156" spans="1:12" s="2399" customFormat="1">
      <c r="A156" s="2595"/>
      <c r="D156" s="2596"/>
      <c r="K156" s="232"/>
      <c r="L156" s="232"/>
    </row>
    <row r="157" spans="1:12" s="2399" customFormat="1">
      <c r="A157" s="2595"/>
      <c r="D157" s="2596"/>
      <c r="K157" s="232"/>
      <c r="L157" s="232"/>
    </row>
    <row r="158" spans="1:12" s="2399" customFormat="1">
      <c r="A158" s="2595"/>
      <c r="D158" s="2596"/>
      <c r="K158" s="232"/>
      <c r="L158" s="232"/>
    </row>
    <row r="159" spans="1:12" s="2399" customFormat="1">
      <c r="A159" s="2595"/>
      <c r="D159" s="2596"/>
      <c r="K159" s="232"/>
      <c r="L159" s="232"/>
    </row>
    <row r="160" spans="1:12" s="2399" customFormat="1">
      <c r="A160" s="2595"/>
      <c r="D160" s="2596"/>
      <c r="K160" s="232"/>
      <c r="L160" s="232"/>
    </row>
    <row r="161" spans="1:12" s="2399" customFormat="1">
      <c r="A161" s="2595"/>
      <c r="D161" s="2596"/>
      <c r="K161" s="232"/>
      <c r="L161" s="232"/>
    </row>
    <row r="162" spans="1:12" s="2399" customFormat="1">
      <c r="A162" s="2595"/>
      <c r="D162" s="2596"/>
      <c r="K162" s="232"/>
      <c r="L162" s="232"/>
    </row>
    <row r="163" spans="1:12" s="2399" customFormat="1">
      <c r="A163" s="2595"/>
      <c r="D163" s="2596"/>
      <c r="K163" s="232"/>
      <c r="L163" s="232"/>
    </row>
    <row r="164" spans="1:12" s="2399" customFormat="1">
      <c r="A164" s="2595"/>
      <c r="D164" s="2596"/>
      <c r="K164" s="232"/>
      <c r="L164" s="232"/>
    </row>
    <row r="165" spans="1:12" s="2399" customFormat="1">
      <c r="A165" s="2595"/>
      <c r="D165" s="2596"/>
      <c r="K165" s="232"/>
      <c r="L165" s="232"/>
    </row>
    <row r="166" spans="1:12" s="2399" customFormat="1">
      <c r="A166" s="2595"/>
      <c r="D166" s="2596"/>
      <c r="K166" s="232"/>
      <c r="L166" s="232"/>
    </row>
    <row r="167" spans="1:12" s="2399" customFormat="1">
      <c r="A167" s="2595"/>
      <c r="D167" s="2596"/>
      <c r="K167" s="232"/>
      <c r="L167" s="232"/>
    </row>
    <row r="168" spans="1:12" s="2399" customFormat="1">
      <c r="A168" s="2595"/>
      <c r="D168" s="2596"/>
      <c r="K168" s="232"/>
      <c r="L168" s="232"/>
    </row>
    <row r="169" spans="1:12" s="2399" customFormat="1">
      <c r="A169" s="2595"/>
      <c r="D169" s="2596"/>
      <c r="K169" s="232"/>
      <c r="L169" s="232"/>
    </row>
    <row r="170" spans="1:12" s="2399" customFormat="1">
      <c r="A170" s="2595"/>
      <c r="D170" s="2596"/>
      <c r="K170" s="232"/>
      <c r="L170" s="232"/>
    </row>
    <row r="171" spans="1:12" s="2399" customFormat="1">
      <c r="A171" s="2595"/>
      <c r="D171" s="2596"/>
      <c r="K171" s="232"/>
      <c r="L171" s="232"/>
    </row>
    <row r="172" spans="1:12" s="2399" customFormat="1">
      <c r="A172" s="2595"/>
      <c r="D172" s="2596"/>
      <c r="K172" s="232"/>
      <c r="L172" s="232"/>
    </row>
    <row r="173" spans="1:12" s="2399" customFormat="1">
      <c r="A173" s="2595"/>
      <c r="D173" s="2596"/>
      <c r="K173" s="232"/>
      <c r="L173" s="232"/>
    </row>
    <row r="174" spans="1:12" s="2399" customFormat="1">
      <c r="A174" s="2595"/>
      <c r="D174" s="2596"/>
      <c r="K174" s="232"/>
      <c r="L174" s="232"/>
    </row>
  </sheetData>
  <sheetProtection password="CEE9" sheet="1" objects="1" scenarios="1" formatCells="0" formatColumns="0" formatRows="0"/>
  <phoneticPr fontId="212" type="noConversion"/>
  <dataValidations count="8">
    <dataValidation type="list" allowBlank="1" showInputMessage="1" showErrorMessage="1" sqref="B14:B15" xr:uid="{00000000-0002-0000-0E00-000000000000}">
      <formula1>类别</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allowBlank="1" showInputMessage="1" showErrorMessage="1" sqref="B44" xr:uid="{00000000-0002-0000-0E00-000004000000}">
      <formula1>"7%,5%,1%"</formula1>
    </dataValidation>
    <dataValidation type="list" allowBlank="1" showInputMessage="1" showErrorMessage="1" sqref="B53" xr:uid="{00000000-0002-0000-0E00-000005000000}">
      <formula1>城镇土地纳税等级分级范围</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27" customWidth="1"/>
    <col min="2" max="2" width="24.5" style="2328" customWidth="1"/>
    <col min="3" max="3" width="24.5" style="2329" customWidth="1"/>
    <col min="4" max="4" width="2.625" style="2329" customWidth="1"/>
    <col min="5" max="5" width="5.875" style="2329" customWidth="1"/>
    <col min="6" max="6" width="27" style="2328" customWidth="1"/>
    <col min="7" max="7" width="27" style="2330" customWidth="1"/>
    <col min="8" max="8" width="11.875" style="2331" customWidth="1"/>
    <col min="9" max="9" width="16.75" style="2332" customWidth="1"/>
    <col min="10" max="10" width="2.625" style="2331" customWidth="1"/>
    <col min="11" max="11" width="11.875" style="2331" customWidth="1"/>
    <col min="12" max="12" width="16.75" style="2332" customWidth="1"/>
    <col min="13" max="13" width="2.625" style="2331" customWidth="1"/>
    <col min="14" max="14" width="11.875" style="2331" customWidth="1"/>
    <col min="15" max="15" width="16.75" style="2332" customWidth="1"/>
    <col min="16" max="16" width="2.625" style="2331" customWidth="1"/>
    <col min="17" max="17" width="11.875" style="2331" customWidth="1"/>
    <col min="18" max="18" width="16.75" style="2333" customWidth="1"/>
    <col min="19" max="29" width="9" style="1914"/>
    <col min="30" max="16384" width="9" style="2327"/>
  </cols>
  <sheetData>
    <row r="1" spans="1:29" s="2325" customFormat="1" ht="18">
      <c r="A1" s="3168" t="s">
        <v>657</v>
      </c>
      <c r="B1" s="3169"/>
      <c r="C1" s="3169"/>
      <c r="D1" s="3169"/>
      <c r="E1" s="3169"/>
      <c r="F1" s="3169"/>
      <c r="G1" s="3169"/>
      <c r="H1" s="2334"/>
      <c r="I1" s="2386"/>
      <c r="J1" s="2334"/>
      <c r="K1" s="2334"/>
      <c r="L1" s="2386"/>
      <c r="M1" s="2334"/>
      <c r="N1" s="2334"/>
      <c r="O1" s="2386"/>
      <c r="P1" s="2334"/>
      <c r="Q1" s="2393"/>
      <c r="R1" s="2394"/>
      <c r="S1" s="2395"/>
      <c r="T1" s="2395"/>
      <c r="U1" s="2395"/>
      <c r="V1" s="2395"/>
      <c r="W1" s="2395"/>
      <c r="X1" s="2395"/>
      <c r="Y1" s="2395"/>
      <c r="Z1" s="2395"/>
      <c r="AA1" s="2395"/>
      <c r="AB1" s="2395"/>
      <c r="AC1" s="2395"/>
    </row>
    <row r="2" spans="1:29">
      <c r="A2" s="2335"/>
      <c r="B2" s="2336"/>
      <c r="C2" s="2337" t="s">
        <v>658</v>
      </c>
      <c r="D2" s="2338"/>
      <c r="E2" s="2335"/>
      <c r="F2" s="2339"/>
      <c r="G2" s="2337" t="s">
        <v>659</v>
      </c>
      <c r="H2" s="1914"/>
      <c r="I2" s="1914"/>
      <c r="J2" s="1914"/>
      <c r="K2" s="1914"/>
      <c r="L2" s="1914"/>
      <c r="M2" s="1914"/>
      <c r="N2" s="1914"/>
      <c r="O2" s="1914"/>
      <c r="P2" s="1914"/>
      <c r="Q2" s="1914"/>
      <c r="R2" s="1914"/>
    </row>
    <row r="3" spans="1:29" ht="48">
      <c r="A3" s="2340" t="s">
        <v>660</v>
      </c>
      <c r="B3" s="2341" t="s">
        <v>661</v>
      </c>
      <c r="C3" s="2342" t="s">
        <v>662</v>
      </c>
      <c r="D3" s="2343"/>
      <c r="E3" s="2344" t="s">
        <v>660</v>
      </c>
      <c r="F3" s="2345" t="s">
        <v>663</v>
      </c>
      <c r="G3" s="2346" t="s">
        <v>664</v>
      </c>
      <c r="H3" s="1914"/>
      <c r="I3" s="1914"/>
      <c r="J3" s="1914"/>
      <c r="K3" s="1914"/>
      <c r="L3" s="1914"/>
      <c r="M3" s="1914"/>
      <c r="N3" s="1914"/>
      <c r="O3" s="1914"/>
      <c r="P3" s="1914"/>
      <c r="Q3" s="1914"/>
      <c r="R3" s="1914"/>
    </row>
    <row r="4" spans="1:29" ht="36.75">
      <c r="A4" s="2344"/>
      <c r="B4" s="1698" t="s">
        <v>665</v>
      </c>
      <c r="C4" s="2347" t="s">
        <v>666</v>
      </c>
      <c r="D4" s="2343"/>
      <c r="E4" s="2348"/>
      <c r="F4" s="1908" t="s">
        <v>667</v>
      </c>
      <c r="G4" s="2349" t="s">
        <v>668</v>
      </c>
      <c r="H4" s="1914"/>
      <c r="I4" s="1914"/>
      <c r="J4" s="1914"/>
      <c r="K4" s="1914"/>
      <c r="L4" s="1914"/>
      <c r="M4" s="1914"/>
      <c r="N4" s="1914"/>
      <c r="O4" s="1914"/>
      <c r="P4" s="1914"/>
      <c r="Q4" s="1914"/>
      <c r="R4" s="1914"/>
    </row>
    <row r="5" spans="1:29" ht="36.75">
      <c r="A5" s="2344"/>
      <c r="B5" s="1698" t="s">
        <v>669</v>
      </c>
      <c r="C5" s="2347" t="s">
        <v>670</v>
      </c>
      <c r="D5" s="2343"/>
      <c r="E5" s="2348"/>
      <c r="F5" s="1698" t="s">
        <v>467</v>
      </c>
      <c r="G5" s="2349" t="s">
        <v>671</v>
      </c>
      <c r="H5" s="1914"/>
      <c r="I5" s="1914"/>
      <c r="J5" s="1914"/>
      <c r="K5" s="1914"/>
      <c r="L5" s="1914"/>
      <c r="M5" s="1914"/>
      <c r="N5" s="1914"/>
      <c r="O5" s="1914"/>
      <c r="P5" s="1914"/>
      <c r="Q5" s="1914"/>
      <c r="R5" s="1914"/>
    </row>
    <row r="6" spans="1:29" ht="36">
      <c r="A6" s="2344"/>
      <c r="B6" s="1698" t="s">
        <v>667</v>
      </c>
      <c r="C6" s="2349" t="s">
        <v>668</v>
      </c>
      <c r="D6" s="2343"/>
      <c r="E6" s="2348"/>
      <c r="F6" s="1698" t="s">
        <v>672</v>
      </c>
      <c r="G6" s="2349" t="s">
        <v>673</v>
      </c>
      <c r="H6" s="1914"/>
      <c r="I6" s="1914"/>
      <c r="J6" s="1914"/>
      <c r="K6" s="1914"/>
      <c r="L6" s="1914"/>
      <c r="M6" s="1914"/>
      <c r="N6" s="1914"/>
      <c r="O6" s="1914"/>
      <c r="P6" s="1914"/>
      <c r="Q6" s="1914"/>
      <c r="R6" s="1914"/>
    </row>
    <row r="7" spans="1:29" ht="24">
      <c r="A7" s="2344"/>
      <c r="B7" s="1698" t="s">
        <v>467</v>
      </c>
      <c r="C7" s="2349" t="s">
        <v>671</v>
      </c>
      <c r="D7" s="2350"/>
      <c r="E7" s="2351"/>
      <c r="F7" s="2352" t="s">
        <v>674</v>
      </c>
      <c r="G7" s="2353" t="s">
        <v>675</v>
      </c>
      <c r="H7" s="1914"/>
      <c r="I7" s="1914"/>
      <c r="J7" s="1914"/>
      <c r="K7" s="1914"/>
      <c r="L7" s="1914"/>
      <c r="M7" s="1914"/>
      <c r="N7" s="1914"/>
      <c r="O7" s="1914"/>
      <c r="P7" s="1914"/>
      <c r="Q7" s="1914"/>
      <c r="R7" s="1914"/>
    </row>
    <row r="8" spans="1:29">
      <c r="A8" s="2344"/>
      <c r="B8" s="1698" t="s">
        <v>672</v>
      </c>
      <c r="C8" s="2349" t="s">
        <v>673</v>
      </c>
      <c r="D8" s="2350"/>
      <c r="E8" s="2350"/>
      <c r="F8" s="1819"/>
      <c r="G8" s="1819"/>
      <c r="H8" s="1914"/>
      <c r="I8" s="1914"/>
      <c r="J8" s="1914"/>
      <c r="K8" s="1914"/>
      <c r="L8" s="1914"/>
      <c r="M8" s="1914"/>
      <c r="N8" s="1914"/>
      <c r="O8" s="1914"/>
      <c r="P8" s="1914"/>
      <c r="Q8" s="1914"/>
      <c r="R8" s="1914"/>
    </row>
    <row r="9" spans="1:29" ht="24">
      <c r="A9" s="2344"/>
      <c r="B9" s="1698" t="s">
        <v>676</v>
      </c>
      <c r="C9" s="2347" t="s">
        <v>677</v>
      </c>
      <c r="D9" s="2343"/>
      <c r="E9" s="2350"/>
      <c r="F9" s="1819"/>
      <c r="G9" s="1819"/>
      <c r="H9" s="1914"/>
      <c r="I9" s="1914"/>
      <c r="J9" s="1914"/>
      <c r="K9" s="1914"/>
      <c r="L9" s="1914"/>
      <c r="M9" s="1914"/>
      <c r="N9" s="1914"/>
      <c r="O9" s="1914"/>
      <c r="P9" s="1914"/>
      <c r="Q9" s="1914"/>
      <c r="R9" s="1914"/>
    </row>
    <row r="10" spans="1:29" s="2326" customFormat="1">
      <c r="A10" s="2354"/>
      <c r="B10" s="2355" t="s">
        <v>678</v>
      </c>
      <c r="C10" s="2356"/>
      <c r="D10" s="2343"/>
      <c r="E10" s="2343"/>
      <c r="F10" s="1819"/>
      <c r="G10" s="1819"/>
      <c r="H10" s="2357"/>
      <c r="I10" s="2387"/>
      <c r="J10" s="2388"/>
      <c r="K10" s="2357"/>
      <c r="L10" s="2387"/>
      <c r="M10" s="2388"/>
      <c r="N10" s="2357"/>
      <c r="O10" s="2387"/>
      <c r="P10" s="2388"/>
      <c r="Q10" s="2357"/>
      <c r="R10" s="2387"/>
      <c r="S10" s="1914"/>
      <c r="T10" s="1914"/>
      <c r="U10" s="1914"/>
      <c r="V10" s="1914"/>
      <c r="W10" s="1914"/>
      <c r="X10" s="1914"/>
      <c r="Y10" s="1914"/>
      <c r="Z10" s="1914"/>
      <c r="AA10" s="1914"/>
      <c r="AB10" s="1914"/>
      <c r="AC10" s="1914"/>
    </row>
    <row r="11" spans="1:29" s="2326" customFormat="1">
      <c r="A11" s="2358"/>
      <c r="B11" s="2350"/>
      <c r="C11" s="2343"/>
      <c r="D11" s="2343"/>
      <c r="E11" s="2343"/>
      <c r="F11" s="2350"/>
      <c r="G11" s="2359"/>
      <c r="H11" s="2357"/>
      <c r="I11" s="2387"/>
      <c r="J11" s="2388"/>
      <c r="K11" s="2357"/>
      <c r="L11" s="2387"/>
      <c r="M11" s="2388"/>
      <c r="N11" s="2357"/>
      <c r="O11" s="2387"/>
      <c r="P11" s="2388"/>
      <c r="Q11" s="2357"/>
      <c r="R11" s="2387"/>
      <c r="S11" s="1914"/>
      <c r="T11" s="1914"/>
      <c r="U11" s="1914"/>
      <c r="V11" s="1914"/>
      <c r="W11" s="1914"/>
      <c r="X11" s="1914"/>
      <c r="Y11" s="1914"/>
      <c r="Z11" s="1914"/>
      <c r="AA11" s="1914"/>
      <c r="AB11" s="1914"/>
      <c r="AC11" s="1914"/>
    </row>
    <row r="12" spans="1:29" s="2325" customFormat="1" ht="18">
      <c r="A12" s="2358"/>
      <c r="B12" s="2350"/>
      <c r="C12" s="2343"/>
      <c r="D12" s="2360"/>
      <c r="E12" s="2343"/>
      <c r="F12" s="2350"/>
      <c r="G12" s="2359"/>
      <c r="H12" s="2361"/>
      <c r="I12" s="2389"/>
      <c r="J12" s="2361"/>
      <c r="K12" s="2361"/>
      <c r="L12" s="2390"/>
      <c r="M12" s="2361"/>
      <c r="N12" s="2391"/>
      <c r="O12" s="2392"/>
      <c r="P12" s="2391"/>
      <c r="Q12" s="2391"/>
      <c r="R12" s="2394"/>
      <c r="S12" s="2395"/>
      <c r="T12" s="2395"/>
      <c r="U12" s="2395"/>
      <c r="V12" s="2395"/>
      <c r="W12" s="2395"/>
      <c r="X12" s="2395"/>
      <c r="Y12" s="2395"/>
      <c r="Z12" s="2395"/>
      <c r="AA12" s="2395"/>
      <c r="AB12" s="2395"/>
      <c r="AC12" s="2395"/>
    </row>
    <row r="13" spans="1:29" ht="15">
      <c r="A13" s="2362" t="s">
        <v>679</v>
      </c>
      <c r="B13" s="2360"/>
      <c r="C13" s="2360"/>
      <c r="D13" s="2358"/>
      <c r="E13" s="2360"/>
      <c r="F13" s="2360"/>
      <c r="G13" s="2360"/>
    </row>
    <row r="14" spans="1:29">
      <c r="A14" s="2363"/>
      <c r="B14" s="2363"/>
      <c r="C14" s="2364" t="s">
        <v>658</v>
      </c>
      <c r="D14" s="2343"/>
      <c r="E14" s="2365"/>
      <c r="F14" s="2365"/>
      <c r="G14" s="2337" t="s">
        <v>659</v>
      </c>
    </row>
    <row r="15" spans="1:29" ht="51">
      <c r="A15" s="2366" t="s">
        <v>660</v>
      </c>
      <c r="B15" s="2367" t="s">
        <v>661</v>
      </c>
      <c r="C15" s="2368" t="str">
        <f>C3</f>
        <v>估价对象周边居住用地比例、居住小区规模和社区发展完善程度，综合评价居住社区成熟度一般</v>
      </c>
      <c r="D15" s="2343"/>
      <c r="E15" s="2369" t="s">
        <v>660</v>
      </c>
      <c r="F15" s="2367" t="s">
        <v>663</v>
      </c>
      <c r="G15" s="2370" t="str">
        <f>G3</f>
        <v>估价对象位于XX开发区，园区建设成熟度XX，产业集聚程度XX</v>
      </c>
    </row>
    <row r="16" spans="1:29" ht="38.25">
      <c r="A16" s="2371"/>
      <c r="B16" s="2372" t="s">
        <v>665</v>
      </c>
      <c r="C16" s="2373" t="str">
        <f>C4</f>
        <v>估价对象位于XX商圈，周边商业氛围成熟，人流量大，商业繁华度好</v>
      </c>
      <c r="D16" s="2343"/>
      <c r="E16" s="2374"/>
      <c r="F16" s="2375" t="s">
        <v>667</v>
      </c>
      <c r="G16" s="2376" t="str">
        <f>G4</f>
        <v>估价对象周边道路状况、公共交通通达情况、停车便捷程度，综合评价交通便捷度较好</v>
      </c>
    </row>
    <row r="17" spans="1:18" ht="38.25">
      <c r="A17" s="2371"/>
      <c r="B17" s="2372" t="s">
        <v>669</v>
      </c>
      <c r="C17" s="2373" t="str">
        <f>C5</f>
        <v>估价对象位于XX商圈，周边办公楼项目较多，入驻率高，办公集聚程度较好</v>
      </c>
      <c r="D17" s="2350"/>
      <c r="E17" s="2374"/>
      <c r="F17" s="2375" t="s">
        <v>680</v>
      </c>
      <c r="G17" s="2377"/>
    </row>
    <row r="18" spans="1:18" ht="38.25">
      <c r="A18" s="2371"/>
      <c r="B18" s="2375" t="s">
        <v>667</v>
      </c>
      <c r="C18" s="2376" t="str">
        <f>C6</f>
        <v>估价对象周边道路状况、公共交通通达情况、停车便捷程度，综合评价交通便捷度较好</v>
      </c>
      <c r="D18" s="2350"/>
      <c r="E18" s="2374"/>
      <c r="F18" s="2375" t="s">
        <v>674</v>
      </c>
      <c r="G18" s="2376" t="str">
        <f>G7</f>
        <v>该园区内是否有污染型企业，绿化情况，卫生条件，整体环境状况判断</v>
      </c>
    </row>
    <row r="19" spans="1:18" ht="25.5">
      <c r="A19" s="2371"/>
      <c r="B19" s="2375" t="s">
        <v>680</v>
      </c>
      <c r="C19" s="2377"/>
      <c r="D19" s="2343"/>
      <c r="E19" s="2374"/>
      <c r="F19" s="1698" t="s">
        <v>467</v>
      </c>
      <c r="G19" s="2376" t="str">
        <f>G5</f>
        <v>估价对象所在区域公共配套设施齐备情况</v>
      </c>
    </row>
    <row r="20" spans="1:18" ht="25.5">
      <c r="A20" s="2371"/>
      <c r="B20" s="2375" t="s">
        <v>681</v>
      </c>
      <c r="C20" s="2373" t="str">
        <f>C9</f>
        <v>区域自然环境：；人文环境；综合评价环境状况一般</v>
      </c>
      <c r="D20" s="2350"/>
      <c r="E20" s="2374"/>
      <c r="F20" s="1698" t="s">
        <v>672</v>
      </c>
      <c r="G20" s="2376" t="str">
        <f>G6</f>
        <v>估价对象所在区域基础设施水平</v>
      </c>
    </row>
    <row r="21" spans="1:18" ht="25.5">
      <c r="A21" s="2371"/>
      <c r="B21" s="1698" t="s">
        <v>467</v>
      </c>
      <c r="C21" s="2376" t="str">
        <f>C7</f>
        <v>估价对象所在区域公共配套设施齐备情况</v>
      </c>
      <c r="D21" s="2343"/>
      <c r="E21" s="2374"/>
      <c r="F21" s="2375" t="s">
        <v>682</v>
      </c>
      <c r="G21" s="2378"/>
    </row>
    <row r="22" spans="1:18" ht="13.5" customHeight="1">
      <c r="A22" s="2371"/>
      <c r="B22" s="1698" t="s">
        <v>672</v>
      </c>
      <c r="C22" s="2376" t="str">
        <f>C8</f>
        <v>估价对象所在区域基础设施水平</v>
      </c>
      <c r="D22" s="2343"/>
      <c r="E22" s="2374"/>
      <c r="F22" s="2375" t="s">
        <v>678</v>
      </c>
      <c r="G22" s="2377"/>
    </row>
    <row r="23" spans="1:18" s="1914" customFormat="1">
      <c r="A23" s="2371"/>
      <c r="B23" s="2375" t="s">
        <v>682</v>
      </c>
      <c r="C23" s="2378"/>
      <c r="D23" s="2307"/>
      <c r="E23" s="2379"/>
      <c r="F23" s="2380" t="s">
        <v>412</v>
      </c>
      <c r="G23" s="2381"/>
      <c r="H23" s="2331"/>
      <c r="I23" s="2332"/>
      <c r="J23" s="2331"/>
      <c r="K23" s="2331"/>
      <c r="L23" s="2332"/>
      <c r="M23" s="2331"/>
      <c r="N23" s="2331"/>
      <c r="O23" s="2332"/>
      <c r="P23" s="2331"/>
      <c r="Q23" s="2331"/>
      <c r="R23" s="2333"/>
    </row>
    <row r="24" spans="1:18" s="1914" customFormat="1">
      <c r="A24" s="2382"/>
      <c r="B24" s="2380" t="s">
        <v>678</v>
      </c>
      <c r="C24" s="2383">
        <f>C10</f>
        <v>0</v>
      </c>
      <c r="D24" s="2307"/>
      <c r="E24" s="2384"/>
      <c r="F24" s="2384"/>
      <c r="G24" s="2385"/>
      <c r="H24" s="2331"/>
      <c r="I24" s="2332"/>
      <c r="J24" s="2331"/>
      <c r="K24" s="2331"/>
      <c r="L24" s="2332"/>
      <c r="M24" s="2331"/>
      <c r="N24" s="2331"/>
      <c r="O24" s="2332"/>
      <c r="P24" s="2331"/>
      <c r="Q24" s="2331"/>
      <c r="R24" s="2333"/>
    </row>
    <row r="25" spans="1:18" s="1914" customFormat="1">
      <c r="B25" s="2331"/>
      <c r="C25" s="2331"/>
      <c r="D25" s="2331"/>
      <c r="H25" s="2331"/>
      <c r="I25" s="2332"/>
      <c r="J25" s="2331"/>
      <c r="K25" s="2331"/>
      <c r="L25" s="2332"/>
      <c r="M25" s="2331"/>
      <c r="N25" s="2331"/>
      <c r="O25" s="2332"/>
      <c r="P25" s="2331"/>
      <c r="Q25" s="2331"/>
      <c r="R25" s="2333"/>
    </row>
    <row r="26" spans="1:18" s="1914" customFormat="1">
      <c r="B26" s="2331"/>
      <c r="C26" s="2331"/>
      <c r="D26" s="2331"/>
      <c r="H26" s="2331"/>
      <c r="I26" s="2332"/>
      <c r="J26" s="2331"/>
      <c r="K26" s="2331"/>
      <c r="L26" s="2332"/>
      <c r="M26" s="2331"/>
      <c r="N26" s="2331"/>
      <c r="O26" s="2332"/>
      <c r="P26" s="2331"/>
      <c r="Q26" s="2331"/>
      <c r="R26" s="2333"/>
    </row>
    <row r="27" spans="1:18" s="1914" customFormat="1">
      <c r="B27" s="2331"/>
      <c r="C27" s="2331"/>
      <c r="D27" s="2331"/>
      <c r="H27" s="2331"/>
      <c r="I27" s="2332"/>
      <c r="J27" s="2331"/>
      <c r="K27" s="2331"/>
      <c r="L27" s="2332"/>
      <c r="M27" s="2331"/>
      <c r="N27" s="2331"/>
      <c r="O27" s="2332"/>
      <c r="P27" s="2331"/>
      <c r="Q27" s="2331"/>
      <c r="R27" s="2333"/>
    </row>
    <row r="28" spans="1:18" s="1914" customFormat="1">
      <c r="B28" s="2331"/>
      <c r="C28" s="2331"/>
      <c r="D28" s="2331"/>
      <c r="H28" s="2331"/>
      <c r="I28" s="2332"/>
      <c r="J28" s="2331"/>
      <c r="K28" s="2331"/>
      <c r="L28" s="2332"/>
      <c r="M28" s="2331"/>
      <c r="N28" s="2331"/>
      <c r="O28" s="2332"/>
      <c r="P28" s="2331"/>
      <c r="Q28" s="2331"/>
      <c r="R28" s="2333"/>
    </row>
    <row r="29" spans="1:18" s="1914" customFormat="1">
      <c r="B29" s="2331"/>
      <c r="C29" s="2331"/>
      <c r="D29" s="2331"/>
      <c r="H29" s="2331"/>
      <c r="I29" s="2332"/>
      <c r="J29" s="2331"/>
      <c r="K29" s="2331"/>
      <c r="L29" s="2332"/>
      <c r="M29" s="2331"/>
      <c r="N29" s="2331"/>
      <c r="O29" s="2332"/>
      <c r="P29" s="2331"/>
      <c r="Q29" s="2331"/>
      <c r="R29" s="2333"/>
    </row>
    <row r="30" spans="1:18" s="1914" customFormat="1">
      <c r="B30" s="2331"/>
      <c r="C30" s="2331"/>
      <c r="D30" s="2331"/>
      <c r="H30" s="2331"/>
      <c r="I30" s="2332"/>
      <c r="J30" s="2331"/>
      <c r="K30" s="2331"/>
      <c r="L30" s="2332"/>
      <c r="M30" s="2331"/>
      <c r="N30" s="2331"/>
      <c r="O30" s="2332"/>
      <c r="P30" s="2331"/>
      <c r="Q30" s="2331"/>
      <c r="R30" s="2333"/>
    </row>
    <row r="31" spans="1:18" s="1914" customFormat="1">
      <c r="B31" s="2331"/>
      <c r="C31" s="2331"/>
      <c r="D31" s="2331"/>
      <c r="H31" s="2331"/>
      <c r="I31" s="2332"/>
      <c r="J31" s="2331"/>
      <c r="K31" s="2331"/>
      <c r="L31" s="2332"/>
      <c r="M31" s="2331"/>
      <c r="N31" s="2331"/>
      <c r="O31" s="2332"/>
      <c r="P31" s="2331"/>
      <c r="Q31" s="2331"/>
      <c r="R31" s="2333"/>
    </row>
    <row r="32" spans="1:18" s="1914" customFormat="1">
      <c r="B32" s="2331"/>
      <c r="C32" s="2331"/>
      <c r="D32" s="2331"/>
      <c r="H32" s="2331"/>
      <c r="I32" s="2332"/>
      <c r="J32" s="2331"/>
      <c r="K32" s="2331"/>
      <c r="L32" s="2332"/>
      <c r="M32" s="2331"/>
      <c r="N32" s="2331"/>
      <c r="O32" s="2332"/>
      <c r="P32" s="2331"/>
      <c r="Q32" s="2331"/>
      <c r="R32" s="2333"/>
    </row>
    <row r="33" spans="2:18" s="1914" customFormat="1">
      <c r="B33" s="2331"/>
      <c r="C33" s="2331"/>
      <c r="D33" s="2331"/>
      <c r="H33" s="2331"/>
      <c r="I33" s="2332"/>
      <c r="J33" s="2331"/>
      <c r="K33" s="2331"/>
      <c r="L33" s="2332"/>
      <c r="M33" s="2331"/>
      <c r="N33" s="2331"/>
      <c r="O33" s="2332"/>
      <c r="P33" s="2331"/>
      <c r="Q33" s="2331"/>
      <c r="R33" s="2333"/>
    </row>
    <row r="34" spans="2:18" s="1914" customFormat="1">
      <c r="B34" s="2331"/>
      <c r="C34" s="2331"/>
      <c r="D34" s="2331"/>
      <c r="H34" s="2331"/>
      <c r="I34" s="2332"/>
      <c r="J34" s="2331"/>
      <c r="K34" s="2331"/>
      <c r="L34" s="2332"/>
      <c r="M34" s="2331"/>
      <c r="N34" s="2331"/>
      <c r="O34" s="2332"/>
      <c r="P34" s="2331"/>
      <c r="Q34" s="2331"/>
      <c r="R34" s="2333"/>
    </row>
    <row r="35" spans="2:18" s="1914" customFormat="1">
      <c r="B35" s="2331"/>
      <c r="C35" s="2331"/>
      <c r="D35" s="2331"/>
      <c r="H35" s="2331"/>
      <c r="I35" s="2332"/>
      <c r="J35" s="2331"/>
      <c r="K35" s="2331"/>
      <c r="L35" s="2332"/>
      <c r="M35" s="2331"/>
      <c r="N35" s="2331"/>
      <c r="O35" s="2332"/>
      <c r="P35" s="2331"/>
      <c r="Q35" s="2331"/>
      <c r="R35" s="2333"/>
    </row>
    <row r="36" spans="2:18" s="1914" customFormat="1">
      <c r="B36" s="2331"/>
      <c r="C36" s="2331"/>
      <c r="D36" s="2331"/>
      <c r="H36" s="2331"/>
      <c r="I36" s="2332"/>
      <c r="J36" s="2331"/>
      <c r="K36" s="2331"/>
      <c r="L36" s="2332"/>
      <c r="M36" s="2331"/>
      <c r="N36" s="2331"/>
      <c r="O36" s="2332"/>
      <c r="P36" s="2331"/>
      <c r="Q36" s="2331"/>
      <c r="R36" s="2333"/>
    </row>
    <row r="37" spans="2:18" s="1914" customFormat="1">
      <c r="B37" s="2331"/>
      <c r="C37" s="2331"/>
      <c r="D37" s="2331"/>
      <c r="H37" s="2331"/>
      <c r="I37" s="2332"/>
      <c r="J37" s="2331"/>
      <c r="K37" s="2331"/>
      <c r="L37" s="2332"/>
      <c r="M37" s="2331"/>
      <c r="N37" s="2331"/>
      <c r="O37" s="2332"/>
      <c r="P37" s="2331"/>
      <c r="Q37" s="2331"/>
      <c r="R37" s="2333"/>
    </row>
    <row r="38" spans="2:18" s="1914" customFormat="1">
      <c r="B38" s="2331"/>
      <c r="C38" s="2331"/>
      <c r="D38" s="2331"/>
      <c r="E38" s="2331"/>
      <c r="F38" s="2331"/>
      <c r="G38" s="2332"/>
      <c r="H38" s="2331"/>
      <c r="I38" s="2332"/>
      <c r="J38" s="2331"/>
      <c r="K38" s="2331"/>
      <c r="L38" s="2332"/>
      <c r="M38" s="2331"/>
      <c r="N38" s="2331"/>
      <c r="O38" s="2332"/>
      <c r="P38" s="2331"/>
      <c r="Q38" s="2331"/>
      <c r="R38" s="2333"/>
    </row>
    <row r="39" spans="2:18" s="1914" customFormat="1">
      <c r="B39" s="2331"/>
      <c r="C39" s="2331"/>
      <c r="D39" s="2331"/>
      <c r="E39" s="2331"/>
      <c r="F39" s="2331"/>
      <c r="G39" s="2332"/>
      <c r="H39" s="2331"/>
      <c r="I39" s="2332"/>
      <c r="J39" s="2331"/>
      <c r="K39" s="2331"/>
      <c r="L39" s="2332"/>
      <c r="M39" s="2331"/>
      <c r="N39" s="2331"/>
      <c r="O39" s="2332"/>
      <c r="P39" s="2331"/>
      <c r="Q39" s="2331"/>
      <c r="R39" s="2333"/>
    </row>
    <row r="40" spans="2:18" s="1914" customFormat="1">
      <c r="B40" s="2331"/>
      <c r="C40" s="2331"/>
      <c r="D40" s="2331"/>
      <c r="E40" s="2331"/>
      <c r="F40" s="2331"/>
      <c r="G40" s="2332"/>
      <c r="H40" s="2331"/>
      <c r="I40" s="2332"/>
      <c r="J40" s="2331"/>
      <c r="K40" s="2331"/>
      <c r="L40" s="2332"/>
      <c r="M40" s="2331"/>
      <c r="N40" s="2331"/>
      <c r="O40" s="2332"/>
      <c r="P40" s="2331"/>
      <c r="Q40" s="2331"/>
      <c r="R40" s="2333"/>
    </row>
    <row r="41" spans="2:18" s="1914" customFormat="1">
      <c r="B41" s="2331"/>
      <c r="C41" s="2331"/>
      <c r="D41" s="2331"/>
      <c r="E41" s="2331"/>
      <c r="F41" s="2331"/>
      <c r="G41" s="2332"/>
      <c r="H41" s="2331"/>
      <c r="I41" s="2332"/>
      <c r="J41" s="2331"/>
      <c r="K41" s="2331"/>
      <c r="L41" s="2332"/>
      <c r="M41" s="2331"/>
      <c r="N41" s="2331"/>
      <c r="O41" s="2332"/>
      <c r="P41" s="2331"/>
      <c r="Q41" s="2331"/>
      <c r="R41" s="2333"/>
    </row>
    <row r="42" spans="2:18" s="1914" customFormat="1">
      <c r="B42" s="2331"/>
      <c r="C42" s="2331"/>
      <c r="D42" s="2331"/>
      <c r="E42" s="2331"/>
      <c r="F42" s="2331"/>
      <c r="G42" s="2332"/>
      <c r="H42" s="2331"/>
      <c r="I42" s="2332"/>
      <c r="J42" s="2331"/>
      <c r="K42" s="2331"/>
      <c r="L42" s="2332"/>
      <c r="M42" s="2331"/>
      <c r="N42" s="2331"/>
      <c r="O42" s="2332"/>
      <c r="P42" s="2331"/>
      <c r="Q42" s="2331"/>
      <c r="R42" s="2333"/>
    </row>
    <row r="43" spans="2:18" s="1914" customFormat="1">
      <c r="B43" s="2331"/>
      <c r="C43" s="2331"/>
      <c r="D43" s="2331"/>
      <c r="E43" s="2331"/>
      <c r="F43" s="2331"/>
      <c r="G43" s="2332"/>
      <c r="H43" s="2331"/>
      <c r="I43" s="2332"/>
      <c r="J43" s="2331"/>
      <c r="K43" s="2331"/>
      <c r="L43" s="2332"/>
      <c r="M43" s="2331"/>
      <c r="N43" s="2331"/>
      <c r="O43" s="2332"/>
      <c r="P43" s="2331"/>
      <c r="Q43" s="2331"/>
      <c r="R43" s="2333"/>
    </row>
    <row r="44" spans="2:18" s="1914" customFormat="1">
      <c r="B44" s="2331"/>
      <c r="C44" s="2331"/>
      <c r="D44" s="2331"/>
      <c r="E44" s="2331"/>
      <c r="F44" s="2331"/>
      <c r="G44" s="2332"/>
      <c r="H44" s="2331"/>
      <c r="I44" s="2332"/>
      <c r="J44" s="2331"/>
      <c r="K44" s="2331"/>
      <c r="L44" s="2332"/>
      <c r="M44" s="2331"/>
      <c r="N44" s="2331"/>
      <c r="O44" s="2332"/>
      <c r="P44" s="2331"/>
      <c r="Q44" s="2331"/>
      <c r="R44" s="2333"/>
    </row>
    <row r="45" spans="2:18" s="1914" customFormat="1">
      <c r="B45" s="2331"/>
      <c r="C45" s="2331"/>
      <c r="D45" s="2331"/>
      <c r="E45" s="2331"/>
      <c r="F45" s="2331"/>
      <c r="G45" s="2332"/>
      <c r="H45" s="2331"/>
      <c r="I45" s="2332"/>
      <c r="J45" s="2331"/>
      <c r="K45" s="2331"/>
      <c r="L45" s="2332"/>
      <c r="M45" s="2331"/>
      <c r="N45" s="2331"/>
      <c r="O45" s="2332"/>
      <c r="P45" s="2331"/>
      <c r="Q45" s="2331"/>
      <c r="R45" s="2333"/>
    </row>
    <row r="46" spans="2:18" s="1914" customFormat="1">
      <c r="B46" s="2331"/>
      <c r="C46" s="2331"/>
      <c r="D46" s="2331"/>
      <c r="E46" s="2331"/>
      <c r="F46" s="2331"/>
      <c r="G46" s="2332"/>
      <c r="H46" s="2331"/>
      <c r="I46" s="2332"/>
      <c r="J46" s="2331"/>
      <c r="K46" s="2331"/>
      <c r="L46" s="2332"/>
      <c r="M46" s="2331"/>
      <c r="N46" s="2331"/>
      <c r="O46" s="2332"/>
      <c r="P46" s="2331"/>
      <c r="Q46" s="2331"/>
      <c r="R46" s="2333"/>
    </row>
    <row r="47" spans="2:18" s="1914" customFormat="1">
      <c r="B47" s="2331"/>
      <c r="C47" s="2331"/>
      <c r="D47" s="2331"/>
      <c r="E47" s="2331"/>
      <c r="F47" s="2331"/>
      <c r="G47" s="2332"/>
      <c r="H47" s="2331"/>
      <c r="I47" s="2332"/>
      <c r="J47" s="2331"/>
      <c r="K47" s="2331"/>
      <c r="L47" s="2332"/>
      <c r="M47" s="2331"/>
      <c r="N47" s="2331"/>
      <c r="O47" s="2332"/>
      <c r="P47" s="2331"/>
      <c r="Q47" s="2331"/>
      <c r="R47" s="2333"/>
    </row>
    <row r="48" spans="2:18" s="1914" customFormat="1">
      <c r="B48" s="2331"/>
      <c r="C48" s="2331"/>
      <c r="D48" s="2331"/>
      <c r="E48" s="2331"/>
      <c r="F48" s="2331"/>
      <c r="G48" s="2332"/>
      <c r="H48" s="2331"/>
      <c r="I48" s="2332"/>
      <c r="J48" s="2331"/>
      <c r="K48" s="2331"/>
      <c r="L48" s="2332"/>
      <c r="M48" s="2331"/>
      <c r="N48" s="2331"/>
      <c r="O48" s="2332"/>
      <c r="P48" s="2331"/>
      <c r="Q48" s="2331"/>
      <c r="R48" s="2333"/>
    </row>
    <row r="49" spans="2:18" s="1914" customFormat="1">
      <c r="B49" s="2331"/>
      <c r="C49" s="2331"/>
      <c r="D49" s="2331"/>
      <c r="E49" s="2331"/>
      <c r="F49" s="2331"/>
      <c r="G49" s="2332"/>
      <c r="H49" s="2331"/>
      <c r="I49" s="2332"/>
      <c r="J49" s="2331"/>
      <c r="K49" s="2331"/>
      <c r="L49" s="2332"/>
      <c r="M49" s="2331"/>
      <c r="N49" s="2331"/>
      <c r="O49" s="2332"/>
      <c r="P49" s="2331"/>
      <c r="Q49" s="2331"/>
      <c r="R49" s="2333"/>
    </row>
    <row r="50" spans="2:18" s="1914" customFormat="1">
      <c r="B50" s="2331"/>
      <c r="C50" s="2331"/>
      <c r="D50" s="2331"/>
      <c r="E50" s="2331"/>
      <c r="F50" s="2331"/>
      <c r="G50" s="2332"/>
      <c r="H50" s="2331"/>
      <c r="I50" s="2332"/>
      <c r="J50" s="2331"/>
      <c r="K50" s="2331"/>
      <c r="L50" s="2332"/>
      <c r="M50" s="2331"/>
      <c r="N50" s="2331"/>
      <c r="O50" s="2332"/>
      <c r="P50" s="2331"/>
      <c r="Q50" s="2331"/>
      <c r="R50" s="2333"/>
    </row>
    <row r="51" spans="2:18" s="1914" customFormat="1">
      <c r="B51" s="2331"/>
      <c r="C51" s="2331"/>
      <c r="D51" s="2331"/>
      <c r="E51" s="2331"/>
      <c r="F51" s="2331"/>
      <c r="G51" s="2332"/>
      <c r="H51" s="2331"/>
      <c r="I51" s="2332"/>
      <c r="J51" s="2331"/>
      <c r="K51" s="2331"/>
      <c r="L51" s="2332"/>
      <c r="M51" s="2331"/>
      <c r="N51" s="2331"/>
      <c r="O51" s="2332"/>
      <c r="P51" s="2331"/>
      <c r="Q51" s="2331"/>
      <c r="R51" s="2333"/>
    </row>
    <row r="52" spans="2:18" s="1914" customFormat="1">
      <c r="B52" s="2331"/>
      <c r="C52" s="2331"/>
      <c r="D52" s="2331"/>
      <c r="E52" s="2331"/>
      <c r="F52" s="2331"/>
      <c r="G52" s="2332"/>
      <c r="H52" s="2331"/>
      <c r="I52" s="2332"/>
      <c r="J52" s="2331"/>
      <c r="K52" s="2331"/>
      <c r="L52" s="2332"/>
      <c r="M52" s="2331"/>
      <c r="N52" s="2331"/>
      <c r="O52" s="2332"/>
      <c r="P52" s="2331"/>
      <c r="Q52" s="2331"/>
      <c r="R52" s="2333"/>
    </row>
    <row r="53" spans="2:18" s="1914" customFormat="1">
      <c r="B53" s="2331"/>
      <c r="C53" s="2331"/>
      <c r="D53" s="2331"/>
      <c r="E53" s="2331"/>
      <c r="F53" s="2331"/>
      <c r="G53" s="2332"/>
      <c r="H53" s="2331"/>
      <c r="I53" s="2332"/>
      <c r="J53" s="2331"/>
      <c r="K53" s="2331"/>
      <c r="L53" s="2332"/>
      <c r="M53" s="2331"/>
      <c r="N53" s="2331"/>
      <c r="O53" s="2332"/>
      <c r="P53" s="2331"/>
      <c r="Q53" s="2331"/>
      <c r="R53" s="2333"/>
    </row>
    <row r="54" spans="2:18" s="1914" customFormat="1">
      <c r="B54" s="2331"/>
      <c r="C54" s="2331"/>
      <c r="D54" s="2331"/>
      <c r="E54" s="2331"/>
      <c r="F54" s="2331"/>
      <c r="G54" s="2332"/>
      <c r="H54" s="2331"/>
      <c r="I54" s="2332"/>
      <c r="J54" s="2331"/>
      <c r="K54" s="2331"/>
      <c r="L54" s="2332"/>
      <c r="M54" s="2331"/>
      <c r="N54" s="2331"/>
      <c r="O54" s="2332"/>
      <c r="P54" s="2331"/>
      <c r="Q54" s="2331"/>
      <c r="R54" s="2333"/>
    </row>
    <row r="55" spans="2:18" s="1914" customFormat="1">
      <c r="B55" s="2331"/>
      <c r="C55" s="2331"/>
      <c r="D55" s="2331"/>
      <c r="E55" s="2331"/>
      <c r="F55" s="2331"/>
      <c r="G55" s="2332"/>
      <c r="H55" s="2331"/>
      <c r="I55" s="2332"/>
      <c r="J55" s="2331"/>
      <c r="K55" s="2331"/>
      <c r="L55" s="2332"/>
      <c r="M55" s="2331"/>
      <c r="N55" s="2331"/>
      <c r="O55" s="2332"/>
      <c r="P55" s="2331"/>
      <c r="Q55" s="2331"/>
      <c r="R55" s="2333"/>
    </row>
    <row r="56" spans="2:18" s="1914" customFormat="1">
      <c r="B56" s="2331"/>
      <c r="C56" s="2331"/>
      <c r="D56" s="2331"/>
      <c r="E56" s="2331"/>
      <c r="F56" s="2331"/>
      <c r="G56" s="2332"/>
      <c r="H56" s="2331"/>
      <c r="I56" s="2332"/>
      <c r="J56" s="2331"/>
      <c r="K56" s="2331"/>
      <c r="L56" s="2332"/>
      <c r="M56" s="2331"/>
      <c r="N56" s="2331"/>
      <c r="O56" s="2332"/>
      <c r="P56" s="2331"/>
      <c r="Q56" s="2331"/>
      <c r="R56" s="2333"/>
    </row>
    <row r="57" spans="2:18" s="1914" customFormat="1">
      <c r="B57" s="2331"/>
      <c r="C57" s="2331"/>
      <c r="D57" s="2331"/>
      <c r="E57" s="2331"/>
      <c r="F57" s="2331"/>
      <c r="G57" s="2332"/>
      <c r="H57" s="2331"/>
      <c r="I57" s="2332"/>
      <c r="J57" s="2331"/>
      <c r="K57" s="2331"/>
      <c r="L57" s="2332"/>
      <c r="M57" s="2331"/>
      <c r="N57" s="2331"/>
      <c r="O57" s="2332"/>
      <c r="P57" s="2331"/>
      <c r="Q57" s="2331"/>
      <c r="R57" s="2333"/>
    </row>
    <row r="58" spans="2:18" s="1914" customFormat="1">
      <c r="B58" s="2331"/>
      <c r="C58" s="2331"/>
      <c r="D58" s="2331"/>
      <c r="E58" s="2331"/>
      <c r="F58" s="2331"/>
      <c r="G58" s="2332"/>
      <c r="H58" s="2331"/>
      <c r="I58" s="2332"/>
      <c r="J58" s="2331"/>
      <c r="K58" s="2331"/>
      <c r="L58" s="2332"/>
      <c r="M58" s="2331"/>
      <c r="N58" s="2331"/>
      <c r="O58" s="2332"/>
      <c r="P58" s="2331"/>
      <c r="Q58" s="2331"/>
      <c r="R58" s="2333"/>
    </row>
    <row r="59" spans="2:18" s="1914" customFormat="1">
      <c r="B59" s="2331"/>
      <c r="C59" s="2331"/>
      <c r="D59" s="2331"/>
      <c r="E59" s="2331"/>
      <c r="F59" s="2331"/>
      <c r="G59" s="2332"/>
      <c r="H59" s="2331"/>
      <c r="I59" s="2332"/>
      <c r="J59" s="2331"/>
      <c r="K59" s="2331"/>
      <c r="L59" s="2332"/>
      <c r="M59" s="2331"/>
      <c r="N59" s="2331"/>
      <c r="O59" s="2332"/>
      <c r="P59" s="2331"/>
      <c r="Q59" s="2331"/>
      <c r="R59" s="2333"/>
    </row>
    <row r="60" spans="2:18" s="1914" customFormat="1">
      <c r="B60" s="2331"/>
      <c r="C60" s="2331"/>
      <c r="D60" s="2331"/>
      <c r="E60" s="2331"/>
      <c r="F60" s="2331"/>
      <c r="G60" s="2332"/>
      <c r="H60" s="2331"/>
      <c r="I60" s="2332"/>
      <c r="J60" s="2331"/>
      <c r="K60" s="2331"/>
      <c r="L60" s="2332"/>
      <c r="M60" s="2331"/>
      <c r="N60" s="2331"/>
      <c r="O60" s="2332"/>
      <c r="P60" s="2331"/>
      <c r="Q60" s="2331"/>
      <c r="R60" s="2333"/>
    </row>
    <row r="61" spans="2:18" s="1914" customFormat="1">
      <c r="B61" s="2331"/>
      <c r="C61" s="2331"/>
      <c r="D61" s="2331"/>
      <c r="E61" s="2331"/>
      <c r="F61" s="2331"/>
      <c r="G61" s="2332"/>
      <c r="H61" s="2331"/>
      <c r="I61" s="2332"/>
      <c r="J61" s="2331"/>
      <c r="K61" s="2331"/>
      <c r="L61" s="2332"/>
      <c r="M61" s="2331"/>
      <c r="N61" s="2331"/>
      <c r="O61" s="2332"/>
      <c r="P61" s="2331"/>
      <c r="Q61" s="2331"/>
      <c r="R61" s="2333"/>
    </row>
    <row r="62" spans="2:18" s="1914" customFormat="1">
      <c r="B62" s="2331"/>
      <c r="C62" s="2331"/>
      <c r="D62" s="2331"/>
      <c r="E62" s="2331"/>
      <c r="F62" s="2331"/>
      <c r="G62" s="2332"/>
      <c r="H62" s="2331"/>
      <c r="I62" s="2332"/>
      <c r="J62" s="2331"/>
      <c r="K62" s="2331"/>
      <c r="L62" s="2332"/>
      <c r="M62" s="2331"/>
      <c r="N62" s="2331"/>
      <c r="O62" s="2332"/>
      <c r="P62" s="2331"/>
      <c r="Q62" s="2331"/>
      <c r="R62" s="2333"/>
    </row>
    <row r="63" spans="2:18" s="1914" customFormat="1">
      <c r="B63" s="2331"/>
      <c r="C63" s="2331"/>
      <c r="D63" s="2331"/>
      <c r="E63" s="2331"/>
      <c r="F63" s="2331"/>
      <c r="G63" s="2332"/>
      <c r="H63" s="2331"/>
      <c r="I63" s="2332"/>
      <c r="J63" s="2331"/>
      <c r="K63" s="2331"/>
      <c r="L63" s="2332"/>
      <c r="M63" s="2331"/>
      <c r="N63" s="2331"/>
      <c r="O63" s="2332"/>
      <c r="P63" s="2331"/>
      <c r="Q63" s="2331"/>
      <c r="R63" s="2333"/>
    </row>
    <row r="64" spans="2:18" s="1914" customFormat="1">
      <c r="B64" s="2331"/>
      <c r="C64" s="2331"/>
      <c r="D64" s="2331"/>
      <c r="E64" s="2331"/>
      <c r="F64" s="2331"/>
      <c r="G64" s="2332"/>
      <c r="H64" s="2331"/>
      <c r="I64" s="2332"/>
      <c r="J64" s="2331"/>
      <c r="K64" s="2331"/>
      <c r="L64" s="2332"/>
      <c r="M64" s="2331"/>
      <c r="N64" s="2331"/>
      <c r="O64" s="2332"/>
      <c r="P64" s="2331"/>
      <c r="Q64" s="2331"/>
      <c r="R64" s="2333"/>
    </row>
    <row r="65" spans="2:18" s="1914" customFormat="1">
      <c r="B65" s="2331"/>
      <c r="C65" s="2331"/>
      <c r="D65" s="2331"/>
      <c r="E65" s="2331"/>
      <c r="F65" s="2331"/>
      <c r="G65" s="2332"/>
      <c r="H65" s="2331"/>
      <c r="I65" s="2332"/>
      <c r="J65" s="2331"/>
      <c r="K65" s="2331"/>
      <c r="L65" s="2332"/>
      <c r="M65" s="2331"/>
      <c r="N65" s="2331"/>
      <c r="O65" s="2332"/>
      <c r="P65" s="2331"/>
      <c r="Q65" s="2331"/>
      <c r="R65" s="2333"/>
    </row>
    <row r="66" spans="2:18" s="1914" customFormat="1">
      <c r="B66" s="2331"/>
      <c r="C66" s="2331"/>
      <c r="D66" s="2331"/>
      <c r="E66" s="2331"/>
      <c r="F66" s="2331"/>
      <c r="G66" s="2332"/>
      <c r="H66" s="2331"/>
      <c r="I66" s="2332"/>
      <c r="J66" s="2331"/>
      <c r="K66" s="2331"/>
      <c r="L66" s="2332"/>
      <c r="M66" s="2331"/>
      <c r="N66" s="2331"/>
      <c r="O66" s="2332"/>
      <c r="P66" s="2331"/>
      <c r="Q66" s="2331"/>
      <c r="R66" s="2333"/>
    </row>
    <row r="67" spans="2:18" s="1914" customFormat="1">
      <c r="B67" s="2331"/>
      <c r="C67" s="2331"/>
      <c r="D67" s="2331"/>
      <c r="E67" s="2331"/>
      <c r="F67" s="2331"/>
      <c r="G67" s="2332"/>
      <c r="H67" s="2331"/>
      <c r="I67" s="2332"/>
      <c r="J67" s="2331"/>
      <c r="K67" s="2331"/>
      <c r="L67" s="2332"/>
      <c r="M67" s="2331"/>
      <c r="N67" s="2331"/>
      <c r="O67" s="2332"/>
      <c r="P67" s="2331"/>
      <c r="Q67" s="2331"/>
      <c r="R67" s="2333"/>
    </row>
    <row r="68" spans="2:18" s="1914" customFormat="1">
      <c r="B68" s="2331"/>
      <c r="C68" s="2331"/>
      <c r="D68" s="2331"/>
      <c r="E68" s="2331"/>
      <c r="F68" s="2331"/>
      <c r="G68" s="2332"/>
      <c r="H68" s="2331"/>
      <c r="I68" s="2332"/>
      <c r="J68" s="2331"/>
      <c r="K68" s="2331"/>
      <c r="L68" s="2332"/>
      <c r="M68" s="2331"/>
      <c r="N68" s="2331"/>
      <c r="O68" s="2332"/>
      <c r="P68" s="2331"/>
      <c r="Q68" s="2331"/>
      <c r="R68" s="2333"/>
    </row>
    <row r="69" spans="2:18" s="1914" customFormat="1">
      <c r="B69" s="2331"/>
      <c r="C69" s="2331"/>
      <c r="D69" s="2331"/>
      <c r="E69" s="2331"/>
      <c r="F69" s="2331"/>
      <c r="G69" s="2332"/>
      <c r="H69" s="2331"/>
      <c r="I69" s="2332"/>
      <c r="J69" s="2331"/>
      <c r="K69" s="2331"/>
      <c r="L69" s="2332"/>
      <c r="M69" s="2331"/>
      <c r="N69" s="2331"/>
      <c r="O69" s="2332"/>
      <c r="P69" s="2331"/>
      <c r="Q69" s="2331"/>
      <c r="R69" s="2333"/>
    </row>
    <row r="70" spans="2:18" s="1914" customFormat="1">
      <c r="B70" s="2331"/>
      <c r="C70" s="2331"/>
      <c r="D70" s="2331"/>
      <c r="E70" s="2331"/>
      <c r="F70" s="2331"/>
      <c r="G70" s="2332"/>
      <c r="H70" s="2331"/>
      <c r="I70" s="2332"/>
      <c r="J70" s="2331"/>
      <c r="K70" s="2331"/>
      <c r="L70" s="2332"/>
      <c r="M70" s="2331"/>
      <c r="N70" s="2331"/>
      <c r="O70" s="2332"/>
      <c r="P70" s="2331"/>
      <c r="Q70" s="2331"/>
      <c r="R70" s="2333"/>
    </row>
    <row r="71" spans="2:18" s="1914" customFormat="1">
      <c r="B71" s="2331"/>
      <c r="C71" s="2331"/>
      <c r="D71" s="2331"/>
      <c r="E71" s="2331"/>
      <c r="F71" s="2331"/>
      <c r="G71" s="2332"/>
      <c r="H71" s="2331"/>
      <c r="I71" s="2332"/>
      <c r="J71" s="2331"/>
      <c r="K71" s="2331"/>
      <c r="L71" s="2332"/>
      <c r="M71" s="2331"/>
      <c r="N71" s="2331"/>
      <c r="O71" s="2332"/>
      <c r="P71" s="2331"/>
      <c r="Q71" s="2331"/>
      <c r="R71" s="2333"/>
    </row>
    <row r="72" spans="2:18" s="1914" customFormat="1">
      <c r="B72" s="2331"/>
      <c r="C72" s="2331"/>
      <c r="D72" s="2331"/>
      <c r="E72" s="2331"/>
      <c r="F72" s="2331"/>
      <c r="G72" s="2332"/>
      <c r="H72" s="2331"/>
      <c r="I72" s="2332"/>
      <c r="J72" s="2331"/>
      <c r="K72" s="2331"/>
      <c r="L72" s="2332"/>
      <c r="M72" s="2331"/>
      <c r="N72" s="2331"/>
      <c r="O72" s="2332"/>
      <c r="P72" s="2331"/>
      <c r="Q72" s="2331"/>
      <c r="R72" s="2333"/>
    </row>
    <row r="73" spans="2:18" s="1914" customFormat="1">
      <c r="B73" s="2331"/>
      <c r="C73" s="2331"/>
      <c r="D73" s="2331"/>
      <c r="E73" s="2331"/>
      <c r="F73" s="2331"/>
      <c r="G73" s="2332"/>
      <c r="H73" s="2331"/>
      <c r="I73" s="2332"/>
      <c r="J73" s="2331"/>
      <c r="K73" s="2331"/>
      <c r="L73" s="2332"/>
      <c r="M73" s="2331"/>
      <c r="N73" s="2331"/>
      <c r="O73" s="2332"/>
      <c r="P73" s="2331"/>
      <c r="Q73" s="2331"/>
      <c r="R73" s="2333"/>
    </row>
    <row r="74" spans="2:18" s="1914" customFormat="1">
      <c r="B74" s="2331"/>
      <c r="C74" s="2331"/>
      <c r="D74" s="2331"/>
      <c r="E74" s="2331"/>
      <c r="F74" s="2331"/>
      <c r="G74" s="2332"/>
      <c r="H74" s="2331"/>
      <c r="I74" s="2332"/>
      <c r="J74" s="2331"/>
      <c r="K74" s="2331"/>
      <c r="L74" s="2332"/>
      <c r="M74" s="2331"/>
      <c r="N74" s="2331"/>
      <c r="O74" s="2332"/>
      <c r="P74" s="2331"/>
      <c r="Q74" s="2331"/>
      <c r="R74" s="2333"/>
    </row>
    <row r="75" spans="2:18" s="1914" customFormat="1">
      <c r="B75" s="2331"/>
      <c r="C75" s="2331"/>
      <c r="D75" s="2331"/>
      <c r="E75" s="2331"/>
      <c r="F75" s="2331"/>
      <c r="G75" s="2332"/>
      <c r="H75" s="2331"/>
      <c r="I75" s="2332"/>
      <c r="J75" s="2331"/>
      <c r="K75" s="2331"/>
      <c r="L75" s="2332"/>
      <c r="M75" s="2331"/>
      <c r="N75" s="2331"/>
      <c r="O75" s="2332"/>
      <c r="P75" s="2331"/>
      <c r="Q75" s="2331"/>
      <c r="R75" s="2333"/>
    </row>
    <row r="76" spans="2:18" s="1914" customFormat="1">
      <c r="B76" s="2331"/>
      <c r="C76" s="2331"/>
      <c r="D76" s="2331"/>
      <c r="E76" s="2331"/>
      <c r="F76" s="2331"/>
      <c r="G76" s="2332"/>
      <c r="H76" s="2331"/>
      <c r="I76" s="2332"/>
      <c r="J76" s="2331"/>
      <c r="K76" s="2331"/>
      <c r="L76" s="2332"/>
      <c r="M76" s="2331"/>
      <c r="N76" s="2331"/>
      <c r="O76" s="2332"/>
      <c r="P76" s="2331"/>
      <c r="Q76" s="2331"/>
      <c r="R76" s="2333"/>
    </row>
    <row r="77" spans="2:18" s="1914" customFormat="1">
      <c r="B77" s="2331"/>
      <c r="C77" s="2331"/>
      <c r="D77" s="2331"/>
      <c r="E77" s="2331"/>
      <c r="F77" s="2331"/>
      <c r="G77" s="2332"/>
      <c r="H77" s="2331"/>
      <c r="I77" s="2332"/>
      <c r="J77" s="2331"/>
      <c r="K77" s="2331"/>
      <c r="L77" s="2332"/>
      <c r="M77" s="2331"/>
      <c r="N77" s="2331"/>
      <c r="O77" s="2332"/>
      <c r="P77" s="2331"/>
      <c r="Q77" s="2331"/>
      <c r="R77" s="2333"/>
    </row>
    <row r="78" spans="2:18" s="1914" customFormat="1">
      <c r="B78" s="2331"/>
      <c r="C78" s="2331"/>
      <c r="D78" s="2331"/>
      <c r="E78" s="2331"/>
      <c r="F78" s="2331"/>
      <c r="G78" s="2332"/>
      <c r="H78" s="2331"/>
      <c r="I78" s="2332"/>
      <c r="J78" s="2331"/>
      <c r="K78" s="2331"/>
      <c r="L78" s="2332"/>
      <c r="M78" s="2331"/>
      <c r="N78" s="2331"/>
      <c r="O78" s="2332"/>
      <c r="P78" s="2331"/>
      <c r="Q78" s="2331"/>
      <c r="R78" s="2333"/>
    </row>
    <row r="79" spans="2:18" s="1914" customFormat="1">
      <c r="B79" s="2331"/>
      <c r="C79" s="2331"/>
      <c r="D79" s="2331"/>
      <c r="E79" s="2331"/>
      <c r="F79" s="2331"/>
      <c r="G79" s="2332"/>
      <c r="H79" s="2331"/>
      <c r="I79" s="2332"/>
      <c r="J79" s="2331"/>
      <c r="K79" s="2331"/>
      <c r="L79" s="2332"/>
      <c r="M79" s="2331"/>
      <c r="N79" s="2331"/>
      <c r="O79" s="2332"/>
      <c r="P79" s="2331"/>
      <c r="Q79" s="2331"/>
      <c r="R79" s="2333"/>
    </row>
    <row r="80" spans="2:18" s="1914" customFormat="1">
      <c r="B80" s="2331"/>
      <c r="C80" s="2331"/>
      <c r="D80" s="2331"/>
      <c r="E80" s="2331"/>
      <c r="F80" s="2331"/>
      <c r="G80" s="2332"/>
      <c r="H80" s="2331"/>
      <c r="I80" s="2332"/>
      <c r="J80" s="2331"/>
      <c r="K80" s="2331"/>
      <c r="L80" s="2332"/>
      <c r="M80" s="2331"/>
      <c r="N80" s="2331"/>
      <c r="O80" s="2332"/>
      <c r="P80" s="2331"/>
      <c r="Q80" s="2331"/>
      <c r="R80" s="2333"/>
    </row>
    <row r="81" spans="2:18" s="1914" customFormat="1">
      <c r="B81" s="2331"/>
      <c r="C81" s="2331"/>
      <c r="D81" s="2331"/>
      <c r="E81" s="2331"/>
      <c r="F81" s="2331"/>
      <c r="G81" s="2332"/>
      <c r="H81" s="2331"/>
      <c r="I81" s="2332"/>
      <c r="J81" s="2331"/>
      <c r="K81" s="2331"/>
      <c r="L81" s="2332"/>
      <c r="M81" s="2331"/>
      <c r="N81" s="2331"/>
      <c r="O81" s="2332"/>
      <c r="P81" s="2331"/>
      <c r="Q81" s="2331"/>
      <c r="R81" s="2333"/>
    </row>
    <row r="82" spans="2:18" s="1914" customFormat="1">
      <c r="B82" s="2331"/>
      <c r="C82" s="2331"/>
      <c r="D82" s="2331"/>
      <c r="E82" s="2331"/>
      <c r="F82" s="2331"/>
      <c r="G82" s="2332"/>
      <c r="H82" s="2331"/>
      <c r="I82" s="2332"/>
      <c r="J82" s="2331"/>
      <c r="K82" s="2331"/>
      <c r="L82" s="2332"/>
      <c r="M82" s="2331"/>
      <c r="N82" s="2331"/>
      <c r="O82" s="2332"/>
      <c r="P82" s="2331"/>
      <c r="Q82" s="2331"/>
      <c r="R82" s="2333"/>
    </row>
    <row r="83" spans="2:18" s="1914" customFormat="1">
      <c r="B83" s="2331"/>
      <c r="C83" s="2331"/>
      <c r="D83" s="2331"/>
      <c r="E83" s="2331"/>
      <c r="F83" s="2331"/>
      <c r="G83" s="2332"/>
      <c r="H83" s="2331"/>
      <c r="I83" s="2332"/>
      <c r="J83" s="2331"/>
      <c r="K83" s="2331"/>
      <c r="L83" s="2332"/>
      <c r="M83" s="2331"/>
      <c r="N83" s="2331"/>
      <c r="O83" s="2332"/>
      <c r="P83" s="2331"/>
      <c r="Q83" s="2331"/>
      <c r="R83" s="2333"/>
    </row>
    <row r="84" spans="2:18" s="1914" customFormat="1">
      <c r="B84" s="2331"/>
      <c r="C84" s="2331"/>
      <c r="D84" s="2331"/>
      <c r="E84" s="2331"/>
      <c r="F84" s="2331"/>
      <c r="G84" s="2332"/>
      <c r="H84" s="2331"/>
      <c r="I84" s="2332"/>
      <c r="J84" s="2331"/>
      <c r="K84" s="2331"/>
      <c r="L84" s="2332"/>
      <c r="M84" s="2331"/>
      <c r="N84" s="2331"/>
      <c r="O84" s="2332"/>
      <c r="P84" s="2331"/>
      <c r="Q84" s="2331"/>
      <c r="R84" s="2333"/>
    </row>
    <row r="85" spans="2:18" s="1914" customFormat="1">
      <c r="B85" s="2331"/>
      <c r="C85" s="2331"/>
      <c r="D85" s="2331"/>
      <c r="E85" s="2331"/>
      <c r="F85" s="2331"/>
      <c r="G85" s="2332"/>
      <c r="H85" s="2331"/>
      <c r="I85" s="2332"/>
      <c r="J85" s="2331"/>
      <c r="K85" s="2331"/>
      <c r="L85" s="2332"/>
      <c r="M85" s="2331"/>
      <c r="N85" s="2331"/>
      <c r="O85" s="2332"/>
      <c r="P85" s="2331"/>
      <c r="Q85" s="2331"/>
      <c r="R85" s="2333"/>
    </row>
    <row r="86" spans="2:18" s="1914" customFormat="1">
      <c r="B86" s="2331"/>
      <c r="C86" s="2331"/>
      <c r="D86" s="2331"/>
      <c r="E86" s="2331"/>
      <c r="F86" s="2331"/>
      <c r="G86" s="2332"/>
      <c r="H86" s="2331"/>
      <c r="I86" s="2332"/>
      <c r="J86" s="2331"/>
      <c r="K86" s="2331"/>
      <c r="L86" s="2332"/>
      <c r="M86" s="2331"/>
      <c r="N86" s="2331"/>
      <c r="O86" s="2332"/>
      <c r="P86" s="2331"/>
      <c r="Q86" s="2331"/>
      <c r="R86" s="2333"/>
    </row>
    <row r="87" spans="2:18" s="1914" customFormat="1">
      <c r="B87" s="2331"/>
      <c r="C87" s="2331"/>
      <c r="D87" s="2331"/>
      <c r="E87" s="2331"/>
      <c r="F87" s="2331"/>
      <c r="G87" s="2332"/>
      <c r="H87" s="2331"/>
      <c r="I87" s="2332"/>
      <c r="J87" s="2331"/>
      <c r="K87" s="2331"/>
      <c r="L87" s="2332"/>
      <c r="M87" s="2331"/>
      <c r="N87" s="2331"/>
      <c r="O87" s="2332"/>
      <c r="P87" s="2331"/>
      <c r="Q87" s="2331"/>
      <c r="R87" s="2333"/>
    </row>
    <row r="88" spans="2:18" s="1914" customFormat="1">
      <c r="B88" s="2331"/>
      <c r="C88" s="2331"/>
      <c r="D88" s="2331"/>
      <c r="E88" s="2331"/>
      <c r="F88" s="2331"/>
      <c r="G88" s="2332"/>
      <c r="H88" s="2331"/>
      <c r="I88" s="2332"/>
      <c r="J88" s="2331"/>
      <c r="K88" s="2331"/>
      <c r="L88" s="2332"/>
      <c r="M88" s="2331"/>
      <c r="N88" s="2331"/>
      <c r="O88" s="2332"/>
      <c r="P88" s="2331"/>
      <c r="Q88" s="2331"/>
      <c r="R88" s="2333"/>
    </row>
    <row r="89" spans="2:18" s="1914" customFormat="1">
      <c r="B89" s="2331"/>
      <c r="C89" s="2331"/>
      <c r="D89" s="2331"/>
      <c r="E89" s="2331"/>
      <c r="F89" s="2331"/>
      <c r="G89" s="2332"/>
      <c r="H89" s="2331"/>
      <c r="I89" s="2332"/>
      <c r="J89" s="2331"/>
      <c r="K89" s="2331"/>
      <c r="L89" s="2332"/>
      <c r="M89" s="2331"/>
      <c r="N89" s="2331"/>
      <c r="O89" s="2332"/>
      <c r="P89" s="2331"/>
      <c r="Q89" s="2331"/>
      <c r="R89" s="2333"/>
    </row>
    <row r="90" spans="2:18" s="1914" customFormat="1">
      <c r="B90" s="2331"/>
      <c r="C90" s="2331"/>
      <c r="D90" s="2331"/>
      <c r="E90" s="2331"/>
      <c r="F90" s="2331"/>
      <c r="G90" s="2332"/>
      <c r="H90" s="2331"/>
      <c r="I90" s="2332"/>
      <c r="J90" s="2331"/>
      <c r="K90" s="2331"/>
      <c r="L90" s="2332"/>
      <c r="M90" s="2331"/>
      <c r="N90" s="2331"/>
      <c r="O90" s="2332"/>
      <c r="P90" s="2331"/>
      <c r="Q90" s="2331"/>
      <c r="R90" s="2333"/>
    </row>
    <row r="91" spans="2:18" s="1914" customFormat="1">
      <c r="B91" s="2331"/>
      <c r="C91" s="2331"/>
      <c r="D91" s="2331"/>
      <c r="E91" s="2331"/>
      <c r="F91" s="2331"/>
      <c r="G91" s="2332"/>
      <c r="H91" s="2331"/>
      <c r="I91" s="2332"/>
      <c r="J91" s="2331"/>
      <c r="K91" s="2331"/>
      <c r="L91" s="2332"/>
      <c r="M91" s="2331"/>
      <c r="N91" s="2331"/>
      <c r="O91" s="2332"/>
      <c r="P91" s="2331"/>
      <c r="Q91" s="2331"/>
      <c r="R91" s="2333"/>
    </row>
    <row r="92" spans="2:18" s="1914" customFormat="1">
      <c r="B92" s="2331"/>
      <c r="C92" s="2331"/>
      <c r="D92" s="2331"/>
      <c r="E92" s="2331"/>
      <c r="F92" s="2331"/>
      <c r="G92" s="2332"/>
      <c r="H92" s="2331"/>
      <c r="I92" s="2332"/>
      <c r="J92" s="2331"/>
      <c r="K92" s="2331"/>
      <c r="L92" s="2332"/>
      <c r="M92" s="2331"/>
      <c r="N92" s="2331"/>
      <c r="O92" s="2332"/>
      <c r="P92" s="2331"/>
      <c r="Q92" s="2331"/>
      <c r="R92" s="2333"/>
    </row>
    <row r="93" spans="2:18" s="1914" customFormat="1">
      <c r="B93" s="2331"/>
      <c r="C93" s="2331"/>
      <c r="D93" s="2331"/>
      <c r="E93" s="2331"/>
      <c r="F93" s="2331"/>
      <c r="G93" s="2332"/>
      <c r="H93" s="2331"/>
      <c r="I93" s="2332"/>
      <c r="J93" s="2331"/>
      <c r="K93" s="2331"/>
      <c r="L93" s="2332"/>
      <c r="M93" s="2331"/>
      <c r="N93" s="2331"/>
      <c r="O93" s="2332"/>
      <c r="P93" s="2331"/>
      <c r="Q93" s="2331"/>
      <c r="R93" s="2333"/>
    </row>
    <row r="94" spans="2:18" s="1914" customFormat="1">
      <c r="B94" s="2331"/>
      <c r="C94" s="2331"/>
      <c r="D94" s="2331"/>
      <c r="E94" s="2331"/>
      <c r="F94" s="2331"/>
      <c r="G94" s="2332"/>
      <c r="H94" s="2331"/>
      <c r="I94" s="2332"/>
      <c r="J94" s="2331"/>
      <c r="K94" s="2331"/>
      <c r="L94" s="2332"/>
      <c r="M94" s="2331"/>
      <c r="N94" s="2331"/>
      <c r="O94" s="2332"/>
      <c r="P94" s="2331"/>
      <c r="Q94" s="2331"/>
      <c r="R94" s="2333"/>
    </row>
    <row r="95" spans="2:18" s="1914" customFormat="1">
      <c r="B95" s="2331"/>
      <c r="C95" s="2331"/>
      <c r="D95" s="2331"/>
      <c r="E95" s="2331"/>
      <c r="F95" s="2331"/>
      <c r="G95" s="2332"/>
      <c r="H95" s="2331"/>
      <c r="I95" s="2332"/>
      <c r="J95" s="2331"/>
      <c r="K95" s="2331"/>
      <c r="L95" s="2332"/>
      <c r="M95" s="2331"/>
      <c r="N95" s="2331"/>
      <c r="O95" s="2332"/>
      <c r="P95" s="2331"/>
      <c r="Q95" s="2331"/>
      <c r="R95" s="2333"/>
    </row>
    <row r="96" spans="2:18" s="1914" customFormat="1">
      <c r="B96" s="2331"/>
      <c r="C96" s="2331"/>
      <c r="D96" s="2331"/>
      <c r="E96" s="2331"/>
      <c r="F96" s="2331"/>
      <c r="G96" s="2332"/>
      <c r="H96" s="2331"/>
      <c r="I96" s="2332"/>
      <c r="J96" s="2331"/>
      <c r="K96" s="2331"/>
      <c r="L96" s="2332"/>
      <c r="M96" s="2331"/>
      <c r="N96" s="2331"/>
      <c r="O96" s="2332"/>
      <c r="P96" s="2331"/>
      <c r="Q96" s="2331"/>
      <c r="R96" s="2333"/>
    </row>
    <row r="97" spans="2:18" s="1914" customFormat="1">
      <c r="B97" s="2331"/>
      <c r="C97" s="2331"/>
      <c r="D97" s="2331"/>
      <c r="E97" s="2331"/>
      <c r="F97" s="2331"/>
      <c r="G97" s="2332"/>
      <c r="H97" s="2331"/>
      <c r="I97" s="2332"/>
      <c r="J97" s="2331"/>
      <c r="K97" s="2331"/>
      <c r="L97" s="2332"/>
      <c r="M97" s="2331"/>
      <c r="N97" s="2331"/>
      <c r="O97" s="2332"/>
      <c r="P97" s="2331"/>
      <c r="Q97" s="2331"/>
      <c r="R97" s="2333"/>
    </row>
    <row r="98" spans="2:18" s="1914" customFormat="1">
      <c r="B98" s="2331"/>
      <c r="C98" s="2331"/>
      <c r="D98" s="2331"/>
      <c r="E98" s="2331"/>
      <c r="F98" s="2331"/>
      <c r="G98" s="2332"/>
      <c r="H98" s="2331"/>
      <c r="I98" s="2332"/>
      <c r="J98" s="2331"/>
      <c r="K98" s="2331"/>
      <c r="L98" s="2332"/>
      <c r="M98" s="2331"/>
      <c r="N98" s="2331"/>
      <c r="O98" s="2332"/>
      <c r="P98" s="2331"/>
      <c r="Q98" s="2331"/>
      <c r="R98" s="2333"/>
    </row>
    <row r="99" spans="2:18" s="1914" customFormat="1">
      <c r="B99" s="2331"/>
      <c r="C99" s="2331"/>
      <c r="D99" s="2331"/>
      <c r="E99" s="2331"/>
      <c r="F99" s="2331"/>
      <c r="G99" s="2332"/>
      <c r="H99" s="2331"/>
      <c r="I99" s="2332"/>
      <c r="J99" s="2331"/>
      <c r="K99" s="2331"/>
      <c r="L99" s="2332"/>
      <c r="M99" s="2331"/>
      <c r="N99" s="2331"/>
      <c r="O99" s="2332"/>
      <c r="P99" s="2331"/>
      <c r="Q99" s="2331"/>
      <c r="R99" s="2333"/>
    </row>
    <row r="100" spans="2:18" s="1914" customFormat="1">
      <c r="B100" s="2331"/>
      <c r="C100" s="2331"/>
      <c r="D100" s="2331"/>
      <c r="E100" s="2331"/>
      <c r="F100" s="2331"/>
      <c r="G100" s="2332"/>
      <c r="H100" s="2331"/>
      <c r="I100" s="2332"/>
      <c r="J100" s="2331"/>
      <c r="K100" s="2331"/>
      <c r="L100" s="2332"/>
      <c r="M100" s="2331"/>
      <c r="N100" s="2331"/>
      <c r="O100" s="2332"/>
      <c r="P100" s="2331"/>
      <c r="Q100" s="2331"/>
      <c r="R100" s="2333"/>
    </row>
    <row r="101" spans="2:18" s="1914" customFormat="1">
      <c r="B101" s="2331"/>
      <c r="C101" s="2331"/>
      <c r="D101" s="2331"/>
      <c r="E101" s="2331"/>
      <c r="F101" s="2331"/>
      <c r="G101" s="2332"/>
      <c r="H101" s="2331"/>
      <c r="I101" s="2332"/>
      <c r="J101" s="2331"/>
      <c r="K101" s="2331"/>
      <c r="L101" s="2332"/>
      <c r="M101" s="2331"/>
      <c r="N101" s="2331"/>
      <c r="O101" s="2332"/>
      <c r="P101" s="2331"/>
      <c r="Q101" s="2331"/>
      <c r="R101" s="2333"/>
    </row>
    <row r="102" spans="2:18" s="1914" customFormat="1">
      <c r="B102" s="2331"/>
      <c r="C102" s="2331"/>
      <c r="D102" s="2331"/>
      <c r="E102" s="2331"/>
      <c r="F102" s="2331"/>
      <c r="G102" s="2332"/>
      <c r="H102" s="2331"/>
      <c r="I102" s="2332"/>
      <c r="J102" s="2331"/>
      <c r="K102" s="2331"/>
      <c r="L102" s="2332"/>
      <c r="M102" s="2331"/>
      <c r="N102" s="2331"/>
      <c r="O102" s="2332"/>
      <c r="P102" s="2331"/>
      <c r="Q102" s="2331"/>
      <c r="R102" s="2333"/>
    </row>
    <row r="103" spans="2:18" s="1914" customFormat="1">
      <c r="B103" s="2331"/>
      <c r="C103" s="2331"/>
      <c r="D103" s="2331"/>
      <c r="E103" s="2331"/>
      <c r="F103" s="2331"/>
      <c r="G103" s="2332"/>
      <c r="H103" s="2331"/>
      <c r="I103" s="2332"/>
      <c r="J103" s="2331"/>
      <c r="K103" s="2331"/>
      <c r="L103" s="2332"/>
      <c r="M103" s="2331"/>
      <c r="N103" s="2331"/>
      <c r="O103" s="2332"/>
      <c r="P103" s="2331"/>
      <c r="Q103" s="2331"/>
      <c r="R103" s="2333"/>
    </row>
    <row r="104" spans="2:18" s="1914" customFormat="1">
      <c r="B104" s="2331"/>
      <c r="C104" s="2331"/>
      <c r="D104" s="2331"/>
      <c r="E104" s="2331"/>
      <c r="F104" s="2331"/>
      <c r="G104" s="2332"/>
      <c r="H104" s="2331"/>
      <c r="I104" s="2332"/>
      <c r="J104" s="2331"/>
      <c r="K104" s="2331"/>
      <c r="L104" s="2332"/>
      <c r="M104" s="2331"/>
      <c r="N104" s="2331"/>
      <c r="O104" s="2332"/>
      <c r="P104" s="2331"/>
      <c r="Q104" s="2331"/>
      <c r="R104" s="2333"/>
    </row>
    <row r="105" spans="2:18" s="1914" customFormat="1">
      <c r="B105" s="2331"/>
      <c r="C105" s="2331"/>
      <c r="D105" s="2331"/>
      <c r="E105" s="2331"/>
      <c r="F105" s="2331"/>
      <c r="G105" s="2332"/>
      <c r="H105" s="2331"/>
      <c r="I105" s="2332"/>
      <c r="J105" s="2331"/>
      <c r="K105" s="2331"/>
      <c r="L105" s="2332"/>
      <c r="M105" s="2331"/>
      <c r="N105" s="2331"/>
      <c r="O105" s="2332"/>
      <c r="P105" s="2331"/>
      <c r="Q105" s="2331"/>
      <c r="R105" s="2333"/>
    </row>
    <row r="106" spans="2:18" s="1914" customFormat="1">
      <c r="B106" s="2331"/>
      <c r="C106" s="2331"/>
      <c r="D106" s="2331"/>
      <c r="E106" s="2331"/>
      <c r="F106" s="2331"/>
      <c r="G106" s="2332"/>
      <c r="H106" s="2331"/>
      <c r="I106" s="2332"/>
      <c r="J106" s="2331"/>
      <c r="K106" s="2331"/>
      <c r="L106" s="2332"/>
      <c r="M106" s="2331"/>
      <c r="N106" s="2331"/>
      <c r="O106" s="2332"/>
      <c r="P106" s="2331"/>
      <c r="Q106" s="2331"/>
      <c r="R106" s="2333"/>
    </row>
    <row r="107" spans="2:18" s="1914" customFormat="1">
      <c r="B107" s="2331"/>
      <c r="C107" s="2331"/>
      <c r="D107" s="2331"/>
      <c r="E107" s="2331"/>
      <c r="F107" s="2331"/>
      <c r="G107" s="2332"/>
      <c r="H107" s="2331"/>
      <c r="I107" s="2332"/>
      <c r="J107" s="2331"/>
      <c r="K107" s="2331"/>
      <c r="L107" s="2332"/>
      <c r="M107" s="2331"/>
      <c r="N107" s="2331"/>
      <c r="O107" s="2332"/>
      <c r="P107" s="2331"/>
      <c r="Q107" s="2331"/>
      <c r="R107" s="2333"/>
    </row>
    <row r="108" spans="2:18" s="1914" customFormat="1">
      <c r="B108" s="2331"/>
      <c r="C108" s="2331"/>
      <c r="D108" s="2331"/>
      <c r="E108" s="2331"/>
      <c r="F108" s="2331"/>
      <c r="G108" s="2332"/>
      <c r="H108" s="2331"/>
      <c r="I108" s="2332"/>
      <c r="J108" s="2331"/>
      <c r="K108" s="2331"/>
      <c r="L108" s="2332"/>
      <c r="M108" s="2331"/>
      <c r="N108" s="2331"/>
      <c r="O108" s="2332"/>
      <c r="P108" s="2331"/>
      <c r="Q108" s="2331"/>
      <c r="R108" s="2333"/>
    </row>
    <row r="109" spans="2:18" s="1914" customFormat="1">
      <c r="B109" s="2331"/>
      <c r="C109" s="2331"/>
      <c r="D109" s="2331"/>
      <c r="E109" s="2331"/>
      <c r="F109" s="2331"/>
      <c r="G109" s="2332"/>
      <c r="H109" s="2331"/>
      <c r="I109" s="2332"/>
      <c r="J109" s="2331"/>
      <c r="K109" s="2331"/>
      <c r="L109" s="2332"/>
      <c r="M109" s="2331"/>
      <c r="N109" s="2331"/>
      <c r="O109" s="2332"/>
      <c r="P109" s="2331"/>
      <c r="Q109" s="2331"/>
      <c r="R109" s="2333"/>
    </row>
    <row r="110" spans="2:18" s="1914" customFormat="1">
      <c r="B110" s="2331"/>
      <c r="C110" s="2331"/>
      <c r="D110" s="2331"/>
      <c r="E110" s="2331"/>
      <c r="F110" s="2331"/>
      <c r="G110" s="2332"/>
      <c r="H110" s="2331"/>
      <c r="I110" s="2332"/>
      <c r="J110" s="2331"/>
      <c r="K110" s="2331"/>
      <c r="L110" s="2332"/>
      <c r="M110" s="2331"/>
      <c r="N110" s="2331"/>
      <c r="O110" s="2332"/>
      <c r="P110" s="2331"/>
      <c r="Q110" s="2331"/>
      <c r="R110" s="2333"/>
    </row>
    <row r="111" spans="2:18" s="1914" customFormat="1">
      <c r="B111" s="2331"/>
      <c r="C111" s="2331"/>
      <c r="D111" s="2331"/>
      <c r="E111" s="2331"/>
      <c r="F111" s="2331"/>
      <c r="G111" s="2332"/>
      <c r="H111" s="2331"/>
      <c r="I111" s="2332"/>
      <c r="J111" s="2331"/>
      <c r="K111" s="2331"/>
      <c r="L111" s="2332"/>
      <c r="M111" s="2331"/>
      <c r="N111" s="2331"/>
      <c r="O111" s="2332"/>
      <c r="P111" s="2331"/>
      <c r="Q111" s="2331"/>
      <c r="R111" s="2333"/>
    </row>
    <row r="112" spans="2:18" s="1914" customFormat="1">
      <c r="B112" s="2331"/>
      <c r="C112" s="2331"/>
      <c r="D112" s="2331"/>
      <c r="E112" s="2331"/>
      <c r="F112" s="2331"/>
      <c r="G112" s="2332"/>
      <c r="H112" s="2331"/>
      <c r="I112" s="2332"/>
      <c r="J112" s="2331"/>
      <c r="K112" s="2331"/>
      <c r="L112" s="2332"/>
      <c r="M112" s="2331"/>
      <c r="N112" s="2331"/>
      <c r="O112" s="2332"/>
      <c r="P112" s="2331"/>
      <c r="Q112" s="2331"/>
      <c r="R112" s="2333"/>
    </row>
    <row r="113" spans="2:18" s="1914" customFormat="1">
      <c r="B113" s="2331"/>
      <c r="C113" s="2331"/>
      <c r="D113" s="2331"/>
      <c r="E113" s="2331"/>
      <c r="F113" s="2331"/>
      <c r="G113" s="2332"/>
      <c r="H113" s="2331"/>
      <c r="I113" s="2332"/>
      <c r="J113" s="2331"/>
      <c r="K113" s="2331"/>
      <c r="L113" s="2332"/>
      <c r="M113" s="2331"/>
      <c r="N113" s="2331"/>
      <c r="O113" s="2332"/>
      <c r="P113" s="2331"/>
      <c r="Q113" s="2331"/>
      <c r="R113" s="2333"/>
    </row>
    <row r="114" spans="2:18" s="1914" customFormat="1">
      <c r="B114" s="2331"/>
      <c r="C114" s="2331"/>
      <c r="D114" s="2331"/>
      <c r="E114" s="2331"/>
      <c r="F114" s="2331"/>
      <c r="G114" s="2332"/>
      <c r="H114" s="2331"/>
      <c r="I114" s="2332"/>
      <c r="J114" s="2331"/>
      <c r="K114" s="2331"/>
      <c r="L114" s="2332"/>
      <c r="M114" s="2331"/>
      <c r="N114" s="2331"/>
      <c r="O114" s="2332"/>
      <c r="P114" s="2331"/>
      <c r="Q114" s="2331"/>
      <c r="R114" s="2333"/>
    </row>
    <row r="115" spans="2:18" s="1914" customFormat="1">
      <c r="B115" s="2331"/>
      <c r="C115" s="2331"/>
      <c r="D115" s="2331"/>
      <c r="E115" s="2331"/>
      <c r="F115" s="2331"/>
      <c r="G115" s="2332"/>
      <c r="H115" s="2331"/>
      <c r="I115" s="2332"/>
      <c r="J115" s="2331"/>
      <c r="K115" s="2331"/>
      <c r="L115" s="2332"/>
      <c r="M115" s="2331"/>
      <c r="N115" s="2331"/>
      <c r="O115" s="2332"/>
      <c r="P115" s="2331"/>
      <c r="Q115" s="2331"/>
      <c r="R115" s="2333"/>
    </row>
    <row r="116" spans="2:18" s="1914" customFormat="1">
      <c r="B116" s="2331"/>
      <c r="C116" s="2331"/>
      <c r="D116" s="2331"/>
      <c r="E116" s="2331"/>
      <c r="F116" s="2331"/>
      <c r="G116" s="2332"/>
      <c r="H116" s="2331"/>
      <c r="I116" s="2332"/>
      <c r="J116" s="2331"/>
      <c r="K116" s="2331"/>
      <c r="L116" s="2332"/>
      <c r="M116" s="2331"/>
      <c r="N116" s="2331"/>
      <c r="O116" s="2332"/>
      <c r="P116" s="2331"/>
      <c r="Q116" s="2331"/>
      <c r="R116" s="2333"/>
    </row>
    <row r="117" spans="2:18" s="1914" customFormat="1">
      <c r="B117" s="2331"/>
      <c r="C117" s="2331"/>
      <c r="D117" s="2331"/>
      <c r="E117" s="2331"/>
      <c r="F117" s="2331"/>
      <c r="G117" s="2332"/>
      <c r="H117" s="2331"/>
      <c r="I117" s="2332"/>
      <c r="J117" s="2331"/>
      <c r="K117" s="2331"/>
      <c r="L117" s="2332"/>
      <c r="M117" s="2331"/>
      <c r="N117" s="2331"/>
      <c r="O117" s="2332"/>
      <c r="P117" s="2331"/>
      <c r="Q117" s="2331"/>
      <c r="R117" s="2333"/>
    </row>
    <row r="118" spans="2:18" s="1914" customFormat="1">
      <c r="B118" s="2331"/>
      <c r="C118" s="2331"/>
      <c r="D118" s="2331"/>
      <c r="E118" s="2331"/>
      <c r="F118" s="2331"/>
      <c r="G118" s="2332"/>
      <c r="H118" s="2331"/>
      <c r="I118" s="2332"/>
      <c r="J118" s="2331"/>
      <c r="K118" s="2331"/>
      <c r="L118" s="2332"/>
      <c r="M118" s="2331"/>
      <c r="N118" s="2331"/>
      <c r="O118" s="2332"/>
      <c r="P118" s="2331"/>
      <c r="Q118" s="2331"/>
      <c r="R118" s="2333"/>
    </row>
    <row r="119" spans="2:18" s="1914" customFormat="1">
      <c r="B119" s="2331"/>
      <c r="C119" s="2331"/>
      <c r="D119" s="2331"/>
      <c r="E119" s="2331"/>
      <c r="F119" s="2331"/>
      <c r="G119" s="2332"/>
      <c r="H119" s="2331"/>
      <c r="I119" s="2332"/>
      <c r="J119" s="2331"/>
      <c r="K119" s="2331"/>
      <c r="L119" s="2332"/>
      <c r="M119" s="2331"/>
      <c r="N119" s="2331"/>
      <c r="O119" s="2332"/>
      <c r="P119" s="2331"/>
      <c r="Q119" s="2331"/>
      <c r="R119" s="2333"/>
    </row>
    <row r="120" spans="2:18" s="1914" customFormat="1">
      <c r="B120" s="2331"/>
      <c r="C120" s="2331"/>
      <c r="D120" s="2331"/>
      <c r="E120" s="2331"/>
      <c r="F120" s="2331"/>
      <c r="G120" s="2332"/>
      <c r="H120" s="2331"/>
      <c r="I120" s="2332"/>
      <c r="J120" s="2331"/>
      <c r="K120" s="2331"/>
      <c r="L120" s="2332"/>
      <c r="M120" s="2331"/>
      <c r="N120" s="2331"/>
      <c r="O120" s="2332"/>
      <c r="P120" s="2331"/>
      <c r="Q120" s="2331"/>
      <c r="R120" s="2333"/>
    </row>
    <row r="121" spans="2:18" s="1914" customFormat="1">
      <c r="B121" s="2331"/>
      <c r="C121" s="2331"/>
      <c r="D121" s="2331"/>
      <c r="E121" s="2331"/>
      <c r="F121" s="2331"/>
      <c r="G121" s="2332"/>
      <c r="H121" s="2331"/>
      <c r="I121" s="2332"/>
      <c r="J121" s="2331"/>
      <c r="K121" s="2331"/>
      <c r="L121" s="2332"/>
      <c r="M121" s="2331"/>
      <c r="N121" s="2331"/>
      <c r="O121" s="2332"/>
      <c r="P121" s="2331"/>
      <c r="Q121" s="2331"/>
      <c r="R121" s="2333"/>
    </row>
    <row r="122" spans="2:18" s="1914" customFormat="1">
      <c r="B122" s="2331"/>
      <c r="C122" s="2331"/>
      <c r="D122" s="2331"/>
      <c r="E122" s="2331"/>
      <c r="F122" s="2331"/>
      <c r="G122" s="2332"/>
      <c r="H122" s="2331"/>
      <c r="I122" s="2332"/>
      <c r="J122" s="2331"/>
      <c r="K122" s="2331"/>
      <c r="L122" s="2332"/>
      <c r="M122" s="2331"/>
      <c r="N122" s="2331"/>
      <c r="O122" s="2332"/>
      <c r="P122" s="2331"/>
      <c r="Q122" s="2331"/>
      <c r="R122" s="2333"/>
    </row>
    <row r="123" spans="2:18" s="1914" customFormat="1">
      <c r="B123" s="2331"/>
      <c r="C123" s="2331"/>
      <c r="D123" s="2331"/>
      <c r="E123" s="2331"/>
      <c r="F123" s="2331"/>
      <c r="G123" s="2332"/>
      <c r="H123" s="2331"/>
      <c r="I123" s="2332"/>
      <c r="J123" s="2331"/>
      <c r="K123" s="2331"/>
      <c r="L123" s="2332"/>
      <c r="M123" s="2331"/>
      <c r="N123" s="2331"/>
      <c r="O123" s="2332"/>
      <c r="P123" s="2331"/>
      <c r="Q123" s="2331"/>
      <c r="R123" s="2333"/>
    </row>
    <row r="124" spans="2:18" s="1914" customFormat="1">
      <c r="B124" s="2331"/>
      <c r="C124" s="2331"/>
      <c r="D124" s="2331"/>
      <c r="E124" s="2331"/>
      <c r="F124" s="2331"/>
      <c r="G124" s="2332"/>
      <c r="H124" s="2331"/>
      <c r="I124" s="2332"/>
      <c r="J124" s="2331"/>
      <c r="K124" s="2331"/>
      <c r="L124" s="2332"/>
      <c r="M124" s="2331"/>
      <c r="N124" s="2331"/>
      <c r="O124" s="2332"/>
      <c r="P124" s="2331"/>
      <c r="Q124" s="2331"/>
      <c r="R124" s="2333"/>
    </row>
    <row r="125" spans="2:18" s="1914" customFormat="1">
      <c r="B125" s="2331"/>
      <c r="C125" s="2331"/>
      <c r="D125" s="2331"/>
      <c r="E125" s="2331"/>
      <c r="F125" s="2331"/>
      <c r="G125" s="2332"/>
      <c r="H125" s="2331"/>
      <c r="I125" s="2332"/>
      <c r="J125" s="2331"/>
      <c r="K125" s="2331"/>
      <c r="L125" s="2332"/>
      <c r="M125" s="2331"/>
      <c r="N125" s="2331"/>
      <c r="O125" s="2332"/>
      <c r="P125" s="2331"/>
      <c r="Q125" s="2331"/>
      <c r="R125" s="2333"/>
    </row>
    <row r="126" spans="2:18" s="1914" customFormat="1">
      <c r="B126" s="2331"/>
      <c r="C126" s="2331"/>
      <c r="D126" s="2331"/>
      <c r="E126" s="2331"/>
      <c r="F126" s="2331"/>
      <c r="G126" s="2332"/>
      <c r="H126" s="2331"/>
      <c r="I126" s="2332"/>
      <c r="J126" s="2331"/>
      <c r="K126" s="2331"/>
      <c r="L126" s="2332"/>
      <c r="M126" s="2331"/>
      <c r="N126" s="2331"/>
      <c r="O126" s="2332"/>
      <c r="P126" s="2331"/>
      <c r="Q126" s="2331"/>
      <c r="R126" s="2333"/>
    </row>
    <row r="127" spans="2:18" s="1914" customFormat="1">
      <c r="B127" s="2331"/>
      <c r="C127" s="2331"/>
      <c r="D127" s="2331"/>
      <c r="E127" s="2331"/>
      <c r="F127" s="2331"/>
      <c r="G127" s="2332"/>
      <c r="H127" s="2331"/>
      <c r="I127" s="2332"/>
      <c r="J127" s="2331"/>
      <c r="K127" s="2331"/>
      <c r="L127" s="2332"/>
      <c r="M127" s="2331"/>
      <c r="N127" s="2331"/>
      <c r="O127" s="2332"/>
      <c r="P127" s="2331"/>
      <c r="Q127" s="2331"/>
      <c r="R127" s="2333"/>
    </row>
    <row r="128" spans="2:18" s="1914" customFormat="1">
      <c r="B128" s="2331"/>
      <c r="C128" s="2331"/>
      <c r="D128" s="2331"/>
      <c r="E128" s="2331"/>
      <c r="F128" s="2331"/>
      <c r="G128" s="2332"/>
      <c r="H128" s="2331"/>
      <c r="I128" s="2332"/>
      <c r="J128" s="2331"/>
      <c r="K128" s="2331"/>
      <c r="L128" s="2332"/>
      <c r="M128" s="2331"/>
      <c r="N128" s="2331"/>
      <c r="O128" s="2332"/>
      <c r="P128" s="2331"/>
      <c r="Q128" s="2331"/>
      <c r="R128" s="2333"/>
    </row>
    <row r="129" spans="2:18" s="1914" customFormat="1">
      <c r="B129" s="2331"/>
      <c r="C129" s="2331"/>
      <c r="D129" s="2331"/>
      <c r="E129" s="2331"/>
      <c r="F129" s="2331"/>
      <c r="G129" s="2332"/>
      <c r="H129" s="2331"/>
      <c r="I129" s="2332"/>
      <c r="J129" s="2331"/>
      <c r="K129" s="2331"/>
      <c r="L129" s="2332"/>
      <c r="M129" s="2331"/>
      <c r="N129" s="2331"/>
      <c r="O129" s="2332"/>
      <c r="P129" s="2331"/>
      <c r="Q129" s="2331"/>
      <c r="R129" s="2333"/>
    </row>
    <row r="130" spans="2:18" s="1914" customFormat="1">
      <c r="B130" s="2331"/>
      <c r="C130" s="2331"/>
      <c r="D130" s="2331"/>
      <c r="E130" s="2331"/>
      <c r="F130" s="2331"/>
      <c r="G130" s="2332"/>
      <c r="H130" s="2331"/>
      <c r="I130" s="2332"/>
      <c r="J130" s="2331"/>
      <c r="K130" s="2331"/>
      <c r="L130" s="2332"/>
      <c r="M130" s="2331"/>
      <c r="N130" s="2331"/>
      <c r="O130" s="2332"/>
      <c r="P130" s="2331"/>
      <c r="Q130" s="2331"/>
      <c r="R130" s="2333"/>
    </row>
    <row r="131" spans="2:18" s="1914" customFormat="1">
      <c r="B131" s="2331"/>
      <c r="C131" s="2331"/>
      <c r="D131" s="2331"/>
      <c r="E131" s="2331"/>
      <c r="F131" s="2331"/>
      <c r="G131" s="2332"/>
      <c r="H131" s="2331"/>
      <c r="I131" s="2332"/>
      <c r="J131" s="2331"/>
      <c r="K131" s="2331"/>
      <c r="L131" s="2332"/>
      <c r="M131" s="2331"/>
      <c r="N131" s="2331"/>
      <c r="O131" s="2332"/>
      <c r="P131" s="2331"/>
      <c r="Q131" s="2331"/>
      <c r="R131" s="2333"/>
    </row>
    <row r="132" spans="2:18" s="1914" customFormat="1">
      <c r="B132" s="2331"/>
      <c r="C132" s="2331"/>
      <c r="D132" s="2331"/>
      <c r="E132" s="2331"/>
      <c r="F132" s="2331"/>
      <c r="G132" s="2332"/>
      <c r="H132" s="2331"/>
      <c r="I132" s="2332"/>
      <c r="J132" s="2331"/>
      <c r="K132" s="2331"/>
      <c r="L132" s="2332"/>
      <c r="M132" s="2331"/>
      <c r="N132" s="2331"/>
      <c r="O132" s="2332"/>
      <c r="P132" s="2331"/>
      <c r="Q132" s="2331"/>
      <c r="R132" s="2333"/>
    </row>
    <row r="133" spans="2:18" s="1914" customFormat="1">
      <c r="B133" s="2331"/>
      <c r="C133" s="2331"/>
      <c r="D133" s="2331"/>
      <c r="E133" s="2331"/>
      <c r="F133" s="2331"/>
      <c r="G133" s="2332"/>
      <c r="H133" s="2331"/>
      <c r="I133" s="2332"/>
      <c r="J133" s="2331"/>
      <c r="K133" s="2331"/>
      <c r="L133" s="2332"/>
      <c r="M133" s="2331"/>
      <c r="N133" s="2331"/>
      <c r="O133" s="2332"/>
      <c r="P133" s="2331"/>
      <c r="Q133" s="2331"/>
      <c r="R133" s="2333"/>
    </row>
    <row r="134" spans="2:18" s="1914" customFormat="1">
      <c r="B134" s="2331"/>
      <c r="C134" s="2331"/>
      <c r="D134" s="2331"/>
      <c r="E134" s="2331"/>
      <c r="F134" s="2331"/>
      <c r="G134" s="2332"/>
      <c r="H134" s="2331"/>
      <c r="I134" s="2332"/>
      <c r="J134" s="2331"/>
      <c r="K134" s="2331"/>
      <c r="L134" s="2332"/>
      <c r="M134" s="2331"/>
      <c r="N134" s="2331"/>
      <c r="O134" s="2332"/>
      <c r="P134" s="2331"/>
      <c r="Q134" s="2331"/>
      <c r="R134" s="2333"/>
    </row>
    <row r="135" spans="2:18" s="1914" customFormat="1">
      <c r="B135" s="2331"/>
      <c r="C135" s="2331"/>
      <c r="D135" s="2331"/>
      <c r="E135" s="2331"/>
      <c r="F135" s="2331"/>
      <c r="G135" s="2332"/>
      <c r="H135" s="2331"/>
      <c r="I135" s="2332"/>
      <c r="J135" s="2331"/>
      <c r="K135" s="2331"/>
      <c r="L135" s="2332"/>
      <c r="M135" s="2331"/>
      <c r="N135" s="2331"/>
      <c r="O135" s="2332"/>
      <c r="P135" s="2331"/>
      <c r="Q135" s="2331"/>
      <c r="R135" s="2333"/>
    </row>
    <row r="136" spans="2:18" s="1914" customFormat="1">
      <c r="B136" s="2331"/>
      <c r="C136" s="2331"/>
      <c r="D136" s="2331"/>
      <c r="E136" s="2331"/>
      <c r="F136" s="2331"/>
      <c r="G136" s="2332"/>
      <c r="H136" s="2331"/>
      <c r="I136" s="2332"/>
      <c r="J136" s="2331"/>
      <c r="K136" s="2331"/>
      <c r="L136" s="2332"/>
      <c r="M136" s="2331"/>
      <c r="N136" s="2331"/>
      <c r="O136" s="2332"/>
      <c r="P136" s="2331"/>
      <c r="Q136" s="2331"/>
      <c r="R136" s="2333"/>
    </row>
    <row r="137" spans="2:18" s="1914" customFormat="1">
      <c r="B137" s="2331"/>
      <c r="C137" s="2331"/>
      <c r="D137" s="2331"/>
      <c r="E137" s="2331"/>
      <c r="F137" s="2331"/>
      <c r="G137" s="2332"/>
      <c r="H137" s="2331"/>
      <c r="I137" s="2332"/>
      <c r="J137" s="2331"/>
      <c r="K137" s="2331"/>
      <c r="L137" s="2332"/>
      <c r="M137" s="2331"/>
      <c r="N137" s="2331"/>
      <c r="O137" s="2332"/>
      <c r="P137" s="2331"/>
      <c r="Q137" s="2331"/>
      <c r="R137" s="2333"/>
    </row>
    <row r="138" spans="2:18" s="1914" customFormat="1">
      <c r="B138" s="2331"/>
      <c r="C138" s="2331"/>
      <c r="D138" s="2331"/>
      <c r="E138" s="2331"/>
      <c r="F138" s="2331"/>
      <c r="G138" s="2332"/>
      <c r="H138" s="2331"/>
      <c r="I138" s="2332"/>
      <c r="J138" s="2331"/>
      <c r="K138" s="2331"/>
      <c r="L138" s="2332"/>
      <c r="M138" s="2331"/>
      <c r="N138" s="2331"/>
      <c r="O138" s="2332"/>
      <c r="P138" s="2331"/>
      <c r="Q138" s="2331"/>
      <c r="R138" s="2333"/>
    </row>
    <row r="139" spans="2:18" s="1914" customFormat="1">
      <c r="B139" s="2331"/>
      <c r="C139" s="2331"/>
      <c r="D139" s="2331"/>
      <c r="E139" s="2331"/>
      <c r="F139" s="2331"/>
      <c r="G139" s="2332"/>
      <c r="H139" s="2331"/>
      <c r="I139" s="2332"/>
      <c r="J139" s="2331"/>
      <c r="K139" s="2331"/>
      <c r="L139" s="2332"/>
      <c r="M139" s="2331"/>
      <c r="N139" s="2331"/>
      <c r="O139" s="2332"/>
      <c r="P139" s="2331"/>
      <c r="Q139" s="2331"/>
      <c r="R139" s="2333"/>
    </row>
    <row r="140" spans="2:18" s="1914" customFormat="1">
      <c r="B140" s="2331"/>
      <c r="C140" s="2331"/>
      <c r="D140" s="2331"/>
      <c r="E140" s="2331"/>
      <c r="F140" s="2331"/>
      <c r="G140" s="2332"/>
      <c r="H140" s="2331"/>
      <c r="I140" s="2332"/>
      <c r="J140" s="2331"/>
      <c r="K140" s="2331"/>
      <c r="L140" s="2332"/>
      <c r="M140" s="2331"/>
      <c r="N140" s="2331"/>
      <c r="O140" s="2332"/>
      <c r="P140" s="2331"/>
      <c r="Q140" s="2331"/>
      <c r="R140" s="2333"/>
    </row>
    <row r="141" spans="2:18" s="1914" customFormat="1">
      <c r="B141" s="2331"/>
      <c r="C141" s="2331"/>
      <c r="D141" s="2331"/>
      <c r="E141" s="2331"/>
      <c r="F141" s="2331"/>
      <c r="G141" s="2332"/>
      <c r="H141" s="2331"/>
      <c r="I141" s="2332"/>
      <c r="J141" s="2331"/>
      <c r="K141" s="2331"/>
      <c r="L141" s="2332"/>
      <c r="M141" s="2331"/>
      <c r="N141" s="2331"/>
      <c r="O141" s="2332"/>
      <c r="P141" s="2331"/>
      <c r="Q141" s="2331"/>
      <c r="R141" s="2333"/>
    </row>
    <row r="142" spans="2:18" s="1914" customFormat="1">
      <c r="B142" s="2331"/>
      <c r="C142" s="2331"/>
      <c r="D142" s="2331"/>
      <c r="E142" s="2331"/>
      <c r="F142" s="2331"/>
      <c r="G142" s="2332"/>
      <c r="H142" s="2331"/>
      <c r="I142" s="2332"/>
      <c r="J142" s="2331"/>
      <c r="K142" s="2331"/>
      <c r="L142" s="2332"/>
      <c r="M142" s="2331"/>
      <c r="N142" s="2331"/>
      <c r="O142" s="2332"/>
      <c r="P142" s="2331"/>
      <c r="Q142" s="2331"/>
      <c r="R142" s="2333"/>
    </row>
    <row r="143" spans="2:18" s="1914" customFormat="1">
      <c r="B143" s="2331"/>
      <c r="C143" s="2331"/>
      <c r="D143" s="2331"/>
      <c r="E143" s="2331"/>
      <c r="F143" s="2331"/>
      <c r="G143" s="2332"/>
      <c r="H143" s="2331"/>
      <c r="I143" s="2332"/>
      <c r="J143" s="2331"/>
      <c r="K143" s="2331"/>
      <c r="L143" s="2332"/>
      <c r="M143" s="2331"/>
      <c r="N143" s="2331"/>
      <c r="O143" s="2332"/>
      <c r="P143" s="2331"/>
      <c r="Q143" s="2331"/>
      <c r="R143" s="2333"/>
    </row>
    <row r="144" spans="2:18" s="1914" customFormat="1">
      <c r="B144" s="2331"/>
      <c r="C144" s="2331"/>
      <c r="D144" s="2331"/>
      <c r="E144" s="2331"/>
      <c r="F144" s="2331"/>
      <c r="G144" s="2332"/>
      <c r="H144" s="2331"/>
      <c r="I144" s="2332"/>
      <c r="J144" s="2331"/>
      <c r="K144" s="2331"/>
      <c r="L144" s="2332"/>
      <c r="M144" s="2331"/>
      <c r="N144" s="2331"/>
      <c r="O144" s="2332"/>
      <c r="P144" s="2331"/>
      <c r="Q144" s="2331"/>
      <c r="R144" s="2333"/>
    </row>
    <row r="145" spans="2:18" s="1914" customFormat="1">
      <c r="B145" s="2331"/>
      <c r="C145" s="2331"/>
      <c r="D145" s="2331"/>
      <c r="E145" s="2331"/>
      <c r="F145" s="2331"/>
      <c r="G145" s="2332"/>
      <c r="H145" s="2331"/>
      <c r="I145" s="2332"/>
      <c r="J145" s="2331"/>
      <c r="K145" s="2331"/>
      <c r="L145" s="2332"/>
      <c r="M145" s="2331"/>
      <c r="N145" s="2331"/>
      <c r="O145" s="2332"/>
      <c r="P145" s="2331"/>
      <c r="Q145" s="2331"/>
      <c r="R145" s="2333"/>
    </row>
    <row r="146" spans="2:18" s="1914" customFormat="1">
      <c r="B146" s="2331"/>
      <c r="C146" s="2331"/>
      <c r="D146" s="2331"/>
      <c r="E146" s="2331"/>
      <c r="F146" s="2331"/>
      <c r="G146" s="2332"/>
      <c r="H146" s="2331"/>
      <c r="I146" s="2332"/>
      <c r="J146" s="2331"/>
      <c r="K146" s="2331"/>
      <c r="L146" s="2332"/>
      <c r="M146" s="2331"/>
      <c r="N146" s="2331"/>
      <c r="O146" s="2332"/>
      <c r="P146" s="2331"/>
      <c r="Q146" s="2331"/>
      <c r="R146" s="2333"/>
    </row>
    <row r="147" spans="2:18" s="1914" customFormat="1">
      <c r="B147" s="2331"/>
      <c r="C147" s="2331"/>
      <c r="D147" s="2331"/>
      <c r="E147" s="2331"/>
      <c r="F147" s="2331"/>
      <c r="G147" s="2332"/>
      <c r="H147" s="2331"/>
      <c r="I147" s="2332"/>
      <c r="J147" s="2331"/>
      <c r="K147" s="2331"/>
      <c r="L147" s="2332"/>
      <c r="M147" s="2331"/>
      <c r="N147" s="2331"/>
      <c r="O147" s="2332"/>
      <c r="P147" s="2331"/>
      <c r="Q147" s="2331"/>
      <c r="R147" s="2333"/>
    </row>
    <row r="148" spans="2:18" s="1914" customFormat="1">
      <c r="B148" s="2331"/>
      <c r="C148" s="2331"/>
      <c r="D148" s="2331"/>
      <c r="E148" s="2331"/>
      <c r="F148" s="2331"/>
      <c r="G148" s="2332"/>
      <c r="H148" s="2331"/>
      <c r="I148" s="2332"/>
      <c r="J148" s="2331"/>
      <c r="K148" s="2331"/>
      <c r="L148" s="2332"/>
      <c r="M148" s="2331"/>
      <c r="N148" s="2331"/>
      <c r="O148" s="2332"/>
      <c r="P148" s="2331"/>
      <c r="Q148" s="2331"/>
      <c r="R148" s="2333"/>
    </row>
    <row r="149" spans="2:18" s="1914" customFormat="1">
      <c r="B149" s="2331"/>
      <c r="C149" s="2331"/>
      <c r="D149" s="2331"/>
      <c r="E149" s="2331"/>
      <c r="F149" s="2331"/>
      <c r="G149" s="2332"/>
      <c r="H149" s="2331"/>
      <c r="I149" s="2332"/>
      <c r="J149" s="2331"/>
      <c r="K149" s="2331"/>
      <c r="L149" s="2332"/>
      <c r="M149" s="2331"/>
      <c r="N149" s="2331"/>
      <c r="O149" s="2332"/>
      <c r="P149" s="2331"/>
      <c r="Q149" s="2331"/>
      <c r="R149" s="2333"/>
    </row>
    <row r="150" spans="2:18" s="1914" customFormat="1">
      <c r="B150" s="2331"/>
      <c r="C150" s="2331"/>
      <c r="D150" s="2331"/>
      <c r="E150" s="2331"/>
      <c r="F150" s="2331"/>
      <c r="G150" s="2332"/>
      <c r="H150" s="2331"/>
      <c r="I150" s="2332"/>
      <c r="J150" s="2331"/>
      <c r="K150" s="2331"/>
      <c r="L150" s="2332"/>
      <c r="M150" s="2331"/>
      <c r="N150" s="2331"/>
      <c r="O150" s="2332"/>
      <c r="P150" s="2331"/>
      <c r="Q150" s="2331"/>
      <c r="R150" s="2333"/>
    </row>
    <row r="151" spans="2:18" s="1914" customFormat="1">
      <c r="B151" s="2331"/>
      <c r="C151" s="2331"/>
      <c r="D151" s="2331"/>
      <c r="E151" s="2331"/>
      <c r="F151" s="2331"/>
      <c r="G151" s="2332"/>
      <c r="H151" s="2331"/>
      <c r="I151" s="2332"/>
      <c r="J151" s="2331"/>
      <c r="K151" s="2331"/>
      <c r="L151" s="2332"/>
      <c r="M151" s="2331"/>
      <c r="N151" s="2331"/>
      <c r="O151" s="2332"/>
      <c r="P151" s="2331"/>
      <c r="Q151" s="2331"/>
      <c r="R151" s="2333"/>
    </row>
    <row r="152" spans="2:18" s="1914" customFormat="1">
      <c r="B152" s="2331"/>
      <c r="C152" s="2331"/>
      <c r="D152" s="2331"/>
      <c r="E152" s="2331"/>
      <c r="F152" s="2331"/>
      <c r="G152" s="2332"/>
      <c r="H152" s="2331"/>
      <c r="I152" s="2332"/>
      <c r="J152" s="2331"/>
      <c r="K152" s="2331"/>
      <c r="L152" s="2332"/>
      <c r="M152" s="2331"/>
      <c r="N152" s="2331"/>
      <c r="O152" s="2332"/>
      <c r="P152" s="2331"/>
      <c r="Q152" s="2331"/>
      <c r="R152" s="2333"/>
    </row>
    <row r="153" spans="2:18" s="1914" customFormat="1">
      <c r="B153" s="2331"/>
      <c r="C153" s="2331"/>
      <c r="D153" s="2331"/>
      <c r="E153" s="2331"/>
      <c r="F153" s="2331"/>
      <c r="G153" s="2332"/>
      <c r="H153" s="2331"/>
      <c r="I153" s="2332"/>
      <c r="J153" s="2331"/>
      <c r="K153" s="2331"/>
      <c r="L153" s="2332"/>
      <c r="M153" s="2331"/>
      <c r="N153" s="2331"/>
      <c r="O153" s="2332"/>
      <c r="P153" s="2331"/>
      <c r="Q153" s="2331"/>
      <c r="R153" s="2333"/>
    </row>
    <row r="154" spans="2:18" s="1914" customFormat="1">
      <c r="B154" s="2331"/>
      <c r="C154" s="2331"/>
      <c r="D154" s="2331"/>
      <c r="E154" s="2331"/>
      <c r="F154" s="2331"/>
      <c r="G154" s="2332"/>
      <c r="H154" s="2331"/>
      <c r="I154" s="2332"/>
      <c r="J154" s="2331"/>
      <c r="K154" s="2331"/>
      <c r="L154" s="2332"/>
      <c r="M154" s="2331"/>
      <c r="N154" s="2331"/>
      <c r="O154" s="2332"/>
      <c r="P154" s="2331"/>
      <c r="Q154" s="2331"/>
      <c r="R154" s="2333"/>
    </row>
    <row r="155" spans="2:18" s="1914" customFormat="1">
      <c r="B155" s="2331"/>
      <c r="C155" s="2331"/>
      <c r="D155" s="2331"/>
      <c r="E155" s="2331"/>
      <c r="F155" s="2331"/>
      <c r="G155" s="2332"/>
      <c r="H155" s="2331"/>
      <c r="I155" s="2332"/>
      <c r="J155" s="2331"/>
      <c r="K155" s="2331"/>
      <c r="L155" s="2332"/>
      <c r="M155" s="2331"/>
      <c r="N155" s="2331"/>
      <c r="O155" s="2332"/>
      <c r="P155" s="2331"/>
      <c r="Q155" s="2331"/>
      <c r="R155" s="2333"/>
    </row>
    <row r="156" spans="2:18" s="1914" customFormat="1">
      <c r="B156" s="2331"/>
      <c r="C156" s="2331"/>
      <c r="D156" s="2331"/>
      <c r="E156" s="2331"/>
      <c r="F156" s="2331"/>
      <c r="G156" s="2332"/>
      <c r="H156" s="2331"/>
      <c r="I156" s="2332"/>
      <c r="J156" s="2331"/>
      <c r="K156" s="2331"/>
      <c r="L156" s="2332"/>
      <c r="M156" s="2331"/>
      <c r="N156" s="2331"/>
      <c r="O156" s="2332"/>
      <c r="P156" s="2331"/>
      <c r="Q156" s="2331"/>
      <c r="R156" s="2333"/>
    </row>
    <row r="157" spans="2:18" s="1914" customFormat="1">
      <c r="B157" s="2331"/>
      <c r="C157" s="2331"/>
      <c r="D157" s="2331"/>
      <c r="E157" s="2331"/>
      <c r="F157" s="2331"/>
      <c r="G157" s="2332"/>
      <c r="H157" s="2331"/>
      <c r="I157" s="2332"/>
      <c r="J157" s="2331"/>
      <c r="K157" s="2331"/>
      <c r="L157" s="2332"/>
      <c r="M157" s="2331"/>
      <c r="N157" s="2331"/>
      <c r="O157" s="2332"/>
      <c r="P157" s="2331"/>
      <c r="Q157" s="2331"/>
      <c r="R157" s="2333"/>
    </row>
    <row r="158" spans="2:18" s="1914" customFormat="1">
      <c r="B158" s="2331"/>
      <c r="C158" s="2331"/>
      <c r="D158" s="2331"/>
      <c r="E158" s="2331"/>
      <c r="F158" s="2331"/>
      <c r="G158" s="2332"/>
      <c r="H158" s="2331"/>
      <c r="I158" s="2332"/>
      <c r="J158" s="2331"/>
      <c r="K158" s="2331"/>
      <c r="L158" s="2332"/>
      <c r="M158" s="2331"/>
      <c r="N158" s="2331"/>
      <c r="O158" s="2332"/>
      <c r="P158" s="2331"/>
      <c r="Q158" s="2331"/>
      <c r="R158" s="2333"/>
    </row>
    <row r="159" spans="2:18" s="1914" customFormat="1">
      <c r="B159" s="2331"/>
      <c r="C159" s="2331"/>
      <c r="D159" s="2331"/>
      <c r="E159" s="2331"/>
      <c r="F159" s="2331"/>
      <c r="G159" s="2332"/>
      <c r="H159" s="2331"/>
      <c r="I159" s="2332"/>
      <c r="J159" s="2331"/>
      <c r="K159" s="2331"/>
      <c r="L159" s="2332"/>
      <c r="M159" s="2331"/>
      <c r="N159" s="2331"/>
      <c r="O159" s="2332"/>
      <c r="P159" s="2331"/>
      <c r="Q159" s="2331"/>
      <c r="R159" s="2333"/>
    </row>
    <row r="160" spans="2:18" s="1914" customFormat="1">
      <c r="B160" s="2331"/>
      <c r="C160" s="2331"/>
      <c r="D160" s="2331"/>
      <c r="E160" s="2331"/>
      <c r="F160" s="2331"/>
      <c r="G160" s="2332"/>
      <c r="H160" s="2331"/>
      <c r="I160" s="2332"/>
      <c r="J160" s="2331"/>
      <c r="K160" s="2331"/>
      <c r="L160" s="2332"/>
      <c r="M160" s="2331"/>
      <c r="N160" s="2331"/>
      <c r="O160" s="2332"/>
      <c r="P160" s="2331"/>
      <c r="Q160" s="2331"/>
      <c r="R160" s="2333"/>
    </row>
    <row r="161" spans="2:18" s="1914" customFormat="1">
      <c r="B161" s="2331"/>
      <c r="C161" s="2331"/>
      <c r="D161" s="2331"/>
      <c r="E161" s="2331"/>
      <c r="F161" s="2331"/>
      <c r="G161" s="2332"/>
      <c r="H161" s="2331"/>
      <c r="I161" s="2332"/>
      <c r="J161" s="2331"/>
      <c r="K161" s="2331"/>
      <c r="L161" s="2332"/>
      <c r="M161" s="2331"/>
      <c r="N161" s="2331"/>
      <c r="O161" s="2332"/>
      <c r="P161" s="2331"/>
      <c r="Q161" s="2331"/>
      <c r="R161" s="2333"/>
    </row>
    <row r="162" spans="2:18" s="1914" customFormat="1">
      <c r="B162" s="2331"/>
      <c r="C162" s="2331"/>
      <c r="D162" s="2331"/>
      <c r="E162" s="2331"/>
      <c r="F162" s="2331"/>
      <c r="G162" s="2332"/>
      <c r="H162" s="2331"/>
      <c r="I162" s="2332"/>
      <c r="J162" s="2331"/>
      <c r="K162" s="2331"/>
      <c r="L162" s="2332"/>
      <c r="M162" s="2331"/>
      <c r="N162" s="2331"/>
      <c r="O162" s="2332"/>
      <c r="P162" s="2331"/>
      <c r="Q162" s="2331"/>
      <c r="R162" s="2333"/>
    </row>
    <row r="163" spans="2:18" s="1914" customFormat="1">
      <c r="B163" s="2331"/>
      <c r="C163" s="2331"/>
      <c r="D163" s="2331"/>
      <c r="E163" s="2331"/>
      <c r="F163" s="2331"/>
      <c r="G163" s="2332"/>
      <c r="H163" s="2331"/>
      <c r="I163" s="2332"/>
      <c r="J163" s="2331"/>
      <c r="K163" s="2331"/>
      <c r="L163" s="2332"/>
      <c r="M163" s="2331"/>
      <c r="N163" s="2331"/>
      <c r="O163" s="2332"/>
      <c r="P163" s="2331"/>
      <c r="Q163" s="2331"/>
      <c r="R163" s="2333"/>
    </row>
    <row r="164" spans="2:18" s="1914" customFormat="1">
      <c r="B164" s="2331"/>
      <c r="C164" s="2331"/>
      <c r="D164" s="2331"/>
      <c r="E164" s="2331"/>
      <c r="F164" s="2331"/>
      <c r="G164" s="2332"/>
      <c r="H164" s="2331"/>
      <c r="I164" s="2332"/>
      <c r="J164" s="2331"/>
      <c r="K164" s="2331"/>
      <c r="L164" s="2332"/>
      <c r="M164" s="2331"/>
      <c r="N164" s="2331"/>
      <c r="O164" s="2332"/>
      <c r="P164" s="2331"/>
      <c r="Q164" s="2331"/>
      <c r="R164" s="2333"/>
    </row>
    <row r="165" spans="2:18" s="1914" customFormat="1">
      <c r="B165" s="2331"/>
      <c r="C165" s="2331"/>
      <c r="D165" s="2331"/>
      <c r="E165" s="2331"/>
      <c r="F165" s="2331"/>
      <c r="G165" s="2332"/>
      <c r="H165" s="2331"/>
      <c r="I165" s="2332"/>
      <c r="J165" s="2331"/>
      <c r="K165" s="2331"/>
      <c r="L165" s="2332"/>
      <c r="M165" s="2331"/>
      <c r="N165" s="2331"/>
      <c r="O165" s="2332"/>
      <c r="P165" s="2331"/>
      <c r="Q165" s="2331"/>
      <c r="R165" s="2333"/>
    </row>
    <row r="166" spans="2:18" s="1914" customFormat="1">
      <c r="B166" s="2331"/>
      <c r="C166" s="2331"/>
      <c r="D166" s="2331"/>
      <c r="E166" s="2331"/>
      <c r="F166" s="2331"/>
      <c r="G166" s="2332"/>
      <c r="H166" s="2331"/>
      <c r="I166" s="2332"/>
      <c r="J166" s="2331"/>
      <c r="K166" s="2331"/>
      <c r="L166" s="2332"/>
      <c r="M166" s="2331"/>
      <c r="N166" s="2331"/>
      <c r="O166" s="2332"/>
      <c r="P166" s="2331"/>
      <c r="Q166" s="2331"/>
      <c r="R166" s="2333"/>
    </row>
    <row r="167" spans="2:18" s="1914" customFormat="1">
      <c r="B167" s="2331"/>
      <c r="C167" s="2331"/>
      <c r="D167" s="2331"/>
      <c r="E167" s="2331"/>
      <c r="F167" s="2331"/>
      <c r="G167" s="2332"/>
      <c r="H167" s="2331"/>
      <c r="I167" s="2332"/>
      <c r="J167" s="2331"/>
      <c r="K167" s="2331"/>
      <c r="L167" s="2332"/>
      <c r="M167" s="2331"/>
      <c r="N167" s="2331"/>
      <c r="O167" s="2332"/>
      <c r="P167" s="2331"/>
      <c r="Q167" s="2331"/>
      <c r="R167" s="2333"/>
    </row>
    <row r="168" spans="2:18" s="1914" customFormat="1">
      <c r="B168" s="2331"/>
      <c r="C168" s="2331"/>
      <c r="D168" s="2331"/>
      <c r="E168" s="2331"/>
      <c r="F168" s="2331"/>
      <c r="G168" s="2332"/>
      <c r="H168" s="2331"/>
      <c r="I168" s="2332"/>
      <c r="J168" s="2331"/>
      <c r="K168" s="2331"/>
      <c r="L168" s="2332"/>
      <c r="M168" s="2331"/>
      <c r="N168" s="2331"/>
      <c r="O168" s="2332"/>
      <c r="P168" s="2331"/>
      <c r="Q168" s="2331"/>
      <c r="R168" s="2333"/>
    </row>
    <row r="169" spans="2:18" s="1914" customFormat="1">
      <c r="B169" s="2331"/>
      <c r="C169" s="2331"/>
      <c r="D169" s="2331"/>
      <c r="E169" s="2331"/>
      <c r="F169" s="2331"/>
      <c r="G169" s="2332"/>
      <c r="H169" s="2331"/>
      <c r="I169" s="2332"/>
      <c r="J169" s="2331"/>
      <c r="K169" s="2331"/>
      <c r="L169" s="2332"/>
      <c r="M169" s="2331"/>
      <c r="N169" s="2331"/>
      <c r="O169" s="2332"/>
      <c r="P169" s="2331"/>
      <c r="Q169" s="2331"/>
      <c r="R169" s="2333"/>
    </row>
    <row r="170" spans="2:18" s="1914" customFormat="1">
      <c r="B170" s="2331"/>
      <c r="C170" s="2331"/>
      <c r="D170" s="2331"/>
      <c r="E170" s="2331"/>
      <c r="F170" s="2331"/>
      <c r="G170" s="2332"/>
      <c r="H170" s="2331"/>
      <c r="I170" s="2332"/>
      <c r="J170" s="2331"/>
      <c r="K170" s="2331"/>
      <c r="L170" s="2332"/>
      <c r="M170" s="2331"/>
      <c r="N170" s="2331"/>
      <c r="O170" s="2332"/>
      <c r="P170" s="2331"/>
      <c r="Q170" s="2331"/>
      <c r="R170" s="2333"/>
    </row>
    <row r="171" spans="2:18" s="1914" customFormat="1">
      <c r="B171" s="2331"/>
      <c r="C171" s="2331"/>
      <c r="D171" s="2331"/>
      <c r="E171" s="2331"/>
      <c r="F171" s="2331"/>
      <c r="G171" s="2332"/>
      <c r="H171" s="2331"/>
      <c r="I171" s="2332"/>
      <c r="J171" s="2331"/>
      <c r="K171" s="2331"/>
      <c r="L171" s="2332"/>
      <c r="M171" s="2331"/>
      <c r="N171" s="2331"/>
      <c r="O171" s="2332"/>
      <c r="P171" s="2331"/>
      <c r="Q171" s="2331"/>
      <c r="R171" s="2333"/>
    </row>
    <row r="172" spans="2:18" s="1914" customFormat="1">
      <c r="B172" s="2331"/>
      <c r="C172" s="2331"/>
      <c r="D172" s="2331"/>
      <c r="E172" s="2331"/>
      <c r="F172" s="2331"/>
      <c r="G172" s="2332"/>
      <c r="H172" s="2331"/>
      <c r="I172" s="2332"/>
      <c r="J172" s="2331"/>
      <c r="K172" s="2331"/>
      <c r="L172" s="2332"/>
      <c r="M172" s="2331"/>
      <c r="N172" s="2331"/>
      <c r="O172" s="2332"/>
      <c r="P172" s="2331"/>
      <c r="Q172" s="2331"/>
      <c r="R172" s="2333"/>
    </row>
    <row r="173" spans="2:18" s="1914" customFormat="1">
      <c r="B173" s="2331"/>
      <c r="C173" s="2331"/>
      <c r="D173" s="2331"/>
      <c r="E173" s="2331"/>
      <c r="F173" s="2331"/>
      <c r="G173" s="2332"/>
      <c r="H173" s="2331"/>
      <c r="I173" s="2332"/>
      <c r="J173" s="2331"/>
      <c r="K173" s="2331"/>
      <c r="L173" s="2332"/>
      <c r="M173" s="2331"/>
      <c r="N173" s="2331"/>
      <c r="O173" s="2332"/>
      <c r="P173" s="2331"/>
      <c r="Q173" s="2331"/>
      <c r="R173" s="2333"/>
    </row>
    <row r="174" spans="2:18" s="1914" customFormat="1">
      <c r="B174" s="2331"/>
      <c r="C174" s="2331"/>
      <c r="D174" s="2331"/>
      <c r="E174" s="2331"/>
      <c r="F174" s="2331"/>
      <c r="G174" s="2332"/>
      <c r="H174" s="2331"/>
      <c r="I174" s="2332"/>
      <c r="J174" s="2331"/>
      <c r="K174" s="2331"/>
      <c r="L174" s="2332"/>
      <c r="M174" s="2331"/>
      <c r="N174" s="2331"/>
      <c r="O174" s="2332"/>
      <c r="P174" s="2331"/>
      <c r="Q174" s="2331"/>
      <c r="R174" s="2333"/>
    </row>
    <row r="175" spans="2:18" s="1914" customFormat="1">
      <c r="B175" s="2331"/>
      <c r="C175" s="2331"/>
      <c r="D175" s="2331"/>
      <c r="E175" s="2331"/>
      <c r="F175" s="2331"/>
      <c r="G175" s="2332"/>
      <c r="H175" s="2331"/>
      <c r="I175" s="2332"/>
      <c r="J175" s="2331"/>
      <c r="K175" s="2331"/>
      <c r="L175" s="2332"/>
      <c r="M175" s="2331"/>
      <c r="N175" s="2331"/>
      <c r="O175" s="2332"/>
      <c r="P175" s="2331"/>
      <c r="Q175" s="2331"/>
      <c r="R175" s="2333"/>
    </row>
    <row r="176" spans="2:18" s="1914" customFormat="1">
      <c r="B176" s="2331"/>
      <c r="C176" s="2331"/>
      <c r="D176" s="2331"/>
      <c r="E176" s="2331"/>
      <c r="F176" s="2331"/>
      <c r="G176" s="2332"/>
      <c r="H176" s="2331"/>
      <c r="I176" s="2332"/>
      <c r="J176" s="2331"/>
      <c r="K176" s="2331"/>
      <c r="L176" s="2332"/>
      <c r="M176" s="2331"/>
      <c r="N176" s="2331"/>
      <c r="O176" s="2332"/>
      <c r="P176" s="2331"/>
      <c r="Q176" s="2331"/>
      <c r="R176" s="2333"/>
    </row>
    <row r="177" spans="1:18" s="1914" customFormat="1">
      <c r="B177" s="2331"/>
      <c r="C177" s="2331"/>
      <c r="D177" s="2331"/>
      <c r="E177" s="2331"/>
      <c r="F177" s="2331"/>
      <c r="G177" s="2332"/>
      <c r="H177" s="2331"/>
      <c r="I177" s="2332"/>
      <c r="J177" s="2331"/>
      <c r="K177" s="2331"/>
      <c r="L177" s="2332"/>
      <c r="M177" s="2331"/>
      <c r="N177" s="2331"/>
      <c r="O177" s="2332"/>
      <c r="P177" s="2331"/>
      <c r="Q177" s="2331"/>
      <c r="R177" s="2333"/>
    </row>
    <row r="178" spans="1:18" s="1914" customFormat="1">
      <c r="B178" s="2331"/>
      <c r="C178" s="2331"/>
      <c r="D178" s="2331"/>
      <c r="E178" s="2331"/>
      <c r="F178" s="2331"/>
      <c r="G178" s="2332"/>
      <c r="H178" s="2331"/>
      <c r="I178" s="2332"/>
      <c r="J178" s="2331"/>
      <c r="K178" s="2331"/>
      <c r="L178" s="2332"/>
      <c r="M178" s="2331"/>
      <c r="N178" s="2331"/>
      <c r="O178" s="2332"/>
      <c r="P178" s="2331"/>
      <c r="Q178" s="2331"/>
      <c r="R178" s="2333"/>
    </row>
    <row r="179" spans="1:18" s="1914" customFormat="1">
      <c r="B179" s="2331"/>
      <c r="C179" s="2331"/>
      <c r="D179" s="2331"/>
      <c r="E179" s="2331"/>
      <c r="F179" s="2331"/>
      <c r="G179" s="2332"/>
      <c r="H179" s="2331"/>
      <c r="I179" s="2332"/>
      <c r="J179" s="2331"/>
      <c r="K179" s="2331"/>
      <c r="L179" s="2332"/>
      <c r="M179" s="2331"/>
      <c r="N179" s="2331"/>
      <c r="O179" s="2332"/>
      <c r="P179" s="2331"/>
      <c r="Q179" s="2331"/>
      <c r="R179" s="2333"/>
    </row>
    <row r="180" spans="1:18" s="1914" customFormat="1">
      <c r="B180" s="2331"/>
      <c r="C180" s="2331"/>
      <c r="D180" s="2331"/>
      <c r="E180" s="2331"/>
      <c r="F180" s="2331"/>
      <c r="G180" s="2332"/>
      <c r="H180" s="2331"/>
      <c r="I180" s="2332"/>
      <c r="J180" s="2331"/>
      <c r="K180" s="2331"/>
      <c r="L180" s="2332"/>
      <c r="M180" s="2331"/>
      <c r="N180" s="2331"/>
      <c r="O180" s="2332"/>
      <c r="P180" s="2331"/>
      <c r="Q180" s="2331"/>
      <c r="R180" s="2333"/>
    </row>
    <row r="181" spans="1:18" s="1914" customFormat="1">
      <c r="B181" s="2331"/>
      <c r="C181" s="2331"/>
      <c r="D181" s="2331"/>
      <c r="E181" s="2331"/>
      <c r="F181" s="2331"/>
      <c r="G181" s="2332"/>
      <c r="H181" s="2331"/>
      <c r="I181" s="2332"/>
      <c r="J181" s="2331"/>
      <c r="K181" s="2331"/>
      <c r="L181" s="2332"/>
      <c r="M181" s="2331"/>
      <c r="N181" s="2331"/>
      <c r="O181" s="2332"/>
      <c r="P181" s="2331"/>
      <c r="Q181" s="2331"/>
      <c r="R181" s="2333"/>
    </row>
    <row r="182" spans="1:18" s="1914" customFormat="1">
      <c r="B182" s="2331"/>
      <c r="C182" s="2331"/>
      <c r="D182" s="2331"/>
      <c r="E182" s="2331"/>
      <c r="F182" s="2331"/>
      <c r="G182" s="2332"/>
      <c r="H182" s="2331"/>
      <c r="I182" s="2332"/>
      <c r="J182" s="2331"/>
      <c r="K182" s="2331"/>
      <c r="L182" s="2332"/>
      <c r="M182" s="2331"/>
      <c r="N182" s="2331"/>
      <c r="O182" s="2332"/>
      <c r="P182" s="2331"/>
      <c r="Q182" s="2331"/>
      <c r="R182" s="2333"/>
    </row>
    <row r="183" spans="1:18" s="1914" customFormat="1">
      <c r="B183" s="2331"/>
      <c r="C183" s="2331"/>
      <c r="D183" s="2331"/>
      <c r="E183" s="2331"/>
      <c r="F183" s="2331"/>
      <c r="G183" s="2332"/>
      <c r="H183" s="2331"/>
      <c r="I183" s="2332"/>
      <c r="J183" s="2331"/>
      <c r="K183" s="2331"/>
      <c r="L183" s="2332"/>
      <c r="M183" s="2331"/>
      <c r="N183" s="2331"/>
      <c r="O183" s="2332"/>
      <c r="P183" s="2331"/>
      <c r="Q183" s="2331"/>
      <c r="R183" s="2333"/>
    </row>
    <row r="184" spans="1:18" s="1914" customFormat="1">
      <c r="B184" s="2331"/>
      <c r="C184" s="2331"/>
      <c r="D184" s="2331"/>
      <c r="E184" s="2331"/>
      <c r="F184" s="2331"/>
      <c r="G184" s="2332"/>
      <c r="H184" s="2331"/>
      <c r="I184" s="2332"/>
      <c r="J184" s="2331"/>
      <c r="K184" s="2331"/>
      <c r="L184" s="2332"/>
      <c r="M184" s="2331"/>
      <c r="N184" s="2331"/>
      <c r="O184" s="2332"/>
      <c r="P184" s="2331"/>
      <c r="Q184" s="2331"/>
      <c r="R184" s="2333"/>
    </row>
    <row r="185" spans="1:18" s="1914" customFormat="1">
      <c r="B185" s="2331"/>
      <c r="C185" s="2331"/>
      <c r="D185" s="2331"/>
      <c r="E185" s="2331"/>
      <c r="F185" s="2331"/>
      <c r="G185" s="2332"/>
      <c r="H185" s="2331"/>
      <c r="I185" s="2332"/>
      <c r="J185" s="2331"/>
      <c r="K185" s="2331"/>
      <c r="L185" s="2332"/>
      <c r="M185" s="2331"/>
      <c r="N185" s="2331"/>
      <c r="O185" s="2332"/>
      <c r="P185" s="2331"/>
      <c r="Q185" s="2331"/>
      <c r="R185" s="2333"/>
    </row>
    <row r="186" spans="1:18">
      <c r="A186" s="1914"/>
      <c r="B186" s="2331"/>
      <c r="C186" s="2331"/>
      <c r="E186" s="2331"/>
      <c r="F186" s="2331"/>
      <c r="G186" s="2332"/>
    </row>
    <row r="187" spans="1:18">
      <c r="A187" s="1914"/>
      <c r="B187" s="2331"/>
      <c r="C187" s="2331"/>
      <c r="E187" s="2331"/>
      <c r="F187" s="2331"/>
      <c r="G187" s="2332"/>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12" customWidth="1"/>
    <col min="2" max="9" width="15.75" style="2312" customWidth="1"/>
    <col min="10" max="16384" width="9" style="2312"/>
  </cols>
  <sheetData>
    <row r="1" spans="1:11" ht="16.5">
      <c r="A1" s="2313" t="s">
        <v>683</v>
      </c>
      <c r="B1" s="2313">
        <f>SUM(B14:B23)</f>
        <v>39222.729999999996</v>
      </c>
      <c r="C1" s="2314"/>
      <c r="D1" s="2314"/>
      <c r="E1" s="2314"/>
      <c r="F1" s="2314"/>
      <c r="G1" s="2315"/>
      <c r="H1" s="2316"/>
      <c r="I1" s="2316"/>
      <c r="J1" s="2316"/>
      <c r="K1" s="2316"/>
    </row>
    <row r="2" spans="1:11" ht="16.5">
      <c r="A2" s="2313" t="s">
        <v>684</v>
      </c>
      <c r="B2" s="2313">
        <f>SUM(C14:C23)</f>
        <v>11660.67</v>
      </c>
      <c r="C2" s="2314"/>
      <c r="D2" s="2314"/>
      <c r="E2" s="2314"/>
      <c r="F2" s="2314"/>
      <c r="G2" s="2315"/>
      <c r="H2" s="2316"/>
      <c r="I2" s="2316"/>
      <c r="J2" s="2316"/>
      <c r="K2" s="2316"/>
    </row>
    <row r="3" spans="1:11" ht="16.5">
      <c r="A3" s="2313" t="s">
        <v>685</v>
      </c>
      <c r="B3" s="2317">
        <f>项目基本情况!D3</f>
        <v>44288</v>
      </c>
      <c r="C3" s="2314"/>
      <c r="D3" s="2314"/>
      <c r="E3" s="2314"/>
      <c r="F3" s="2314"/>
      <c r="G3" s="2315"/>
      <c r="H3" s="2316"/>
      <c r="I3" s="2316"/>
      <c r="J3" s="2316"/>
      <c r="K3" s="2316"/>
    </row>
    <row r="4" spans="1:11" ht="33">
      <c r="A4" s="2313" t="s">
        <v>686</v>
      </c>
      <c r="B4" s="2313" t="s">
        <v>687</v>
      </c>
      <c r="C4" s="2313" t="s">
        <v>688</v>
      </c>
      <c r="D4" s="2313" t="s">
        <v>689</v>
      </c>
      <c r="E4" s="2314"/>
      <c r="F4" s="2315"/>
      <c r="G4" s="2315"/>
      <c r="H4" s="2316"/>
      <c r="I4" s="2316"/>
      <c r="J4" s="2316"/>
      <c r="K4" s="2316"/>
    </row>
    <row r="5" spans="1:11" ht="16.5">
      <c r="A5" s="2313" t="s">
        <v>690</v>
      </c>
      <c r="B5" s="2313">
        <f ca="1">SUM(D14:D23)</f>
        <v>338304</v>
      </c>
      <c r="C5" s="2313">
        <f ca="1">ROUND(B5*10000/$B$1,0)</f>
        <v>86252</v>
      </c>
      <c r="D5" s="2313">
        <f ca="1">ROUND(B5*10000/$B$2,0)</f>
        <v>290124</v>
      </c>
      <c r="E5" s="2314"/>
      <c r="F5" s="2315"/>
      <c r="G5" s="2315"/>
      <c r="H5" s="2316"/>
      <c r="I5" s="2316"/>
      <c r="J5" s="2316"/>
      <c r="K5" s="2316"/>
    </row>
    <row r="6" spans="1:11" ht="16.5">
      <c r="A6" s="2313" t="s">
        <v>691</v>
      </c>
      <c r="B6" s="2313">
        <f ca="1">SUM(G14:G23)</f>
        <v>338304</v>
      </c>
      <c r="C6" s="2313">
        <f ca="1">ROUND(B6*10000/$B$1,0)</f>
        <v>86252</v>
      </c>
      <c r="D6" s="2313">
        <f ca="1">ROUND(B6*10000/$B$2,0)</f>
        <v>290124</v>
      </c>
      <c r="E6" s="2314"/>
      <c r="F6" s="2315"/>
      <c r="G6" s="2315"/>
      <c r="H6" s="2316"/>
      <c r="I6" s="2316"/>
      <c r="J6" s="2316"/>
      <c r="K6" s="2316"/>
    </row>
    <row r="7" spans="1:11" ht="16.5">
      <c r="A7" s="2313" t="s">
        <v>692</v>
      </c>
      <c r="B7" s="2313">
        <f>SUM(H14:H23)</f>
        <v>0</v>
      </c>
      <c r="C7" s="2313">
        <f>ROUND(B7*10000/$B$1,0)</f>
        <v>0</v>
      </c>
      <c r="D7" s="2313">
        <f>ROUND(B7*10000/$B$2,0)</f>
        <v>0</v>
      </c>
      <c r="E7" s="2314"/>
      <c r="F7" s="2315"/>
      <c r="G7" s="2315"/>
      <c r="H7" s="2316"/>
      <c r="I7" s="2316"/>
      <c r="J7" s="2316"/>
      <c r="K7" s="2316"/>
    </row>
    <row r="8" spans="1:11" ht="16.5">
      <c r="A8" s="2313" t="s">
        <v>329</v>
      </c>
      <c r="B8" s="2313">
        <f>SUM(I14:I23)</f>
        <v>0</v>
      </c>
      <c r="C8" s="2313">
        <f>ROUND(B8*10000/$B$1,0)</f>
        <v>0</v>
      </c>
      <c r="D8" s="2313">
        <f>ROUND(B8*10000/$B$2,0)</f>
        <v>0</v>
      </c>
      <c r="E8" s="2314"/>
      <c r="F8" s="2315"/>
      <c r="G8" s="2315"/>
      <c r="H8" s="2316"/>
      <c r="I8" s="2316"/>
      <c r="J8" s="2316"/>
      <c r="K8" s="2316"/>
    </row>
    <row r="9" spans="1:11" ht="16.5">
      <c r="A9" s="2313" t="s">
        <v>693</v>
      </c>
      <c r="B9" s="2318"/>
      <c r="C9" s="2314"/>
      <c r="D9" s="2314"/>
      <c r="E9" s="2314"/>
      <c r="F9" s="2315"/>
      <c r="G9" s="2315"/>
      <c r="H9" s="2316"/>
      <c r="I9" s="2316"/>
      <c r="J9" s="2316"/>
      <c r="K9" s="2316"/>
    </row>
    <row r="10" spans="1:11" ht="16.5">
      <c r="A10" s="2313" t="s">
        <v>694</v>
      </c>
      <c r="B10" s="2318"/>
      <c r="C10" s="2314"/>
      <c r="D10" s="2314"/>
      <c r="E10" s="2314"/>
      <c r="F10" s="2315"/>
      <c r="G10" s="2315"/>
      <c r="H10" s="2316"/>
      <c r="I10" s="2316"/>
      <c r="J10" s="2316"/>
      <c r="K10" s="2316"/>
    </row>
    <row r="11" spans="1:11" ht="16.5">
      <c r="A11" s="2313" t="s">
        <v>695</v>
      </c>
      <c r="B11" s="2318"/>
      <c r="C11" s="2314"/>
      <c r="D11" s="2314"/>
      <c r="E11" s="2314"/>
      <c r="F11" s="2315"/>
      <c r="G11" s="2315"/>
      <c r="H11" s="2316"/>
      <c r="I11" s="2316"/>
      <c r="J11" s="2316"/>
      <c r="K11" s="2316"/>
    </row>
    <row r="12" spans="1:11" ht="16.5">
      <c r="A12" s="2314"/>
      <c r="B12" s="2314"/>
      <c r="C12" s="2314"/>
      <c r="D12" s="2314"/>
      <c r="E12" s="2314"/>
      <c r="F12" s="2315"/>
      <c r="G12" s="2315"/>
      <c r="H12" s="2316"/>
      <c r="I12" s="2316"/>
      <c r="J12" s="2316"/>
      <c r="K12" s="2316"/>
    </row>
    <row r="13" spans="1:11" ht="33">
      <c r="A13" s="2319" t="s">
        <v>696</v>
      </c>
      <c r="B13" s="2320" t="s">
        <v>683</v>
      </c>
      <c r="C13" s="2320" t="s">
        <v>684</v>
      </c>
      <c r="D13" s="2320" t="s">
        <v>697</v>
      </c>
      <c r="E13" s="2313" t="s">
        <v>688</v>
      </c>
      <c r="F13" s="2313" t="s">
        <v>689</v>
      </c>
      <c r="G13" s="2320" t="s">
        <v>698</v>
      </c>
      <c r="H13" s="2320" t="s">
        <v>699</v>
      </c>
      <c r="I13" s="2320" t="s">
        <v>700</v>
      </c>
      <c r="J13" s="2315"/>
      <c r="K13" s="2316"/>
    </row>
    <row r="14" spans="1:11" ht="16.5">
      <c r="A14" s="2321" t="s">
        <v>701</v>
      </c>
      <c r="B14" s="2322">
        <f>结果表!B118</f>
        <v>39222.729999999996</v>
      </c>
      <c r="C14" s="2322">
        <f>结果表!C118</f>
        <v>11660.67</v>
      </c>
      <c r="D14" s="2322">
        <f ca="1">结果表!H118</f>
        <v>338304</v>
      </c>
      <c r="E14" s="2322">
        <f ca="1">ROUND(D14*10000/B14,0)</f>
        <v>86252</v>
      </c>
      <c r="F14" s="2322">
        <f ca="1">ROUND(D14*10000/C14,0)</f>
        <v>290124</v>
      </c>
      <c r="G14" s="2322">
        <f ca="1">结果表!D122</f>
        <v>338304</v>
      </c>
      <c r="H14" s="2322" t="str">
        <f>结果表!D124</f>
        <v>——</v>
      </c>
      <c r="I14" s="2322" t="str">
        <f>结果表!D126</f>
        <v>——</v>
      </c>
      <c r="J14" s="2315"/>
      <c r="K14" s="2316"/>
    </row>
    <row r="15" spans="1:11" ht="16.5">
      <c r="A15" s="2321" t="s">
        <v>702</v>
      </c>
      <c r="B15" s="2323"/>
      <c r="C15" s="2323"/>
      <c r="D15" s="2323"/>
      <c r="E15" s="2322" t="e">
        <f t="shared" ref="E15:E23" si="0">ROUND(D15*10000/B15,0)</f>
        <v>#DIV/0!</v>
      </c>
      <c r="F15" s="2322" t="e">
        <f t="shared" ref="F15:F23" si="1">ROUND(D15*10000/C15,0)</f>
        <v>#DIV/0!</v>
      </c>
      <c r="G15" s="2324"/>
      <c r="H15" s="2324"/>
      <c r="I15" s="2323"/>
      <c r="J15" s="2315"/>
      <c r="K15" s="2316"/>
    </row>
    <row r="16" spans="1:11" ht="16.5">
      <c r="A16" s="2321" t="s">
        <v>703</v>
      </c>
      <c r="B16" s="2323"/>
      <c r="C16" s="2323"/>
      <c r="D16" s="2323"/>
      <c r="E16" s="2322" t="e">
        <f t="shared" si="0"/>
        <v>#DIV/0!</v>
      </c>
      <c r="F16" s="2322" t="e">
        <f t="shared" si="1"/>
        <v>#DIV/0!</v>
      </c>
      <c r="G16" s="2324"/>
      <c r="H16" s="2324"/>
      <c r="I16" s="2323"/>
      <c r="J16" s="2316"/>
      <c r="K16" s="2316"/>
    </row>
    <row r="17" spans="1:11" ht="16.5">
      <c r="A17" s="2321" t="s">
        <v>704</v>
      </c>
      <c r="B17" s="2323"/>
      <c r="C17" s="2323"/>
      <c r="D17" s="2323"/>
      <c r="E17" s="2322" t="e">
        <f t="shared" si="0"/>
        <v>#DIV/0!</v>
      </c>
      <c r="F17" s="2322" t="e">
        <f t="shared" si="1"/>
        <v>#DIV/0!</v>
      </c>
      <c r="G17" s="2324"/>
      <c r="H17" s="2324"/>
      <c r="I17" s="2323"/>
      <c r="J17" s="2316"/>
      <c r="K17" s="2316"/>
    </row>
    <row r="18" spans="1:11" ht="16.5">
      <c r="A18" s="2321" t="s">
        <v>705</v>
      </c>
      <c r="B18" s="2323"/>
      <c r="C18" s="2323"/>
      <c r="D18" s="2323"/>
      <c r="E18" s="2322" t="e">
        <f t="shared" si="0"/>
        <v>#DIV/0!</v>
      </c>
      <c r="F18" s="2322" t="e">
        <f t="shared" si="1"/>
        <v>#DIV/0!</v>
      </c>
      <c r="G18" s="2323"/>
      <c r="H18" s="2323"/>
      <c r="I18" s="2323"/>
      <c r="J18" s="2316"/>
      <c r="K18" s="2316"/>
    </row>
    <row r="19" spans="1:11" ht="16.5">
      <c r="A19" s="2321" t="s">
        <v>706</v>
      </c>
      <c r="B19" s="2323"/>
      <c r="C19" s="2323"/>
      <c r="D19" s="2323"/>
      <c r="E19" s="2322" t="e">
        <f t="shared" si="0"/>
        <v>#DIV/0!</v>
      </c>
      <c r="F19" s="2322" t="e">
        <f t="shared" si="1"/>
        <v>#DIV/0!</v>
      </c>
      <c r="G19" s="2323"/>
      <c r="H19" s="2323"/>
      <c r="I19" s="2323"/>
      <c r="J19" s="2316"/>
      <c r="K19" s="2316"/>
    </row>
    <row r="20" spans="1:11" ht="16.5">
      <c r="A20" s="2321" t="s">
        <v>707</v>
      </c>
      <c r="B20" s="2323"/>
      <c r="C20" s="2323"/>
      <c r="D20" s="2323"/>
      <c r="E20" s="2322" t="e">
        <f t="shared" si="0"/>
        <v>#DIV/0!</v>
      </c>
      <c r="F20" s="2322" t="e">
        <f t="shared" si="1"/>
        <v>#DIV/0!</v>
      </c>
      <c r="G20" s="2323"/>
      <c r="H20" s="2323"/>
      <c r="I20" s="2323"/>
      <c r="J20" s="2316"/>
      <c r="K20" s="2316"/>
    </row>
    <row r="21" spans="1:11" ht="16.5">
      <c r="A21" s="2321" t="s">
        <v>708</v>
      </c>
      <c r="B21" s="2323"/>
      <c r="C21" s="2323"/>
      <c r="D21" s="2323"/>
      <c r="E21" s="2322" t="e">
        <f t="shared" si="0"/>
        <v>#DIV/0!</v>
      </c>
      <c r="F21" s="2322" t="e">
        <f t="shared" si="1"/>
        <v>#DIV/0!</v>
      </c>
      <c r="G21" s="2323"/>
      <c r="H21" s="2323"/>
      <c r="I21" s="2323"/>
      <c r="J21" s="2316"/>
      <c r="K21" s="2316"/>
    </row>
    <row r="22" spans="1:11" ht="16.5">
      <c r="A22" s="2321" t="s">
        <v>709</v>
      </c>
      <c r="B22" s="2323"/>
      <c r="C22" s="2323"/>
      <c r="D22" s="2323"/>
      <c r="E22" s="2322" t="e">
        <f t="shared" si="0"/>
        <v>#DIV/0!</v>
      </c>
      <c r="F22" s="2322" t="e">
        <f t="shared" si="1"/>
        <v>#DIV/0!</v>
      </c>
      <c r="G22" s="2323"/>
      <c r="H22" s="2323"/>
      <c r="I22" s="2323"/>
      <c r="J22" s="2316"/>
      <c r="K22" s="2316"/>
    </row>
    <row r="23" spans="1:11" ht="16.5">
      <c r="A23" s="2321" t="s">
        <v>710</v>
      </c>
      <c r="B23" s="2323"/>
      <c r="C23" s="2323"/>
      <c r="D23" s="2323"/>
      <c r="E23" s="2318" t="e">
        <f t="shared" si="0"/>
        <v>#DIV/0!</v>
      </c>
      <c r="F23" s="2318" t="e">
        <f t="shared" si="1"/>
        <v>#DIV/0!</v>
      </c>
      <c r="G23" s="2323"/>
      <c r="H23" s="2323"/>
      <c r="I23" s="2323"/>
      <c r="J23" s="2316"/>
      <c r="K23" s="2316"/>
    </row>
    <row r="24" spans="1:11">
      <c r="A24" s="2316"/>
      <c r="B24" s="2316"/>
      <c r="C24" s="2316"/>
      <c r="D24" s="2316"/>
      <c r="E24" s="2316"/>
      <c r="F24" s="2316"/>
      <c r="G24" s="2316"/>
      <c r="H24" s="2316"/>
      <c r="I24" s="2316"/>
      <c r="J24" s="2316"/>
      <c r="K24" s="2316"/>
    </row>
    <row r="25" spans="1:11">
      <c r="A25" s="2316"/>
      <c r="B25" s="2316"/>
      <c r="C25" s="2316"/>
      <c r="D25" s="2316"/>
      <c r="E25" s="2316"/>
      <c r="F25" s="2316"/>
      <c r="G25" s="2316"/>
      <c r="H25" s="2316"/>
      <c r="I25" s="2316"/>
      <c r="J25" s="2316"/>
      <c r="K25" s="2316"/>
    </row>
    <row r="26" spans="1:11">
      <c r="A26" s="2316"/>
      <c r="B26" s="2316"/>
      <c r="C26" s="2316"/>
      <c r="D26" s="2316"/>
      <c r="E26" s="2316"/>
      <c r="F26" s="2316"/>
      <c r="G26" s="2316"/>
      <c r="H26" s="2316"/>
      <c r="I26" s="2316"/>
      <c r="J26" s="2316"/>
      <c r="K26" s="2316"/>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workbookViewId="0">
      <selection activeCell="F28" sqref="F28"/>
    </sheetView>
  </sheetViews>
  <sheetFormatPr defaultColWidth="12.625" defaultRowHeight="21.75" customHeight="1"/>
  <cols>
    <col min="1" max="2" width="12.625" style="2028"/>
    <col min="3" max="4" width="12.625" style="2028" customWidth="1"/>
    <col min="5" max="9" width="12.625" style="2028"/>
    <col min="10" max="11" width="12.625" style="234" customWidth="1"/>
    <col min="12" max="12" width="12.625" style="234"/>
    <col min="13" max="13" width="14.125" style="234" customWidth="1"/>
    <col min="14" max="26" width="12.625" style="234"/>
    <col min="27" max="35" width="12.625" style="2027"/>
    <col min="36" max="16384" width="12.625" style="2028"/>
  </cols>
  <sheetData>
    <row r="1" spans="1:12" ht="21.75" customHeight="1">
      <c r="A1" s="2029" t="s">
        <v>711</v>
      </c>
      <c r="B1" s="2030"/>
      <c r="C1" s="2031"/>
      <c r="D1" s="2030"/>
      <c r="E1" s="2030"/>
      <c r="F1" s="2032" t="s">
        <v>712</v>
      </c>
      <c r="G1" s="2033"/>
      <c r="H1" s="2034" t="str">
        <f>IF(G1="现房","——","估价对象范围")</f>
        <v>估价对象范围</v>
      </c>
      <c r="I1" s="2167"/>
    </row>
    <row r="2" spans="1:12" ht="21.75" customHeight="1">
      <c r="A2" s="3247" t="str">
        <f>项目基本情况!S2</f>
        <v>北京市房地产</v>
      </c>
      <c r="B2" s="3248"/>
      <c r="C2" s="3248"/>
      <c r="D2" s="3248"/>
      <c r="E2" s="3248"/>
      <c r="F2" s="3248"/>
      <c r="G2" s="3248"/>
      <c r="H2" s="3248"/>
      <c r="I2" s="3249"/>
    </row>
    <row r="3" spans="1:12" ht="12.75">
      <c r="A3" s="3250" t="s">
        <v>713</v>
      </c>
      <c r="B3" s="3251"/>
      <c r="C3" s="3251"/>
      <c r="D3" s="3251"/>
      <c r="E3" s="3251"/>
      <c r="F3" s="3251"/>
      <c r="G3" s="3251"/>
      <c r="H3" s="3251"/>
      <c r="I3" s="3251"/>
    </row>
    <row r="4" spans="1:12" ht="14.25">
      <c r="A4" s="2035" t="s">
        <v>714</v>
      </c>
      <c r="B4" s="2036" t="s">
        <v>715</v>
      </c>
      <c r="C4" s="2037" t="s">
        <v>716</v>
      </c>
      <c r="D4" s="2037" t="s">
        <v>717</v>
      </c>
      <c r="E4" s="3252" t="s">
        <v>718</v>
      </c>
      <c r="F4" s="3253"/>
      <c r="G4" s="3253"/>
      <c r="H4" s="3253"/>
      <c r="I4" s="3254"/>
      <c r="K4" s="235" t="str">
        <f>IF(ISNUMBER(FIND("比较法",结果表!C4)),"比较法",IF(ISNUMBER(FIND("成本法",结果表!C4)),"成本法",IF(ISNUMBER(FIND("假设开发法",结果表!C4)),"假设开发法",IF(ISNUMBER(FIND("收益法",结果表!C4)),"收益法","基准地价系数修正法"))))</f>
        <v>成本法</v>
      </c>
      <c r="L4" s="235" t="str">
        <f>IF(ISNUMBER(FIND("比较法",结果表!D4)),"比较法",IF(ISNUMBER(FIND("成本法",结果表!D4)),"成本法",IF(ISNUMBER(FIND("假设开发法",结果表!D4)),"假设开发法",IF(ISNUMBER(FIND("收益法",结果表!D4)),"收益法","基准地价系数修正法"))))</f>
        <v>假设开发法</v>
      </c>
    </row>
    <row r="5" spans="1:12" ht="12.75">
      <c r="A5" s="3171" t="s">
        <v>719</v>
      </c>
      <c r="B5" s="3179">
        <v>25</v>
      </c>
      <c r="C5" s="3264"/>
      <c r="D5" s="3182"/>
      <c r="E5" s="1697" t="s">
        <v>720</v>
      </c>
      <c r="F5" s="2042"/>
      <c r="G5" s="2042"/>
      <c r="H5" s="2042"/>
      <c r="I5" s="1908"/>
    </row>
    <row r="6" spans="1:12" ht="12.75">
      <c r="A6" s="3171"/>
      <c r="B6" s="3179"/>
      <c r="C6" s="3265"/>
      <c r="D6" s="3182"/>
      <c r="E6" s="1697" t="s">
        <v>721</v>
      </c>
      <c r="F6" s="2042"/>
      <c r="G6" s="2042"/>
      <c r="H6" s="2042"/>
      <c r="I6" s="1908"/>
    </row>
    <row r="7" spans="1:12" ht="12.75">
      <c r="A7" s="3171"/>
      <c r="B7" s="3179"/>
      <c r="C7" s="3266"/>
      <c r="D7" s="3182"/>
      <c r="E7" s="1697" t="s">
        <v>722</v>
      </c>
      <c r="F7" s="2042"/>
      <c r="G7" s="2042"/>
      <c r="H7" s="2042"/>
      <c r="I7" s="1908"/>
    </row>
    <row r="8" spans="1:12" ht="12.75">
      <c r="A8" s="3171" t="s">
        <v>723</v>
      </c>
      <c r="B8" s="3179">
        <v>15</v>
      </c>
      <c r="C8" s="3264"/>
      <c r="D8" s="3182"/>
      <c r="E8" s="1697" t="s">
        <v>724</v>
      </c>
      <c r="F8" s="2042"/>
      <c r="G8" s="2042"/>
      <c r="H8" s="2042"/>
      <c r="I8" s="1908"/>
    </row>
    <row r="9" spans="1:12" ht="12.75">
      <c r="A9" s="3171"/>
      <c r="B9" s="3179"/>
      <c r="C9" s="3266"/>
      <c r="D9" s="3182"/>
      <c r="E9" s="1697" t="s">
        <v>725</v>
      </c>
      <c r="F9" s="2042"/>
      <c r="G9" s="2042"/>
      <c r="H9" s="2042"/>
      <c r="I9" s="1908"/>
    </row>
    <row r="10" spans="1:12" ht="12.75">
      <c r="A10" s="3171" t="s">
        <v>726</v>
      </c>
      <c r="B10" s="3179">
        <v>15</v>
      </c>
      <c r="C10" s="3264"/>
      <c r="D10" s="3182"/>
      <c r="E10" s="1697" t="s">
        <v>727</v>
      </c>
      <c r="F10" s="2042"/>
      <c r="G10" s="2042"/>
      <c r="H10" s="2042"/>
      <c r="I10" s="1908"/>
    </row>
    <row r="11" spans="1:12" ht="12.75">
      <c r="A11" s="3171"/>
      <c r="B11" s="3179"/>
      <c r="C11" s="3266"/>
      <c r="D11" s="3182"/>
      <c r="E11" s="1697" t="s">
        <v>728</v>
      </c>
      <c r="F11" s="2042"/>
      <c r="G11" s="2042"/>
      <c r="H11" s="2042"/>
      <c r="I11" s="1908"/>
    </row>
    <row r="12" spans="1:12" ht="12.75">
      <c r="A12" s="3171" t="s">
        <v>729</v>
      </c>
      <c r="B12" s="3179">
        <v>15</v>
      </c>
      <c r="C12" s="3264"/>
      <c r="D12" s="3182"/>
      <c r="E12" s="1697" t="s">
        <v>730</v>
      </c>
      <c r="F12" s="2042"/>
      <c r="G12" s="2042"/>
      <c r="H12" s="2042"/>
      <c r="I12" s="1908"/>
    </row>
    <row r="13" spans="1:12" ht="12.75">
      <c r="A13" s="3171"/>
      <c r="B13" s="3179"/>
      <c r="C13" s="3266"/>
      <c r="D13" s="3182"/>
      <c r="E13" s="1697" t="s">
        <v>731</v>
      </c>
      <c r="F13" s="2042"/>
      <c r="G13" s="2042"/>
      <c r="H13" s="2042"/>
      <c r="I13" s="1908"/>
    </row>
    <row r="14" spans="1:12" ht="12.75">
      <c r="A14" s="3171" t="s">
        <v>732</v>
      </c>
      <c r="B14" s="3179">
        <v>30</v>
      </c>
      <c r="C14" s="3264">
        <v>5</v>
      </c>
      <c r="D14" s="3182">
        <v>5</v>
      </c>
      <c r="E14" s="1697" t="s">
        <v>733</v>
      </c>
      <c r="F14" s="2042"/>
      <c r="G14" s="2042"/>
      <c r="H14" s="2042"/>
      <c r="I14" s="1908"/>
    </row>
    <row r="15" spans="1:12" ht="12.75">
      <c r="A15" s="3171"/>
      <c r="B15" s="3179"/>
      <c r="C15" s="3265"/>
      <c r="D15" s="3182"/>
      <c r="E15" s="1697" t="s">
        <v>734</v>
      </c>
      <c r="F15" s="2042"/>
      <c r="G15" s="2042"/>
      <c r="H15" s="2042"/>
      <c r="I15" s="1908"/>
    </row>
    <row r="16" spans="1:12" ht="12.75">
      <c r="A16" s="3171"/>
      <c r="B16" s="3179"/>
      <c r="C16" s="3266"/>
      <c r="D16" s="3182"/>
      <c r="E16" s="1697" t="s">
        <v>735</v>
      </c>
      <c r="F16" s="2042"/>
      <c r="G16" s="2042"/>
      <c r="H16" s="2042"/>
      <c r="I16" s="1908"/>
    </row>
    <row r="17" spans="1:36" ht="15">
      <c r="A17" s="2043" t="s">
        <v>736</v>
      </c>
      <c r="B17" s="2044"/>
      <c r="C17" s="2045">
        <f>SUM(C5:C16)</f>
        <v>5</v>
      </c>
      <c r="D17" s="2045">
        <f>SUM(D5:D16)</f>
        <v>5</v>
      </c>
      <c r="E17" s="277"/>
      <c r="F17" s="277"/>
      <c r="G17" s="277"/>
      <c r="H17" s="277"/>
      <c r="I17" s="277"/>
      <c r="K17" s="1657"/>
      <c r="L17" s="1657" t="s">
        <v>737</v>
      </c>
      <c r="M17" s="1657" t="s">
        <v>738</v>
      </c>
    </row>
    <row r="18" spans="1:36" ht="31.9" customHeight="1">
      <c r="A18" s="2046" t="s">
        <v>739</v>
      </c>
      <c r="B18" s="2047"/>
      <c r="C18" s="2048">
        <f>ROUND(C17/SUM(C17:D17),2)</f>
        <v>0.5</v>
      </c>
      <c r="D18" s="2048">
        <f>1-C18</f>
        <v>0.5</v>
      </c>
      <c r="E18" s="3255" t="s">
        <v>740</v>
      </c>
      <c r="F18" s="3256"/>
      <c r="G18" s="3256"/>
      <c r="H18" s="3256"/>
      <c r="I18" s="3256"/>
      <c r="K18" s="1657" t="s">
        <v>362</v>
      </c>
      <c r="L18" s="1657">
        <f>IF(C1="",'数据-汇总表'!E3,SUMIF(项目类型,C1,'数据-汇总表'!E17:E26)+SUMIF(项目类型,C1,'数据-汇总表'!I17:I26))</f>
        <v>39222.729999999996</v>
      </c>
      <c r="M18" s="1657">
        <f>IF(C1="",'数据-汇总表'!E3,SUMIF(项目类型,C1,'数据-汇总表'!E17:E26))</f>
        <v>39222.729999999996</v>
      </c>
    </row>
    <row r="19" spans="1:36" ht="15">
      <c r="A19" s="2049" t="s">
        <v>741</v>
      </c>
      <c r="B19" s="2050" t="s">
        <v>742</v>
      </c>
      <c r="C19" s="2051">
        <f ca="1">SUMIF(INDIRECT("'"&amp;C4&amp;"'"&amp;"!A:A"),结果表!B19,INDIRECT("'"&amp;C4&amp;"'"&amp;"!B:B"))</f>
        <v>344598</v>
      </c>
      <c r="D19" s="1249">
        <f ca="1">SUMIF(INDIRECT("'"&amp;D4&amp;"'"&amp;"!A:A"),结果表!B19,INDIRECT("'"&amp;D4&amp;"'"&amp;"!B:B"))</f>
        <v>332010</v>
      </c>
      <c r="E19" s="2049" t="s">
        <v>743</v>
      </c>
      <c r="F19" s="2050" t="s">
        <v>742</v>
      </c>
      <c r="G19" s="2052">
        <f ca="1">ROUND(C19*$C$18+D19*$D$18,0)</f>
        <v>338304</v>
      </c>
      <c r="H19" s="2053" t="s">
        <v>744</v>
      </c>
      <c r="I19" s="277"/>
      <c r="K19" s="1657" t="s">
        <v>366</v>
      </c>
      <c r="L19" s="1657">
        <f>IF(C1="",'数据-汇总表'!D3,SUMIF(项目类型,C1,'数据-汇总表'!D17:D26)+SUMIF(项目类型,C1,'数据-汇总表'!H17:H27))</f>
        <v>11660.67</v>
      </c>
      <c r="M19" s="1657">
        <f>IF(C1="",'数据-汇总表'!D3,SUMIF(项目类型,C1,'数据-汇总表'!D17:D26))</f>
        <v>11660.67</v>
      </c>
    </row>
    <row r="20" spans="1:36" ht="15">
      <c r="A20" s="2054"/>
      <c r="B20" s="2055" t="s">
        <v>745</v>
      </c>
      <c r="C20" s="1537">
        <f ca="1">SUMIF(INDIRECT("'"&amp;C4&amp;"'"&amp;"!A:A"),结果表!B20,INDIRECT("'"&amp;C4&amp;"'"&amp;"!B:B"))</f>
        <v>87857</v>
      </c>
      <c r="D20" s="1540">
        <f ca="1">SUMIF(INDIRECT("'"&amp;D4&amp;"'"&amp;"!A:A"),结果表!B20,INDIRECT("'"&amp;D4&amp;"'"&amp;"!B:B"))</f>
        <v>84647</v>
      </c>
      <c r="E20" s="2054"/>
      <c r="F20" s="2055" t="s">
        <v>745</v>
      </c>
      <c r="G20" s="2056">
        <f ca="1">ROUND(C20*$C$18+D20*$D$18,0)</f>
        <v>86252</v>
      </c>
      <c r="H20" s="1812" t="s">
        <v>746</v>
      </c>
      <c r="I20" s="277"/>
    </row>
    <row r="21" spans="1:36" ht="15" customHeight="1">
      <c r="A21" s="1990"/>
      <c r="B21" s="2057" t="s">
        <v>747</v>
      </c>
      <c r="C21" s="2058">
        <f ca="1">ROUND(C19*10000/L19,0)</f>
        <v>295522</v>
      </c>
      <c r="D21" s="2059">
        <f ca="1">ROUND(D19*10000/L19,0)</f>
        <v>284726</v>
      </c>
      <c r="E21" s="1990"/>
      <c r="F21" s="2057" t="s">
        <v>747</v>
      </c>
      <c r="G21" s="2060">
        <f ca="1">ROUND(G19*10000/L19,0)</f>
        <v>290124</v>
      </c>
      <c r="H21" s="2061" t="s">
        <v>746</v>
      </c>
      <c r="I21" s="277"/>
    </row>
    <row r="22" spans="1:36" ht="14.25">
      <c r="A22" s="2062" t="s">
        <v>748</v>
      </c>
      <c r="B22" s="2063"/>
      <c r="C22" s="2064"/>
      <c r="D22" s="2065">
        <f ca="1">IF(C19&lt;D19,D19/C19-1,C19/D19-1)</f>
        <v>3.791452064696843E-2</v>
      </c>
      <c r="E22" s="277"/>
      <c r="F22" s="277"/>
      <c r="G22" s="277"/>
      <c r="H22" s="277"/>
      <c r="I22" s="277"/>
    </row>
    <row r="23" spans="1:36" ht="12.75">
      <c r="A23" s="2030"/>
      <c r="B23" s="2030"/>
      <c r="C23" s="2030"/>
      <c r="D23" s="2030"/>
      <c r="E23" s="277"/>
      <c r="F23" s="277"/>
      <c r="G23" s="277"/>
      <c r="H23" s="277"/>
      <c r="I23" s="277"/>
    </row>
    <row r="24" spans="1:36" ht="14.25">
      <c r="A24" s="3172" t="s">
        <v>749</v>
      </c>
      <c r="B24" s="2050" t="s">
        <v>742</v>
      </c>
      <c r="C24" s="2052">
        <f>IF(B30=0,0,D30)</f>
        <v>0</v>
      </c>
      <c r="D24" s="2066"/>
      <c r="E24" s="277"/>
      <c r="F24" s="277"/>
      <c r="G24" s="277"/>
      <c r="H24" s="277"/>
      <c r="I24" s="277"/>
    </row>
    <row r="25" spans="1:36" ht="14.25">
      <c r="A25" s="3173"/>
      <c r="B25" s="2055" t="s">
        <v>745</v>
      </c>
      <c r="C25" s="2067">
        <f>IF(B30=0,0,C30)</f>
        <v>0</v>
      </c>
      <c r="D25" s="2068"/>
      <c r="E25" s="277"/>
      <c r="F25" s="277"/>
      <c r="G25" s="277"/>
      <c r="H25" s="277"/>
      <c r="I25" s="277"/>
    </row>
    <row r="26" spans="1:36" ht="13.5" customHeight="1">
      <c r="A26" s="2069" t="s">
        <v>750</v>
      </c>
      <c r="B26" s="2070" t="s">
        <v>751</v>
      </c>
      <c r="C26" s="2070" t="s">
        <v>752</v>
      </c>
      <c r="D26" s="2071" t="s">
        <v>753</v>
      </c>
      <c r="E26" s="277"/>
      <c r="F26" s="277"/>
      <c r="G26" s="277"/>
      <c r="H26" s="277"/>
      <c r="I26" s="277"/>
    </row>
    <row r="27" spans="1:36" ht="14.25">
      <c r="A27" s="2069"/>
      <c r="B27" s="2070">
        <v>0</v>
      </c>
      <c r="C27" s="2070">
        <v>0</v>
      </c>
      <c r="D27" s="2071">
        <f>ROUND(C27*B27/10000,0)</f>
        <v>0</v>
      </c>
      <c r="E27" s="277"/>
      <c r="F27" s="277"/>
      <c r="G27" s="277"/>
      <c r="H27" s="277"/>
      <c r="I27" s="277"/>
    </row>
    <row r="28" spans="1:36" ht="14.25">
      <c r="A28" s="2069"/>
      <c r="B28" s="2070"/>
      <c r="C28" s="2070"/>
      <c r="D28" s="2071"/>
      <c r="E28" s="277"/>
      <c r="F28" s="277"/>
      <c r="G28" s="277"/>
      <c r="H28" s="277"/>
      <c r="I28" s="277"/>
    </row>
    <row r="29" spans="1:36" ht="14.25">
      <c r="A29" s="2069"/>
      <c r="B29" s="2070"/>
      <c r="C29" s="2070"/>
      <c r="D29" s="2071"/>
      <c r="E29" s="277"/>
      <c r="F29" s="277"/>
      <c r="G29" s="277"/>
      <c r="H29" s="277"/>
      <c r="I29" s="277"/>
    </row>
    <row r="30" spans="1:36" ht="14.25">
      <c r="A30" s="2070" t="s">
        <v>754</v>
      </c>
      <c r="B30" s="2070"/>
      <c r="C30" s="2070"/>
      <c r="D30" s="2070"/>
      <c r="E30" s="2072" t="s">
        <v>755</v>
      </c>
      <c r="F30" s="277"/>
      <c r="G30" s="277"/>
      <c r="H30" s="277"/>
      <c r="I30" s="277"/>
    </row>
    <row r="31" spans="1:36" s="2024" customFormat="1" ht="26.45" customHeight="1">
      <c r="A31" s="2073"/>
      <c r="B31" s="2074"/>
      <c r="C31" s="2074"/>
      <c r="D31" s="2074"/>
      <c r="E31" s="2074"/>
      <c r="F31" s="2074"/>
      <c r="G31" s="2074"/>
      <c r="H31" s="2074"/>
      <c r="I31" s="2169" t="s">
        <v>756</v>
      </c>
      <c r="J31" s="2170"/>
      <c r="K31" s="2171"/>
      <c r="L31" s="2171"/>
      <c r="M31" s="2171"/>
      <c r="N31" s="2171"/>
      <c r="O31" s="2171"/>
      <c r="P31" s="2171"/>
      <c r="Q31" s="2171"/>
      <c r="R31" s="2171"/>
      <c r="S31" s="2171"/>
      <c r="T31" s="2171"/>
      <c r="U31" s="2171"/>
      <c r="V31" s="2171"/>
      <c r="W31" s="2171"/>
      <c r="X31" s="2171"/>
      <c r="Y31" s="2171"/>
      <c r="Z31" s="2171"/>
      <c r="AA31" s="2171"/>
      <c r="AB31" s="2202"/>
      <c r="AC31" s="2202"/>
      <c r="AD31" s="2202"/>
      <c r="AE31" s="2202"/>
      <c r="AF31" s="2202"/>
      <c r="AG31" s="2202"/>
      <c r="AH31" s="2202"/>
      <c r="AI31" s="2202"/>
      <c r="AJ31" s="2202"/>
    </row>
    <row r="32" spans="1:36" ht="15">
      <c r="A32" s="2075" t="s">
        <v>757</v>
      </c>
      <c r="B32" s="2076"/>
      <c r="C32" s="2077">
        <f ca="1">IF(D32="总价",G19-C24,G20-C25)</f>
        <v>338304</v>
      </c>
      <c r="D32" s="2078" t="s">
        <v>2860</v>
      </c>
      <c r="E32" s="277"/>
      <c r="F32" s="277"/>
      <c r="G32" s="277"/>
      <c r="H32" s="277"/>
      <c r="I32" s="277"/>
    </row>
    <row r="33" spans="1:15" ht="15">
      <c r="A33" s="1930" t="s">
        <v>758</v>
      </c>
      <c r="B33" s="2079"/>
      <c r="C33" s="2080" t="s">
        <v>2861</v>
      </c>
      <c r="D33" s="2081" t="s">
        <v>716</v>
      </c>
      <c r="E33" s="2082" t="s">
        <v>759</v>
      </c>
      <c r="F33" s="2083" t="str">
        <f>IF(D32="楼面单价","取值（单价）","取值（总价）")</f>
        <v>取值（总价）</v>
      </c>
      <c r="G33" s="277"/>
      <c r="H33" s="277"/>
      <c r="I33" s="277"/>
    </row>
    <row r="34" spans="1:15" ht="15">
      <c r="A34" s="2084"/>
      <c r="B34" s="2085" t="s">
        <v>760</v>
      </c>
      <c r="C34" s="2086">
        <f ca="1">IF(C33="自定义",F34,C32-C35)</f>
        <v>325448</v>
      </c>
      <c r="D34" s="2087">
        <f ca="1">IF(C33="自定义",ROUND(C34/C32,3),IF(C33="收益比率",SUMIF(INDIRECT("'"&amp;D33&amp;"'"&amp;"!b:b"),"土地收益比率",INDIRECT("'"&amp;D33&amp;"'"&amp;"!c:c")),SUMIF(INDIRECT("'"&amp;D33&amp;"'"&amp;"!b:b"),"土地成本比率",INDIRECT("'"&amp;D33&amp;"'"&amp;"!c:c"))))</f>
        <v>0.96199999999999997</v>
      </c>
      <c r="E34" s="2088" t="s">
        <v>761</v>
      </c>
      <c r="F34" s="2089"/>
      <c r="G34" s="277"/>
      <c r="H34" s="277"/>
      <c r="I34" s="277"/>
    </row>
    <row r="35" spans="1:15" ht="15">
      <c r="A35" s="2090"/>
      <c r="B35" s="2091" t="s">
        <v>762</v>
      </c>
      <c r="C35" s="2092">
        <f ca="1">IF(C33="自定义",F35,ROUND(C32*D35,0))</f>
        <v>12856</v>
      </c>
      <c r="D35" s="2093">
        <f ca="1">IF(C33="自定义",ROUND(C35/C32,3),IF(C33="收益比率",SUMIF(INDIRECT("'"&amp;D33&amp;"'"&amp;"!b:b"),"建筑物收益比率",INDIRECT("'"&amp;D33&amp;"'"&amp;"!c:c")),SUMIF(INDIRECT("'"&amp;D33&amp;"'"&amp;"!b:b"),"建筑物成本比率",INDIRECT("'"&amp;D33&amp;"'"&amp;"!c:c"))))</f>
        <v>3.7999999999999999E-2</v>
      </c>
      <c r="E35" s="2094" t="s">
        <v>763</v>
      </c>
      <c r="F35" s="2095"/>
      <c r="G35" s="277"/>
      <c r="H35" s="277"/>
      <c r="I35" s="277"/>
    </row>
    <row r="36" spans="1:15" ht="15">
      <c r="A36" s="3174" t="s">
        <v>764</v>
      </c>
      <c r="B36" s="2096" t="s">
        <v>765</v>
      </c>
      <c r="C36" s="2097"/>
      <c r="D36" s="2098"/>
      <c r="E36" s="2099"/>
      <c r="F36" s="2100"/>
      <c r="G36" s="277"/>
      <c r="H36" s="277"/>
      <c r="I36" s="277"/>
    </row>
    <row r="37" spans="1:15" ht="15">
      <c r="A37" s="3175"/>
      <c r="B37" s="2101" t="s">
        <v>766</v>
      </c>
      <c r="C37" s="2102"/>
      <c r="D37" s="2103"/>
      <c r="E37" s="2103"/>
      <c r="F37" s="2100"/>
      <c r="G37" s="277"/>
      <c r="H37" s="277"/>
      <c r="I37" s="277"/>
    </row>
    <row r="38" spans="1:15" ht="15">
      <c r="A38" s="3176"/>
      <c r="B38" s="2104" t="s">
        <v>767</v>
      </c>
      <c r="C38" s="2105"/>
      <c r="D38" s="2106" t="s">
        <v>768</v>
      </c>
      <c r="E38" s="2103"/>
      <c r="F38" s="2100"/>
      <c r="G38" s="277"/>
      <c r="H38" s="277"/>
      <c r="I38" s="277"/>
    </row>
    <row r="39" spans="1:15" ht="15">
      <c r="A39" s="2054" t="s">
        <v>769</v>
      </c>
      <c r="B39" s="2107" t="s">
        <v>751</v>
      </c>
      <c r="C39" s="2108" t="s">
        <v>752</v>
      </c>
      <c r="D39" s="2108" t="s">
        <v>770</v>
      </c>
      <c r="E39" s="2109" t="s">
        <v>753</v>
      </c>
      <c r="F39" s="2100"/>
      <c r="G39" s="277"/>
      <c r="H39" s="277"/>
      <c r="I39" s="277"/>
    </row>
    <row r="40" spans="1:15" ht="14.25">
      <c r="A40" s="2110" t="s">
        <v>771</v>
      </c>
      <c r="B40" s="2111"/>
      <c r="C40" s="295"/>
      <c r="D40" s="295"/>
      <c r="E40" s="2112"/>
      <c r="F40" s="2100"/>
      <c r="G40" s="277"/>
      <c r="H40" s="277"/>
      <c r="I40" s="277"/>
    </row>
    <row r="41" spans="1:15" ht="14.25">
      <c r="A41" s="2110" t="s">
        <v>772</v>
      </c>
      <c r="B41" s="2111"/>
      <c r="C41" s="295"/>
      <c r="D41" s="295"/>
      <c r="E41" s="2112"/>
      <c r="F41" s="2100"/>
      <c r="G41" s="277"/>
      <c r="H41" s="277"/>
      <c r="I41" s="277"/>
    </row>
    <row r="42" spans="1:15" ht="14.25">
      <c r="A42" s="2113"/>
      <c r="B42" s="2114"/>
      <c r="C42" s="2115"/>
      <c r="D42" s="2115"/>
      <c r="E42" s="2095"/>
      <c r="F42" s="2100"/>
      <c r="G42" s="277"/>
      <c r="H42" s="277"/>
      <c r="I42" s="277"/>
    </row>
    <row r="43" spans="1:15" ht="12.75">
      <c r="A43" s="2116"/>
      <c r="B43" s="2116"/>
      <c r="C43" s="2116"/>
      <c r="D43" s="2116"/>
      <c r="E43" s="2116"/>
      <c r="F43" s="2117"/>
      <c r="G43" s="2117"/>
      <c r="H43" s="2117"/>
      <c r="I43" s="2172"/>
    </row>
    <row r="44" spans="1:15" ht="18.75">
      <c r="A44" s="2118" t="s">
        <v>773</v>
      </c>
      <c r="B44" s="2119"/>
      <c r="C44" s="2119"/>
      <c r="D44" s="2120"/>
      <c r="E44" s="2120"/>
      <c r="F44" s="2121"/>
      <c r="G44" s="2121"/>
      <c r="H44" s="2121"/>
      <c r="I44" s="2121"/>
      <c r="J44" s="2173" t="s">
        <v>774</v>
      </c>
      <c r="K44" s="2174"/>
      <c r="L44" s="2174"/>
      <c r="M44" s="2174"/>
      <c r="N44" s="2174"/>
      <c r="O44" s="2174"/>
    </row>
    <row r="45" spans="1:15" ht="14.25" customHeight="1">
      <c r="A45" s="3257" t="s">
        <v>775</v>
      </c>
      <c r="B45" s="3258"/>
      <c r="C45" s="3259"/>
      <c r="D45" s="1656">
        <f ca="1">ROUND(H101*F45,0)</f>
        <v>338304</v>
      </c>
      <c r="E45" s="2122" t="s">
        <v>776</v>
      </c>
      <c r="F45" s="2123">
        <v>1</v>
      </c>
      <c r="G45" s="2124" t="s">
        <v>777</v>
      </c>
      <c r="H45" s="277"/>
      <c r="I45" s="277"/>
      <c r="J45" s="3246" t="s">
        <v>778</v>
      </c>
      <c r="K45" s="3246"/>
      <c r="L45" s="3246"/>
      <c r="M45" s="3246"/>
      <c r="N45" s="3246"/>
      <c r="O45" s="3246"/>
    </row>
    <row r="46" spans="1:15" ht="14.25" customHeight="1">
      <c r="A46" s="3260" t="s">
        <v>779</v>
      </c>
      <c r="B46" s="3261"/>
      <c r="C46" s="3261"/>
      <c r="D46" s="3261"/>
      <c r="E46" s="3261"/>
      <c r="F46" s="3261"/>
      <c r="G46" s="3262"/>
      <c r="H46" s="2125"/>
      <c r="I46" s="278"/>
      <c r="J46" s="2175">
        <v>1</v>
      </c>
      <c r="K46" s="3236" t="s">
        <v>780</v>
      </c>
      <c r="L46" s="3236"/>
      <c r="M46" s="3263"/>
      <c r="N46" s="3263"/>
      <c r="O46" s="3263"/>
    </row>
    <row r="47" spans="1:15" ht="12" customHeight="1">
      <c r="A47" s="2126" t="s">
        <v>781</v>
      </c>
      <c r="B47" s="2127"/>
      <c r="C47" s="2128"/>
      <c r="D47" s="1707" t="s">
        <v>782</v>
      </c>
      <c r="E47" s="1657" t="s">
        <v>783</v>
      </c>
      <c r="F47" s="2129" t="s">
        <v>784</v>
      </c>
      <c r="G47" s="2130" t="s">
        <v>785</v>
      </c>
      <c r="H47" s="2131"/>
      <c r="I47" s="278"/>
      <c r="J47" s="2175">
        <v>2</v>
      </c>
      <c r="K47" s="3236" t="s">
        <v>786</v>
      </c>
      <c r="L47" s="3236"/>
      <c r="M47" s="3243">
        <f>'数据-取费表'!B2</f>
        <v>44288</v>
      </c>
      <c r="N47" s="3243"/>
      <c r="O47" s="3243"/>
    </row>
    <row r="48" spans="1:15" ht="25.5">
      <c r="A48" s="3244" t="s">
        <v>787</v>
      </c>
      <c r="B48" s="3238"/>
      <c r="C48" s="3238"/>
      <c r="D48" s="1810" t="b">
        <f>IF(H48="情况1",0,IF(H48="情况2",D52,IF(H48="情况3",D53,IF(H48="情况4",D54))))</f>
        <v>0</v>
      </c>
      <c r="E48" s="1711" t="str">
        <f>IF(H48="情况4","(销售额-原购置价)×税（费）率","销售额×税（费）率")</f>
        <v>销售额×税（费）率</v>
      </c>
      <c r="F48" s="2133">
        <f>IF(H48="情况1","免征",'数据-取费表'!B41)</f>
        <v>5.6000000000000001E-2</v>
      </c>
      <c r="G48" s="2134" t="s">
        <v>788</v>
      </c>
      <c r="H48" s="2135"/>
      <c r="I48" s="2125"/>
      <c r="J48" s="2175">
        <v>3</v>
      </c>
      <c r="K48" s="3236" t="s">
        <v>789</v>
      </c>
      <c r="L48" s="3236"/>
      <c r="M48" s="3245">
        <f ca="1">H101</f>
        <v>338304</v>
      </c>
      <c r="N48" s="3245"/>
      <c r="O48" s="3245"/>
    </row>
    <row r="49" spans="1:35" ht="25.5" customHeight="1">
      <c r="A49" s="2132" t="s">
        <v>790</v>
      </c>
      <c r="B49" s="3209" t="s">
        <v>791</v>
      </c>
      <c r="C49" s="3209"/>
      <c r="D49" s="2136">
        <v>0</v>
      </c>
      <c r="E49" s="1717" t="s">
        <v>792</v>
      </c>
      <c r="F49" s="2137" t="s">
        <v>124</v>
      </c>
      <c r="G49" s="3239"/>
      <c r="H49" s="2138" t="s">
        <v>793</v>
      </c>
      <c r="I49" s="2177"/>
      <c r="J49" s="2175">
        <v>4</v>
      </c>
      <c r="K49" s="3236" t="str">
        <f>IF(项目基本情况!E8="房地产抵押价值","房地产抵押价值","抵押担保权已注销时的房地产抵押价值")</f>
        <v>房地产抵押价值</v>
      </c>
      <c r="L49" s="3236"/>
      <c r="M49" s="3245">
        <f ca="1">IF(项目基本情况!E8="房地产抵押价值",H107,H109)</f>
        <v>338304</v>
      </c>
      <c r="N49" s="3245"/>
      <c r="O49" s="3245"/>
    </row>
    <row r="50" spans="1:35" ht="25.5" customHeight="1">
      <c r="A50" s="2139"/>
      <c r="B50" s="3209" t="s">
        <v>794</v>
      </c>
      <c r="C50" s="3209"/>
      <c r="D50" s="2140"/>
      <c r="E50" s="1732"/>
      <c r="F50" s="2137"/>
      <c r="G50" s="3240"/>
      <c r="H50" s="2141" t="s">
        <v>795</v>
      </c>
      <c r="I50" s="2177"/>
      <c r="J50" s="3246" t="s">
        <v>796</v>
      </c>
      <c r="K50" s="3246"/>
      <c r="L50" s="3246"/>
      <c r="M50" s="3246"/>
      <c r="N50" s="3246"/>
      <c r="O50" s="3246"/>
    </row>
    <row r="51" spans="1:35" ht="20.45" customHeight="1">
      <c r="A51" s="2142"/>
      <c r="B51" s="3209" t="s">
        <v>797</v>
      </c>
      <c r="C51" s="3209"/>
      <c r="D51" s="1707"/>
      <c r="E51" s="1721"/>
      <c r="F51" s="2137"/>
      <c r="G51" s="3241"/>
      <c r="H51" s="2141" t="s">
        <v>798</v>
      </c>
      <c r="I51" s="2177"/>
      <c r="J51" s="2176" t="s">
        <v>799</v>
      </c>
      <c r="K51" s="3236" t="s">
        <v>800</v>
      </c>
      <c r="L51" s="3236"/>
      <c r="M51" s="2176" t="s">
        <v>801</v>
      </c>
      <c r="N51" s="2176" t="s">
        <v>802</v>
      </c>
      <c r="O51" s="2176" t="s">
        <v>803</v>
      </c>
    </row>
    <row r="52" spans="1:35" ht="24" customHeight="1">
      <c r="A52" s="2143" t="s">
        <v>804</v>
      </c>
      <c r="B52" s="3209" t="s">
        <v>805</v>
      </c>
      <c r="C52" s="3209"/>
      <c r="D52" s="1707">
        <f ca="1">ROUND(D45*'数据-取费表'!B41/(1+'数据-取费表'!C42),0)</f>
        <v>18043</v>
      </c>
      <c r="E52" s="1711" t="s">
        <v>806</v>
      </c>
      <c r="F52" s="2144">
        <f>'数据-取费表'!B41</f>
        <v>5.6000000000000001E-2</v>
      </c>
      <c r="G52" s="2145"/>
      <c r="H52" s="1825"/>
      <c r="I52" s="2178"/>
      <c r="J52" s="2175">
        <v>1</v>
      </c>
      <c r="K52" s="3232" t="s">
        <v>807</v>
      </c>
      <c r="L52" s="3232"/>
      <c r="M52" s="2179" t="b">
        <f>D48</f>
        <v>0</v>
      </c>
      <c r="N52" s="2175" t="str">
        <f>E48</f>
        <v>销售额×税（费）率</v>
      </c>
      <c r="O52" s="2180">
        <f>F48</f>
        <v>5.6000000000000001E-2</v>
      </c>
    </row>
    <row r="53" spans="1:35" ht="12" customHeight="1">
      <c r="A53" s="2143" t="s">
        <v>808</v>
      </c>
      <c r="B53" s="3208" t="s">
        <v>809</v>
      </c>
      <c r="C53" s="3228"/>
      <c r="D53" s="1707">
        <f ca="1">ROUND(D45*'数据-取费表'!B41/(1+'数据-取费表'!C42),0)</f>
        <v>18043</v>
      </c>
      <c r="E53" s="1711" t="s">
        <v>806</v>
      </c>
      <c r="F53" s="2144">
        <f>'数据-取费表'!B41</f>
        <v>5.6000000000000001E-2</v>
      </c>
      <c r="G53" s="2145"/>
      <c r="H53" s="1825"/>
      <c r="I53" s="2178"/>
      <c r="J53" s="2175">
        <v>2</v>
      </c>
      <c r="K53" s="3232" t="s">
        <v>810</v>
      </c>
      <c r="L53" s="3232"/>
      <c r="M53" s="2179">
        <f t="shared" ref="M53:O54" ca="1" si="0">D55</f>
        <v>169</v>
      </c>
      <c r="N53" s="2175" t="str">
        <f t="shared" si="0"/>
        <v>销售额×税（费）率</v>
      </c>
      <c r="O53" s="2180" t="str">
        <f t="shared" si="0"/>
        <v>免征</v>
      </c>
    </row>
    <row r="54" spans="1:35" ht="12" customHeight="1">
      <c r="A54" s="2143" t="s">
        <v>811</v>
      </c>
      <c r="B54" s="3208" t="s">
        <v>812</v>
      </c>
      <c r="C54" s="3228"/>
      <c r="D54" s="1707">
        <f ca="1">C68</f>
        <v>18043</v>
      </c>
      <c r="E54" s="1721" t="s">
        <v>813</v>
      </c>
      <c r="F54" s="2144">
        <f>'数据-取费表'!B41</f>
        <v>5.6000000000000001E-2</v>
      </c>
      <c r="G54" s="2145"/>
      <c r="H54" s="2146"/>
      <c r="I54" s="2178"/>
      <c r="J54" s="2175">
        <v>3</v>
      </c>
      <c r="K54" s="3232" t="s">
        <v>814</v>
      </c>
      <c r="L54" s="3232"/>
      <c r="M54" s="2179">
        <f t="shared" ca="1" si="0"/>
        <v>191480</v>
      </c>
      <c r="N54" s="2175" t="str">
        <f t="shared" si="0"/>
        <v>增值额×税（费）率</v>
      </c>
      <c r="O54" s="2181" t="str">
        <f t="shared" si="0"/>
        <v>免征</v>
      </c>
    </row>
    <row r="55" spans="1:35" ht="24" customHeight="1">
      <c r="A55" s="3237" t="s">
        <v>815</v>
      </c>
      <c r="B55" s="3238"/>
      <c r="C55" s="3238"/>
      <c r="D55" s="1810">
        <f ca="1">IF(H55="个人住宅",0,ROUND(D45*I55,0))</f>
        <v>169</v>
      </c>
      <c r="E55" s="1711" t="s">
        <v>816</v>
      </c>
      <c r="F55" s="2144" t="str">
        <f>IF(H55="正常",I55,"免征")</f>
        <v>免征</v>
      </c>
      <c r="G55" s="2145"/>
      <c r="H55" s="2135"/>
      <c r="I55" s="2182">
        <f>'数据-取费表'!B49</f>
        <v>5.0000000000000001E-4</v>
      </c>
      <c r="J55" s="2175">
        <f>IF(H59="非个人房产","",4)</f>
        <v>4</v>
      </c>
      <c r="K55" s="3232" t="str">
        <f>IF(H59="非个人房产","——","个人所得税")</f>
        <v>个人所得税</v>
      </c>
      <c r="L55" s="3232"/>
      <c r="M55" s="2183">
        <f ca="1">D59</f>
        <v>3222</v>
      </c>
      <c r="N55" s="610" t="str">
        <f>E59</f>
        <v>差额计税</v>
      </c>
      <c r="O55" s="2184">
        <f>F59</f>
        <v>0.01</v>
      </c>
    </row>
    <row r="56" spans="1:35" ht="24.75">
      <c r="A56" s="3237" t="s">
        <v>817</v>
      </c>
      <c r="B56" s="3238"/>
      <c r="C56" s="3238"/>
      <c r="D56" s="1810">
        <f ca="1">IF(H56="个人住宅",D57,D58)</f>
        <v>191480</v>
      </c>
      <c r="E56" s="1711" t="s">
        <v>818</v>
      </c>
      <c r="F56" s="2144" t="str">
        <f>IF(H56="正常",F58,"免征")</f>
        <v>免征</v>
      </c>
      <c r="G56" s="2147" t="s">
        <v>819</v>
      </c>
      <c r="H56" s="2148"/>
      <c r="I56" s="2157"/>
      <c r="J56" s="2175" t="str">
        <f>IF(项目基本情况!K6="上海银行",IF(J55="",4,J55+1),"")</f>
        <v/>
      </c>
      <c r="K56" s="3226" t="str">
        <f>IF(项目基本情况!K6="上海银行","其他处置费用","")</f>
        <v/>
      </c>
      <c r="L56" s="3242"/>
      <c r="M56" s="2179" t="str">
        <f>IF(项目基本情况!K6="上海银行",M69,"")</f>
        <v/>
      </c>
      <c r="N56" s="3226" t="str">
        <f>IF(项目基本情况!K6="上海银行","包含处置中涉及的律师、诉讼、拍卖、评估等费用","")</f>
        <v/>
      </c>
      <c r="O56" s="3227"/>
    </row>
    <row r="57" spans="1:35" ht="12.75">
      <c r="A57" s="2143" t="s">
        <v>790</v>
      </c>
      <c r="B57" s="3208" t="s">
        <v>820</v>
      </c>
      <c r="C57" s="3228"/>
      <c r="D57" s="2136">
        <v>0</v>
      </c>
      <c r="E57" s="1717" t="s">
        <v>792</v>
      </c>
      <c r="F57" s="1657"/>
      <c r="G57" s="2145"/>
      <c r="H57" s="2149"/>
      <c r="I57" s="2157"/>
      <c r="J57" s="3232">
        <f>IF(AND(J55="",J56=""),4,IF(项目基本情况!K6="上海银行",结果表!J56+1,结果表!J55+1))</f>
        <v>5</v>
      </c>
      <c r="K57" s="3232" t="s">
        <v>821</v>
      </c>
      <c r="L57" s="2185" t="s">
        <v>822</v>
      </c>
      <c r="M57" s="2186"/>
      <c r="N57" s="2187">
        <f ca="1">SUMIF(M52:M56,"&lt;9e307")</f>
        <v>194871</v>
      </c>
      <c r="O57" s="2188"/>
      <c r="P57" s="2189">
        <f ca="1">N57/M49</f>
        <v>0.57602333995459709</v>
      </c>
    </row>
    <row r="58" spans="1:35" ht="24.75">
      <c r="A58" s="2143" t="s">
        <v>804</v>
      </c>
      <c r="B58" s="3208" t="s">
        <v>823</v>
      </c>
      <c r="C58" s="3209"/>
      <c r="D58" s="1810">
        <f ca="1">IF(H58="转让取得",C81,C97)</f>
        <v>191480</v>
      </c>
      <c r="E58" s="1711" t="s">
        <v>818</v>
      </c>
      <c r="F58" s="1657" t="s">
        <v>124</v>
      </c>
      <c r="G58" s="2145"/>
      <c r="H58" s="2148"/>
      <c r="I58" s="2157"/>
      <c r="J58" s="3232"/>
      <c r="K58" s="3232"/>
      <c r="L58" s="2185" t="s">
        <v>824</v>
      </c>
      <c r="M58" s="2190"/>
      <c r="N58" s="2191" t="str">
        <f ca="1">NUMBERSTRING(INT(N57*10000),2)&amp;"元整"</f>
        <v>壹拾玖亿肆仟捌佰柒拾壹万元整</v>
      </c>
      <c r="O58" s="2192"/>
    </row>
    <row r="59" spans="1:35" ht="24">
      <c r="A59" s="3229" t="s">
        <v>825</v>
      </c>
      <c r="B59" s="3230"/>
      <c r="C59" s="3230"/>
      <c r="D59" s="2150">
        <f ca="1">IF(H59="非个人房产","——",IF(H59="个人住宅（满五唯一有凭证）",0,IF(H59="个人其他（无凭证）",ROUND(D45*F59,0),ROUND(C67*F59,0))))</f>
        <v>3222</v>
      </c>
      <c r="E59" s="2151" t="str">
        <f>IF(H59="非个人房产","——",IF(H59="个人其他（无凭证）","销售额×税（费）率",IF(H59="个人住宅（满五唯一有凭证）","免征","差额计税")))</f>
        <v>差额计税</v>
      </c>
      <c r="F59" s="2152">
        <f>IF(OR(H59="非个人房产",H59="个人住宅（满五唯一有凭证）"),"——",IF(H59="个人其他（有凭证）",20%,1%))</f>
        <v>0.01</v>
      </c>
      <c r="G59" s="2153" t="s">
        <v>819</v>
      </c>
      <c r="H59" s="2154"/>
      <c r="I59" s="2193" t="s">
        <v>826</v>
      </c>
      <c r="J59" s="3233">
        <f>J57+1</f>
        <v>6</v>
      </c>
      <c r="K59" s="3232" t="s">
        <v>827</v>
      </c>
      <c r="L59" s="2175" t="s">
        <v>822</v>
      </c>
      <c r="M59" s="2194"/>
      <c r="N59" s="2195">
        <f ca="1">M49-N57</f>
        <v>143433</v>
      </c>
      <c r="O59" s="2196"/>
    </row>
    <row r="60" spans="1:35" ht="12" customHeight="1">
      <c r="A60" s="2155"/>
      <c r="B60" s="2030"/>
      <c r="C60" s="2030"/>
      <c r="D60" s="2030"/>
      <c r="E60" s="2156"/>
      <c r="F60" s="2157"/>
      <c r="G60" s="2157"/>
      <c r="H60" s="2158"/>
      <c r="I60" s="277"/>
      <c r="J60" s="3234"/>
      <c r="K60" s="3232"/>
      <c r="L60" s="2185" t="s">
        <v>824</v>
      </c>
      <c r="M60" s="2190"/>
      <c r="N60" s="2191" t="str">
        <f ca="1">NUMBERSTRING(INT(N59*10000),2)&amp;"元整"</f>
        <v>壹拾肆亿叁仟肆佰叁拾叁万元整</v>
      </c>
      <c r="O60" s="2192"/>
    </row>
    <row r="61" spans="1:35" ht="12.75">
      <c r="A61" s="3231" t="s">
        <v>828</v>
      </c>
      <c r="B61" s="3231"/>
      <c r="C61" s="3231"/>
      <c r="D61" s="3231"/>
      <c r="E61" s="3231"/>
      <c r="F61" s="2157"/>
      <c r="G61" s="2157"/>
      <c r="H61" s="2158"/>
      <c r="I61" s="277"/>
      <c r="J61" s="2175">
        <f>J59+1</f>
        <v>7</v>
      </c>
      <c r="K61" s="3232" t="s">
        <v>829</v>
      </c>
      <c r="L61" s="3232"/>
      <c r="M61" s="2197"/>
      <c r="N61" s="2198">
        <f ca="1">ROUND(N59*10000/'数据-汇总表'!E3,0)</f>
        <v>36569</v>
      </c>
      <c r="O61" s="2199"/>
    </row>
    <row r="62" spans="1:35" ht="12.75">
      <c r="A62" s="3206" t="s">
        <v>830</v>
      </c>
      <c r="B62" s="3207"/>
      <c r="C62" s="589"/>
      <c r="D62" s="589" t="s">
        <v>831</v>
      </c>
      <c r="E62" s="2159" t="s">
        <v>785</v>
      </c>
      <c r="F62" s="2157"/>
      <c r="G62" s="2157"/>
      <c r="H62" s="2158"/>
      <c r="I62" s="277"/>
    </row>
    <row r="63" spans="1:35" ht="12.75">
      <c r="A63" s="2160" t="s">
        <v>832</v>
      </c>
      <c r="B63" s="2161" t="s">
        <v>833</v>
      </c>
      <c r="C63" s="2162">
        <f ca="1">ROUND((C64+C65)/(1+'数据-取费表'!C42),0)</f>
        <v>322194</v>
      </c>
      <c r="D63" s="2161"/>
      <c r="E63" s="2163"/>
      <c r="F63" s="2157"/>
      <c r="G63" s="2157"/>
      <c r="H63" s="2158"/>
      <c r="I63" s="277"/>
      <c r="J63" s="3235" t="s">
        <v>834</v>
      </c>
      <c r="K63" s="2200" t="s">
        <v>835</v>
      </c>
      <c r="L63" s="2200">
        <f ca="1">IF(M49&gt;10000,M49*0.5%,IF(AND(M49&gt;1000,M49&lt;=10000),M49*1%,IF(AND(M49&gt;100,M49&lt;=1000),M49*3%,IF(AND(M49&gt;10,M49&lt;=100),M49*5%,M49*8%))))</f>
        <v>1691.52</v>
      </c>
      <c r="M63" s="1657">
        <f ca="1">ROUND(L63,1)</f>
        <v>1691.5</v>
      </c>
      <c r="N63" s="2201"/>
      <c r="Z63" s="2027"/>
      <c r="AI63" s="2028"/>
    </row>
    <row r="64" spans="1:35" ht="14.25" customHeight="1">
      <c r="A64" s="2164" t="s">
        <v>836</v>
      </c>
      <c r="B64" s="576" t="s">
        <v>837</v>
      </c>
      <c r="C64" s="2165">
        <f ca="1">D45</f>
        <v>338304</v>
      </c>
      <c r="D64" s="576" t="s">
        <v>124</v>
      </c>
      <c r="E64" s="2166"/>
      <c r="F64" s="2157"/>
      <c r="G64" s="2157"/>
      <c r="H64" s="2158"/>
      <c r="I64" s="277"/>
      <c r="J64" s="3235"/>
      <c r="K64" s="2200" t="s">
        <v>838</v>
      </c>
      <c r="L64" s="2200">
        <f ca="1">IF(M49&gt;2000,M49*0.5%,IF(AND(M49&gt;1000,M49&lt;=2000),M49*0.6%,IF(AND(M49&gt;500,M49&lt;=1000),M49*0.7%,IF(AND(M49&gt;200,M49&lt;=500),M49*0.8%,IF(AND(M49&gt;100,M49&lt;=200),M49*0.9%,IF(AND(M49&gt;50,M49&lt;=100),M49*1%,IF(AND(M49&gt;20,M49&lt;=50),M49*1.5%,IF(AND(M49&gt;10,M49&lt;=20),M49*2%,IF(AND(M49&gt;1,M49&lt;=10),M49*2.5%)))))))))</f>
        <v>1691.52</v>
      </c>
      <c r="M64" s="1657">
        <f ca="1">ROUND(L64,1)</f>
        <v>1691.5</v>
      </c>
      <c r="N64" s="1825" t="s">
        <v>839</v>
      </c>
      <c r="Z64" s="2027"/>
      <c r="AI64" s="2028"/>
    </row>
    <row r="65" spans="1:35" ht="14.25" customHeight="1">
      <c r="A65" s="2164" t="s">
        <v>840</v>
      </c>
      <c r="B65" s="576" t="s">
        <v>841</v>
      </c>
      <c r="C65" s="2203"/>
      <c r="D65" s="576"/>
      <c r="E65" s="2166"/>
      <c r="F65" s="2157"/>
      <c r="G65" s="2157"/>
      <c r="H65" s="2158"/>
      <c r="I65" s="277"/>
      <c r="J65" s="3235"/>
      <c r="K65" s="2200" t="s">
        <v>842</v>
      </c>
      <c r="L65" s="2200">
        <f ca="1">IF(M49&gt;1000,M49*0.1%,IF(AND(M49&gt;500,M49&lt;=1000),M49*0.5%,IF(AND(M49&gt;50,M49&lt;=500),M49*1%,IF(AND(M49&gt;1,M49&lt;=50),M49*1.5%))))</f>
        <v>338.30400000000003</v>
      </c>
      <c r="M65" s="1657">
        <f ca="1">ROUND(L65,1)</f>
        <v>338.3</v>
      </c>
      <c r="N65" s="1825" t="s">
        <v>839</v>
      </c>
      <c r="Z65" s="2027"/>
      <c r="AI65" s="2028"/>
    </row>
    <row r="66" spans="1:35" ht="14.25" customHeight="1">
      <c r="A66" s="2160" t="s">
        <v>843</v>
      </c>
      <c r="B66" s="2204" t="s">
        <v>844</v>
      </c>
      <c r="C66" s="2205"/>
      <c r="D66" s="2204" t="s">
        <v>124</v>
      </c>
      <c r="E66" s="2206" t="s">
        <v>845</v>
      </c>
      <c r="F66" s="2157"/>
      <c r="G66" s="2157"/>
      <c r="H66" s="2158"/>
      <c r="I66" s="277"/>
      <c r="J66" s="3235"/>
      <c r="K66" s="2200" t="s">
        <v>846</v>
      </c>
      <c r="L66" s="2200">
        <f ca="1">M49*0.5%</f>
        <v>1691.52</v>
      </c>
      <c r="M66" s="1657">
        <f ca="1">IF(L66&gt;0.5,0.5,ROUND(L66,0))</f>
        <v>0.5</v>
      </c>
      <c r="N66" s="1825" t="s">
        <v>847</v>
      </c>
      <c r="Z66" s="2027"/>
      <c r="AI66" s="2028"/>
    </row>
    <row r="67" spans="1:35" ht="14.25" customHeight="1">
      <c r="A67" s="2160" t="s">
        <v>848</v>
      </c>
      <c r="B67" s="2204" t="s">
        <v>849</v>
      </c>
      <c r="C67" s="2207">
        <f ca="1">C63-C66</f>
        <v>322194</v>
      </c>
      <c r="D67" s="576" t="s">
        <v>124</v>
      </c>
      <c r="E67" s="2166"/>
      <c r="F67" s="2157"/>
      <c r="G67" s="2157"/>
      <c r="H67" s="2158"/>
      <c r="I67" s="277"/>
      <c r="J67" s="3235"/>
      <c r="K67" s="2200" t="s">
        <v>850</v>
      </c>
      <c r="L67" s="2200">
        <f ca="1">IF(M49&gt;=10000,(8.25+(M49-10000)*0.01%),IF(AND(M49&gt;=8000,M49&lt;10000),(7.85+(M49-8000)*0.02%),IF(AND(M49&gt;=5000,M49&lt;8000),(6.65+(M49-5000)*0.04%),IF(AND(M49&gt;=2000,M49&lt;5000),(4.25+(PM49-2000)*0.08%),IF(AND(M49&gt;=1000,M49&lt;2000),(2.75+(M49-1000)*0.15%),IF(AND(M49&gt;=100,M49&lt;1000),(0.5+(M49-100)*0.25%),IF(AND(M49&gt;0,M49&lt;100),M49*0.5%)))))))</f>
        <v>41.080400000000004</v>
      </c>
      <c r="M67" s="1657">
        <f ca="1">ROUND(L67*0.9,1)</f>
        <v>37</v>
      </c>
      <c r="N67" s="2201"/>
      <c r="Z67" s="2027"/>
      <c r="AI67" s="2028"/>
    </row>
    <row r="68" spans="1:35" ht="14.25" customHeight="1">
      <c r="A68" s="2208" t="s">
        <v>851</v>
      </c>
      <c r="B68" s="2209" t="s">
        <v>852</v>
      </c>
      <c r="C68" s="2210">
        <f ca="1">IF(C67&lt;=0,0,ROUND(C67*D68,0))</f>
        <v>18043</v>
      </c>
      <c r="D68" s="2211">
        <f>'数据-取费表'!B41</f>
        <v>5.6000000000000001E-2</v>
      </c>
      <c r="E68" s="2212"/>
      <c r="F68" s="2157"/>
      <c r="G68" s="2157"/>
      <c r="H68" s="2158"/>
      <c r="I68" s="277"/>
      <c r="J68" s="3235"/>
      <c r="K68" s="2200" t="s">
        <v>853</v>
      </c>
      <c r="L68" s="2200">
        <f ca="1">IF(M49&gt;10000,M49*0.5%,IF(AND(M49&gt;5000,M49&lt;=10000),M49*1%,IF(AND(M49&gt;1000,M49&lt;=5000),M49*2%,IF(AND(M49&gt;200,M49&lt;=1000),M49*3%,M49*5%))))</f>
        <v>1691.52</v>
      </c>
      <c r="M68" s="1657">
        <f ca="1">ROUND(L68,1)</f>
        <v>1691.5</v>
      </c>
      <c r="N68" s="2201"/>
      <c r="Z68" s="2027"/>
      <c r="AI68" s="2028"/>
    </row>
    <row r="69" spans="1:35" s="2025" customFormat="1" ht="16.5" customHeight="1">
      <c r="A69" s="2213"/>
      <c r="B69" s="2214"/>
      <c r="C69" s="2215"/>
      <c r="D69" s="727"/>
      <c r="E69" s="2216"/>
      <c r="F69" s="2156"/>
      <c r="G69" s="2156"/>
      <c r="H69" s="2116"/>
      <c r="I69" s="2030"/>
      <c r="J69" s="3235"/>
      <c r="K69" s="2200" t="s">
        <v>854</v>
      </c>
      <c r="L69" s="2200"/>
      <c r="M69" s="1657">
        <f ca="1">ROUND(SUM(M63:M68),0)</f>
        <v>5450</v>
      </c>
      <c r="N69" s="2279">
        <f ca="1">M69/M49</f>
        <v>1.6109771093454409E-2</v>
      </c>
      <c r="O69" s="234"/>
      <c r="P69" s="234"/>
      <c r="Q69" s="234"/>
      <c r="R69" s="234"/>
      <c r="S69" s="234"/>
      <c r="T69" s="234"/>
      <c r="U69" s="234"/>
      <c r="V69" s="234"/>
      <c r="W69" s="234"/>
      <c r="X69" s="234"/>
      <c r="Y69" s="234"/>
      <c r="Z69" s="2027"/>
      <c r="AA69" s="2027"/>
      <c r="AB69" s="2027"/>
      <c r="AC69" s="2027"/>
      <c r="AD69" s="2027"/>
      <c r="AE69" s="2027"/>
      <c r="AF69" s="2027"/>
      <c r="AG69" s="2027"/>
      <c r="AH69" s="2027"/>
    </row>
    <row r="70" spans="1:35" s="2026" customFormat="1" ht="14.25">
      <c r="A70" s="3204" t="s">
        <v>855</v>
      </c>
      <c r="B70" s="3205"/>
      <c r="C70" s="3205"/>
      <c r="D70" s="3205"/>
      <c r="E70" s="3205"/>
      <c r="F70" s="3205"/>
      <c r="G70" s="3205"/>
      <c r="H70" s="3205"/>
      <c r="I70" s="2280"/>
      <c r="J70" s="2281"/>
      <c r="K70" s="2281"/>
      <c r="L70" s="2281"/>
      <c r="M70" s="2281"/>
      <c r="N70" s="2282"/>
      <c r="O70" s="2282"/>
      <c r="P70" s="2282"/>
      <c r="Q70" s="2282"/>
      <c r="R70" s="2282"/>
      <c r="S70" s="2282"/>
      <c r="T70" s="2282"/>
      <c r="U70" s="2282"/>
      <c r="V70" s="2282"/>
      <c r="W70" s="2282"/>
      <c r="X70" s="2282"/>
      <c r="Y70" s="2282"/>
      <c r="Z70" s="2282"/>
      <c r="AA70" s="2288"/>
      <c r="AB70" s="2288"/>
      <c r="AC70" s="2288"/>
      <c r="AD70" s="2288"/>
      <c r="AE70" s="2288"/>
      <c r="AF70" s="2288"/>
      <c r="AG70" s="2288"/>
      <c r="AH70" s="2288"/>
      <c r="AI70" s="2288"/>
    </row>
    <row r="71" spans="1:35" s="2026" customFormat="1" ht="14.25">
      <c r="A71" s="3206" t="s">
        <v>830</v>
      </c>
      <c r="B71" s="3207"/>
      <c r="C71" s="589"/>
      <c r="D71" s="589" t="s">
        <v>831</v>
      </c>
      <c r="E71" s="2217" t="s">
        <v>785</v>
      </c>
      <c r="F71" s="2218"/>
      <c r="G71" s="2218"/>
      <c r="H71" s="2219"/>
      <c r="I71" s="2283"/>
      <c r="J71" s="2281"/>
      <c r="K71" s="2281"/>
      <c r="L71" s="2281"/>
      <c r="M71" s="2281"/>
      <c r="N71" s="2282"/>
      <c r="O71" s="2282"/>
      <c r="P71" s="2282"/>
      <c r="Q71" s="2282"/>
      <c r="R71" s="2282"/>
      <c r="S71" s="2282"/>
      <c r="T71" s="2282"/>
      <c r="U71" s="2282"/>
      <c r="V71" s="2282"/>
      <c r="W71" s="2282"/>
      <c r="X71" s="2282"/>
      <c r="Y71" s="2282"/>
      <c r="Z71" s="2282"/>
      <c r="AA71" s="2288"/>
      <c r="AB71" s="2288"/>
      <c r="AC71" s="2288"/>
      <c r="AD71" s="2288"/>
      <c r="AE71" s="2288"/>
      <c r="AF71" s="2288"/>
      <c r="AG71" s="2288"/>
      <c r="AH71" s="2288"/>
      <c r="AI71" s="2288"/>
    </row>
    <row r="72" spans="1:35" s="2026" customFormat="1" ht="14.25">
      <c r="A72" s="2160" t="s">
        <v>832</v>
      </c>
      <c r="B72" s="2204" t="s">
        <v>856</v>
      </c>
      <c r="C72" s="2207">
        <f ca="1">ROUND(D45/(1+'数据-取费表'!C42),0)</f>
        <v>322194</v>
      </c>
      <c r="D72" s="576" t="s">
        <v>124</v>
      </c>
      <c r="E72" s="1688"/>
      <c r="F72" s="1689"/>
      <c r="G72" s="1689"/>
      <c r="H72" s="2220"/>
      <c r="I72" s="2283"/>
      <c r="J72" s="2281"/>
      <c r="K72" s="2281"/>
      <c r="L72" s="2281"/>
      <c r="M72" s="2281"/>
      <c r="N72" s="2282"/>
      <c r="O72" s="2282"/>
      <c r="P72" s="2282"/>
      <c r="Q72" s="2282"/>
      <c r="R72" s="2282"/>
      <c r="S72" s="2282"/>
      <c r="T72" s="2282"/>
      <c r="U72" s="2282"/>
      <c r="V72" s="2282"/>
      <c r="W72" s="2282"/>
      <c r="X72" s="2282"/>
      <c r="Y72" s="2282"/>
      <c r="Z72" s="2282"/>
      <c r="AA72" s="2288"/>
      <c r="AB72" s="2288"/>
      <c r="AC72" s="2288"/>
      <c r="AD72" s="2288"/>
      <c r="AE72" s="2288"/>
      <c r="AF72" s="2288"/>
      <c r="AG72" s="2288"/>
      <c r="AH72" s="2288"/>
      <c r="AI72" s="2288"/>
    </row>
    <row r="73" spans="1:35" s="2026" customFormat="1" ht="14.25">
      <c r="A73" s="2160" t="s">
        <v>843</v>
      </c>
      <c r="B73" s="2129" t="s">
        <v>857</v>
      </c>
      <c r="C73" s="2207">
        <f ca="1">C74+C78</f>
        <v>1933</v>
      </c>
      <c r="D73" s="576" t="s">
        <v>124</v>
      </c>
      <c r="E73" s="1688"/>
      <c r="F73" s="1689"/>
      <c r="G73" s="1689"/>
      <c r="H73" s="2220"/>
      <c r="I73" s="2283"/>
      <c r="J73" s="2282"/>
      <c r="K73" s="2282"/>
      <c r="L73" s="2282"/>
      <c r="M73" s="2282"/>
      <c r="N73" s="2282"/>
      <c r="O73" s="2282"/>
      <c r="P73" s="2282"/>
      <c r="Q73" s="2282"/>
      <c r="R73" s="2282"/>
      <c r="S73" s="2282"/>
      <c r="T73" s="2282"/>
      <c r="U73" s="2282"/>
      <c r="V73" s="2282"/>
      <c r="W73" s="2282"/>
      <c r="X73" s="2282"/>
      <c r="Y73" s="2282"/>
      <c r="Z73" s="2282"/>
      <c r="AA73" s="2288"/>
      <c r="AB73" s="2288"/>
      <c r="AC73" s="2288"/>
      <c r="AD73" s="2288"/>
      <c r="AE73" s="2288"/>
      <c r="AF73" s="2288"/>
      <c r="AG73" s="2288"/>
      <c r="AH73" s="2288"/>
      <c r="AI73" s="2288"/>
    </row>
    <row r="74" spans="1:35" s="2026" customFormat="1" ht="24">
      <c r="A74" s="2164" t="s">
        <v>836</v>
      </c>
      <c r="B74" s="576" t="s">
        <v>858</v>
      </c>
      <c r="C74" s="576">
        <f>ROUND(IF(G77="2016年5月1日后购买",C75/(1+'数据-取费表'!C42)+C76+C77,C75+C76+C77),0)</f>
        <v>0</v>
      </c>
      <c r="D74" s="576" t="s">
        <v>124</v>
      </c>
      <c r="E74" s="1688"/>
      <c r="F74" s="1689"/>
      <c r="G74" s="1689"/>
      <c r="H74" s="2220"/>
      <c r="I74" s="2283"/>
      <c r="J74" s="2282"/>
      <c r="K74" s="2282"/>
      <c r="L74" s="2282"/>
      <c r="M74" s="2282"/>
      <c r="N74" s="2282"/>
      <c r="O74" s="2282"/>
      <c r="P74" s="2282"/>
      <c r="Q74" s="2282"/>
      <c r="R74" s="2282"/>
      <c r="S74" s="2282"/>
      <c r="T74" s="2282"/>
      <c r="U74" s="2282"/>
      <c r="V74" s="2282"/>
      <c r="W74" s="2282"/>
      <c r="X74" s="2282"/>
      <c r="Y74" s="2282"/>
      <c r="Z74" s="2282"/>
      <c r="AA74" s="2288"/>
      <c r="AB74" s="2288"/>
      <c r="AC74" s="2288"/>
      <c r="AD74" s="2288"/>
      <c r="AE74" s="2288"/>
      <c r="AF74" s="2288"/>
      <c r="AG74" s="2288"/>
      <c r="AH74" s="2288"/>
      <c r="AI74" s="2288"/>
    </row>
    <row r="75" spans="1:35" s="2026" customFormat="1" ht="14.25">
      <c r="A75" s="2164" t="s">
        <v>859</v>
      </c>
      <c r="B75" s="576" t="s">
        <v>860</v>
      </c>
      <c r="C75" s="2221"/>
      <c r="D75" s="576" t="s">
        <v>124</v>
      </c>
      <c r="E75" s="2222" t="s">
        <v>861</v>
      </c>
      <c r="F75" s="2223"/>
      <c r="G75" s="2222" t="s">
        <v>862</v>
      </c>
      <c r="H75" s="2224"/>
      <c r="I75" s="814"/>
      <c r="J75" s="2282"/>
      <c r="K75" s="2282"/>
      <c r="L75" s="2282"/>
      <c r="M75" s="2282"/>
      <c r="N75" s="2282"/>
      <c r="O75" s="2282"/>
      <c r="P75" s="2282"/>
      <c r="Q75" s="2282"/>
      <c r="R75" s="2282"/>
      <c r="S75" s="2282"/>
      <c r="T75" s="2282"/>
      <c r="U75" s="2282"/>
      <c r="V75" s="2282"/>
      <c r="W75" s="2282"/>
      <c r="X75" s="2282"/>
      <c r="Y75" s="2282"/>
      <c r="Z75" s="2282"/>
      <c r="AA75" s="2288"/>
      <c r="AB75" s="2288"/>
      <c r="AC75" s="2288"/>
      <c r="AD75" s="2288"/>
      <c r="AE75" s="2288"/>
      <c r="AF75" s="2288"/>
      <c r="AG75" s="2288"/>
      <c r="AH75" s="2288"/>
      <c r="AI75" s="2288"/>
    </row>
    <row r="76" spans="1:35" s="2026" customFormat="1" ht="24.75" customHeight="1">
      <c r="A76" s="2164" t="s">
        <v>863</v>
      </c>
      <c r="B76" s="2225" t="s">
        <v>864</v>
      </c>
      <c r="C76" s="576">
        <f>IF(F75="购房发票",ROUND(C75*H75*D76,0),0)</f>
        <v>0</v>
      </c>
      <c r="D76" s="2226">
        <v>0.05</v>
      </c>
      <c r="E76" s="3208" t="s">
        <v>865</v>
      </c>
      <c r="F76" s="3209"/>
      <c r="G76" s="3209"/>
      <c r="H76" s="3210"/>
      <c r="I76" s="2283"/>
      <c r="J76" s="2282"/>
      <c r="K76" s="2282"/>
      <c r="L76" s="2282"/>
      <c r="M76" s="2282"/>
      <c r="N76" s="2282"/>
      <c r="O76" s="2282"/>
      <c r="P76" s="2282"/>
      <c r="Q76" s="2282"/>
      <c r="R76" s="2282"/>
      <c r="S76" s="2282"/>
      <c r="T76" s="2282"/>
      <c r="U76" s="2282"/>
      <c r="V76" s="2282"/>
      <c r="W76" s="2282"/>
      <c r="X76" s="2282"/>
      <c r="Y76" s="2282"/>
      <c r="Z76" s="2282"/>
      <c r="AA76" s="2288"/>
      <c r="AB76" s="2288"/>
      <c r="AC76" s="2288"/>
      <c r="AD76" s="2288"/>
      <c r="AE76" s="2288"/>
      <c r="AF76" s="2288"/>
      <c r="AG76" s="2288"/>
      <c r="AH76" s="2288"/>
      <c r="AI76" s="2288"/>
    </row>
    <row r="77" spans="1:35" s="2026" customFormat="1" ht="24.75" customHeight="1">
      <c r="A77" s="2164" t="s">
        <v>866</v>
      </c>
      <c r="B77" s="576" t="s">
        <v>867</v>
      </c>
      <c r="C77" s="576">
        <f>ROUND(IF(G77="个人住宅",0,IF(G77="2016年5月1日前购买",C75*D77,C75*D77/(1+'数据-取费表'!C42))),0)</f>
        <v>0</v>
      </c>
      <c r="D77" s="2228">
        <f>'数据-取费表'!B48+'数据-取费表'!B49</f>
        <v>3.0499999999999999E-2</v>
      </c>
      <c r="E77" s="1810" t="s">
        <v>868</v>
      </c>
      <c r="F77" s="2229"/>
      <c r="G77" s="2230"/>
      <c r="H77" s="2227" t="str">
        <f>IF(G77="个人买卖住房","免征印花税"," ")</f>
        <v xml:space="preserve"> </v>
      </c>
      <c r="I77" s="2283"/>
      <c r="J77" s="2282"/>
      <c r="K77" s="2282"/>
      <c r="L77" s="2282"/>
      <c r="M77" s="2282"/>
      <c r="N77" s="2282"/>
      <c r="O77" s="2282"/>
      <c r="P77" s="2282"/>
      <c r="Q77" s="2282"/>
      <c r="R77" s="2282"/>
      <c r="S77" s="2282"/>
      <c r="T77" s="2282"/>
      <c r="U77" s="2282"/>
      <c r="V77" s="2282"/>
      <c r="W77" s="2282"/>
      <c r="X77" s="2282"/>
      <c r="Y77" s="2282"/>
      <c r="Z77" s="2282"/>
      <c r="AA77" s="2288"/>
      <c r="AB77" s="2288"/>
      <c r="AC77" s="2288"/>
      <c r="AD77" s="2288"/>
      <c r="AE77" s="2288"/>
      <c r="AF77" s="2288"/>
      <c r="AG77" s="2288"/>
      <c r="AH77" s="2288"/>
      <c r="AI77" s="2288"/>
    </row>
    <row r="78" spans="1:35" s="2026" customFormat="1" ht="24.75" customHeight="1">
      <c r="A78" s="2164" t="s">
        <v>840</v>
      </c>
      <c r="B78" s="576" t="s">
        <v>869</v>
      </c>
      <c r="C78" s="2231">
        <f ca="1">ROUND(D45*D78/(1+'数据-取费表'!C42),0)</f>
        <v>1933</v>
      </c>
      <c r="D78" s="2232">
        <f>'数据-取费表'!B43</f>
        <v>6.000000000000001E-3</v>
      </c>
      <c r="E78" s="3186" t="s">
        <v>870</v>
      </c>
      <c r="F78" s="3187"/>
      <c r="G78" s="3187"/>
      <c r="H78" s="3188"/>
      <c r="I78" s="2284"/>
      <c r="J78" s="2282"/>
      <c r="K78" s="2282"/>
      <c r="L78" s="2282"/>
      <c r="M78" s="2282"/>
      <c r="N78" s="2282"/>
      <c r="O78" s="2282"/>
      <c r="P78" s="2282"/>
      <c r="Q78" s="2282"/>
      <c r="R78" s="2282"/>
      <c r="S78" s="2282"/>
      <c r="T78" s="2282"/>
      <c r="U78" s="2282"/>
      <c r="V78" s="2282"/>
      <c r="W78" s="2282"/>
      <c r="X78" s="2282"/>
      <c r="Y78" s="2282"/>
      <c r="Z78" s="2282"/>
      <c r="AA78" s="2288"/>
      <c r="AB78" s="2288"/>
      <c r="AC78" s="2288"/>
      <c r="AD78" s="2288"/>
      <c r="AE78" s="2288"/>
      <c r="AF78" s="2288"/>
      <c r="AG78" s="2288"/>
      <c r="AH78" s="2288"/>
      <c r="AI78" s="2288"/>
    </row>
    <row r="79" spans="1:35" s="2026" customFormat="1" ht="14.25">
      <c r="A79" s="2160" t="s">
        <v>848</v>
      </c>
      <c r="B79" s="2204" t="s">
        <v>871</v>
      </c>
      <c r="C79" s="2207">
        <f ca="1">C72-C73</f>
        <v>320261</v>
      </c>
      <c r="D79" s="576" t="s">
        <v>124</v>
      </c>
      <c r="E79" s="1688"/>
      <c r="F79" s="1689"/>
      <c r="G79" s="1689"/>
      <c r="H79" s="2220"/>
      <c r="I79" s="2283"/>
      <c r="J79" s="2282"/>
      <c r="K79" s="2282"/>
      <c r="L79" s="2282"/>
      <c r="M79" s="2282"/>
      <c r="N79" s="2282"/>
      <c r="O79" s="2282"/>
      <c r="P79" s="2282"/>
      <c r="Q79" s="2282"/>
      <c r="R79" s="2282"/>
      <c r="S79" s="2282"/>
      <c r="T79" s="2282"/>
      <c r="U79" s="2282"/>
      <c r="V79" s="2282"/>
      <c r="W79" s="2282"/>
      <c r="X79" s="2282"/>
      <c r="Y79" s="2282"/>
      <c r="Z79" s="2282"/>
      <c r="AA79" s="2288"/>
      <c r="AB79" s="2288"/>
      <c r="AC79" s="2288"/>
      <c r="AD79" s="2288"/>
      <c r="AE79" s="2288"/>
      <c r="AF79" s="2288"/>
      <c r="AG79" s="2288"/>
      <c r="AH79" s="2288"/>
      <c r="AI79" s="2288"/>
    </row>
    <row r="80" spans="1:35" s="2026" customFormat="1" ht="24">
      <c r="A80" s="2160" t="s">
        <v>851</v>
      </c>
      <c r="B80" s="2204" t="s">
        <v>872</v>
      </c>
      <c r="C80" s="2236">
        <f ca="1">IF(C79&lt;=0,0,C79/C73)</f>
        <v>165.68080703569581</v>
      </c>
      <c r="D80" s="576" t="s">
        <v>124</v>
      </c>
      <c r="E80" s="1810" t="str">
        <f ca="1">IF(C80&gt;=200%,"增值额超过扣除项目金额200%",IF(C80&gt;=100%,"增值额超过扣除项目金额100%，未超过200%",IF(C80&gt;=50%,"增值额超过扣除项目金额50%，未超过100%",IF(C80&lt;50%,"增值额未超过扣除项目金额50%"))))</f>
        <v>增值额超过扣除项目金额200%</v>
      </c>
      <c r="F80" s="1689"/>
      <c r="G80" s="1689"/>
      <c r="H80" s="2220"/>
      <c r="I80" s="2283"/>
      <c r="J80" s="2282"/>
      <c r="K80" s="2282"/>
      <c r="L80" s="2282"/>
      <c r="M80" s="2282"/>
      <c r="N80" s="2282"/>
      <c r="O80" s="2282"/>
      <c r="P80" s="2282"/>
      <c r="Q80" s="2282"/>
      <c r="R80" s="2282"/>
      <c r="S80" s="2282"/>
      <c r="T80" s="2282"/>
      <c r="U80" s="2282"/>
      <c r="V80" s="2282"/>
      <c r="W80" s="2282"/>
      <c r="X80" s="2282"/>
      <c r="Y80" s="2282"/>
      <c r="Z80" s="2282"/>
      <c r="AA80" s="2288"/>
      <c r="AB80" s="2288"/>
      <c r="AC80" s="2288"/>
      <c r="AD80" s="2288"/>
      <c r="AE80" s="2288"/>
      <c r="AF80" s="2288"/>
      <c r="AG80" s="2288"/>
      <c r="AH80" s="2288"/>
      <c r="AI80" s="2288"/>
    </row>
    <row r="81" spans="1:35" s="2026" customFormat="1" ht="24">
      <c r="A81" s="2208" t="s">
        <v>873</v>
      </c>
      <c r="B81" s="2209" t="s">
        <v>874</v>
      </c>
      <c r="C81" s="2237">
        <f ca="1">ROUND(IF(C79&lt;=0,0,IF(C80&gt;=200%,C79*60%-C73*35%,IF(C80&gt;=100%,C79*50%-C73*15%,IF(C80&gt;=50%,C79*40%-C73*5%,IF(C80&lt;50%,C79*30%,0))))),0)</f>
        <v>191480</v>
      </c>
      <c r="D81" s="2238" t="s">
        <v>124</v>
      </c>
      <c r="E81" s="22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0"/>
      <c r="G81" s="2240"/>
      <c r="H81" s="2241"/>
      <c r="I81" s="2283"/>
      <c r="J81" s="2282"/>
      <c r="K81" s="2282"/>
      <c r="L81" s="2282"/>
      <c r="M81" s="2282"/>
      <c r="N81" s="2282"/>
      <c r="O81" s="2282"/>
      <c r="P81" s="2282"/>
      <c r="Q81" s="2282"/>
      <c r="R81" s="2282"/>
      <c r="S81" s="2282"/>
      <c r="T81" s="2282"/>
      <c r="U81" s="2282"/>
      <c r="V81" s="2282"/>
      <c r="W81" s="2282"/>
      <c r="X81" s="2282"/>
      <c r="Y81" s="2282"/>
      <c r="Z81" s="2282"/>
      <c r="AA81" s="2288"/>
      <c r="AB81" s="2288"/>
      <c r="AC81" s="2288"/>
      <c r="AD81" s="2288"/>
      <c r="AE81" s="2288"/>
      <c r="AF81" s="2288"/>
      <c r="AG81" s="2288"/>
      <c r="AH81" s="2288"/>
      <c r="AI81" s="2288"/>
    </row>
    <row r="82" spans="1:35" s="2026" customFormat="1" ht="7.5" customHeight="1">
      <c r="A82" s="2242"/>
      <c r="B82" s="2243"/>
      <c r="C82" s="711"/>
      <c r="D82" s="711"/>
      <c r="E82" s="2243"/>
      <c r="F82" s="2243"/>
      <c r="G82" s="2243"/>
      <c r="H82" s="2244"/>
      <c r="I82" s="2284"/>
      <c r="J82" s="2282"/>
      <c r="K82" s="2282"/>
      <c r="L82" s="2282"/>
      <c r="M82" s="2282"/>
      <c r="N82" s="2282"/>
      <c r="O82" s="2282"/>
      <c r="P82" s="2282"/>
      <c r="Q82" s="2282"/>
      <c r="R82" s="2282"/>
      <c r="S82" s="2282"/>
      <c r="T82" s="2282"/>
      <c r="U82" s="2282"/>
      <c r="V82" s="2282"/>
      <c r="W82" s="2282"/>
      <c r="X82" s="2282"/>
      <c r="Y82" s="2282"/>
      <c r="Z82" s="2282"/>
      <c r="AA82" s="2288"/>
      <c r="AB82" s="2288"/>
      <c r="AC82" s="2288"/>
      <c r="AD82" s="2288"/>
      <c r="AE82" s="2288"/>
      <c r="AF82" s="2288"/>
      <c r="AG82" s="2288"/>
      <c r="AH82" s="2288"/>
      <c r="AI82" s="2288"/>
    </row>
    <row r="83" spans="1:35" s="2026" customFormat="1" ht="14.25">
      <c r="A83" s="3204" t="s">
        <v>875</v>
      </c>
      <c r="B83" s="3205"/>
      <c r="C83" s="3205"/>
      <c r="D83" s="3205"/>
      <c r="E83" s="3205"/>
      <c r="F83" s="3205"/>
      <c r="G83" s="3205"/>
      <c r="H83" s="3205"/>
      <c r="I83" s="814"/>
      <c r="J83" s="2282"/>
      <c r="K83" s="2282"/>
      <c r="L83" s="2282"/>
      <c r="M83" s="2282"/>
      <c r="N83" s="2282"/>
      <c r="O83" s="2282"/>
      <c r="P83" s="2282"/>
      <c r="Q83" s="2282"/>
      <c r="R83" s="2282"/>
      <c r="S83" s="2282"/>
      <c r="T83" s="2282"/>
      <c r="U83" s="2282"/>
      <c r="V83" s="2282"/>
      <c r="W83" s="2282"/>
      <c r="X83" s="2282"/>
      <c r="Y83" s="2282"/>
      <c r="Z83" s="2282"/>
      <c r="AA83" s="2288"/>
      <c r="AB83" s="2288"/>
      <c r="AC83" s="2288"/>
      <c r="AD83" s="2288"/>
      <c r="AE83" s="2288"/>
      <c r="AF83" s="2288"/>
      <c r="AG83" s="2288"/>
      <c r="AH83" s="2288"/>
      <c r="AI83" s="2288"/>
    </row>
    <row r="84" spans="1:35" s="2026" customFormat="1" ht="14.25">
      <c r="A84" s="3206" t="s">
        <v>830</v>
      </c>
      <c r="B84" s="3207"/>
      <c r="C84" s="589"/>
      <c r="D84" s="589" t="s">
        <v>831</v>
      </c>
      <c r="E84" s="2217" t="s">
        <v>785</v>
      </c>
      <c r="F84" s="2218"/>
      <c r="G84" s="2218"/>
      <c r="H84" s="2245"/>
      <c r="I84" s="814"/>
      <c r="J84" s="2282"/>
      <c r="K84" s="2282"/>
      <c r="L84" s="2282"/>
      <c r="M84" s="2282"/>
      <c r="N84" s="2282"/>
      <c r="O84" s="2282"/>
      <c r="P84" s="2282"/>
      <c r="Q84" s="2282"/>
      <c r="R84" s="2282"/>
      <c r="S84" s="2282"/>
      <c r="T84" s="2282"/>
      <c r="U84" s="2282"/>
      <c r="V84" s="2282"/>
      <c r="W84" s="2282"/>
      <c r="X84" s="2282"/>
      <c r="Y84" s="2282"/>
      <c r="Z84" s="2282"/>
      <c r="AA84" s="2288"/>
      <c r="AB84" s="2288"/>
      <c r="AC84" s="2288"/>
      <c r="AD84" s="2288"/>
      <c r="AE84" s="2288"/>
      <c r="AF84" s="2288"/>
      <c r="AG84" s="2288"/>
      <c r="AH84" s="2288"/>
      <c r="AI84" s="2288"/>
    </row>
    <row r="85" spans="1:35" s="2026" customFormat="1" ht="14.25">
      <c r="A85" s="2160" t="s">
        <v>832</v>
      </c>
      <c r="B85" s="2204" t="s">
        <v>856</v>
      </c>
      <c r="C85" s="2207">
        <f ca="1">ROUND(D45/(1+'数据-取费表'!C42),0)</f>
        <v>322194</v>
      </c>
      <c r="D85" s="576" t="s">
        <v>124</v>
      </c>
      <c r="E85" s="1688"/>
      <c r="F85" s="1689"/>
      <c r="G85" s="1689"/>
      <c r="H85" s="2246"/>
      <c r="I85" s="814"/>
      <c r="J85" s="2282"/>
      <c r="K85" s="2282"/>
      <c r="L85" s="2282"/>
      <c r="M85" s="2282"/>
      <c r="N85" s="2282"/>
      <c r="O85" s="2282"/>
      <c r="P85" s="2282"/>
      <c r="Q85" s="2282"/>
      <c r="R85" s="2282"/>
      <c r="S85" s="2282"/>
      <c r="T85" s="2282"/>
      <c r="U85" s="2282"/>
      <c r="V85" s="2282"/>
      <c r="W85" s="2282"/>
      <c r="X85" s="2282"/>
      <c r="Y85" s="2282"/>
      <c r="Z85" s="2282"/>
      <c r="AA85" s="2288"/>
      <c r="AB85" s="2288"/>
      <c r="AC85" s="2288"/>
      <c r="AD85" s="2288"/>
      <c r="AE85" s="2288"/>
      <c r="AF85" s="2288"/>
      <c r="AG85" s="2288"/>
      <c r="AH85" s="2288"/>
      <c r="AI85" s="2288"/>
    </row>
    <row r="86" spans="1:35" s="2026" customFormat="1" ht="14.25">
      <c r="A86" s="2160" t="s">
        <v>843</v>
      </c>
      <c r="B86" s="2129" t="s">
        <v>857</v>
      </c>
      <c r="C86" s="2207">
        <f ca="1">IF(H88="仅含出让金",C87+C90+C91+C92+C93+C94,C87+C91+C92+C93+C94)</f>
        <v>1933</v>
      </c>
      <c r="D86" s="2247"/>
      <c r="E86" s="1688"/>
      <c r="F86" s="1689"/>
      <c r="G86" s="1689"/>
      <c r="H86" s="2246"/>
      <c r="I86" s="814"/>
      <c r="J86" s="2282"/>
      <c r="K86" s="2282"/>
      <c r="L86" s="2282"/>
      <c r="M86" s="2282"/>
      <c r="N86" s="2282"/>
      <c r="O86" s="2282"/>
      <c r="P86" s="2282"/>
      <c r="Q86" s="2282"/>
      <c r="R86" s="2282"/>
      <c r="S86" s="2282"/>
      <c r="T86" s="2282"/>
      <c r="U86" s="2282"/>
      <c r="V86" s="2282"/>
      <c r="W86" s="2282"/>
      <c r="X86" s="2282"/>
      <c r="Y86" s="2282"/>
      <c r="Z86" s="2282"/>
      <c r="AA86" s="2288"/>
      <c r="AB86" s="2288"/>
      <c r="AC86" s="2288"/>
      <c r="AD86" s="2288"/>
      <c r="AE86" s="2288"/>
      <c r="AF86" s="2288"/>
      <c r="AG86" s="2288"/>
      <c r="AH86" s="2288"/>
      <c r="AI86" s="2288"/>
    </row>
    <row r="87" spans="1:35" s="2026" customFormat="1" ht="14.25">
      <c r="A87" s="2164" t="s">
        <v>836</v>
      </c>
      <c r="B87" s="576" t="s">
        <v>876</v>
      </c>
      <c r="C87" s="2231">
        <f>C88+C89</f>
        <v>0</v>
      </c>
      <c r="D87" s="2232"/>
      <c r="E87" s="2233"/>
      <c r="F87" s="2234"/>
      <c r="G87" s="2234"/>
      <c r="H87" s="2235"/>
      <c r="I87" s="814"/>
      <c r="J87" s="2282"/>
      <c r="K87" s="2282"/>
      <c r="L87" s="2282"/>
      <c r="M87" s="2282"/>
      <c r="N87" s="2282"/>
      <c r="O87" s="2282"/>
      <c r="P87" s="2282"/>
      <c r="Q87" s="2282"/>
      <c r="R87" s="2282"/>
      <c r="S87" s="2282"/>
      <c r="T87" s="2282"/>
      <c r="U87" s="2282"/>
      <c r="V87" s="2282"/>
      <c r="W87" s="2282"/>
      <c r="X87" s="2282"/>
      <c r="Y87" s="2282"/>
      <c r="Z87" s="2282"/>
      <c r="AA87" s="2288"/>
      <c r="AB87" s="2288"/>
      <c r="AC87" s="2288"/>
      <c r="AD87" s="2288"/>
      <c r="AE87" s="2288"/>
      <c r="AF87" s="2288"/>
      <c r="AG87" s="2288"/>
      <c r="AH87" s="2288"/>
      <c r="AI87" s="2288"/>
    </row>
    <row r="88" spans="1:35" s="2026" customFormat="1" ht="14.25">
      <c r="A88" s="2164" t="s">
        <v>859</v>
      </c>
      <c r="B88" s="576" t="s">
        <v>877</v>
      </c>
      <c r="C88" s="2248"/>
      <c r="D88" s="2232"/>
      <c r="E88" s="2249" t="s">
        <v>878</v>
      </c>
      <c r="F88" s="2234"/>
      <c r="G88" s="2250" t="s">
        <v>879</v>
      </c>
      <c r="H88" s="2251"/>
      <c r="I88" s="814"/>
      <c r="J88" s="2285" t="s">
        <v>880</v>
      </c>
      <c r="K88" s="2282"/>
      <c r="L88" s="2282"/>
      <c r="M88" s="2282"/>
      <c r="N88" s="2282"/>
      <c r="O88" s="2282"/>
      <c r="P88" s="2282"/>
      <c r="Q88" s="2282"/>
      <c r="R88" s="2282"/>
      <c r="S88" s="2282"/>
      <c r="T88" s="2282"/>
      <c r="U88" s="2282"/>
      <c r="V88" s="2282"/>
      <c r="W88" s="2282"/>
      <c r="X88" s="2282"/>
      <c r="Y88" s="2282"/>
      <c r="Z88" s="2282"/>
      <c r="AA88" s="2288"/>
      <c r="AB88" s="2288"/>
      <c r="AC88" s="2288"/>
      <c r="AD88" s="2288"/>
      <c r="AE88" s="2288"/>
      <c r="AF88" s="2288"/>
      <c r="AG88" s="2288"/>
      <c r="AH88" s="2288"/>
      <c r="AI88" s="2288"/>
    </row>
    <row r="89" spans="1:35" s="2026" customFormat="1" ht="14.25">
      <c r="A89" s="2164" t="s">
        <v>863</v>
      </c>
      <c r="B89" s="576" t="s">
        <v>867</v>
      </c>
      <c r="C89" s="2231">
        <f>ROUND(C88*D89,0)</f>
        <v>0</v>
      </c>
      <c r="D89" s="2232">
        <f>'数据-取费表'!B48+'数据-取费表'!B49</f>
        <v>3.0499999999999999E-2</v>
      </c>
      <c r="E89" s="2249" t="s">
        <v>881</v>
      </c>
      <c r="F89" s="2234"/>
      <c r="G89" s="2234"/>
      <c r="H89" s="2235"/>
      <c r="I89" s="814"/>
      <c r="J89" s="2282"/>
      <c r="K89" s="2282"/>
      <c r="L89" s="2282"/>
      <c r="M89" s="2282"/>
      <c r="N89" s="2282"/>
      <c r="O89" s="2282"/>
      <c r="P89" s="2282"/>
      <c r="Q89" s="2282"/>
      <c r="R89" s="2282"/>
      <c r="S89" s="2282"/>
      <c r="T89" s="2282"/>
      <c r="U89" s="2282"/>
      <c r="V89" s="2282"/>
      <c r="W89" s="2282"/>
      <c r="X89" s="2282"/>
      <c r="Y89" s="2282"/>
      <c r="Z89" s="2282"/>
      <c r="AA89" s="2288"/>
      <c r="AB89" s="2288"/>
      <c r="AC89" s="2288"/>
      <c r="AD89" s="2288"/>
      <c r="AE89" s="2288"/>
      <c r="AF89" s="2288"/>
      <c r="AG89" s="2288"/>
      <c r="AH89" s="2288"/>
      <c r="AI89" s="2288"/>
    </row>
    <row r="90" spans="1:35" s="2026" customFormat="1" ht="14.25">
      <c r="A90" s="2164" t="s">
        <v>840</v>
      </c>
      <c r="B90" s="576" t="s">
        <v>882</v>
      </c>
      <c r="C90" s="2248"/>
      <c r="D90" s="2232"/>
      <c r="E90" s="2249" t="str">
        <f>IF(H88="-","土地取得成本中已包含该笔费用"," ")</f>
        <v xml:space="preserve"> </v>
      </c>
      <c r="F90" s="2234"/>
      <c r="G90" s="3218" t="s">
        <v>883</v>
      </c>
      <c r="H90" s="3219"/>
      <c r="I90" s="814"/>
      <c r="J90" s="2285" t="s">
        <v>884</v>
      </c>
      <c r="K90" s="2282"/>
      <c r="L90" s="2282"/>
      <c r="M90" s="2282"/>
      <c r="N90" s="2282"/>
      <c r="O90" s="2282"/>
      <c r="P90" s="2282"/>
      <c r="Q90" s="2282"/>
      <c r="R90" s="2282"/>
      <c r="S90" s="2282"/>
      <c r="T90" s="2282"/>
      <c r="U90" s="2282"/>
      <c r="V90" s="2282"/>
      <c r="W90" s="2282"/>
      <c r="X90" s="2282"/>
      <c r="Y90" s="2282"/>
      <c r="Z90" s="2282"/>
      <c r="AA90" s="2288"/>
      <c r="AB90" s="2288"/>
      <c r="AC90" s="2288"/>
      <c r="AD90" s="2288"/>
      <c r="AE90" s="2288"/>
      <c r="AF90" s="2288"/>
      <c r="AG90" s="2288"/>
      <c r="AH90" s="2288"/>
      <c r="AI90" s="2288"/>
    </row>
    <row r="91" spans="1:35" s="2026" customFormat="1" ht="27.75" customHeight="1">
      <c r="A91" s="2164" t="s">
        <v>885</v>
      </c>
      <c r="B91" s="576" t="s">
        <v>886</v>
      </c>
      <c r="C91" s="2231">
        <f>IF(H91="——",成本法!C33,I91)</f>
        <v>0</v>
      </c>
      <c r="D91" s="2232"/>
      <c r="E91" s="3186" t="s">
        <v>887</v>
      </c>
      <c r="F91" s="3187"/>
      <c r="G91" s="3187"/>
      <c r="H91" s="2252"/>
      <c r="I91" s="2286"/>
      <c r="J91" s="2282"/>
      <c r="K91" s="2282"/>
      <c r="L91" s="2282"/>
      <c r="M91" s="2282"/>
      <c r="N91" s="2282"/>
      <c r="O91" s="2282"/>
      <c r="P91" s="2282"/>
      <c r="Q91" s="2282"/>
      <c r="R91" s="2282"/>
      <c r="S91" s="2282"/>
      <c r="T91" s="2282"/>
      <c r="U91" s="2282"/>
      <c r="V91" s="2282"/>
      <c r="W91" s="2282"/>
      <c r="X91" s="2282"/>
      <c r="Y91" s="2282"/>
      <c r="Z91" s="2282"/>
      <c r="AA91" s="2288"/>
      <c r="AB91" s="2288"/>
      <c r="AC91" s="2288"/>
      <c r="AD91" s="2288"/>
      <c r="AE91" s="2288"/>
      <c r="AF91" s="2288"/>
      <c r="AG91" s="2288"/>
      <c r="AH91" s="2288"/>
      <c r="AI91" s="2288"/>
    </row>
    <row r="92" spans="1:35" s="2026" customFormat="1" ht="25.5" customHeight="1">
      <c r="A92" s="2164" t="s">
        <v>888</v>
      </c>
      <c r="B92" s="576" t="s">
        <v>889</v>
      </c>
      <c r="C92" s="2231">
        <f>ROUND((C87+C90+C91)*D92,0)</f>
        <v>0</v>
      </c>
      <c r="D92" s="2253"/>
      <c r="E92" s="3186" t="s">
        <v>890</v>
      </c>
      <c r="F92" s="3187"/>
      <c r="G92" s="3187"/>
      <c r="H92" s="3188"/>
      <c r="I92" s="814"/>
      <c r="J92" s="2287" t="s">
        <v>891</v>
      </c>
      <c r="K92" s="2282"/>
      <c r="L92" s="2282"/>
      <c r="M92" s="2282"/>
      <c r="N92" s="2282"/>
      <c r="O92" s="2282"/>
      <c r="P92" s="2282"/>
      <c r="Q92" s="2282"/>
      <c r="R92" s="2282"/>
      <c r="S92" s="2282"/>
      <c r="T92" s="2282"/>
      <c r="U92" s="2282"/>
      <c r="V92" s="2282"/>
      <c r="W92" s="2282"/>
      <c r="X92" s="2282"/>
      <c r="Y92" s="2282"/>
      <c r="Z92" s="2282"/>
      <c r="AA92" s="2288"/>
      <c r="AB92" s="2288"/>
      <c r="AC92" s="2288"/>
      <c r="AD92" s="2288"/>
      <c r="AE92" s="2288"/>
      <c r="AF92" s="2288"/>
      <c r="AG92" s="2288"/>
      <c r="AH92" s="2288"/>
      <c r="AI92" s="2288"/>
    </row>
    <row r="93" spans="1:35" s="2026" customFormat="1" ht="25.5" customHeight="1">
      <c r="A93" s="2164" t="s">
        <v>892</v>
      </c>
      <c r="B93" s="576" t="s">
        <v>869</v>
      </c>
      <c r="C93" s="2231">
        <f ca="1">ROUND(D45*D93/(1+'数据-取费表'!C42),0)</f>
        <v>1933</v>
      </c>
      <c r="D93" s="2232">
        <f>'数据-取费表'!B43</f>
        <v>6.000000000000001E-3</v>
      </c>
      <c r="E93" s="3186" t="s">
        <v>870</v>
      </c>
      <c r="F93" s="3187"/>
      <c r="G93" s="3187"/>
      <c r="H93" s="3188"/>
      <c r="I93" s="814"/>
      <c r="J93" s="2282"/>
      <c r="K93" s="2282"/>
      <c r="L93" s="2282"/>
      <c r="M93" s="2282"/>
      <c r="N93" s="2282"/>
      <c r="O93" s="2282"/>
      <c r="P93" s="2282"/>
      <c r="Q93" s="2282"/>
      <c r="R93" s="2282"/>
      <c r="S93" s="2282"/>
      <c r="T93" s="2282"/>
      <c r="U93" s="2282"/>
      <c r="V93" s="2282"/>
      <c r="W93" s="2282"/>
      <c r="X93" s="2282"/>
      <c r="Y93" s="2282"/>
      <c r="Z93" s="2282"/>
      <c r="AA93" s="2288"/>
      <c r="AB93" s="2288"/>
      <c r="AC93" s="2288"/>
      <c r="AD93" s="2288"/>
      <c r="AE93" s="2288"/>
      <c r="AF93" s="2288"/>
      <c r="AG93" s="2288"/>
      <c r="AH93" s="2288"/>
      <c r="AI93" s="2288"/>
    </row>
    <row r="94" spans="1:35" s="2026" customFormat="1" ht="36.75" customHeight="1">
      <c r="A94" s="2164" t="s">
        <v>893</v>
      </c>
      <c r="B94" s="576" t="s">
        <v>894</v>
      </c>
      <c r="C94" s="2248">
        <f>ROUND((C87+C90+C91)*D94,0)</f>
        <v>0</v>
      </c>
      <c r="D94" s="2232">
        <v>0.2</v>
      </c>
      <c r="E94" s="3189" t="s">
        <v>895</v>
      </c>
      <c r="F94" s="3190"/>
      <c r="G94" s="3190"/>
      <c r="H94" s="3191"/>
      <c r="I94" s="814"/>
      <c r="J94" s="2282"/>
      <c r="K94" s="2282"/>
      <c r="L94" s="2282"/>
      <c r="M94" s="2282"/>
      <c r="N94" s="2282"/>
      <c r="O94" s="2282"/>
      <c r="P94" s="2282"/>
      <c r="Q94" s="2282"/>
      <c r="R94" s="2282"/>
      <c r="S94" s="2282"/>
      <c r="T94" s="2282"/>
      <c r="U94" s="2282"/>
      <c r="V94" s="2282"/>
      <c r="W94" s="2282"/>
      <c r="X94" s="2282"/>
      <c r="Y94" s="2282"/>
      <c r="Z94" s="2282"/>
      <c r="AA94" s="2288"/>
      <c r="AB94" s="2288"/>
      <c r="AC94" s="2288"/>
      <c r="AD94" s="2288"/>
      <c r="AE94" s="2288"/>
      <c r="AF94" s="2288"/>
      <c r="AG94" s="2288"/>
      <c r="AH94" s="2288"/>
      <c r="AI94" s="2288"/>
    </row>
    <row r="95" spans="1:35" s="2026" customFormat="1" ht="14.25">
      <c r="A95" s="2160" t="s">
        <v>848</v>
      </c>
      <c r="B95" s="2204" t="s">
        <v>871</v>
      </c>
      <c r="C95" s="2207">
        <f ca="1">ROUND(C85-C86,0)</f>
        <v>320261</v>
      </c>
      <c r="D95" s="576" t="s">
        <v>124</v>
      </c>
      <c r="E95" s="1688"/>
      <c r="F95" s="1689"/>
      <c r="G95" s="1689"/>
      <c r="H95" s="2246"/>
      <c r="I95" s="814"/>
      <c r="J95" s="2282"/>
      <c r="K95" s="2282"/>
      <c r="L95" s="2282"/>
      <c r="M95" s="2282"/>
      <c r="N95" s="2282"/>
      <c r="O95" s="2282"/>
      <c r="P95" s="2282"/>
      <c r="Q95" s="2282"/>
      <c r="R95" s="2282"/>
      <c r="S95" s="2282"/>
      <c r="T95" s="2282"/>
      <c r="U95" s="2282"/>
      <c r="V95" s="2282"/>
      <c r="W95" s="2282"/>
      <c r="X95" s="2282"/>
      <c r="Y95" s="2282"/>
      <c r="Z95" s="2282"/>
      <c r="AA95" s="2288"/>
      <c r="AB95" s="2288"/>
      <c r="AC95" s="2288"/>
      <c r="AD95" s="2288"/>
      <c r="AE95" s="2288"/>
      <c r="AF95" s="2288"/>
      <c r="AG95" s="2288"/>
      <c r="AH95" s="2288"/>
      <c r="AI95" s="2288"/>
    </row>
    <row r="96" spans="1:35" s="2026" customFormat="1" ht="24">
      <c r="A96" s="2160" t="s">
        <v>851</v>
      </c>
      <c r="B96" s="2204" t="s">
        <v>872</v>
      </c>
      <c r="C96" s="2236">
        <f ca="1">IF(C95&lt;=0,0,C95/C86)</f>
        <v>165.68080703569581</v>
      </c>
      <c r="D96" s="576" t="s">
        <v>124</v>
      </c>
      <c r="E96" s="1810" t="str">
        <f ca="1">IF(C96&gt;=200%,"增值额超过扣除项目金额200%",IF(C96&gt;=100%,"增值额超过扣除项目金额100%，未超过200%",IF(C96&gt;=50%,"增值额超过扣除项目金额50%，未超过100%",IF(C96&lt;50%,"增值额未超过扣除项目金额50%"))))</f>
        <v>增值额超过扣除项目金额200%</v>
      </c>
      <c r="F96" s="1689"/>
      <c r="G96" s="1689"/>
      <c r="H96" s="2246"/>
      <c r="I96" s="814"/>
      <c r="J96" s="2282"/>
      <c r="K96" s="2282"/>
      <c r="L96" s="2282"/>
      <c r="M96" s="2282"/>
      <c r="N96" s="2282"/>
      <c r="O96" s="2282"/>
      <c r="P96" s="2282"/>
      <c r="Q96" s="2282"/>
      <c r="R96" s="2282"/>
      <c r="S96" s="2282"/>
      <c r="T96" s="2282"/>
      <c r="U96" s="2282"/>
      <c r="V96" s="2282"/>
      <c r="W96" s="2282"/>
      <c r="X96" s="2282"/>
      <c r="Y96" s="2282"/>
      <c r="Z96" s="2282"/>
      <c r="AA96" s="2288"/>
      <c r="AB96" s="2288"/>
      <c r="AC96" s="2288"/>
      <c r="AD96" s="2288"/>
      <c r="AE96" s="2288"/>
      <c r="AF96" s="2288"/>
      <c r="AG96" s="2288"/>
      <c r="AH96" s="2288"/>
      <c r="AI96" s="2288"/>
    </row>
    <row r="97" spans="1:35" s="2026" customFormat="1" ht="24">
      <c r="A97" s="2208" t="s">
        <v>873</v>
      </c>
      <c r="B97" s="2209" t="s">
        <v>874</v>
      </c>
      <c r="C97" s="2237">
        <f ca="1">ROUND(IF(C95&lt;=0,0,IF(C96&gt;=200%,C95*60%-C86*35%,IF(C96&gt;=100%,C95*50%-C86*15%,IF(C96&gt;=50%,C95*40%-C86*5%,IF(C96&lt;50%,C95*30%,0))))),0)</f>
        <v>191480</v>
      </c>
      <c r="D97" s="2238" t="s">
        <v>124</v>
      </c>
      <c r="E97" s="22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0"/>
      <c r="G97" s="2240"/>
      <c r="H97" s="2254"/>
      <c r="I97" s="814"/>
      <c r="J97" s="2282"/>
      <c r="K97" s="2282"/>
      <c r="L97" s="2282"/>
      <c r="M97" s="2282"/>
      <c r="N97" s="2282"/>
      <c r="O97" s="2282"/>
      <c r="P97" s="2282"/>
      <c r="Q97" s="2282"/>
      <c r="R97" s="2282"/>
      <c r="S97" s="2282"/>
      <c r="T97" s="2282"/>
      <c r="U97" s="2282"/>
      <c r="V97" s="2282"/>
      <c r="W97" s="2282"/>
      <c r="X97" s="2282"/>
      <c r="Y97" s="2282"/>
      <c r="Z97" s="2282"/>
      <c r="AA97" s="2288"/>
      <c r="AB97" s="2288"/>
      <c r="AC97" s="2288"/>
      <c r="AD97" s="2288"/>
      <c r="AE97" s="2288"/>
      <c r="AF97" s="2288"/>
      <c r="AG97" s="2288"/>
      <c r="AH97" s="2288"/>
      <c r="AI97" s="2288"/>
    </row>
    <row r="98" spans="1:35" ht="21.75" customHeight="1">
      <c r="A98" s="2155"/>
      <c r="B98" s="2030"/>
      <c r="C98" s="2030"/>
      <c r="D98" s="2030"/>
      <c r="E98" s="2156"/>
      <c r="F98" s="2156"/>
      <c r="G98" s="2156"/>
      <c r="H98" s="2116"/>
      <c r="I98" s="277"/>
    </row>
    <row r="99" spans="1:35" ht="21.75" customHeight="1">
      <c r="A99" s="2118" t="s">
        <v>896</v>
      </c>
      <c r="B99" s="2030"/>
      <c r="C99" s="2030"/>
      <c r="D99" s="2030"/>
      <c r="E99" s="2156"/>
      <c r="F99" s="2156"/>
      <c r="G99" s="2156"/>
      <c r="H99" s="2116"/>
      <c r="I99" s="277"/>
    </row>
    <row r="100" spans="1:35" ht="18.75" customHeight="1">
      <c r="A100" s="3164" t="s">
        <v>897</v>
      </c>
      <c r="B100" s="3165"/>
      <c r="C100" s="3165"/>
      <c r="D100" s="3192"/>
      <c r="E100" s="3165" t="s">
        <v>898</v>
      </c>
      <c r="F100" s="3165"/>
      <c r="G100" s="3165"/>
      <c r="H100" s="3192"/>
      <c r="I100" s="277"/>
    </row>
    <row r="101" spans="1:35" ht="18.75" customHeight="1">
      <c r="A101" s="3193" t="s">
        <v>899</v>
      </c>
      <c r="B101" s="3194"/>
      <c r="C101" s="2256" t="str">
        <f>C4</f>
        <v>成本法</v>
      </c>
      <c r="D101" s="2257" t="str">
        <f>D4</f>
        <v>假设开发法</v>
      </c>
      <c r="E101" s="3217" t="s">
        <v>900</v>
      </c>
      <c r="F101" s="3212"/>
      <c r="G101" s="2259" t="s">
        <v>901</v>
      </c>
      <c r="H101" s="2260">
        <f ca="1">H118</f>
        <v>338304</v>
      </c>
      <c r="I101" s="277"/>
    </row>
    <row r="102" spans="1:35" ht="18.75" customHeight="1">
      <c r="A102" s="3177" t="s">
        <v>902</v>
      </c>
      <c r="B102" s="2261" t="s">
        <v>901</v>
      </c>
      <c r="C102" s="2256">
        <f ca="1">C19</f>
        <v>344598</v>
      </c>
      <c r="D102" s="2257">
        <f ca="1">D19</f>
        <v>332010</v>
      </c>
      <c r="E102" s="3217"/>
      <c r="F102" s="3212"/>
      <c r="G102" s="2259" t="s">
        <v>99</v>
      </c>
      <c r="H102" s="2145">
        <f ca="1">I118</f>
        <v>86252</v>
      </c>
      <c r="I102" s="277"/>
    </row>
    <row r="103" spans="1:35" ht="42.75" customHeight="1">
      <c r="A103" s="3177"/>
      <c r="B103" s="2261" t="s">
        <v>99</v>
      </c>
      <c r="C103" s="2262">
        <f ca="1">C20</f>
        <v>87857</v>
      </c>
      <c r="D103" s="2263">
        <f ca="1">D20</f>
        <v>84647</v>
      </c>
      <c r="E103" s="3195" t="s">
        <v>903</v>
      </c>
      <c r="F103" s="3196"/>
      <c r="G103" s="2264" t="s">
        <v>102</v>
      </c>
      <c r="H103" s="2260">
        <f>IF(D36="正常操作",H104+H105+H106,H105+H106)</f>
        <v>0</v>
      </c>
      <c r="I103" s="277"/>
    </row>
    <row r="104" spans="1:35" ht="18.75" customHeight="1">
      <c r="A104" s="3177" t="s">
        <v>904</v>
      </c>
      <c r="B104" s="2265" t="s">
        <v>901</v>
      </c>
      <c r="C104" s="2266">
        <f ca="1">H118</f>
        <v>338304</v>
      </c>
      <c r="D104" s="2267"/>
      <c r="E104" s="2101" t="s">
        <v>905</v>
      </c>
      <c r="F104" s="2268"/>
      <c r="G104" s="2264" t="s">
        <v>102</v>
      </c>
      <c r="H104" s="2269">
        <f>IF(D36="同一抵押权人同一抵押物续贷",C36&amp;"（续贷，未扣减，详见特别提示）",C36)</f>
        <v>0</v>
      </c>
      <c r="I104" s="277"/>
    </row>
    <row r="105" spans="1:35" ht="18.75" customHeight="1">
      <c r="A105" s="3178"/>
      <c r="B105" s="2270" t="s">
        <v>99</v>
      </c>
      <c r="C105" s="2271">
        <f ca="1">I118</f>
        <v>86252</v>
      </c>
      <c r="D105" s="2272"/>
      <c r="E105" s="2101" t="s">
        <v>906</v>
      </c>
      <c r="F105" s="2268"/>
      <c r="G105" s="2264" t="s">
        <v>102</v>
      </c>
      <c r="H105" s="2273">
        <f>C37</f>
        <v>0</v>
      </c>
      <c r="I105" s="277"/>
    </row>
    <row r="106" spans="1:35" ht="18.75" customHeight="1">
      <c r="A106" s="2030" t="s">
        <v>907</v>
      </c>
      <c r="B106" s="2030"/>
      <c r="C106" s="2030"/>
      <c r="D106" s="2030"/>
      <c r="E106" s="2274" t="s">
        <v>908</v>
      </c>
      <c r="F106" s="2268"/>
      <c r="G106" s="2264" t="s">
        <v>102</v>
      </c>
      <c r="H106" s="2273">
        <f>C38</f>
        <v>0</v>
      </c>
      <c r="I106" s="277"/>
    </row>
    <row r="107" spans="1:35" ht="18.75" customHeight="1">
      <c r="A107" s="277"/>
      <c r="B107" s="277"/>
      <c r="C107" s="277"/>
      <c r="D107" s="277"/>
      <c r="E107" s="3211" t="str">
        <f>IF(项目基本情况!E8="已注销","——","3.房地产抵押价值")</f>
        <v>3.房地产抵押价值</v>
      </c>
      <c r="F107" s="3212"/>
      <c r="G107" s="2259" t="s">
        <v>901</v>
      </c>
      <c r="H107" s="2260">
        <f ca="1">IF(E107="——","——",H101-H103)</f>
        <v>338304</v>
      </c>
      <c r="I107" s="277"/>
    </row>
    <row r="108" spans="1:35" ht="18.75" customHeight="1">
      <c r="A108" s="277"/>
      <c r="B108" s="277"/>
      <c r="C108" s="277"/>
      <c r="D108" s="277"/>
      <c r="E108" s="3211"/>
      <c r="F108" s="3212"/>
      <c r="G108" s="2259" t="s">
        <v>99</v>
      </c>
      <c r="H108" s="2145">
        <f ca="1">ROUND(H107*10000/'数据-汇总表'!E3,0)</f>
        <v>86252</v>
      </c>
      <c r="I108" s="277"/>
    </row>
    <row r="109" spans="1:35" ht="18.75" customHeight="1">
      <c r="A109" s="277"/>
      <c r="B109" s="277"/>
      <c r="C109" s="277"/>
      <c r="D109" s="277"/>
      <c r="E109" s="3211" t="str">
        <f>IF(项目基本情况!E8="已注销及未注销","4.抵押担保权已注销时的房地产抵押价值",IF(项目基本情况!E8="已注销","3.抵押担保权已注销时的房地产抵押价值","——"))</f>
        <v>——</v>
      </c>
      <c r="F109" s="3212"/>
      <c r="G109" s="2259" t="s">
        <v>901</v>
      </c>
      <c r="H109" s="2275" t="str">
        <f>IF(E109="——","——",H101-H105-H106)</f>
        <v>——</v>
      </c>
      <c r="I109" s="277"/>
    </row>
    <row r="110" spans="1:35" ht="18.75" customHeight="1">
      <c r="A110" s="277"/>
      <c r="B110" s="277"/>
      <c r="C110" s="277"/>
      <c r="D110" s="277"/>
      <c r="E110" s="3211"/>
      <c r="F110" s="3212"/>
      <c r="G110" s="2259" t="s">
        <v>99</v>
      </c>
      <c r="H110" s="2145" t="str">
        <f>IF(H109="——","——",ROUND(H109*10000/'数据-汇总表'!E3,0))</f>
        <v>——</v>
      </c>
      <c r="I110" s="277"/>
    </row>
    <row r="111" spans="1:35" ht="18.75" customHeight="1">
      <c r="A111" s="277"/>
      <c r="B111" s="277"/>
      <c r="C111" s="277"/>
      <c r="D111" s="277"/>
      <c r="E111" s="3213" t="str">
        <f>IF(项目基本情况!E9="抵押净值",IF(OR(项目基本情况!E8="已注销",项目基本情况!E8="房地产抵押价值"),"4.抵押净值","5.抵押净值"),"——")</f>
        <v>——</v>
      </c>
      <c r="F111" s="3214"/>
      <c r="G111" s="2259" t="s">
        <v>901</v>
      </c>
      <c r="H111" s="2260" t="str">
        <f>IF(E111="——","——",N59)</f>
        <v>——</v>
      </c>
      <c r="I111" s="277"/>
    </row>
    <row r="112" spans="1:35" ht="18.75" customHeight="1">
      <c r="A112" s="277"/>
      <c r="B112" s="277"/>
      <c r="C112" s="277"/>
      <c r="D112" s="277"/>
      <c r="E112" s="3215"/>
      <c r="F112" s="3216"/>
      <c r="G112" s="2276" t="s">
        <v>99</v>
      </c>
      <c r="H112" s="2277" t="str">
        <f>IF(E111="——","——",N61)</f>
        <v>——</v>
      </c>
      <c r="I112" s="277"/>
    </row>
    <row r="113" spans="1:27" ht="18.75" customHeight="1">
      <c r="A113" s="277"/>
      <c r="B113" s="277"/>
      <c r="C113" s="277"/>
      <c r="D113" s="277"/>
      <c r="E113" s="3197" t="s">
        <v>907</v>
      </c>
      <c r="F113" s="3197"/>
      <c r="G113" s="3197"/>
      <c r="H113" s="3197"/>
      <c r="I113" s="277"/>
    </row>
    <row r="114" spans="1:27" ht="3.75" customHeight="1">
      <c r="A114" s="2030"/>
      <c r="B114" s="2030"/>
      <c r="C114" s="2030"/>
      <c r="D114" s="2030"/>
      <c r="E114" s="2155"/>
      <c r="F114" s="2155"/>
      <c r="G114" s="2155"/>
      <c r="H114" s="2155"/>
      <c r="I114" s="2030"/>
    </row>
    <row r="115" spans="1:27" ht="18.75" customHeight="1">
      <c r="A115" s="3198" t="s">
        <v>909</v>
      </c>
      <c r="B115" s="3199"/>
      <c r="C115" s="3199"/>
      <c r="D115" s="3199"/>
      <c r="E115" s="3199"/>
      <c r="F115" s="3199"/>
      <c r="G115" s="3199"/>
      <c r="H115" s="3199"/>
      <c r="I115" s="3200"/>
    </row>
    <row r="116" spans="1:27" ht="27" customHeight="1">
      <c r="A116" s="3171" t="s">
        <v>910</v>
      </c>
      <c r="B116" s="3180" t="s">
        <v>911</v>
      </c>
      <c r="C116" s="3180" t="s">
        <v>912</v>
      </c>
      <c r="D116" s="3201" t="s">
        <v>913</v>
      </c>
      <c r="E116" s="3202"/>
      <c r="F116" s="3203" t="s">
        <v>914</v>
      </c>
      <c r="G116" s="3203"/>
      <c r="H116" s="3171" t="s">
        <v>915</v>
      </c>
      <c r="I116" s="3171"/>
    </row>
    <row r="117" spans="1:27" ht="18.75" customHeight="1">
      <c r="A117" s="3171"/>
      <c r="B117" s="3181"/>
      <c r="C117" s="3181"/>
      <c r="D117" s="2040" t="s">
        <v>916</v>
      </c>
      <c r="E117" s="2040" t="s">
        <v>745</v>
      </c>
      <c r="F117" s="2040" t="s">
        <v>916</v>
      </c>
      <c r="G117" s="2040" t="s">
        <v>745</v>
      </c>
      <c r="H117" s="2040" t="s">
        <v>916</v>
      </c>
      <c r="I117" s="2040" t="s">
        <v>745</v>
      </c>
    </row>
    <row r="118" spans="1:27" ht="24.75" customHeight="1">
      <c r="A118" s="2278" t="str">
        <f>项目基本情况!S2</f>
        <v>北京市房地产</v>
      </c>
      <c r="B118" s="2040">
        <f>M18</f>
        <v>39222.729999999996</v>
      </c>
      <c r="C118" s="2040">
        <f>M19</f>
        <v>11660.67</v>
      </c>
      <c r="D118" s="2040">
        <f ca="1">ROUND(IF(D32="总价",C34,E118*B118/10000),0)</f>
        <v>325448</v>
      </c>
      <c r="E118" s="2040">
        <f ca="1">ROUND(IF(C33="自定义",IF(D32="楼面单价",C34,D118*10000/B118),I118-G118),0)</f>
        <v>82974</v>
      </c>
      <c r="F118" s="2040">
        <f ca="1">ROUND(IF(D32="总价",C35,G118*B118/10000),0)</f>
        <v>12856</v>
      </c>
      <c r="G118" s="2040">
        <f ca="1">ROUND(IF(D32="楼面单价",C35,F118*10000/B118),0)</f>
        <v>3278</v>
      </c>
      <c r="H118" s="2040">
        <f ca="1">ROUND(IF(D32="总价",C32,I118*B118/10000),0)</f>
        <v>338304</v>
      </c>
      <c r="I118" s="2040">
        <f ca="1">ROUND(IF(D32="楼面单价",C32,H118*10000/B118),0)</f>
        <v>86252</v>
      </c>
    </row>
    <row r="119" spans="1:27" ht="18.75" customHeight="1">
      <c r="A119" s="3171" t="s">
        <v>917</v>
      </c>
      <c r="B119" s="3171"/>
      <c r="C119" s="3171"/>
      <c r="D119" s="3183" t="str">
        <f ca="1">NUMBERSTRING(INT(D118*10000),2)&amp;"元整"</f>
        <v>叁拾贰亿伍仟肆佰肆拾捌万元整</v>
      </c>
      <c r="E119" s="3185"/>
      <c r="F119" s="3183" t="str">
        <f ca="1">NUMBERSTRING(INT(F118*10000),2)&amp;"元整"</f>
        <v>壹亿贰仟捌佰伍拾陆万元整</v>
      </c>
      <c r="G119" s="3185"/>
      <c r="H119" s="3183" t="str">
        <f ca="1">NUMBERSTRING(INT(H118*10000),2)&amp;"元整"</f>
        <v>叁拾叁亿捌仟叁佰零肆万元整</v>
      </c>
      <c r="I119" s="3185"/>
    </row>
    <row r="120" spans="1:27" ht="18.75" customHeight="1">
      <c r="A120" s="3220" t="str">
        <f>IF(项目基本情况!B9="房地产市场价值","",MID(E103,3,LEN(E103)-2))</f>
        <v>估价师知悉的法定优先受偿款</v>
      </c>
      <c r="B120" s="3221"/>
      <c r="C120" s="3222"/>
      <c r="D120" s="3220">
        <f>H103</f>
        <v>0</v>
      </c>
      <c r="E120" s="3221"/>
      <c r="F120" s="3221"/>
      <c r="G120" s="3221"/>
      <c r="H120" s="3221"/>
      <c r="I120" s="3222"/>
      <c r="J120" s="2027"/>
      <c r="K120" s="2027" t="str">
        <f>IF(D120=0,"故，本次评估不存在"&amp;A120,"故，本次评估"&amp;A120&amp;"为人民币"&amp;D120&amp;"万元整。")</f>
        <v>故，本次评估不存在估价师知悉的法定优先受偿款</v>
      </c>
      <c r="L120" s="2027"/>
      <c r="M120" s="2027"/>
      <c r="N120" s="2027"/>
      <c r="O120" s="2027"/>
      <c r="P120" s="2027"/>
      <c r="Q120" s="2027"/>
      <c r="R120" s="2027"/>
      <c r="S120" s="2027"/>
    </row>
    <row r="121" spans="1:27" ht="18.75" customHeight="1">
      <c r="A121" s="3223" t="s">
        <v>917</v>
      </c>
      <c r="B121" s="3224"/>
      <c r="C121" s="3225"/>
      <c r="D121" s="3183" t="str">
        <f>IF(D120=0,"零元整",NUMBERSTRING(INT(D120*10000),2)&amp;"元整")</f>
        <v>零元整</v>
      </c>
      <c r="E121" s="3184"/>
      <c r="F121" s="3184"/>
      <c r="G121" s="3184"/>
      <c r="H121" s="3184"/>
      <c r="I121" s="3185"/>
      <c r="AA121" s="234"/>
    </row>
    <row r="122" spans="1:27" ht="18.75" customHeight="1">
      <c r="A122" s="3214" t="str">
        <f>IF(项目基本情况!B9="房地产市场价值","",MID(E107,3,LEN(E107)-2))</f>
        <v>房地产抵押价值</v>
      </c>
      <c r="B122" s="3214"/>
      <c r="C122" s="3214"/>
      <c r="D122" s="3220">
        <f ca="1">H107</f>
        <v>338304</v>
      </c>
      <c r="E122" s="3221"/>
      <c r="F122" s="3221"/>
      <c r="G122" s="3221"/>
      <c r="H122" s="3221"/>
      <c r="I122" s="3222"/>
      <c r="AA122" s="234"/>
    </row>
    <row r="123" spans="1:27" ht="18.75" customHeight="1">
      <c r="A123" s="3171" t="s">
        <v>917</v>
      </c>
      <c r="B123" s="3171"/>
      <c r="C123" s="3171"/>
      <c r="D123" s="3183" t="str">
        <f ca="1">NUMBERSTRING(INT(D122*10000),2)&amp;"元整"</f>
        <v>叁拾叁亿捌仟叁佰零肆万元整</v>
      </c>
      <c r="E123" s="3184"/>
      <c r="F123" s="3184"/>
      <c r="G123" s="3184"/>
      <c r="H123" s="3184"/>
      <c r="I123" s="3185"/>
      <c r="AA123" s="234"/>
    </row>
    <row r="124" spans="1:27" ht="18.75" customHeight="1">
      <c r="A124" s="3214" t="str">
        <f>IF(项目基本情况!B9="房地产市场价值","",MID(E109,3,LEN(E109)-2))</f>
        <v/>
      </c>
      <c r="B124" s="3214"/>
      <c r="C124" s="3214"/>
      <c r="D124" s="3220" t="str">
        <f>H109</f>
        <v>——</v>
      </c>
      <c r="E124" s="3221"/>
      <c r="F124" s="3221"/>
      <c r="G124" s="3221"/>
      <c r="H124" s="3221"/>
      <c r="I124" s="3222"/>
      <c r="AA124" s="234"/>
    </row>
    <row r="125" spans="1:27" ht="18.75" customHeight="1">
      <c r="A125" s="3171" t="s">
        <v>917</v>
      </c>
      <c r="B125" s="3171"/>
      <c r="C125" s="3171"/>
      <c r="D125" s="3183" t="e">
        <f>NUMBERSTRING(INT(D124*10000),2)&amp;"元整"</f>
        <v>#VALUE!</v>
      </c>
      <c r="E125" s="3184"/>
      <c r="F125" s="3184"/>
      <c r="G125" s="3184"/>
      <c r="H125" s="3184"/>
      <c r="I125" s="3185"/>
      <c r="AA125" s="234"/>
    </row>
    <row r="126" spans="1:27" ht="18.75" customHeight="1">
      <c r="A126" s="3214" t="str">
        <f>IF(项目基本情况!B9="房地产市场价值","",MID(E111,3,LEN(E111)-2))</f>
        <v/>
      </c>
      <c r="B126" s="3214"/>
      <c r="C126" s="3214"/>
      <c r="D126" s="3220" t="str">
        <f>H111</f>
        <v>——</v>
      </c>
      <c r="E126" s="3221"/>
      <c r="F126" s="3221"/>
      <c r="G126" s="3221"/>
      <c r="H126" s="3221"/>
      <c r="I126" s="3222"/>
      <c r="AA126" s="234"/>
    </row>
    <row r="127" spans="1:27" ht="18.75" customHeight="1">
      <c r="A127" s="3171" t="s">
        <v>917</v>
      </c>
      <c r="B127" s="3171"/>
      <c r="C127" s="3171"/>
      <c r="D127" s="3183" t="e">
        <f>NUMBERSTRING(INT(D126*10000),2)&amp;"元整"</f>
        <v>#VALUE!</v>
      </c>
      <c r="E127" s="3184"/>
      <c r="F127" s="3184"/>
      <c r="G127" s="3184"/>
      <c r="H127" s="3184"/>
      <c r="I127" s="3185"/>
      <c r="AA127" s="234"/>
    </row>
    <row r="128" spans="1:27" ht="21.75" customHeight="1">
      <c r="A128" s="3170" t="s">
        <v>113</v>
      </c>
      <c r="B128" s="3170"/>
      <c r="C128" s="3170"/>
      <c r="D128" s="3170"/>
      <c r="E128" s="3170"/>
      <c r="F128" s="3170"/>
      <c r="G128" s="3170"/>
      <c r="H128" s="3170"/>
      <c r="I128" s="3170"/>
      <c r="AA128" s="234"/>
    </row>
    <row r="129" spans="1:35" ht="21.75" customHeight="1">
      <c r="A129" s="2289" t="s">
        <v>918</v>
      </c>
      <c r="B129" s="2290"/>
      <c r="C129" s="2291" t="s">
        <v>919</v>
      </c>
      <c r="D129" s="2292"/>
      <c r="E129" s="2292"/>
      <c r="F129" s="2292"/>
      <c r="G129" s="2292"/>
      <c r="H129" s="2293"/>
      <c r="I129" s="2308"/>
      <c r="AA129" s="234"/>
    </row>
    <row r="130" spans="1:35" ht="21.75" customHeight="1">
      <c r="A130" s="2294">
        <v>1</v>
      </c>
      <c r="B130" s="2295"/>
      <c r="C130" s="2295"/>
      <c r="D130" s="2296"/>
      <c r="E130" s="2296"/>
      <c r="F130" s="2296"/>
      <c r="G130" s="2296"/>
      <c r="H130" s="2297"/>
      <c r="I130" s="2309"/>
      <c r="AA130" s="234"/>
    </row>
    <row r="131" spans="1:35" ht="21.75" customHeight="1">
      <c r="A131" s="2294">
        <v>2</v>
      </c>
      <c r="B131" s="2295"/>
      <c r="C131" s="2295"/>
      <c r="D131" s="2296"/>
      <c r="E131" s="2296"/>
      <c r="F131" s="2296"/>
      <c r="G131" s="2296"/>
      <c r="H131" s="2297"/>
      <c r="I131" s="2309"/>
      <c r="AA131" s="234"/>
    </row>
    <row r="132" spans="1:35" ht="21.75" customHeight="1">
      <c r="A132" s="2294">
        <v>3</v>
      </c>
      <c r="B132" s="2295"/>
      <c r="C132" s="2295"/>
      <c r="D132" s="2296"/>
      <c r="E132" s="2296"/>
      <c r="F132" s="2296"/>
      <c r="G132" s="2296"/>
      <c r="H132" s="2297"/>
      <c r="I132" s="2309"/>
      <c r="AA132" s="234"/>
    </row>
    <row r="133" spans="1:35" ht="21.75" customHeight="1">
      <c r="A133" s="2298"/>
      <c r="B133" s="2299"/>
      <c r="C133" s="2299"/>
      <c r="D133" s="2300"/>
      <c r="E133" s="2300"/>
      <c r="F133" s="2300"/>
      <c r="G133" s="2300"/>
      <c r="H133" s="2301"/>
      <c r="I133" s="2310"/>
    </row>
    <row r="134" spans="1:35" ht="21.75" customHeight="1">
      <c r="A134" s="2295"/>
      <c r="B134" s="2295"/>
      <c r="C134" s="2295"/>
      <c r="D134" s="2296"/>
      <c r="E134" s="2296"/>
      <c r="F134" s="2296"/>
      <c r="G134" s="2296"/>
      <c r="H134" s="2297"/>
      <c r="I134" s="234"/>
    </row>
    <row r="135" spans="1:35" ht="21.75" customHeight="1">
      <c r="A135" s="234"/>
      <c r="B135" s="234"/>
      <c r="C135" s="234"/>
      <c r="D135" s="234"/>
      <c r="E135" s="234"/>
      <c r="F135" s="2302" t="s">
        <v>920</v>
      </c>
      <c r="G135" s="2303"/>
      <c r="H135" s="2303"/>
      <c r="I135" s="2311" t="s">
        <v>921</v>
      </c>
    </row>
    <row r="136" spans="1:35" ht="21.75" customHeight="1">
      <c r="A136" s="234"/>
      <c r="B136" s="2304" t="s">
        <v>922</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303"/>
      <c r="C138" s="2303"/>
      <c r="D138" s="2303"/>
      <c r="E138" s="2303"/>
      <c r="F138" s="2303"/>
      <c r="G138" s="2303"/>
      <c r="H138" s="2303"/>
      <c r="I138" s="2311" t="s">
        <v>923</v>
      </c>
    </row>
    <row r="139" spans="1:35" ht="21.75" customHeight="1">
      <c r="A139" s="234"/>
      <c r="B139" s="2304" t="s">
        <v>924</v>
      </c>
      <c r="C139" s="234"/>
      <c r="D139" s="234"/>
      <c r="E139" s="234"/>
      <c r="F139" s="234"/>
      <c r="G139" s="234"/>
      <c r="H139" s="234"/>
      <c r="I139" s="234"/>
    </row>
    <row r="140" spans="1:35" ht="21.75" customHeight="1">
      <c r="A140" s="234"/>
      <c r="B140" s="2304"/>
      <c r="C140" s="234"/>
      <c r="D140" s="234"/>
      <c r="E140" s="234"/>
      <c r="F140" s="234"/>
      <c r="G140" s="234"/>
      <c r="H140" s="234"/>
      <c r="I140" s="234"/>
    </row>
    <row r="141" spans="1:35" ht="21.75" customHeight="1">
      <c r="A141" s="234"/>
      <c r="B141" s="2303"/>
      <c r="C141" s="2303"/>
      <c r="D141" s="2303"/>
      <c r="E141" s="2303"/>
      <c r="F141" s="2303"/>
      <c r="G141" s="2303"/>
      <c r="H141" s="2303"/>
      <c r="I141" s="2311" t="s">
        <v>923</v>
      </c>
    </row>
    <row r="142" spans="1:35" ht="21.75" customHeight="1">
      <c r="A142" s="234"/>
      <c r="B142" s="2304"/>
      <c r="C142" s="2305"/>
      <c r="D142" s="2306"/>
      <c r="E142" s="2306"/>
      <c r="F142" s="2307"/>
      <c r="G142" s="234"/>
      <c r="H142" s="234"/>
      <c r="I142" s="234"/>
    </row>
    <row r="143" spans="1:35" s="231" customFormat="1" ht="21.75" customHeight="1">
      <c r="A143" s="234"/>
      <c r="B143" s="2304"/>
      <c r="C143" s="2305"/>
      <c r="D143" s="2306"/>
      <c r="E143" s="2306"/>
      <c r="F143" s="2307"/>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2027"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2027"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2027"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2027"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2027"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2027"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2027"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2027"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2027"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2027"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2027"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2027"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2027"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2027"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2027"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2027"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2027"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2027"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2027"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2027"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2027"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2027"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2027"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2027"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2027"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2027"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2027"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2027"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2027"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2027"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2027"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2027"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2027"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2027"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2027"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2027"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2027"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2027"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2027"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2027"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2027"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2027"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2027"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2027"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2027"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2027"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2027"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2027"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2027"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2027"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2027"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2027"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2027"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2027"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2027"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2027"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2027"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2027"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2027"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2027"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2027"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2027"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2027"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2027"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2027"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2027"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2027"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2027"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2027"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2027"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2027"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2027"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2027"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2027"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2027"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2027"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2027"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2027"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2027"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2027"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2027"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2027"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2027"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2027"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2027"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2027"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2027"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2027"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2027"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2027"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2027"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2027"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2027"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2027"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2027"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2027"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2027"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2027"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2027"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2027"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2027"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2027"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2027"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2027"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2" type="noConversion"/>
  <conditionalFormatting sqref="E36">
    <cfRule type="expression" dxfId="193" priority="1" stopIfTrue="1">
      <formula>$D$36="同一抵押权人同一抵押物续贷"</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D14:D16">
    <cfRule type="cellIs" dxfId="185" priority="6" stopIfTrue="1" operator="equal">
      <formula>30</formula>
    </cfRule>
  </conditionalFormatting>
  <conditionalFormatting sqref="C10:D13">
    <cfRule type="cellIs" dxfId="184" priority="8" stopIfTrue="1" operator="equal">
      <formula>15</formula>
    </cfRule>
  </conditionalFormatting>
  <dataValidations count="23">
    <dataValidation type="list" allowBlank="1" showInputMessage="1" showErrorMessage="1" sqref="D32" xr:uid="{00000000-0002-0000-1100-000000000000}">
      <formula1>"总价,楼面单价"</formula1>
    </dataValidation>
    <dataValidation type="list" allowBlank="1" showInputMessage="1" showErrorMessage="1" sqref="C1" xr:uid="{00000000-0002-0000-1100-000001000000}">
      <formula1>项目类型</formula1>
    </dataValidation>
    <dataValidation type="list" showInputMessage="1" showErrorMessage="1" sqref="G1" xr:uid="{00000000-0002-0000-1100-000002000000}">
      <formula1>"现房,在建,土地,-"</formula1>
    </dataValidation>
    <dataValidation type="list" allowBlank="1" showInputMessage="1" showErrorMessage="1" sqref="H48" xr:uid="{00000000-0002-0000-1100-000003000000}">
      <formula1>"情况1,情况2,情况3,情况4"</formula1>
    </dataValidation>
    <dataValidation type="list" allowBlank="1" showInputMessage="1" showErrorMessage="1" sqref="F45" xr:uid="{00000000-0002-0000-1100-000004000000}">
      <formula1>"100%,80%,60%,64%"</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I1" xr:uid="{00000000-0002-0000-1100-000006000000}">
      <formula1>"项目局部,项目全部,——"</formula1>
    </dataValidation>
    <dataValidation type="list" allowBlank="1" showInputMessage="1" showErrorMessage="1" sqref="C4:D4 D33" xr:uid="{00000000-0002-0000-1100-000007000000}">
      <formula1>估价方法</formula1>
    </dataValidation>
    <dataValidation type="list" allowBlank="1" showInputMessage="1" showErrorMessage="1" sqref="D36" xr:uid="{00000000-0002-0000-1100-000008000000}">
      <formula1>"同一抵押权人同一抵押物续贷,注销后放款,正常操作"</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E19" sqref="E19"/>
    </sheetView>
  </sheetViews>
  <sheetFormatPr defaultColWidth="8.375" defaultRowHeight="12.75"/>
  <cols>
    <col min="1" max="1" width="10.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9" s="133" customFormat="1" ht="20.25">
      <c r="A1" s="141" t="s">
        <v>925</v>
      </c>
      <c r="B1" s="2007"/>
      <c r="C1" s="143"/>
      <c r="D1" s="143"/>
      <c r="E1" s="143"/>
      <c r="F1" s="143"/>
      <c r="G1" s="2009">
        <f>MATCH(B1,'数据-取费表'!A6:A16,0)+5</f>
        <v>10</v>
      </c>
    </row>
    <row r="2" spans="1:9" s="133" customFormat="1" ht="18" customHeight="1">
      <c r="A2" s="145" t="s">
        <v>926</v>
      </c>
      <c r="B2" s="146">
        <f ca="1">IF(D2="——",C52,C52-E2)</f>
        <v>344598</v>
      </c>
      <c r="C2" s="144" t="s">
        <v>927</v>
      </c>
      <c r="D2" s="2010" t="s">
        <v>124</v>
      </c>
      <c r="E2" s="2011" t="e">
        <f ca="1">SUMIF(INDIRECT("'"&amp;G2&amp;"'"&amp;"!A:A"),"承租人权益价值",INDIRECT("'"&amp;G2&amp;"'"&amp;"!c:c"))</f>
        <v>#REF!</v>
      </c>
      <c r="F2" s="2012" t="s">
        <v>927</v>
      </c>
      <c r="G2" s="2013"/>
    </row>
    <row r="3" spans="1:9" s="133" customFormat="1" ht="18" customHeight="1">
      <c r="A3" s="148" t="s">
        <v>928</v>
      </c>
      <c r="B3" s="149">
        <f ca="1">ROUND(B2*10000/(IF(B1="",'数据-汇总表'!E3,INDIRECT("'数据-取费表'!k"&amp;$G$1))),0)</f>
        <v>87857</v>
      </c>
      <c r="C3" s="144" t="s">
        <v>929</v>
      </c>
      <c r="D3" s="144"/>
      <c r="E3" s="144"/>
      <c r="F3" s="144"/>
      <c r="G3" s="144"/>
    </row>
    <row r="4" spans="1:9" s="134" customFormat="1" ht="15.75">
      <c r="A4" s="150" t="s">
        <v>930</v>
      </c>
      <c r="B4" s="151"/>
      <c r="C4" s="151"/>
      <c r="D4" s="151"/>
      <c r="E4" s="151"/>
      <c r="F4" s="151"/>
      <c r="G4" s="152"/>
    </row>
    <row r="5" spans="1:9" s="135" customFormat="1" ht="13.5" customHeight="1">
      <c r="A5" s="153" t="s">
        <v>931</v>
      </c>
      <c r="B5" s="154" t="s">
        <v>932</v>
      </c>
      <c r="C5" s="155">
        <f>C6+C7+C8</f>
        <v>274361</v>
      </c>
      <c r="D5" s="155" t="s">
        <v>933</v>
      </c>
      <c r="E5" s="156" t="s">
        <v>934</v>
      </c>
      <c r="F5" s="156" t="s">
        <v>831</v>
      </c>
      <c r="G5" s="157"/>
    </row>
    <row r="6" spans="1:9" s="135" customFormat="1" ht="13.5" customHeight="1">
      <c r="A6" s="158" t="s">
        <v>935</v>
      </c>
      <c r="B6" s="159" t="s">
        <v>936</v>
      </c>
      <c r="C6" s="160">
        <f>'土地比较法-住宅、综合'!F56</f>
        <v>266241</v>
      </c>
      <c r="D6" s="161"/>
      <c r="E6" s="162"/>
      <c r="F6" s="162"/>
      <c r="G6" s="163"/>
    </row>
    <row r="7" spans="1:9" s="135" customFormat="1" ht="13.5" customHeight="1">
      <c r="A7" s="158" t="s">
        <v>937</v>
      </c>
      <c r="B7" s="159" t="s">
        <v>938</v>
      </c>
      <c r="C7" s="164">
        <f>ROUND(C6*F7,0)</f>
        <v>8120</v>
      </c>
      <c r="D7" s="164"/>
      <c r="E7" s="162"/>
      <c r="F7" s="165">
        <f>IF(项目基本情况!B8="出让",0,'数据-取费表'!B48+'数据-取费表'!B49)</f>
        <v>3.0499999999999999E-2</v>
      </c>
      <c r="G7" s="163"/>
    </row>
    <row r="8" spans="1:9" s="136" customFormat="1">
      <c r="A8" s="158" t="s">
        <v>939</v>
      </c>
      <c r="B8" s="159" t="s">
        <v>940</v>
      </c>
      <c r="C8" s="164">
        <f>IF(G8="已包含在土地购买价格中","0",IF(B1="",'数据-取费表'!B29,IF(G9="全部缴纳",C9+C10,H9)))</f>
        <v>0</v>
      </c>
      <c r="D8" s="166"/>
      <c r="E8" s="164"/>
      <c r="F8" s="165"/>
      <c r="G8" s="2014" t="s">
        <v>941</v>
      </c>
    </row>
    <row r="9" spans="1:9" s="135" customFormat="1" ht="13.5" customHeight="1">
      <c r="A9" s="168" t="s">
        <v>942</v>
      </c>
      <c r="B9" s="169" t="s">
        <v>943</v>
      </c>
      <c r="C9" s="170">
        <f ca="1">ROUND(D9*E9/10000,0)</f>
        <v>587</v>
      </c>
      <c r="D9" s="171">
        <f ca="1">IF(B1="",'数据-汇总表'!E5,IF(INDIRECT("'数据-取费表'!c"&amp;$G$1)="住宅",INDIRECT("'数据-取费表'!k"&amp;$G$1),0))</f>
        <v>36663.219999999994</v>
      </c>
      <c r="E9" s="170">
        <f>'数据-取费表'!B27</f>
        <v>160</v>
      </c>
      <c r="F9" s="165"/>
      <c r="G9" s="2021"/>
      <c r="H9" s="2022"/>
      <c r="I9" s="2023" t="s">
        <v>944</v>
      </c>
    </row>
    <row r="10" spans="1:9" s="135" customFormat="1" ht="13.5" customHeight="1">
      <c r="A10" s="168" t="s">
        <v>945</v>
      </c>
      <c r="B10" s="169" t="s">
        <v>946</v>
      </c>
      <c r="C10" s="170">
        <f ca="1">ROUND(D10*E10/10000,0)</f>
        <v>51</v>
      </c>
      <c r="D10" s="171">
        <f ca="1">IF(B1="",'数据-汇总表'!E6,IF(INDIRECT("'数据-取费表'!c"&amp;$G$1)="住宅",INDIRECT("'数据-取费表'!s"&amp;$G$1),INDIRECT("'数据-取费表'!k"&amp;$G$1)+INDIRECT("'数据-取费表'!s"&amp;$G$1)))</f>
        <v>2559.510000000002</v>
      </c>
      <c r="E10" s="170">
        <f>'数据-取费表'!B28</f>
        <v>200</v>
      </c>
      <c r="F10" s="165"/>
      <c r="G10" s="172"/>
    </row>
    <row r="11" spans="1:9" s="135" customFormat="1" ht="13.5" hidden="1" customHeight="1">
      <c r="A11" s="173" t="s">
        <v>947</v>
      </c>
      <c r="B11" s="159" t="s">
        <v>948</v>
      </c>
      <c r="C11" s="155"/>
      <c r="D11" s="174"/>
      <c r="E11" s="162"/>
      <c r="F11" s="162"/>
      <c r="G11" s="163"/>
    </row>
    <row r="12" spans="1:9" s="135" customFormat="1" ht="13.5" hidden="1" customHeight="1">
      <c r="A12" s="173" t="s">
        <v>949</v>
      </c>
      <c r="B12" s="159" t="s">
        <v>867</v>
      </c>
      <c r="C12" s="155">
        <v>0</v>
      </c>
      <c r="D12" s="174"/>
      <c r="E12" s="175"/>
      <c r="F12" s="165">
        <v>3.0499999999999999E-2</v>
      </c>
      <c r="G12" s="163"/>
    </row>
    <row r="13" spans="1:9" s="135" customFormat="1" ht="13.5" hidden="1" customHeight="1">
      <c r="A13" s="173" t="s">
        <v>950</v>
      </c>
      <c r="B13" s="159" t="s">
        <v>951</v>
      </c>
      <c r="C13" s="155"/>
      <c r="D13" s="174"/>
      <c r="E13" s="162"/>
      <c r="F13" s="162"/>
      <c r="G13" s="163"/>
    </row>
    <row r="14" spans="1:9" s="135" customFormat="1" ht="13.5" hidden="1" customHeight="1">
      <c r="A14" s="173" t="s">
        <v>952</v>
      </c>
      <c r="B14" s="159" t="s">
        <v>940</v>
      </c>
      <c r="C14" s="155"/>
      <c r="D14" s="174"/>
      <c r="E14" s="162"/>
      <c r="F14" s="162"/>
      <c r="G14" s="163" t="s">
        <v>953</v>
      </c>
    </row>
    <row r="15" spans="1:9" s="135" customFormat="1" ht="13.5" hidden="1" customHeight="1">
      <c r="A15" s="173" t="s">
        <v>954</v>
      </c>
      <c r="B15" s="159" t="s">
        <v>955</v>
      </c>
      <c r="C15" s="164"/>
      <c r="D15" s="174"/>
      <c r="E15" s="162"/>
      <c r="F15" s="162"/>
      <c r="G15" s="163" t="s">
        <v>956</v>
      </c>
    </row>
    <row r="16" spans="1:9" s="135" customFormat="1" ht="13.5" hidden="1" customHeight="1">
      <c r="A16" s="173" t="s">
        <v>957</v>
      </c>
      <c r="B16" s="159" t="s">
        <v>940</v>
      </c>
      <c r="C16" s="164"/>
      <c r="D16" s="174"/>
      <c r="E16" s="162"/>
      <c r="F16" s="162"/>
      <c r="G16" s="163"/>
    </row>
    <row r="17" spans="1:7" s="135" customFormat="1" ht="13.5" hidden="1" customHeight="1">
      <c r="A17" s="173" t="s">
        <v>958</v>
      </c>
      <c r="B17" s="159" t="s">
        <v>959</v>
      </c>
      <c r="C17" s="176"/>
      <c r="D17" s="177"/>
      <c r="E17" s="176"/>
      <c r="F17" s="176"/>
      <c r="G17" s="163" t="s">
        <v>956</v>
      </c>
    </row>
    <row r="18" spans="1:7" s="135" customFormat="1" ht="13.5" hidden="1" customHeight="1">
      <c r="A18" s="173" t="s">
        <v>960</v>
      </c>
      <c r="B18" s="159" t="s">
        <v>961</v>
      </c>
      <c r="C18" s="164">
        <v>0</v>
      </c>
      <c r="D18" s="174"/>
      <c r="E18" s="162"/>
      <c r="F18" s="165">
        <v>3.0499999999999999E-2</v>
      </c>
      <c r="G18" s="163" t="s">
        <v>962</v>
      </c>
    </row>
    <row r="19" spans="1:7" s="136" customFormat="1" ht="13.5" customHeight="1">
      <c r="A19" s="153" t="s">
        <v>963</v>
      </c>
      <c r="B19" s="154" t="s">
        <v>964</v>
      </c>
      <c r="C19" s="155" t="str">
        <f>IF(G19="已包含在土地取得成本中","0",ROUND(D19*E19/10000,0))</f>
        <v>0</v>
      </c>
      <c r="D19" s="179">
        <f ca="1">D9+D10</f>
        <v>39222.729999999996</v>
      </c>
      <c r="E19" s="155">
        <f>'数据-取费表'!B31</f>
        <v>200</v>
      </c>
      <c r="F19" s="180"/>
      <c r="G19" s="2014" t="s">
        <v>965</v>
      </c>
    </row>
    <row r="20" spans="1:7" s="135" customFormat="1" ht="13.5" customHeight="1">
      <c r="A20" s="153" t="s">
        <v>966</v>
      </c>
      <c r="B20" s="154" t="s">
        <v>967</v>
      </c>
      <c r="C20" s="181">
        <f>ROUND((C5+C19)*F20,0)</f>
        <v>8231</v>
      </c>
      <c r="D20" s="181"/>
      <c r="E20" s="181"/>
      <c r="F20" s="182">
        <f>'数据-取费表'!B37</f>
        <v>0.03</v>
      </c>
      <c r="G20" s="186" t="s">
        <v>968</v>
      </c>
    </row>
    <row r="21" spans="1:7" s="135" customFormat="1" ht="13.5" customHeight="1">
      <c r="A21" s="153" t="s">
        <v>969</v>
      </c>
      <c r="B21" s="154" t="s">
        <v>970</v>
      </c>
      <c r="C21" s="184">
        <f>F21</f>
        <v>0.02</v>
      </c>
      <c r="D21" s="185" t="s">
        <v>971</v>
      </c>
      <c r="E21" s="181"/>
      <c r="F21" s="182">
        <f>'数据-取费表'!B38</f>
        <v>0.02</v>
      </c>
      <c r="G21" s="186" t="s">
        <v>972</v>
      </c>
    </row>
    <row r="22" spans="1:7" s="135" customFormat="1" ht="13.5" customHeight="1">
      <c r="A22" s="153" t="s">
        <v>973</v>
      </c>
      <c r="B22" s="154" t="s">
        <v>974</v>
      </c>
      <c r="C22" s="187">
        <f ca="1">ROUND(SUM(C23:C25),0)</f>
        <v>7206</v>
      </c>
      <c r="D22" s="184">
        <f ca="1">C26</f>
        <v>2.9999999999999997E-4</v>
      </c>
      <c r="E22" s="185" t="s">
        <v>971</v>
      </c>
      <c r="F22" s="188">
        <f ca="1">'数据-取费表'!B40</f>
        <v>4.3499999999999997E-2</v>
      </c>
      <c r="G22" s="186" t="str">
        <f>IF('数据-取费表'!B22&lt;=1,"单利计息","复利计息")</f>
        <v>复利计息</v>
      </c>
    </row>
    <row r="23" spans="1:7" s="135" customFormat="1" ht="13.5" customHeight="1">
      <c r="A23" s="189" t="s">
        <v>935</v>
      </c>
      <c r="B23" s="159" t="s">
        <v>975</v>
      </c>
      <c r="C23" s="190">
        <f ca="1">ROUND(IF('数据-取费表'!B22&lt;=1,C5*F22*'数据-取费表'!B23,C5*(POWER((1+F22),'数据-取费表'!B23)-1)),0)</f>
        <v>7100</v>
      </c>
      <c r="D23" s="191"/>
      <c r="E23" s="191"/>
      <c r="F23" s="192"/>
      <c r="G23" s="193" t="s">
        <v>976</v>
      </c>
    </row>
    <row r="24" spans="1:7" s="135" customFormat="1" ht="13.5" customHeight="1">
      <c r="A24" s="189" t="s">
        <v>937</v>
      </c>
      <c r="B24" s="159" t="s">
        <v>977</v>
      </c>
      <c r="C24" s="190">
        <f ca="1">ROUND(IF('数据-取费表'!B22&lt;=1,C19*F22*('数据-取费表'!B19/2+'数据-取费表'!B21),C19*(POWER((1+F22),('数据-取费表'!B19/2+'数据-取费表'!B21))-1)),0)</f>
        <v>0</v>
      </c>
      <c r="D24" s="191"/>
      <c r="E24" s="191"/>
      <c r="F24" s="192"/>
      <c r="G24" s="193" t="s">
        <v>978</v>
      </c>
    </row>
    <row r="25" spans="1:7" s="135" customFormat="1" ht="24">
      <c r="A25" s="189" t="s">
        <v>939</v>
      </c>
      <c r="B25" s="159" t="s">
        <v>979</v>
      </c>
      <c r="C25" s="190">
        <f ca="1">ROUND(IF('数据-取费表'!B22&lt;=1,C20*F22*'数据-取费表'!B23/2,C20*(POWER((1+F22),'数据-取费表'!B23/2)-1)),0)</f>
        <v>106</v>
      </c>
      <c r="D25" s="191"/>
      <c r="E25" s="194"/>
      <c r="F25" s="192"/>
      <c r="G25" s="195" t="s">
        <v>980</v>
      </c>
    </row>
    <row r="26" spans="1:7" s="135" customFormat="1">
      <c r="A26" s="189" t="s">
        <v>981</v>
      </c>
      <c r="B26" s="159" t="s">
        <v>982</v>
      </c>
      <c r="C26" s="191">
        <f ca="1">ROUND(IF('数据-取费表'!B22&lt;=1,F21*F22*'数据-取费表'!B23/2,F21*(POWER((1+F22),'数据-取费表'!B23/2)-1)),4)</f>
        <v>2.9999999999999997E-4</v>
      </c>
      <c r="D26" s="191"/>
      <c r="E26" s="194"/>
      <c r="F26" s="192"/>
      <c r="G26" s="196"/>
    </row>
    <row r="27" spans="1:7" s="135" customFormat="1" ht="24.75">
      <c r="A27" s="153" t="s">
        <v>983</v>
      </c>
      <c r="B27" s="197" t="s">
        <v>984</v>
      </c>
      <c r="C27" s="198">
        <f ca="1">C28</f>
        <v>16956</v>
      </c>
      <c r="D27" s="184">
        <f ca="1">C29</f>
        <v>1.1999999999999999E-3</v>
      </c>
      <c r="E27" s="185" t="s">
        <v>971</v>
      </c>
      <c r="F27" s="199">
        <f ca="1">IF(B1="",'数据-取费表'!Q16,INDIRECT("'数据-取费表'!q"&amp;$G$1))</f>
        <v>0.2</v>
      </c>
      <c r="G27" s="200" t="s">
        <v>985</v>
      </c>
    </row>
    <row r="28" spans="1:7" s="135" customFormat="1" ht="13.5" customHeight="1">
      <c r="A28" s="189" t="s">
        <v>935</v>
      </c>
      <c r="B28" s="201" t="s">
        <v>986</v>
      </c>
      <c r="C28" s="202">
        <f ca="1">ROUND((C5+C19+C20)*F27*'数据-取费表'!B21/'数据-取费表'!B20,0)</f>
        <v>16956</v>
      </c>
      <c r="D28" s="184"/>
      <c r="E28" s="185"/>
      <c r="F28" s="199"/>
      <c r="G28" s="200"/>
    </row>
    <row r="29" spans="1:7" s="135" customFormat="1" ht="13.5" customHeight="1">
      <c r="A29" s="189" t="s">
        <v>937</v>
      </c>
      <c r="B29" s="201" t="s">
        <v>987</v>
      </c>
      <c r="C29" s="191">
        <f ca="1">ROUND(C21*F27*'数据-取费表'!B21/'数据-取费表'!B20,4)</f>
        <v>1.1999999999999999E-3</v>
      </c>
      <c r="D29" s="184"/>
      <c r="E29" s="185"/>
      <c r="F29" s="199"/>
      <c r="G29" s="200"/>
    </row>
    <row r="30" spans="1:7" s="135" customFormat="1" ht="13.5" customHeight="1">
      <c r="A30" s="153" t="s">
        <v>988</v>
      </c>
      <c r="B30" s="154" t="s">
        <v>989</v>
      </c>
      <c r="C30" s="184">
        <f>ROUND(F30/(1+'数据-取费表'!C42),4)</f>
        <v>5.33E-2</v>
      </c>
      <c r="D30" s="185" t="s">
        <v>971</v>
      </c>
      <c r="E30" s="194"/>
      <c r="F30" s="188">
        <f>'数据-取费表'!B41</f>
        <v>5.6000000000000001E-2</v>
      </c>
      <c r="G30" s="186" t="s">
        <v>990</v>
      </c>
    </row>
    <row r="31" spans="1:7" ht="16.5" customHeight="1">
      <c r="A31" s="203">
        <v>1</v>
      </c>
      <c r="B31" s="154" t="s">
        <v>991</v>
      </c>
      <c r="C31" s="155">
        <f ca="1">ROUND((C5+C19+C20+C22+C27)/(1-C21-D22-D27-C30),0)</f>
        <v>331554</v>
      </c>
      <c r="D31" s="204"/>
      <c r="E31" s="155"/>
      <c r="F31" s="205"/>
      <c r="G31" s="186" t="s">
        <v>992</v>
      </c>
    </row>
    <row r="32" spans="1:7" s="134" customFormat="1" ht="15.75">
      <c r="A32" s="206" t="s">
        <v>993</v>
      </c>
      <c r="B32" s="207"/>
      <c r="C32" s="207"/>
      <c r="D32" s="207"/>
      <c r="E32" s="207"/>
      <c r="F32" s="207"/>
      <c r="G32" s="208"/>
    </row>
    <row r="33" spans="1:7" s="135" customFormat="1" ht="13.5" customHeight="1">
      <c r="A33" s="153" t="s">
        <v>931</v>
      </c>
      <c r="B33" s="154" t="s">
        <v>994</v>
      </c>
      <c r="C33" s="209">
        <f ca="1">SUM(C34:C38)</f>
        <v>9631</v>
      </c>
      <c r="D33" s="181"/>
      <c r="E33" s="156"/>
      <c r="F33" s="194"/>
      <c r="G33" s="186"/>
    </row>
    <row r="34" spans="1:7" s="137" customFormat="1" ht="13.5" customHeight="1">
      <c r="A34" s="189" t="s">
        <v>935</v>
      </c>
      <c r="B34" s="159" t="s">
        <v>995</v>
      </c>
      <c r="C34" s="164">
        <f ca="1">IF(B1="",IF(F34=100%,'数据-取费表'!M16,'数据-取费表'!O16),IF(F34=100%,INDIRECT("'数据-取费表'!m"&amp;$G$1)+INDIRECT("'数据-取费表'!t"&amp;$G$1),INDIRECT("'数据-取费表'!o"&amp;$G$1)+INDIRECT("'数据-取费表'!aq"&amp;$G$1)))</f>
        <v>8472</v>
      </c>
      <c r="D34" s="161"/>
      <c r="E34" s="164"/>
      <c r="F34" s="210">
        <f ca="1">IF('数据-取费表'!B24=0,1,IF(B1="",'数据-取费表'!N16,INDIRECT("'数据-取费表'!n"&amp;$G$1)))</f>
        <v>0.27</v>
      </c>
      <c r="G34" s="163" t="s">
        <v>996</v>
      </c>
    </row>
    <row r="35" spans="1:7" ht="13.5" customHeight="1">
      <c r="A35" s="189" t="s">
        <v>937</v>
      </c>
      <c r="B35" s="159" t="s">
        <v>997</v>
      </c>
      <c r="C35" s="164">
        <f ca="1">ROUND(C34*F35,0)</f>
        <v>424</v>
      </c>
      <c r="D35" s="164"/>
      <c r="E35" s="164"/>
      <c r="F35" s="211">
        <f>'数据-取费表'!B33</f>
        <v>0.05</v>
      </c>
      <c r="G35" s="163" t="s">
        <v>998</v>
      </c>
    </row>
    <row r="36" spans="1:7" ht="24">
      <c r="A36" s="189" t="s">
        <v>939</v>
      </c>
      <c r="B36" s="159" t="s">
        <v>999</v>
      </c>
      <c r="C36" s="164">
        <f ca="1">ROUND(IF(B1="",SUMIF('数据-取费表'!C:C,"住宅",IF(F34=100%,'数据-取费表'!M:M,'数据-取费表'!O:O))*F36,IF(INDIRECT("'数据-取费表'!c"&amp;$G$1)="住宅",IF(F34=100%,INDIRECT("'数据-取费表'!m"&amp;$G$1)*F36,INDIRECT("'数据-取费表'!o"&amp;$G$1)*F36),0)),0)</f>
        <v>396</v>
      </c>
      <c r="D36" s="164"/>
      <c r="E36" s="164"/>
      <c r="F36" s="211">
        <f>'数据-取费表'!B34</f>
        <v>0.05</v>
      </c>
      <c r="G36" s="212" t="s">
        <v>1000</v>
      </c>
    </row>
    <row r="37" spans="1:7" s="137" customFormat="1" ht="13.5" customHeight="1">
      <c r="A37" s="189" t="s">
        <v>981</v>
      </c>
      <c r="B37" s="159" t="s">
        <v>1001</v>
      </c>
      <c r="C37" s="202">
        <f ca="1">ROUND(E37*D37*F34/10000,0)</f>
        <v>212</v>
      </c>
      <c r="D37" s="161">
        <f ca="1">D19</f>
        <v>39222.729999999996</v>
      </c>
      <c r="E37" s="202">
        <f>'数据-取费表'!B35</f>
        <v>200</v>
      </c>
      <c r="F37" s="211"/>
      <c r="G37" s="213" t="s">
        <v>1002</v>
      </c>
    </row>
    <row r="38" spans="1:7" ht="13.5" customHeight="1">
      <c r="A38" s="189" t="s">
        <v>1003</v>
      </c>
      <c r="B38" s="159" t="s">
        <v>867</v>
      </c>
      <c r="C38" s="164">
        <f ca="1">ROUND(C34*F38,0)</f>
        <v>127</v>
      </c>
      <c r="D38" s="164"/>
      <c r="E38" s="164"/>
      <c r="F38" s="211">
        <f>'数据-取费表'!B36</f>
        <v>1.4999999999999999E-2</v>
      </c>
      <c r="G38" s="163" t="s">
        <v>998</v>
      </c>
    </row>
    <row r="39" spans="1:7" s="135" customFormat="1" ht="13.5" customHeight="1">
      <c r="A39" s="153" t="s">
        <v>963</v>
      </c>
      <c r="B39" s="154" t="s">
        <v>967</v>
      </c>
      <c r="C39" s="181">
        <f ca="1">ROUND(C33*F20,0)</f>
        <v>289</v>
      </c>
      <c r="D39" s="181"/>
      <c r="E39" s="181"/>
      <c r="F39" s="2017">
        <f>F20</f>
        <v>0.03</v>
      </c>
      <c r="G39" s="186" t="s">
        <v>1004</v>
      </c>
    </row>
    <row r="40" spans="1:7" s="135" customFormat="1" ht="13.5" customHeight="1">
      <c r="A40" s="153" t="s">
        <v>966</v>
      </c>
      <c r="B40" s="154" t="s">
        <v>970</v>
      </c>
      <c r="C40" s="2018">
        <f>F21</f>
        <v>0.02</v>
      </c>
      <c r="D40" s="185" t="s">
        <v>1005</v>
      </c>
      <c r="E40" s="181"/>
      <c r="F40" s="2017">
        <f>F21</f>
        <v>0.02</v>
      </c>
      <c r="G40" s="186" t="s">
        <v>1006</v>
      </c>
    </row>
    <row r="41" spans="1:7" s="135" customFormat="1" ht="13.5" customHeight="1">
      <c r="A41" s="153" t="s">
        <v>969</v>
      </c>
      <c r="B41" s="154" t="s">
        <v>974</v>
      </c>
      <c r="C41" s="181">
        <f ca="1">ROUND(SUM(C42:C43),0)</f>
        <v>128</v>
      </c>
      <c r="D41" s="184">
        <f ca="1">C44</f>
        <v>2.9999999999999997E-4</v>
      </c>
      <c r="E41" s="185" t="s">
        <v>1005</v>
      </c>
      <c r="F41" s="2019">
        <f ca="1">F22</f>
        <v>4.3499999999999997E-2</v>
      </c>
      <c r="G41" s="186" t="str">
        <f>IF('数据-取费表'!B22&lt;=1,"单利计息","复利计息")</f>
        <v>复利计息</v>
      </c>
    </row>
    <row r="42" spans="1:7" ht="13.5" customHeight="1">
      <c r="A42" s="189" t="s">
        <v>935</v>
      </c>
      <c r="B42" s="159" t="s">
        <v>975</v>
      </c>
      <c r="C42" s="191">
        <f ca="1">ROUND(IF('数据-取费表'!B22&lt;=1,C33*F22*'数据-取费表'!B21/2,C33*(POWER((1+F22),'数据-取费表'!B21/2)-1)),0)</f>
        <v>124</v>
      </c>
      <c r="D42" s="191"/>
      <c r="E42" s="191"/>
      <c r="F42" s="192"/>
      <c r="G42" s="3267" t="s">
        <v>1007</v>
      </c>
    </row>
    <row r="43" spans="1:7" ht="13.5" customHeight="1">
      <c r="A43" s="189" t="s">
        <v>937</v>
      </c>
      <c r="B43" s="159" t="s">
        <v>977</v>
      </c>
      <c r="C43" s="191">
        <f ca="1">ROUND(IF('数据-取费表'!B22&lt;=1,C39*F22*'数据-取费表'!B21/2,C39*(POWER((1+F22),'数据-取费表'!B21/2)-1)),0)</f>
        <v>4</v>
      </c>
      <c r="D43" s="191"/>
      <c r="E43" s="191"/>
      <c r="F43" s="192"/>
      <c r="G43" s="3268"/>
    </row>
    <row r="44" spans="1:7" ht="13.5" customHeight="1">
      <c r="A44" s="189" t="s">
        <v>939</v>
      </c>
      <c r="B44" s="159" t="s">
        <v>979</v>
      </c>
      <c r="C44" s="191">
        <f ca="1">ROUND(IF('数据-取费表'!B22&lt;=1,C40*F22*'数据-取费表'!B21/2,C40*(POWER((1+F22),'数据-取费表'!B21/2)-1)),4)</f>
        <v>2.9999999999999997E-4</v>
      </c>
      <c r="D44" s="191"/>
      <c r="E44" s="191"/>
      <c r="F44" s="192"/>
      <c r="G44" s="3269"/>
    </row>
    <row r="45" spans="1:7" s="135" customFormat="1" ht="13.5" customHeight="1">
      <c r="A45" s="153" t="s">
        <v>973</v>
      </c>
      <c r="B45" s="197" t="s">
        <v>984</v>
      </c>
      <c r="C45" s="198">
        <f ca="1">C46</f>
        <v>1984</v>
      </c>
      <c r="D45" s="184">
        <f ca="1">C47</f>
        <v>4.0000000000000001E-3</v>
      </c>
      <c r="E45" s="185" t="s">
        <v>1005</v>
      </c>
      <c r="F45" s="2020">
        <f ca="1">F27</f>
        <v>0.2</v>
      </c>
      <c r="G45" s="200" t="s">
        <v>1008</v>
      </c>
    </row>
    <row r="46" spans="1:7" s="135" customFormat="1" ht="13.5" customHeight="1">
      <c r="A46" s="189" t="s">
        <v>935</v>
      </c>
      <c r="B46" s="201" t="s">
        <v>1009</v>
      </c>
      <c r="C46" s="202">
        <f ca="1">ROUND((C33+C39)*F27,0)</f>
        <v>1984</v>
      </c>
      <c r="D46" s="215"/>
      <c r="E46" s="185"/>
      <c r="F46" s="199"/>
      <c r="G46" s="200"/>
    </row>
    <row r="47" spans="1:7" s="135" customFormat="1" ht="13.5" customHeight="1">
      <c r="A47" s="189" t="s">
        <v>937</v>
      </c>
      <c r="B47" s="201" t="s">
        <v>1010</v>
      </c>
      <c r="C47" s="191">
        <f ca="1">ROUND(C40*F27,4)</f>
        <v>4.0000000000000001E-3</v>
      </c>
      <c r="D47" s="215"/>
      <c r="E47" s="185"/>
      <c r="F47" s="199"/>
      <c r="G47" s="200"/>
    </row>
    <row r="48" spans="1:7" s="135" customFormat="1" ht="13.5" customHeight="1">
      <c r="A48" s="153" t="s">
        <v>983</v>
      </c>
      <c r="B48" s="154" t="s">
        <v>989</v>
      </c>
      <c r="C48" s="2018">
        <f>ROUND(F30/(1+'数据-取费表'!C42),4)</f>
        <v>5.33E-2</v>
      </c>
      <c r="D48" s="185" t="s">
        <v>1005</v>
      </c>
      <c r="E48" s="181"/>
      <c r="F48" s="2019">
        <f>F30</f>
        <v>5.6000000000000001E-2</v>
      </c>
      <c r="G48" s="186" t="s">
        <v>1011</v>
      </c>
    </row>
    <row r="49" spans="1:7" ht="16.5" customHeight="1">
      <c r="A49" s="153" t="s">
        <v>988</v>
      </c>
      <c r="B49" s="154" t="s">
        <v>1012</v>
      </c>
      <c r="C49" s="181">
        <f ca="1">ROUND((C33+C39+C41+C45)/(1-C40-D41-D45-C48),0)</f>
        <v>13044</v>
      </c>
      <c r="D49" s="181"/>
      <c r="E49" s="181"/>
      <c r="F49" s="216"/>
      <c r="G49" s="186" t="s">
        <v>1013</v>
      </c>
    </row>
    <row r="50" spans="1:7" s="137" customFormat="1" ht="24">
      <c r="A50" s="153" t="s">
        <v>1014</v>
      </c>
      <c r="B50" s="154" t="s">
        <v>1015</v>
      </c>
      <c r="C50" s="181"/>
      <c r="D50" s="181"/>
      <c r="E50" s="181"/>
      <c r="F50" s="216">
        <f>IF('数据-取费表'!B24=0,'数据-取费表'!N16,1)</f>
        <v>1</v>
      </c>
      <c r="G50" s="200" t="s">
        <v>1016</v>
      </c>
    </row>
    <row r="51" spans="1:7" ht="16.5" customHeight="1">
      <c r="A51" s="153" t="s">
        <v>1017</v>
      </c>
      <c r="B51" s="154" t="s">
        <v>1018</v>
      </c>
      <c r="C51" s="181">
        <f ca="1">ROUND(C49*F50,0)</f>
        <v>13044</v>
      </c>
      <c r="D51" s="181"/>
      <c r="E51" s="181"/>
      <c r="F51" s="216"/>
      <c r="G51" s="186" t="s">
        <v>1019</v>
      </c>
    </row>
    <row r="52" spans="1:7" s="134" customFormat="1" ht="15.75">
      <c r="A52" s="217" t="s">
        <v>1020</v>
      </c>
      <c r="B52" s="218"/>
      <c r="C52" s="219">
        <f ca="1">C31+C51</f>
        <v>344598</v>
      </c>
      <c r="D52" s="218"/>
      <c r="E52" s="218"/>
      <c r="F52" s="218"/>
      <c r="G52" s="220"/>
    </row>
    <row r="55" spans="1:7" ht="15">
      <c r="B55" s="221" t="s">
        <v>1021</v>
      </c>
      <c r="C55" s="222"/>
    </row>
    <row r="56" spans="1:7">
      <c r="B56" s="223" t="s">
        <v>1022</v>
      </c>
      <c r="C56" s="225">
        <f ca="1">1-C57</f>
        <v>0.96199999999999997</v>
      </c>
    </row>
    <row r="57" spans="1:7">
      <c r="B57" s="223" t="s">
        <v>1023</v>
      </c>
      <c r="C57" s="224">
        <f ca="1">ROUND(C51/C52,3)</f>
        <v>3.7999999999999999E-2</v>
      </c>
    </row>
  </sheetData>
  <sheetProtection password="CEE9" sheet="1" objects="1" scenarios="1" formatCells="0"/>
  <mergeCells count="1">
    <mergeCell ref="G42:G44"/>
  </mergeCells>
  <phoneticPr fontId="212" type="noConversion"/>
  <dataValidations count="6">
    <dataValidation type="list" allowBlank="1" showInputMessage="1" showErrorMessage="1" sqref="D2" xr:uid="{00000000-0002-0000-1200-000000000000}">
      <formula1>"需扣减承租人权益,——"</formula1>
    </dataValidation>
    <dataValidation type="list" allowBlank="1" showInputMessage="1" showErrorMessage="1" sqref="B1" xr:uid="{00000000-0002-0000-1200-000001000000}">
      <formula1>项目类型</formula1>
    </dataValidation>
    <dataValidation type="list" allowBlank="1" showInputMessage="1" showErrorMessage="1" sqref="G8" xr:uid="{00000000-0002-0000-1200-000002000000}">
      <formula1>"已包含在土地购买价格中,未包含在土地购买价格中"</formula1>
    </dataValidation>
    <dataValidation type="list" allowBlank="1" showInputMessage="1" showErrorMessage="1" sqref="G2" xr:uid="{00000000-0002-0000-1200-000003000000}">
      <formula1>估价方法</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0" customWidth="1"/>
    <col min="2" max="9" width="10" style="3030" customWidth="1"/>
    <col min="10" max="16384" width="9" style="3030"/>
  </cols>
  <sheetData>
    <row r="36" spans="1:9">
      <c r="A36" s="3029" t="s">
        <v>75</v>
      </c>
      <c r="B36" s="3029" t="s">
        <v>76</v>
      </c>
    </row>
    <row r="37" spans="1:9" ht="27.75" customHeight="1">
      <c r="A37" s="3029"/>
      <c r="B37" s="3078" t="str">
        <f>项目基本情况!B1</f>
        <v>北京市房地产抵押价值预评估</v>
      </c>
      <c r="C37" s="3078"/>
      <c r="D37" s="3078"/>
      <c r="E37" s="3078"/>
      <c r="F37" s="3078"/>
      <c r="G37" s="3078"/>
      <c r="H37" s="3078"/>
      <c r="I37" s="3078"/>
    </row>
    <row r="38" spans="1:9">
      <c r="A38" s="3031"/>
      <c r="B38" s="3031"/>
    </row>
    <row r="39" spans="1:9">
      <c r="A39" s="3029" t="s">
        <v>75</v>
      </c>
      <c r="B39" s="3029" t="s">
        <v>77</v>
      </c>
    </row>
    <row r="40" spans="1:9">
      <c r="A40" s="3029"/>
      <c r="B40" s="3032">
        <f>项目基本情况!B5</f>
        <v>0</v>
      </c>
    </row>
    <row r="41" spans="1:9">
      <c r="A41" s="3029"/>
      <c r="B41" s="3029"/>
    </row>
    <row r="42" spans="1:9">
      <c r="A42" s="3029" t="s">
        <v>75</v>
      </c>
      <c r="B42" s="3029" t="s">
        <v>78</v>
      </c>
    </row>
    <row r="43" spans="1:9">
      <c r="A43" s="3029"/>
      <c r="B43" s="3032" t="s">
        <v>79</v>
      </c>
    </row>
    <row r="44" spans="1:9">
      <c r="A44" s="3029"/>
      <c r="B44" s="3029"/>
    </row>
    <row r="45" spans="1:9">
      <c r="A45" s="3029" t="s">
        <v>75</v>
      </c>
      <c r="B45" s="3029" t="s">
        <v>80</v>
      </c>
    </row>
    <row r="46" spans="1:9" s="3029" customFormat="1" ht="12.75">
      <c r="B46" s="3032" t="str">
        <f>项目基本情况!K4</f>
        <v>（注册号：0)、（注册号：0)</v>
      </c>
    </row>
    <row r="47" spans="1:9">
      <c r="A47" s="3029"/>
      <c r="B47" s="3029" t="str">
        <f>项目基本情况!K5</f>
        <v>（注册号：0)、（注册号：0)</v>
      </c>
    </row>
    <row r="48" spans="1:9">
      <c r="A48" s="3029" t="s">
        <v>75</v>
      </c>
      <c r="B48" s="3029" t="s">
        <v>81</v>
      </c>
    </row>
    <row r="49" spans="2:2">
      <c r="B49" s="3032"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8" width="10.75" style="139" customWidth="1"/>
    <col min="9" max="254" width="9" style="139" customWidth="1"/>
    <col min="255" max="16384" width="8.375" style="139"/>
  </cols>
  <sheetData>
    <row r="1" spans="1:8" s="133" customFormat="1" ht="20.25">
      <c r="A1" s="141" t="s">
        <v>925</v>
      </c>
      <c r="B1" s="2007"/>
      <c r="C1" s="2008" t="s">
        <v>1024</v>
      </c>
      <c r="D1" s="143"/>
      <c r="E1" s="143"/>
      <c r="F1" s="143"/>
      <c r="G1" s="2009">
        <f>MATCH(B1,'数据-取费表'!A6:A16,0)+5</f>
        <v>10</v>
      </c>
      <c r="H1" s="1523" t="str">
        <f>IF(ISERROR(FIND("住宅",B1)),"非住宅","住宅")</f>
        <v>非住宅</v>
      </c>
    </row>
    <row r="2" spans="1:8" s="133" customFormat="1" ht="18" customHeight="1">
      <c r="A2" s="145" t="s">
        <v>926</v>
      </c>
      <c r="B2" s="146">
        <f ca="1">ROUND(IF(D2="——",C52/10000,C52/10000-E2),0)</f>
        <v>51607</v>
      </c>
      <c r="C2" s="144" t="s">
        <v>927</v>
      </c>
      <c r="D2" s="2010" t="s">
        <v>124</v>
      </c>
      <c r="E2" s="2011" t="e">
        <f ca="1">SUMIF(INDIRECT("'"&amp;G2&amp;"'"&amp;"!A:A"),"承租人权益价值",INDIRECT("'"&amp;G2&amp;"'"&amp;"!c:c"))</f>
        <v>#REF!</v>
      </c>
      <c r="F2" s="2012" t="s">
        <v>927</v>
      </c>
      <c r="G2" s="2013"/>
    </row>
    <row r="3" spans="1:8" s="133" customFormat="1" ht="18" customHeight="1">
      <c r="A3" s="148" t="s">
        <v>928</v>
      </c>
      <c r="B3" s="149">
        <f ca="1">ROUND(B2*10000/(IF(B1="",'数据-汇总表'!E3,INDIRECT("'数据-取费表'!k"&amp;$G$1))),0)</f>
        <v>13157</v>
      </c>
      <c r="C3" s="144" t="s">
        <v>929</v>
      </c>
      <c r="D3" s="144"/>
      <c r="E3" s="144"/>
      <c r="F3" s="144"/>
      <c r="G3" s="144"/>
    </row>
    <row r="4" spans="1:8" s="134" customFormat="1" ht="15.75">
      <c r="A4" s="150" t="s">
        <v>930</v>
      </c>
      <c r="B4" s="151"/>
      <c r="C4" s="151"/>
      <c r="D4" s="151"/>
      <c r="E4" s="151"/>
      <c r="F4" s="151"/>
      <c r="G4" s="152"/>
    </row>
    <row r="5" spans="1:8" s="135" customFormat="1" ht="13.5" customHeight="1">
      <c r="A5" s="153" t="s">
        <v>931</v>
      </c>
      <c r="B5" s="154" t="s">
        <v>932</v>
      </c>
      <c r="C5" s="155">
        <f ca="1">C6+C7+C8</f>
        <v>6378017</v>
      </c>
      <c r="D5" s="155" t="s">
        <v>933</v>
      </c>
      <c r="E5" s="156" t="s">
        <v>934</v>
      </c>
      <c r="F5" s="156" t="s">
        <v>831</v>
      </c>
      <c r="G5" s="157"/>
    </row>
    <row r="6" spans="1:8" s="135" customFormat="1" ht="13.5" customHeight="1">
      <c r="A6" s="158" t="s">
        <v>935</v>
      </c>
      <c r="B6" s="159" t="s">
        <v>936</v>
      </c>
      <c r="C6" s="160"/>
      <c r="D6" s="161"/>
      <c r="E6" s="162"/>
      <c r="F6" s="162"/>
      <c r="G6" s="163"/>
    </row>
    <row r="7" spans="1:8" s="135" customFormat="1" ht="13.5" customHeight="1">
      <c r="A7" s="158" t="s">
        <v>937</v>
      </c>
      <c r="B7" s="159" t="s">
        <v>938</v>
      </c>
      <c r="C7" s="164">
        <f>ROUND(C6*F7,0)</f>
        <v>0</v>
      </c>
      <c r="D7" s="164"/>
      <c r="E7" s="162"/>
      <c r="F7" s="165">
        <f>IF(项目基本情况!B8="出让",0,'数据-取费表'!B48+'数据-取费表'!B49)</f>
        <v>3.0499999999999999E-2</v>
      </c>
      <c r="G7" s="163"/>
    </row>
    <row r="8" spans="1:8" s="136" customFormat="1">
      <c r="A8" s="158" t="s">
        <v>939</v>
      </c>
      <c r="B8" s="159" t="s">
        <v>940</v>
      </c>
      <c r="C8" s="164">
        <f ca="1">IF(G8="已包含在土地购买价格中",0,C9+C10)</f>
        <v>6378017</v>
      </c>
      <c r="D8" s="166"/>
      <c r="E8" s="164"/>
      <c r="F8" s="165"/>
      <c r="G8" s="2014"/>
    </row>
    <row r="9" spans="1:8" s="135" customFormat="1" ht="13.5" customHeight="1">
      <c r="A9" s="168" t="s">
        <v>942</v>
      </c>
      <c r="B9" s="169" t="s">
        <v>943</v>
      </c>
      <c r="C9" s="170">
        <f ca="1">ROUND(D9*E9,0)</f>
        <v>5866115</v>
      </c>
      <c r="D9" s="171">
        <f ca="1">IF(B1="",'数据-汇总表'!E5,IF(INDIRECT("'数据-取费表'!c"&amp;$G$1)="住宅",INDIRECT("'数据-取费表'!k"&amp;$G$1),0))</f>
        <v>36663.219999999994</v>
      </c>
      <c r="E9" s="170">
        <f>'数据-取费表'!B27</f>
        <v>160</v>
      </c>
      <c r="F9" s="165"/>
      <c r="G9" s="172"/>
    </row>
    <row r="10" spans="1:8" s="135" customFormat="1" ht="13.5" customHeight="1">
      <c r="A10" s="168" t="s">
        <v>945</v>
      </c>
      <c r="B10" s="169" t="s">
        <v>946</v>
      </c>
      <c r="C10" s="170">
        <f ca="1">ROUND(D10*E10,0)</f>
        <v>511902</v>
      </c>
      <c r="D10" s="171">
        <f ca="1">IF(B1="",'数据-汇总表'!E6,IF(INDIRECT("'数据-取费表'!c"&amp;$G$1)="住宅",INDIRECT("'数据-取费表'!s"&amp;$G$1),INDIRECT("'数据-取费表'!k"&amp;$G$1)+INDIRECT("'数据-取费表'!s"&amp;$G$1)))</f>
        <v>2559.510000000002</v>
      </c>
      <c r="E10" s="170">
        <f>'数据-取费表'!B28</f>
        <v>200</v>
      </c>
      <c r="F10" s="165"/>
      <c r="G10" s="172"/>
    </row>
    <row r="11" spans="1:8" s="135" customFormat="1" ht="13.5" hidden="1" customHeight="1">
      <c r="A11" s="173" t="s">
        <v>947</v>
      </c>
      <c r="B11" s="159" t="s">
        <v>948</v>
      </c>
      <c r="C11" s="155"/>
      <c r="D11" s="174"/>
      <c r="E11" s="162"/>
      <c r="F11" s="162"/>
      <c r="G11" s="163"/>
    </row>
    <row r="12" spans="1:8" s="135" customFormat="1" ht="13.5" hidden="1" customHeight="1">
      <c r="A12" s="173" t="s">
        <v>949</v>
      </c>
      <c r="B12" s="159" t="s">
        <v>867</v>
      </c>
      <c r="C12" s="155">
        <v>0</v>
      </c>
      <c r="D12" s="174"/>
      <c r="E12" s="175"/>
      <c r="F12" s="165">
        <v>3.0499999999999999E-2</v>
      </c>
      <c r="G12" s="163"/>
    </row>
    <row r="13" spans="1:8" s="135" customFormat="1" ht="13.5" hidden="1" customHeight="1">
      <c r="A13" s="173" t="s">
        <v>950</v>
      </c>
      <c r="B13" s="159" t="s">
        <v>951</v>
      </c>
      <c r="C13" s="155"/>
      <c r="D13" s="174"/>
      <c r="E13" s="162"/>
      <c r="F13" s="162"/>
      <c r="G13" s="163"/>
    </row>
    <row r="14" spans="1:8" s="135" customFormat="1" ht="13.5" hidden="1" customHeight="1">
      <c r="A14" s="173" t="s">
        <v>952</v>
      </c>
      <c r="B14" s="159" t="s">
        <v>940</v>
      </c>
      <c r="C14" s="155"/>
      <c r="D14" s="174"/>
      <c r="E14" s="162"/>
      <c r="F14" s="162"/>
      <c r="G14" s="163" t="s">
        <v>953</v>
      </c>
    </row>
    <row r="15" spans="1:8" s="135" customFormat="1" ht="13.5" hidden="1" customHeight="1">
      <c r="A15" s="173" t="s">
        <v>954</v>
      </c>
      <c r="B15" s="159" t="s">
        <v>955</v>
      </c>
      <c r="C15" s="164"/>
      <c r="D15" s="174"/>
      <c r="E15" s="162"/>
      <c r="F15" s="162"/>
      <c r="G15" s="163" t="s">
        <v>956</v>
      </c>
    </row>
    <row r="16" spans="1:8" s="135" customFormat="1" ht="13.5" hidden="1" customHeight="1">
      <c r="A16" s="173" t="s">
        <v>957</v>
      </c>
      <c r="B16" s="159" t="s">
        <v>940</v>
      </c>
      <c r="C16" s="164"/>
      <c r="D16" s="174"/>
      <c r="E16" s="162"/>
      <c r="F16" s="162"/>
      <c r="G16" s="163"/>
    </row>
    <row r="17" spans="1:7" s="135" customFormat="1" ht="13.5" hidden="1" customHeight="1">
      <c r="A17" s="173" t="s">
        <v>958</v>
      </c>
      <c r="B17" s="159" t="s">
        <v>959</v>
      </c>
      <c r="C17" s="176"/>
      <c r="D17" s="177"/>
      <c r="E17" s="176"/>
      <c r="F17" s="176"/>
      <c r="G17" s="163" t="s">
        <v>956</v>
      </c>
    </row>
    <row r="18" spans="1:7" s="135" customFormat="1" ht="13.5" hidden="1" customHeight="1">
      <c r="A18" s="173" t="s">
        <v>960</v>
      </c>
      <c r="B18" s="159" t="s">
        <v>961</v>
      </c>
      <c r="C18" s="164">
        <v>0</v>
      </c>
      <c r="D18" s="174"/>
      <c r="E18" s="162"/>
      <c r="F18" s="165">
        <v>3.0499999999999999E-2</v>
      </c>
      <c r="G18" s="163" t="s">
        <v>962</v>
      </c>
    </row>
    <row r="19" spans="1:7" s="136" customFormat="1" ht="13.5" customHeight="1">
      <c r="A19" s="153" t="s">
        <v>963</v>
      </c>
      <c r="B19" s="154" t="s">
        <v>964</v>
      </c>
      <c r="C19" s="155">
        <f ca="1">IF(G19="已包含在土地取得成本中","0",ROUND(D19*E19,0))</f>
        <v>7844546</v>
      </c>
      <c r="D19" s="179">
        <f ca="1">D9+D10</f>
        <v>39222.729999999996</v>
      </c>
      <c r="E19" s="155">
        <f>'数据-取费表'!B31</f>
        <v>200</v>
      </c>
      <c r="F19" s="180"/>
      <c r="G19" s="2014"/>
    </row>
    <row r="20" spans="1:7" s="135" customFormat="1" ht="13.5" customHeight="1">
      <c r="A20" s="153" t="s">
        <v>966</v>
      </c>
      <c r="B20" s="154" t="s">
        <v>967</v>
      </c>
      <c r="C20" s="181">
        <f ca="1">ROUND((C5+C19)*F20,0)</f>
        <v>426677</v>
      </c>
      <c r="D20" s="181"/>
      <c r="E20" s="181"/>
      <c r="F20" s="182">
        <f>'数据-取费表'!B37</f>
        <v>0.03</v>
      </c>
      <c r="G20" s="186" t="s">
        <v>968</v>
      </c>
    </row>
    <row r="21" spans="1:7" s="135" customFormat="1" ht="13.5" customHeight="1">
      <c r="A21" s="153" t="s">
        <v>969</v>
      </c>
      <c r="B21" s="154" t="s">
        <v>970</v>
      </c>
      <c r="C21" s="184">
        <f>F21</f>
        <v>0.02</v>
      </c>
      <c r="D21" s="185" t="s">
        <v>971</v>
      </c>
      <c r="E21" s="181"/>
      <c r="F21" s="182">
        <f>'数据-取费表'!B38</f>
        <v>0.02</v>
      </c>
      <c r="G21" s="186" t="s">
        <v>972</v>
      </c>
    </row>
    <row r="22" spans="1:7" s="135" customFormat="1" ht="13.5" customHeight="1">
      <c r="A22" s="153" t="s">
        <v>973</v>
      </c>
      <c r="B22" s="154" t="s">
        <v>974</v>
      </c>
      <c r="C22" s="2015">
        <f ca="1">ROUND(SUM(C23:C25),0)</f>
        <v>1282835</v>
      </c>
      <c r="D22" s="184">
        <f ca="1">C26</f>
        <v>8.9999999999999998E-4</v>
      </c>
      <c r="E22" s="185" t="s">
        <v>971</v>
      </c>
      <c r="F22" s="188">
        <f ca="1">'数据-取费表'!B40</f>
        <v>4.3499999999999997E-2</v>
      </c>
      <c r="G22" s="186" t="str">
        <f>IF('数据-取费表'!B22&lt;=1,"单利计息","复利计息")</f>
        <v>复利计息</v>
      </c>
    </row>
    <row r="23" spans="1:7" s="135" customFormat="1" ht="13.5" customHeight="1">
      <c r="A23" s="189" t="s">
        <v>935</v>
      </c>
      <c r="B23" s="159" t="s">
        <v>975</v>
      </c>
      <c r="C23" s="2016">
        <f ca="1">ROUND(IF('数据-取费表'!B22&lt;=1,C5*F22*'数据-取费表'!B22,C5*(POWER((1+F22),'数据-取费表'!B22)-1)),0)</f>
        <v>566956</v>
      </c>
      <c r="D23" s="191"/>
      <c r="E23" s="191"/>
      <c r="F23" s="192"/>
      <c r="G23" s="193" t="s">
        <v>976</v>
      </c>
    </row>
    <row r="24" spans="1:7" s="135" customFormat="1" ht="13.5" customHeight="1">
      <c r="A24" s="189" t="s">
        <v>937</v>
      </c>
      <c r="B24" s="159" t="s">
        <v>977</v>
      </c>
      <c r="C24" s="2016">
        <f ca="1">ROUND(IF('数据-取费表'!B22&lt;=1,C19*F22*('数据-取费表'!B19/2+'数据-取费表'!B20),C19*(POWER((1+F22),('数据-取费表'!B19/2+'数据-取费表'!B20))-1)),0)</f>
        <v>697319</v>
      </c>
      <c r="D24" s="191"/>
      <c r="E24" s="191"/>
      <c r="F24" s="192"/>
      <c r="G24" s="193" t="s">
        <v>978</v>
      </c>
    </row>
    <row r="25" spans="1:7" s="135" customFormat="1" ht="24">
      <c r="A25" s="189" t="s">
        <v>939</v>
      </c>
      <c r="B25" s="159" t="s">
        <v>979</v>
      </c>
      <c r="C25" s="2016">
        <f ca="1">ROUND(IF('数据-取费表'!B22&lt;=1,C20*F22*'数据-取费表'!B22/2,C20*(POWER((1+F22),'数据-取费表'!B22/2)-1)),0)</f>
        <v>18560</v>
      </c>
      <c r="D25" s="191"/>
      <c r="E25" s="194"/>
      <c r="F25" s="192"/>
      <c r="G25" s="195" t="s">
        <v>980</v>
      </c>
    </row>
    <row r="26" spans="1:7" s="135" customFormat="1">
      <c r="A26" s="189" t="s">
        <v>981</v>
      </c>
      <c r="B26" s="159" t="s">
        <v>982</v>
      </c>
      <c r="C26" s="191">
        <f ca="1">ROUND(IF('数据-取费表'!B22&lt;=1,F21*F22*'数据-取费表'!B22/2,F21*(POWER((1+F22),'数据-取费表'!B22/2)-1)),4)</f>
        <v>8.9999999999999998E-4</v>
      </c>
      <c r="D26" s="191"/>
      <c r="E26" s="194"/>
      <c r="F26" s="192"/>
      <c r="G26" s="196"/>
    </row>
    <row r="27" spans="1:7" s="135" customFormat="1" ht="24.75">
      <c r="A27" s="153" t="s">
        <v>983</v>
      </c>
      <c r="B27" s="197" t="s">
        <v>984</v>
      </c>
      <c r="C27" s="198">
        <f ca="1">C28</f>
        <v>2929848</v>
      </c>
      <c r="D27" s="184">
        <f ca="1">C29</f>
        <v>4.0000000000000001E-3</v>
      </c>
      <c r="E27" s="185" t="s">
        <v>971</v>
      </c>
      <c r="F27" s="199">
        <f ca="1">IF(B1="",'数据-取费表'!Q16,INDIRECT("'数据-取费表'!q"&amp;$G$1))</f>
        <v>0.2</v>
      </c>
      <c r="G27" s="200" t="s">
        <v>985</v>
      </c>
    </row>
    <row r="28" spans="1:7" s="135" customFormat="1" ht="13.5" customHeight="1">
      <c r="A28" s="189" t="s">
        <v>935</v>
      </c>
      <c r="B28" s="201" t="s">
        <v>986</v>
      </c>
      <c r="C28" s="202">
        <f ca="1">ROUND((C5+C19+C20)*F27,0)</f>
        <v>2929848</v>
      </c>
      <c r="D28" s="184"/>
      <c r="E28" s="185"/>
      <c r="F28" s="199"/>
      <c r="G28" s="200"/>
    </row>
    <row r="29" spans="1:7" s="135" customFormat="1" ht="13.5" customHeight="1">
      <c r="A29" s="189" t="s">
        <v>937</v>
      </c>
      <c r="B29" s="201" t="s">
        <v>987</v>
      </c>
      <c r="C29" s="191">
        <f ca="1">ROUND(C21*F27,4)</f>
        <v>4.0000000000000001E-3</v>
      </c>
      <c r="D29" s="184"/>
      <c r="E29" s="185"/>
      <c r="F29" s="199"/>
      <c r="G29" s="200"/>
    </row>
    <row r="30" spans="1:7" s="135" customFormat="1" ht="13.5" customHeight="1">
      <c r="A30" s="153" t="s">
        <v>988</v>
      </c>
      <c r="B30" s="154" t="s">
        <v>989</v>
      </c>
      <c r="C30" s="184">
        <f>ROUND(F30/(1+'数据-取费表'!C42),4)</f>
        <v>5.33E-2</v>
      </c>
      <c r="D30" s="185" t="s">
        <v>971</v>
      </c>
      <c r="E30" s="194"/>
      <c r="F30" s="188">
        <f>'数据-取费表'!B41</f>
        <v>5.6000000000000001E-2</v>
      </c>
      <c r="G30" s="186" t="s">
        <v>990</v>
      </c>
    </row>
    <row r="31" spans="1:7" ht="16.5" customHeight="1">
      <c r="A31" s="203">
        <v>1</v>
      </c>
      <c r="B31" s="154" t="s">
        <v>991</v>
      </c>
      <c r="C31" s="155">
        <f ca="1">ROUND((C5+C19+C20+C22+C27)/(1-C21-D22-D27-C30),0)</f>
        <v>20462056</v>
      </c>
      <c r="D31" s="204"/>
      <c r="E31" s="155"/>
      <c r="F31" s="205"/>
      <c r="G31" s="186" t="s">
        <v>992</v>
      </c>
    </row>
    <row r="32" spans="1:7" s="134" customFormat="1" ht="15.75">
      <c r="A32" s="206" t="s">
        <v>1025</v>
      </c>
      <c r="B32" s="207"/>
      <c r="C32" s="207"/>
      <c r="D32" s="207"/>
      <c r="E32" s="207"/>
      <c r="F32" s="207"/>
      <c r="G32" s="208"/>
    </row>
    <row r="33" spans="1:7" s="135" customFormat="1" ht="13.5" customHeight="1">
      <c r="A33" s="153" t="s">
        <v>931</v>
      </c>
      <c r="B33" s="154" t="s">
        <v>1026</v>
      </c>
      <c r="C33" s="209">
        <f ca="1">SUM(C34:C38)</f>
        <v>356687494</v>
      </c>
      <c r="D33" s="181"/>
      <c r="E33" s="156"/>
      <c r="F33" s="194"/>
      <c r="G33" s="186"/>
    </row>
    <row r="34" spans="1:7" s="137" customFormat="1" ht="13.5" customHeight="1">
      <c r="A34" s="189" t="s">
        <v>935</v>
      </c>
      <c r="B34" s="159" t="s">
        <v>995</v>
      </c>
      <c r="C34" s="164">
        <f ca="1">ROUND(IF(B1="",SUMPRODUCT('数据-取费表'!K6:K14,'数据-取费表'!L6:L14),INDIRECT("'数据-取费表'!l"&amp;$G$1)*INDIRECT("'数据-取费表'!k"&amp;$G$1)+'数据-取费表'!L14*INDIRECT("'数据-取费表'!S"&amp;$G$1)),0)</f>
        <v>313781840</v>
      </c>
      <c r="D34" s="161"/>
      <c r="E34" s="164"/>
      <c r="F34" s="210"/>
      <c r="G34" s="163"/>
    </row>
    <row r="35" spans="1:7" ht="13.5" customHeight="1">
      <c r="A35" s="189" t="s">
        <v>937</v>
      </c>
      <c r="B35" s="159" t="s">
        <v>997</v>
      </c>
      <c r="C35" s="164">
        <f ca="1">ROUND(C34*F35,0)</f>
        <v>15689092</v>
      </c>
      <c r="D35" s="164"/>
      <c r="E35" s="164"/>
      <c r="F35" s="211">
        <f>'数据-取费表'!B33</f>
        <v>0.05</v>
      </c>
      <c r="G35" s="163" t="s">
        <v>998</v>
      </c>
    </row>
    <row r="36" spans="1:7" ht="24">
      <c r="A36" s="189" t="s">
        <v>939</v>
      </c>
      <c r="B36" s="159" t="s">
        <v>999</v>
      </c>
      <c r="C36" s="164">
        <f ca="1">ROUND(IF(B1="",SUM('数据-取费表'!AP6:AP13)*F36,IF(INDIRECT("'数据-取费表'!c"&amp;$G$1)="住宅",INDIRECT("'数据-取费表'!k"&amp;$G$1)*INDIRECT("'数据-取费表'!l"&amp;$G$1)*F36,0)),0)</f>
        <v>14665288</v>
      </c>
      <c r="D36" s="164"/>
      <c r="E36" s="164"/>
      <c r="F36" s="211">
        <f>'数据-取费表'!B34</f>
        <v>0.05</v>
      </c>
      <c r="G36" s="212" t="s">
        <v>1000</v>
      </c>
    </row>
    <row r="37" spans="1:7" s="137" customFormat="1" ht="13.5" customHeight="1">
      <c r="A37" s="189" t="s">
        <v>981</v>
      </c>
      <c r="B37" s="159" t="s">
        <v>1001</v>
      </c>
      <c r="C37" s="202">
        <f ca="1">ROUND(E37*D37,0)</f>
        <v>7844546</v>
      </c>
      <c r="D37" s="161">
        <f ca="1">D19</f>
        <v>39222.729999999996</v>
      </c>
      <c r="E37" s="202">
        <f>'数据-取费表'!B35</f>
        <v>200</v>
      </c>
      <c r="F37" s="211"/>
      <c r="G37" s="213"/>
    </row>
    <row r="38" spans="1:7" ht="13.5" customHeight="1">
      <c r="A38" s="189" t="s">
        <v>1003</v>
      </c>
      <c r="B38" s="159" t="s">
        <v>867</v>
      </c>
      <c r="C38" s="164">
        <f ca="1">ROUND(C34*F38,0)</f>
        <v>4706728</v>
      </c>
      <c r="D38" s="164"/>
      <c r="E38" s="164"/>
      <c r="F38" s="211">
        <f>'数据-取费表'!B36</f>
        <v>1.4999999999999999E-2</v>
      </c>
      <c r="G38" s="163" t="s">
        <v>998</v>
      </c>
    </row>
    <row r="39" spans="1:7" s="135" customFormat="1" ht="13.5" customHeight="1">
      <c r="A39" s="153" t="s">
        <v>963</v>
      </c>
      <c r="B39" s="154" t="s">
        <v>967</v>
      </c>
      <c r="C39" s="181">
        <f ca="1">ROUND(C33*F20,0)</f>
        <v>10700625</v>
      </c>
      <c r="D39" s="181"/>
      <c r="E39" s="181"/>
      <c r="F39" s="2017">
        <f>F20</f>
        <v>0.03</v>
      </c>
      <c r="G39" s="186" t="s">
        <v>1004</v>
      </c>
    </row>
    <row r="40" spans="1:7" s="135" customFormat="1" ht="13.5" customHeight="1">
      <c r="A40" s="153" t="s">
        <v>966</v>
      </c>
      <c r="B40" s="154" t="s">
        <v>970</v>
      </c>
      <c r="C40" s="2018">
        <f>F21</f>
        <v>0.02</v>
      </c>
      <c r="D40" s="185" t="s">
        <v>1005</v>
      </c>
      <c r="E40" s="181"/>
      <c r="F40" s="2017">
        <f>F21</f>
        <v>0.02</v>
      </c>
      <c r="G40" s="186" t="s">
        <v>1006</v>
      </c>
    </row>
    <row r="41" spans="1:7" s="135" customFormat="1" ht="13.5" customHeight="1">
      <c r="A41" s="153" t="s">
        <v>969</v>
      </c>
      <c r="B41" s="154" t="s">
        <v>974</v>
      </c>
      <c r="C41" s="181">
        <f ca="1">ROUND(SUM(C42:C43),0)</f>
        <v>15981383</v>
      </c>
      <c r="D41" s="184">
        <f ca="1">C44</f>
        <v>8.9999999999999998E-4</v>
      </c>
      <c r="E41" s="185" t="s">
        <v>1005</v>
      </c>
      <c r="F41" s="2019">
        <f ca="1">F22</f>
        <v>4.3499999999999997E-2</v>
      </c>
      <c r="G41" s="186" t="str">
        <f>IF('数据-取费表'!B22&lt;=1,"单利计息","复利计息")</f>
        <v>复利计息</v>
      </c>
    </row>
    <row r="42" spans="1:7" ht="13.5" customHeight="1">
      <c r="A42" s="189" t="s">
        <v>935</v>
      </c>
      <c r="B42" s="159" t="s">
        <v>975</v>
      </c>
      <c r="C42" s="191">
        <f ca="1">ROUND(IF('数据-取费表'!B22&lt;=1,C33*F22*'数据-取费表'!B20/2,C33*(POWER((1+F22),'数据-取费表'!B20/2)-1)),0)</f>
        <v>15515906</v>
      </c>
      <c r="D42" s="191"/>
      <c r="E42" s="191"/>
      <c r="F42" s="192"/>
      <c r="G42" s="3267" t="s">
        <v>1027</v>
      </c>
    </row>
    <row r="43" spans="1:7" ht="13.5" customHeight="1">
      <c r="A43" s="189" t="s">
        <v>937</v>
      </c>
      <c r="B43" s="159" t="s">
        <v>977</v>
      </c>
      <c r="C43" s="191">
        <f ca="1">ROUND(IF('数据-取费表'!B22&lt;=1,C39*F22*'数据-取费表'!B20/2,C39*(POWER((1+F22),'数据-取费表'!B20/2)-1)),0)</f>
        <v>465477</v>
      </c>
      <c r="D43" s="191"/>
      <c r="E43" s="191"/>
      <c r="F43" s="192"/>
      <c r="G43" s="3268"/>
    </row>
    <row r="44" spans="1:7" ht="13.5" customHeight="1">
      <c r="A44" s="189" t="s">
        <v>939</v>
      </c>
      <c r="B44" s="159" t="s">
        <v>979</v>
      </c>
      <c r="C44" s="191">
        <f ca="1">ROUND(IF('数据-取费表'!B22&lt;=1,C40*F22*'数据-取费表'!B20/2,C40*(POWER((1+F22),'数据-取费表'!B20/2)-1)),4)</f>
        <v>8.9999999999999998E-4</v>
      </c>
      <c r="D44" s="191"/>
      <c r="E44" s="191"/>
      <c r="F44" s="192"/>
      <c r="G44" s="3269"/>
    </row>
    <row r="45" spans="1:7" s="135" customFormat="1" ht="13.5" customHeight="1">
      <c r="A45" s="153" t="s">
        <v>973</v>
      </c>
      <c r="B45" s="197" t="s">
        <v>984</v>
      </c>
      <c r="C45" s="198">
        <f ca="1">C46</f>
        <v>73477624</v>
      </c>
      <c r="D45" s="184">
        <f ca="1">C47</f>
        <v>4.0000000000000001E-3</v>
      </c>
      <c r="E45" s="185" t="s">
        <v>1005</v>
      </c>
      <c r="F45" s="2020">
        <f ca="1">F27</f>
        <v>0.2</v>
      </c>
      <c r="G45" s="200" t="s">
        <v>1008</v>
      </c>
    </row>
    <row r="46" spans="1:7" s="135" customFormat="1" ht="13.5" customHeight="1">
      <c r="A46" s="189" t="s">
        <v>935</v>
      </c>
      <c r="B46" s="201" t="s">
        <v>1009</v>
      </c>
      <c r="C46" s="202">
        <f ca="1">ROUND((C33+C39)*F27,0)</f>
        <v>73477624</v>
      </c>
      <c r="D46" s="215"/>
      <c r="E46" s="185"/>
      <c r="F46" s="199"/>
      <c r="G46" s="200"/>
    </row>
    <row r="47" spans="1:7" s="135" customFormat="1" ht="13.5" customHeight="1">
      <c r="A47" s="189" t="s">
        <v>937</v>
      </c>
      <c r="B47" s="201" t="s">
        <v>1010</v>
      </c>
      <c r="C47" s="191">
        <f ca="1">ROUND(C40*F27,4)</f>
        <v>4.0000000000000001E-3</v>
      </c>
      <c r="D47" s="215"/>
      <c r="E47" s="185"/>
      <c r="F47" s="199"/>
      <c r="G47" s="200"/>
    </row>
    <row r="48" spans="1:7" s="135" customFormat="1" ht="13.5" customHeight="1">
      <c r="A48" s="153" t="s">
        <v>983</v>
      </c>
      <c r="B48" s="154" t="s">
        <v>989</v>
      </c>
      <c r="C48" s="214">
        <f>ROUND(F30/(1+'数据-取费表'!C42),4)</f>
        <v>5.33E-2</v>
      </c>
      <c r="D48" s="185" t="s">
        <v>1005</v>
      </c>
      <c r="E48" s="181"/>
      <c r="F48" s="2019">
        <f>F30</f>
        <v>5.6000000000000001E-2</v>
      </c>
      <c r="G48" s="186" t="s">
        <v>1011</v>
      </c>
    </row>
    <row r="49" spans="1:7" ht="16.5" customHeight="1">
      <c r="A49" s="153" t="s">
        <v>988</v>
      </c>
      <c r="B49" s="154" t="s">
        <v>1028</v>
      </c>
      <c r="C49" s="181">
        <f ca="1">ROUND((C33+C39+C41+C45)/(1-C40-D41-D45-C48),0)</f>
        <v>495603304</v>
      </c>
      <c r="D49" s="181"/>
      <c r="E49" s="181"/>
      <c r="F49" s="216"/>
      <c r="G49" s="186" t="s">
        <v>1013</v>
      </c>
    </row>
    <row r="50" spans="1:7" s="137" customFormat="1">
      <c r="A50" s="153" t="s">
        <v>1014</v>
      </c>
      <c r="B50" s="154" t="s">
        <v>1015</v>
      </c>
      <c r="C50" s="181"/>
      <c r="D50" s="181"/>
      <c r="E50" s="181"/>
      <c r="F50" s="216">
        <f>IF('数据-取费表'!B24=0,'数据-取费表'!N16,1)</f>
        <v>1</v>
      </c>
      <c r="G50" s="200"/>
    </row>
    <row r="51" spans="1:7" ht="16.5" customHeight="1">
      <c r="A51" s="153" t="s">
        <v>1017</v>
      </c>
      <c r="B51" s="154" t="s">
        <v>1029</v>
      </c>
      <c r="C51" s="181">
        <f ca="1">ROUND(C49*F50,0)</f>
        <v>495603304</v>
      </c>
      <c r="D51" s="181"/>
      <c r="E51" s="181"/>
      <c r="F51" s="216"/>
      <c r="G51" s="186" t="s">
        <v>1019</v>
      </c>
    </row>
    <row r="52" spans="1:7" s="134" customFormat="1" ht="15.75">
      <c r="A52" s="217" t="s">
        <v>1020</v>
      </c>
      <c r="B52" s="218"/>
      <c r="C52" s="219">
        <f ca="1">C31+C51</f>
        <v>516065360</v>
      </c>
      <c r="D52" s="218"/>
      <c r="E52" s="218"/>
      <c r="F52" s="218"/>
      <c r="G52" s="220"/>
    </row>
    <row r="55" spans="1:7" ht="15">
      <c r="B55" s="221" t="s">
        <v>1021</v>
      </c>
      <c r="C55" s="222"/>
    </row>
    <row r="56" spans="1:7">
      <c r="B56" s="223" t="s">
        <v>1022</v>
      </c>
      <c r="C56" s="225">
        <f ca="1">1-C57</f>
        <v>4.0000000000000036E-2</v>
      </c>
    </row>
    <row r="57" spans="1:7">
      <c r="B57" s="223" t="s">
        <v>1023</v>
      </c>
      <c r="C57" s="224">
        <f ca="1">ROUND(C51/C52,3)</f>
        <v>0.96</v>
      </c>
    </row>
  </sheetData>
  <sheetProtection password="CEE9" sheet="1" objects="1" scenarios="1" formatCells="0"/>
  <mergeCells count="1">
    <mergeCell ref="G42:G44"/>
  </mergeCells>
  <phoneticPr fontId="212" type="noConversion"/>
  <dataValidations count="5">
    <dataValidation type="list" allowBlank="1" showInputMessage="1" showErrorMessage="1" sqref="D2" xr:uid="{00000000-0002-0000-1300-000000000000}">
      <formula1>"需扣减承租人权益,——"</formula1>
    </dataValidation>
    <dataValidation type="list" allowBlank="1" showInputMessage="1" showErrorMessage="1" sqref="B1" xr:uid="{00000000-0002-0000-1300-000001000000}">
      <formula1>项目类型</formula1>
    </dataValidation>
    <dataValidation type="list" allowBlank="1" showInputMessage="1" showErrorMessage="1" sqref="G8" xr:uid="{00000000-0002-0000-1300-000002000000}">
      <formula1>"已包含在土地购买价格中,未包含在土地购买价格中"</formula1>
    </dataValidation>
    <dataValidation type="list" allowBlank="1" showInputMessage="1" showErrorMessage="1" sqref="G2" xr:uid="{00000000-0002-0000-1300-000003000000}">
      <formula1>估价方法</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2"/>
  <sheetViews>
    <sheetView view="pageBreakPreview" topLeftCell="A21" zoomScale="80" zoomScaleNormal="60" zoomScaleSheetLayoutView="80" workbookViewId="0">
      <selection activeCell="J32" sqref="J32"/>
    </sheetView>
  </sheetViews>
  <sheetFormatPr defaultColWidth="9" defaultRowHeight="14.25"/>
  <cols>
    <col min="1" max="1" width="14.375" style="886" customWidth="1"/>
    <col min="2" max="2" width="15.75" style="886" customWidth="1"/>
    <col min="3" max="3" width="14.37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1486</v>
      </c>
      <c r="B1" s="890"/>
      <c r="C1" s="891" t="s">
        <v>1487</v>
      </c>
      <c r="D1" s="892"/>
      <c r="E1" s="892"/>
      <c r="F1" s="893" t="s">
        <v>1350</v>
      </c>
      <c r="G1" s="892"/>
      <c r="H1" s="892"/>
      <c r="I1" s="892"/>
      <c r="J1" s="892"/>
      <c r="K1" s="1036"/>
      <c r="L1" s="1037"/>
      <c r="M1" s="1038"/>
      <c r="N1" s="1038"/>
      <c r="O1" s="1038"/>
      <c r="P1" s="1039"/>
      <c r="Q1" s="1039"/>
      <c r="R1" s="1039"/>
      <c r="S1" s="1039"/>
      <c r="T1" s="1039"/>
      <c r="U1" s="1039"/>
      <c r="V1" s="1039"/>
      <c r="W1" s="1039"/>
      <c r="X1" s="1039"/>
      <c r="Y1" s="1039"/>
      <c r="Z1" s="1039"/>
      <c r="AA1" s="1039"/>
      <c r="AB1" s="1039"/>
      <c r="AC1" s="1099"/>
      <c r="AD1" s="1254"/>
    </row>
    <row r="2" spans="1:30" s="879" customFormat="1" ht="28.5" customHeight="1">
      <c r="A2" s="145" t="s">
        <v>926</v>
      </c>
      <c r="B2" s="894">
        <f>F66</f>
        <v>266981</v>
      </c>
      <c r="C2" s="1222"/>
      <c r="D2" s="1222"/>
      <c r="E2" s="895"/>
      <c r="F2" s="896"/>
      <c r="G2" s="895"/>
      <c r="H2" s="895"/>
      <c r="I2" s="895"/>
      <c r="J2" s="895"/>
      <c r="K2" s="1040"/>
      <c r="L2" s="1041"/>
      <c r="M2" s="1042"/>
      <c r="N2" s="1042"/>
      <c r="O2" s="1042"/>
      <c r="P2" s="1039"/>
      <c r="Q2" s="1039"/>
      <c r="R2" s="1039"/>
      <c r="S2" s="1039"/>
      <c r="T2" s="1039"/>
      <c r="U2" s="1039"/>
      <c r="V2" s="1039"/>
      <c r="W2" s="1039"/>
      <c r="X2" s="1039"/>
      <c r="Y2" s="1039"/>
      <c r="Z2" s="1039"/>
      <c r="AA2" s="1039"/>
      <c r="AB2" s="1039"/>
      <c r="AC2" s="1099"/>
      <c r="AD2" s="1254"/>
    </row>
    <row r="3" spans="1:30" s="879" customFormat="1" ht="28.5" customHeight="1">
      <c r="A3" s="148" t="s">
        <v>928</v>
      </c>
      <c r="B3" s="897">
        <f>ROUND(IF(D3="",B2*10000/'数据-汇总表'!E3,B2*10000/D3),0)</f>
        <v>68068</v>
      </c>
      <c r="C3" s="148" t="s">
        <v>1351</v>
      </c>
      <c r="D3" s="898"/>
      <c r="E3" s="895"/>
      <c r="F3" s="896"/>
      <c r="G3" s="895"/>
      <c r="H3" s="895"/>
      <c r="I3" s="895"/>
      <c r="J3" s="895"/>
      <c r="K3" s="1040"/>
      <c r="L3" s="1041"/>
      <c r="M3" s="1042"/>
      <c r="N3" s="1042"/>
      <c r="O3" s="1042"/>
      <c r="P3" s="1039"/>
      <c r="Q3" s="1039"/>
      <c r="R3" s="1039"/>
      <c r="S3" s="1039"/>
      <c r="T3" s="1039"/>
      <c r="U3" s="1039"/>
      <c r="V3" s="1039"/>
      <c r="W3" s="1039"/>
      <c r="X3" s="1039"/>
      <c r="Y3" s="1039"/>
      <c r="Z3" s="1039"/>
      <c r="AA3" s="1039"/>
      <c r="AB3" s="1100"/>
      <c r="AC3" s="1101"/>
    </row>
    <row r="4" spans="1:30" ht="15">
      <c r="A4" s="899" t="s">
        <v>1352</v>
      </c>
      <c r="B4" s="900"/>
      <c r="C4" s="3273" t="s">
        <v>1353</v>
      </c>
      <c r="D4" s="3306"/>
      <c r="E4" s="3307" t="s">
        <v>1354</v>
      </c>
      <c r="F4" s="3308"/>
      <c r="G4" s="3273" t="s">
        <v>1355</v>
      </c>
      <c r="H4" s="3306"/>
      <c r="I4" s="3273" t="s">
        <v>1356</v>
      </c>
      <c r="J4" s="3306"/>
      <c r="K4" s="1043" t="s">
        <v>1357</v>
      </c>
      <c r="L4" s="1044"/>
      <c r="M4" s="1045"/>
      <c r="N4" s="1045"/>
      <c r="O4" s="1045"/>
      <c r="P4" s="3277" t="s">
        <v>1358</v>
      </c>
      <c r="Q4" s="3278"/>
      <c r="R4" s="3283" t="s">
        <v>1354</v>
      </c>
      <c r="S4" s="3284"/>
      <c r="T4" s="3283" t="s">
        <v>1355</v>
      </c>
      <c r="U4" s="3284"/>
      <c r="V4" s="3289" t="s">
        <v>1356</v>
      </c>
      <c r="W4" s="3289"/>
      <c r="X4" s="1087"/>
      <c r="Y4" s="3283" t="s">
        <v>1358</v>
      </c>
      <c r="Z4" s="3284"/>
      <c r="AA4" s="3270" t="s">
        <v>1354</v>
      </c>
      <c r="AB4" s="3271" t="s">
        <v>1355</v>
      </c>
      <c r="AC4" s="3270" t="s">
        <v>1356</v>
      </c>
    </row>
    <row r="5" spans="1:30" ht="15">
      <c r="A5" s="901"/>
      <c r="B5" s="902"/>
      <c r="C5" s="3309" t="s">
        <v>1359</v>
      </c>
      <c r="D5" s="3310"/>
      <c r="E5" s="3311" t="str">
        <f>土地案例!A165</f>
        <v>北京市丰台区南苑乡分钟寺村L-41地块R2二类居住用地</v>
      </c>
      <c r="F5" s="3312"/>
      <c r="G5" s="3309" t="str">
        <f>土地案例!A166</f>
        <v>北京市丰台区南苑乡分钟寺村L-24、L-26地块R2二类居住用地</v>
      </c>
      <c r="H5" s="3310"/>
      <c r="I5" s="3309" t="str">
        <f>土地案例!A169</f>
        <v>北京市丰台区南苑石榴庄0517-L02地块F1住宅混合公建用地</v>
      </c>
      <c r="J5" s="3310"/>
      <c r="K5" s="1043"/>
      <c r="L5" s="1044"/>
      <c r="M5" s="1045"/>
      <c r="N5" s="1045"/>
      <c r="O5" s="1045"/>
      <c r="P5" s="3279"/>
      <c r="Q5" s="3280"/>
      <c r="R5" s="3285"/>
      <c r="S5" s="3286"/>
      <c r="T5" s="3285"/>
      <c r="U5" s="3286"/>
      <c r="V5" s="3289"/>
      <c r="W5" s="3289"/>
      <c r="X5" s="1087"/>
      <c r="Y5" s="3285"/>
      <c r="Z5" s="3286"/>
      <c r="AA5" s="3271"/>
      <c r="AB5" s="3271"/>
      <c r="AC5" s="3271"/>
    </row>
    <row r="6" spans="1:30" ht="15">
      <c r="A6" s="903"/>
      <c r="B6" s="904"/>
      <c r="C6" s="3301" t="s">
        <v>1363</v>
      </c>
      <c r="D6" s="3302"/>
      <c r="E6" s="3303" t="s">
        <v>1363</v>
      </c>
      <c r="F6" s="3304"/>
      <c r="G6" s="3301" t="s">
        <v>1363</v>
      </c>
      <c r="H6" s="3302"/>
      <c r="I6" s="3301" t="s">
        <v>1363</v>
      </c>
      <c r="J6" s="3302"/>
      <c r="K6" s="1043" t="s">
        <v>1364</v>
      </c>
      <c r="L6" s="1044"/>
      <c r="M6" s="1045"/>
      <c r="N6" s="1045"/>
      <c r="O6" s="1045"/>
      <c r="P6" s="3281"/>
      <c r="Q6" s="3282"/>
      <c r="R6" s="3285"/>
      <c r="S6" s="3286"/>
      <c r="T6" s="3287"/>
      <c r="U6" s="3288"/>
      <c r="V6" s="3289"/>
      <c r="W6" s="3289"/>
      <c r="X6" s="1087"/>
      <c r="Y6" s="3287"/>
      <c r="Z6" s="3288"/>
      <c r="AA6" s="3272"/>
      <c r="AB6" s="3272"/>
      <c r="AC6" s="3272"/>
    </row>
    <row r="7" spans="1:30" s="880" customFormat="1" ht="15">
      <c r="A7" s="905" t="s">
        <v>1365</v>
      </c>
      <c r="B7" s="906"/>
      <c r="C7" s="907">
        <f>'数据-取费表'!B2</f>
        <v>44288</v>
      </c>
      <c r="D7" s="908">
        <v>100</v>
      </c>
      <c r="E7" s="909" t="str">
        <f>土地案例!I165</f>
        <v>2020-05-19</v>
      </c>
      <c r="F7" s="910">
        <f>SUMIF(70:70,YEAR(E7)&amp;"-"&amp;INT((MONTH(E7)+2)/3),71:71)</f>
        <v>100</v>
      </c>
      <c r="G7" s="911" t="str">
        <f>土地案例!I166</f>
        <v>2020-05-09</v>
      </c>
      <c r="H7" s="908">
        <f>SUMIF(70:70,YEAR(G7)&amp;"-"&amp;INT((MONTH(G7)+2)/3),71:71)</f>
        <v>100</v>
      </c>
      <c r="I7" s="911" t="str">
        <f>土地案例!I169</f>
        <v>2019-09-25</v>
      </c>
      <c r="J7" s="908">
        <f>SUMIF(70:70,YEAR(I7)&amp;"-"&amp;INT((MONTH(I7)+2)/3),71:71)</f>
        <v>98</v>
      </c>
      <c r="K7" s="1046"/>
      <c r="L7" s="1047"/>
      <c r="M7" s="1048"/>
      <c r="N7" s="1048"/>
      <c r="O7" s="1048"/>
      <c r="P7" s="3290" t="s">
        <v>1366</v>
      </c>
      <c r="Q7" s="3305"/>
      <c r="R7" s="1088" t="s">
        <v>1367</v>
      </c>
      <c r="S7" s="1089">
        <f t="shared" ref="S7:S15" si="0">F7</f>
        <v>100</v>
      </c>
      <c r="T7" s="1088" t="s">
        <v>1367</v>
      </c>
      <c r="U7" s="1089">
        <f t="shared" ref="U7:U15" si="1">H7</f>
        <v>100</v>
      </c>
      <c r="V7" s="1088" t="s">
        <v>1367</v>
      </c>
      <c r="W7" s="1089">
        <f t="shared" ref="W7:W15" si="2">J7</f>
        <v>98</v>
      </c>
      <c r="X7" s="1090"/>
      <c r="Y7" s="3290" t="s">
        <v>1366</v>
      </c>
      <c r="Z7" s="3291"/>
      <c r="AA7" s="1102">
        <f>D7/F7</f>
        <v>1</v>
      </c>
      <c r="AB7" s="1102">
        <f>D7/H7</f>
        <v>1</v>
      </c>
      <c r="AC7" s="1102">
        <f>D7/J7</f>
        <v>1.0204081632653061</v>
      </c>
    </row>
    <row r="8" spans="1:30" s="880" customFormat="1" ht="15">
      <c r="A8" s="905" t="s">
        <v>1368</v>
      </c>
      <c r="B8" s="906"/>
      <c r="C8" s="912" t="s">
        <v>1369</v>
      </c>
      <c r="D8" s="908">
        <v>100</v>
      </c>
      <c r="E8" s="912" t="s">
        <v>1488</v>
      </c>
      <c r="F8" s="910">
        <f>SUMIF(73:73,E8,74:74)-SUMIF(73:73,C8,74:74)+100</f>
        <v>100</v>
      </c>
      <c r="G8" s="912" t="s">
        <v>1488</v>
      </c>
      <c r="H8" s="908">
        <f>SUMIF(73:73,G8,74:74)-SUMIF(73:73,C8,74:74)+100</f>
        <v>100</v>
      </c>
      <c r="I8" s="912" t="s">
        <v>1488</v>
      </c>
      <c r="J8" s="908">
        <f>SUMIF(73:73,I8,74:74)-SUMIF(73:73,C8,74:74)+100</f>
        <v>100</v>
      </c>
      <c r="K8" s="1046"/>
      <c r="L8" s="1047"/>
      <c r="M8" s="1048"/>
      <c r="N8" s="1048"/>
      <c r="O8" s="1048"/>
      <c r="P8" s="3290" t="s">
        <v>1370</v>
      </c>
      <c r="Q8" s="3291"/>
      <c r="R8" s="1088" t="s">
        <v>1367</v>
      </c>
      <c r="S8" s="1089">
        <f t="shared" si="0"/>
        <v>100</v>
      </c>
      <c r="T8" s="1088" t="s">
        <v>1367</v>
      </c>
      <c r="U8" s="1089">
        <f t="shared" si="1"/>
        <v>100</v>
      </c>
      <c r="V8" s="1088" t="s">
        <v>1367</v>
      </c>
      <c r="W8" s="1089">
        <f t="shared" si="2"/>
        <v>100</v>
      </c>
      <c r="X8" s="1090"/>
      <c r="Y8" s="3290" t="s">
        <v>1370</v>
      </c>
      <c r="Z8" s="3291"/>
      <c r="AA8" s="1102">
        <f t="shared" ref="AA8:AA45" si="3">D8/F8</f>
        <v>1</v>
      </c>
      <c r="AB8" s="1102">
        <f t="shared" ref="AB8:AB45" si="4">D8/H8</f>
        <v>1</v>
      </c>
      <c r="AC8" s="1102">
        <f t="shared" ref="AC8:AC45" si="5">D8/J8</f>
        <v>1</v>
      </c>
    </row>
    <row r="9" spans="1:30" s="880" customFormat="1">
      <c r="A9" s="913" t="s">
        <v>1371</v>
      </c>
      <c r="B9" s="914" t="s">
        <v>1372</v>
      </c>
      <c r="C9" s="915"/>
      <c r="D9" s="916">
        <v>100</v>
      </c>
      <c r="E9" s="915"/>
      <c r="F9" s="916">
        <f>SUMIF(75:75,E9,76:76)-SUMIF(75:75,C9,76:76)+100</f>
        <v>100</v>
      </c>
      <c r="G9" s="915"/>
      <c r="H9" s="916">
        <f>SUMIF(75:75,G9,76:76)-SUMIF(75:75,C9,76:76)+100</f>
        <v>100</v>
      </c>
      <c r="I9" s="915"/>
      <c r="J9" s="916">
        <f>SUMIF(75:75,I9,76:76)-SUMIF(75:75,C9,76:76)+100</f>
        <v>100</v>
      </c>
      <c r="K9" s="1046"/>
      <c r="L9" s="1047"/>
      <c r="M9" s="1048"/>
      <c r="N9" s="1048"/>
      <c r="O9" s="1049"/>
      <c r="P9" s="3276" t="s">
        <v>1373</v>
      </c>
      <c r="Q9" s="1092" t="str">
        <f t="shared" ref="Q9:Q15" si="6">B9</f>
        <v>用途</v>
      </c>
      <c r="R9" s="1088" t="s">
        <v>1367</v>
      </c>
      <c r="S9" s="1089">
        <f t="shared" si="0"/>
        <v>100</v>
      </c>
      <c r="T9" s="1088" t="s">
        <v>1367</v>
      </c>
      <c r="U9" s="1089">
        <f t="shared" si="1"/>
        <v>100</v>
      </c>
      <c r="V9" s="1088" t="s">
        <v>1367</v>
      </c>
      <c r="W9" s="1089">
        <f t="shared" si="2"/>
        <v>100</v>
      </c>
      <c r="X9" s="1090"/>
      <c r="Y9" s="3179" t="s">
        <v>1374</v>
      </c>
      <c r="Z9" s="1103" t="str">
        <f t="shared" ref="Z9:Z15" si="7">Q9</f>
        <v>用途</v>
      </c>
      <c r="AA9" s="1102">
        <f t="shared" si="3"/>
        <v>1</v>
      </c>
      <c r="AB9" s="1102">
        <f t="shared" si="4"/>
        <v>1</v>
      </c>
      <c r="AC9" s="1102">
        <f t="shared" si="5"/>
        <v>1</v>
      </c>
    </row>
    <row r="10" spans="1:30" s="881" customFormat="1" ht="27">
      <c r="A10" s="917"/>
      <c r="B10" s="918" t="s">
        <v>1375</v>
      </c>
      <c r="C10" s="919"/>
      <c r="D10" s="920">
        <v>100</v>
      </c>
      <c r="E10" s="1223"/>
      <c r="F10" s="920">
        <f>ROUND(100/'数据-取费表'!G16,0)</f>
        <v>100</v>
      </c>
      <c r="G10" s="1224"/>
      <c r="H10" s="920">
        <f>ROUND(100/'数据-取费表'!G16,0)</f>
        <v>100</v>
      </c>
      <c r="I10" s="1224"/>
      <c r="J10" s="920">
        <f>ROUND(100/'数据-取费表'!G16,0)</f>
        <v>100</v>
      </c>
      <c r="K10" s="1050"/>
      <c r="L10" s="1051"/>
      <c r="M10" s="1052"/>
      <c r="N10" s="1052"/>
      <c r="O10" s="1053"/>
      <c r="P10" s="3276"/>
      <c r="Q10" s="1092" t="str">
        <f t="shared" si="6"/>
        <v>土地使用年限（年）</v>
      </c>
      <c r="R10" s="1088" t="s">
        <v>1367</v>
      </c>
      <c r="S10" s="1089">
        <f t="shared" si="0"/>
        <v>100</v>
      </c>
      <c r="T10" s="1088" t="s">
        <v>1367</v>
      </c>
      <c r="U10" s="1089">
        <f t="shared" si="1"/>
        <v>100</v>
      </c>
      <c r="V10" s="1088" t="s">
        <v>1367</v>
      </c>
      <c r="W10" s="1089">
        <f t="shared" si="2"/>
        <v>100</v>
      </c>
      <c r="X10" s="1090"/>
      <c r="Y10" s="3179"/>
      <c r="Z10" s="1103" t="str">
        <f t="shared" si="7"/>
        <v>土地使用年限（年）</v>
      </c>
      <c r="AA10" s="1102">
        <f t="shared" si="3"/>
        <v>1</v>
      </c>
      <c r="AB10" s="1102">
        <f t="shared" si="4"/>
        <v>1</v>
      </c>
      <c r="AC10" s="1102">
        <f t="shared" si="5"/>
        <v>1</v>
      </c>
    </row>
    <row r="11" spans="1:30" ht="15.75" thickBot="1">
      <c r="A11" s="921"/>
      <c r="B11" s="918" t="s">
        <v>1376</v>
      </c>
      <c r="C11" s="3420">
        <f>'数据-汇总表'!I6</f>
        <v>3.22</v>
      </c>
      <c r="D11" s="920">
        <v>100</v>
      </c>
      <c r="E11" s="922">
        <v>2.8</v>
      </c>
      <c r="F11" s="920">
        <f>LOOKUP(E11,80:80,81:81)-LOOKUP(C11,80:80,81:81)+100</f>
        <v>105</v>
      </c>
      <c r="G11" s="923">
        <v>2.8</v>
      </c>
      <c r="H11" s="920">
        <f>LOOKUP(G11,80:80,81:81)-LOOKUP(C11,80:80,81:81)+100</f>
        <v>105</v>
      </c>
      <c r="I11" s="922">
        <v>3</v>
      </c>
      <c r="J11" s="920">
        <f>LOOKUP(I11,80:80,81:81)-LOOKUP(C11,80:80,81:81)+100</f>
        <v>100</v>
      </c>
      <c r="K11" s="1054">
        <v>5</v>
      </c>
      <c r="L11" s="1055"/>
      <c r="M11" s="1045"/>
      <c r="N11" s="1045"/>
      <c r="O11" s="1056"/>
      <c r="P11" s="3276"/>
      <c r="Q11" s="1092" t="str">
        <f t="shared" si="6"/>
        <v>容积率</v>
      </c>
      <c r="R11" s="1088" t="s">
        <v>1367</v>
      </c>
      <c r="S11" s="1089">
        <f t="shared" si="0"/>
        <v>105</v>
      </c>
      <c r="T11" s="1088" t="s">
        <v>1367</v>
      </c>
      <c r="U11" s="1089">
        <f t="shared" si="1"/>
        <v>105</v>
      </c>
      <c r="V11" s="1088" t="s">
        <v>1367</v>
      </c>
      <c r="W11" s="1089">
        <f t="shared" si="2"/>
        <v>100</v>
      </c>
      <c r="X11" s="1090"/>
      <c r="Y11" s="3179"/>
      <c r="Z11" s="1103" t="str">
        <f t="shared" si="7"/>
        <v>容积率</v>
      </c>
      <c r="AA11" s="1102">
        <f t="shared" si="3"/>
        <v>0.95238095238095233</v>
      </c>
      <c r="AB11" s="1102">
        <f t="shared" si="4"/>
        <v>0.95238095238095233</v>
      </c>
      <c r="AC11" s="1102">
        <f t="shared" si="5"/>
        <v>1</v>
      </c>
    </row>
    <row r="12" spans="1:30" s="880" customFormat="1" ht="16.5" thickTop="1" thickBot="1">
      <c r="A12" s="924"/>
      <c r="B12" s="1225" t="s">
        <v>1489</v>
      </c>
      <c r="C12" s="3419" t="s">
        <v>370</v>
      </c>
      <c r="D12" s="926">
        <v>100</v>
      </c>
      <c r="E12" s="1227" t="s">
        <v>2850</v>
      </c>
      <c r="F12" s="920">
        <f>SUMIF(82:82,E12,83:83)-SUMIF(82:82,C12,83:83)+100</f>
        <v>100</v>
      </c>
      <c r="G12" s="1258" t="s">
        <v>2857</v>
      </c>
      <c r="H12" s="920">
        <f>SUMIF(82:82,G12,83:83)-SUMIF(82:82,C12,83:83)+100</f>
        <v>99</v>
      </c>
      <c r="I12" s="1258" t="s">
        <v>2859</v>
      </c>
      <c r="J12" s="920">
        <f>SUMIF(82:82,I12,83:83)-SUMIF(82:82,C12,83:83)+100</f>
        <v>97</v>
      </c>
      <c r="K12" s="1050"/>
      <c r="L12" s="1047"/>
      <c r="M12" s="1048"/>
      <c r="N12" s="1048"/>
      <c r="O12" s="1049"/>
      <c r="P12" s="3276"/>
      <c r="Q12" s="1092" t="str">
        <f t="shared" si="6"/>
        <v>是否配建</v>
      </c>
      <c r="R12" s="1088" t="s">
        <v>1367</v>
      </c>
      <c r="S12" s="1089">
        <f t="shared" si="0"/>
        <v>100</v>
      </c>
      <c r="T12" s="1088" t="s">
        <v>1367</v>
      </c>
      <c r="U12" s="1089">
        <f t="shared" si="1"/>
        <v>99</v>
      </c>
      <c r="V12" s="1088" t="s">
        <v>1367</v>
      </c>
      <c r="W12" s="1089">
        <f t="shared" si="2"/>
        <v>97</v>
      </c>
      <c r="X12" s="1090"/>
      <c r="Y12" s="3179"/>
      <c r="Z12" s="1103" t="str">
        <f t="shared" si="7"/>
        <v>是否配建</v>
      </c>
      <c r="AA12" s="1102">
        <f t="shared" si="3"/>
        <v>1</v>
      </c>
      <c r="AB12" s="1102">
        <f t="shared" si="4"/>
        <v>1.0101010101010102</v>
      </c>
      <c r="AC12" s="1102">
        <f t="shared" si="5"/>
        <v>1.0309278350515463</v>
      </c>
    </row>
    <row r="13" spans="1:30" ht="15" hidden="1">
      <c r="A13" s="921"/>
      <c r="B13" s="1225" t="s">
        <v>1493</v>
      </c>
      <c r="C13" s="1229"/>
      <c r="D13" s="930">
        <v>100</v>
      </c>
      <c r="E13" s="1230"/>
      <c r="F13" s="920">
        <f>SUMIF(84:84,E13,85:85)-SUMIF(84:84,C13,85:85)+100</f>
        <v>100</v>
      </c>
      <c r="G13" s="1231"/>
      <c r="H13" s="930">
        <f>SUMIF(84:84,G13,85:85)-SUMIF(84:84,C13,85:85)+100</f>
        <v>100</v>
      </c>
      <c r="I13" s="1231"/>
      <c r="J13" s="930">
        <f>SUMIF(84:84,I13,85:85)-SUMIF(84:84,C13,85:85)+100</f>
        <v>100</v>
      </c>
      <c r="K13" s="1050"/>
      <c r="L13" s="1057"/>
      <c r="M13" s="1045"/>
      <c r="N13" s="1045"/>
      <c r="O13" s="1056"/>
      <c r="P13" s="3276"/>
      <c r="Q13" s="1092" t="str">
        <f t="shared" si="6"/>
        <v>是否自持</v>
      </c>
      <c r="R13" s="1088" t="s">
        <v>1367</v>
      </c>
      <c r="S13" s="1089">
        <f t="shared" si="0"/>
        <v>100</v>
      </c>
      <c r="T13" s="1088" t="s">
        <v>1367</v>
      </c>
      <c r="U13" s="1089">
        <f t="shared" si="1"/>
        <v>100</v>
      </c>
      <c r="V13" s="1088" t="s">
        <v>1367</v>
      </c>
      <c r="W13" s="1089">
        <f t="shared" si="2"/>
        <v>100</v>
      </c>
      <c r="X13" s="1090"/>
      <c r="Y13" s="3179"/>
      <c r="Z13" s="1103" t="str">
        <f t="shared" si="7"/>
        <v>是否自持</v>
      </c>
      <c r="AA13" s="1102">
        <f t="shared" si="3"/>
        <v>1</v>
      </c>
      <c r="AB13" s="1102">
        <f t="shared" si="4"/>
        <v>1</v>
      </c>
      <c r="AC13" s="1102">
        <f t="shared" si="5"/>
        <v>1</v>
      </c>
    </row>
    <row r="14" spans="1:30" ht="15" hidden="1">
      <c r="A14" s="931"/>
      <c r="B14" s="1232" t="s">
        <v>1494</v>
      </c>
      <c r="C14" s="933"/>
      <c r="D14" s="934">
        <v>100</v>
      </c>
      <c r="E14" s="1230"/>
      <c r="F14" s="934">
        <f>SUMIF(86:86,E14,87:87)-SUMIF(86:86,C14,87:87)+100</f>
        <v>100</v>
      </c>
      <c r="G14" s="1120"/>
      <c r="H14" s="934">
        <f>SUMIF(86:86,G14,87:87)-SUMIF(86:86,C14,87:87)+100</f>
        <v>100</v>
      </c>
      <c r="I14" s="1120"/>
      <c r="J14" s="934">
        <f>SUMIF(86:86,I14,87:87)-SUMIF(86:86,C14,87:87)+100</f>
        <v>100</v>
      </c>
      <c r="K14" s="1050"/>
      <c r="L14" s="1057"/>
      <c r="M14" s="1045"/>
      <c r="N14" s="1045"/>
      <c r="O14" s="1056"/>
      <c r="P14" s="3276"/>
      <c r="Q14" s="1092" t="str">
        <f t="shared" si="6"/>
        <v>溢价比例</v>
      </c>
      <c r="R14" s="1088" t="s">
        <v>1367</v>
      </c>
      <c r="S14" s="1089">
        <f t="shared" si="0"/>
        <v>100</v>
      </c>
      <c r="T14" s="1088" t="s">
        <v>1367</v>
      </c>
      <c r="U14" s="1089">
        <f t="shared" si="1"/>
        <v>100</v>
      </c>
      <c r="V14" s="1088" t="s">
        <v>1367</v>
      </c>
      <c r="W14" s="1089">
        <f t="shared" si="2"/>
        <v>100</v>
      </c>
      <c r="X14" s="1090"/>
      <c r="Y14" s="3179"/>
      <c r="Z14" s="1103" t="str">
        <f t="shared" si="7"/>
        <v>溢价比例</v>
      </c>
      <c r="AA14" s="1102">
        <f t="shared" si="3"/>
        <v>1</v>
      </c>
      <c r="AB14" s="1102">
        <f t="shared" si="4"/>
        <v>1</v>
      </c>
      <c r="AC14" s="1102">
        <f t="shared" si="5"/>
        <v>1</v>
      </c>
    </row>
    <row r="15" spans="1:30" ht="99.75">
      <c r="A15" s="935" t="s">
        <v>1377</v>
      </c>
      <c r="B15" s="1233" t="s">
        <v>1378</v>
      </c>
      <c r="C15" s="1234" t="str">
        <f>估价对象房地状况!C15</f>
        <v>估价对象周边居住用地比例、居住小区规模和社区发展完善程度，综合评价居住社区成熟度一般</v>
      </c>
      <c r="D15" s="938">
        <v>100</v>
      </c>
      <c r="E15" s="939"/>
      <c r="F15" s="938">
        <f>SUMIF(88:88,E16,89:89)-SUMIF(88:88,C16,89:89)+100</f>
        <v>100</v>
      </c>
      <c r="G15" s="939"/>
      <c r="H15" s="938">
        <f>SUMIF(88:88,G16,89:89)-SUMIF(88:88,C16,89:89)+100</f>
        <v>100</v>
      </c>
      <c r="I15" s="1058"/>
      <c r="J15" s="938">
        <f>SUMIF(88:88,I16,89:89)-SUMIF(88:88,C16,89:89)+100</f>
        <v>100</v>
      </c>
      <c r="K15" s="1054">
        <v>2</v>
      </c>
      <c r="L15" s="1057"/>
      <c r="M15" s="1045"/>
      <c r="N15" s="1045"/>
      <c r="O15" s="1056"/>
      <c r="P15" s="3293" t="s">
        <v>1379</v>
      </c>
      <c r="Q15" s="656" t="str">
        <f t="shared" si="6"/>
        <v>居住社区成熟度</v>
      </c>
      <c r="R15" s="1093" t="s">
        <v>1367</v>
      </c>
      <c r="S15" s="1094">
        <f t="shared" si="0"/>
        <v>100</v>
      </c>
      <c r="T15" s="1093" t="s">
        <v>1367</v>
      </c>
      <c r="U15" s="1094">
        <f t="shared" si="1"/>
        <v>100</v>
      </c>
      <c r="V15" s="1093" t="s">
        <v>1367</v>
      </c>
      <c r="W15" s="1094">
        <f t="shared" si="2"/>
        <v>100</v>
      </c>
      <c r="X15" s="1087"/>
      <c r="Y15" s="3293" t="s">
        <v>1379</v>
      </c>
      <c r="Z15" s="1077" t="str">
        <f t="shared" si="7"/>
        <v>居住社区成熟度</v>
      </c>
      <c r="AA15" s="1104">
        <f t="shared" si="3"/>
        <v>1</v>
      </c>
      <c r="AB15" s="1104">
        <f t="shared" si="4"/>
        <v>1</v>
      </c>
      <c r="AC15" s="1104">
        <f t="shared" si="5"/>
        <v>1</v>
      </c>
    </row>
    <row r="16" spans="1:30" ht="15">
      <c r="A16" s="921"/>
      <c r="B16" s="1235"/>
      <c r="C16" s="941" t="s">
        <v>1498</v>
      </c>
      <c r="D16" s="942"/>
      <c r="E16" s="950" t="s">
        <v>1498</v>
      </c>
      <c r="F16" s="942"/>
      <c r="G16" s="950" t="s">
        <v>1498</v>
      </c>
      <c r="H16" s="944"/>
      <c r="I16" s="950" t="s">
        <v>1498</v>
      </c>
      <c r="J16" s="942"/>
      <c r="K16" s="1050"/>
      <c r="L16" s="1057"/>
      <c r="M16" s="1045"/>
      <c r="N16" s="1045"/>
      <c r="O16" s="1056"/>
      <c r="P16" s="3294"/>
      <c r="Q16" s="656"/>
      <c r="R16" s="1093"/>
      <c r="S16" s="1094"/>
      <c r="T16" s="1093"/>
      <c r="U16" s="1094"/>
      <c r="V16" s="1093"/>
      <c r="W16" s="1094"/>
      <c r="X16" s="1087"/>
      <c r="Y16" s="3294"/>
      <c r="Z16" s="1077"/>
      <c r="AA16" s="1104">
        <v>1</v>
      </c>
      <c r="AB16" s="1104">
        <v>1</v>
      </c>
      <c r="AC16" s="1104">
        <v>1</v>
      </c>
    </row>
    <row r="17" spans="1:29" ht="71.25">
      <c r="A17" s="921"/>
      <c r="B17" s="1236" t="s">
        <v>1447</v>
      </c>
      <c r="C17" s="654" t="str">
        <f>估价对象房地状况!C16</f>
        <v>估价对象位于XX商圈，周边商业氛围成熟，人流量大，商业繁华度好</v>
      </c>
      <c r="D17" s="944">
        <v>100</v>
      </c>
      <c r="E17" s="947"/>
      <c r="F17" s="944">
        <f>SUMIF(90:90,E18,91:91)-SUMIF(90:90,C18,91:91)+100</f>
        <v>98</v>
      </c>
      <c r="G17" s="947"/>
      <c r="H17" s="948">
        <f>SUMIF(90:90,G18,91:91)-SUMIF(90:90,C18,91:91)+100</f>
        <v>98</v>
      </c>
      <c r="I17" s="1059"/>
      <c r="J17" s="948">
        <f>SUMIF(90:90,I18,91:91)-SUMIF(90:90,C18,91:91)+100</f>
        <v>98</v>
      </c>
      <c r="K17" s="1054">
        <v>2</v>
      </c>
      <c r="L17" s="1057"/>
      <c r="M17" s="1045"/>
      <c r="N17" s="1045"/>
      <c r="O17" s="1056"/>
      <c r="P17" s="3294"/>
      <c r="Q17" s="656" t="str">
        <f>B17</f>
        <v>商业繁华度</v>
      </c>
      <c r="R17" s="1093" t="s">
        <v>1367</v>
      </c>
      <c r="S17" s="1094">
        <f>F17</f>
        <v>98</v>
      </c>
      <c r="T17" s="1093" t="s">
        <v>1367</v>
      </c>
      <c r="U17" s="1094">
        <f>H17</f>
        <v>98</v>
      </c>
      <c r="V17" s="1093" t="s">
        <v>1367</v>
      </c>
      <c r="W17" s="1094">
        <f>J17</f>
        <v>98</v>
      </c>
      <c r="X17" s="1087"/>
      <c r="Y17" s="3294"/>
      <c r="Z17" s="1077" t="str">
        <f>Q17</f>
        <v>商业繁华度</v>
      </c>
      <c r="AA17" s="1104">
        <f t="shared" si="3"/>
        <v>1.0204081632653061</v>
      </c>
      <c r="AB17" s="1104">
        <f t="shared" si="4"/>
        <v>1.0204081632653061</v>
      </c>
      <c r="AC17" s="1104">
        <f t="shared" si="5"/>
        <v>1.0204081632653061</v>
      </c>
    </row>
    <row r="18" spans="1:29" ht="15">
      <c r="A18" s="921"/>
      <c r="B18" s="969"/>
      <c r="C18" s="1237" t="s">
        <v>1498</v>
      </c>
      <c r="D18" s="944"/>
      <c r="E18" s="1238" t="s">
        <v>1499</v>
      </c>
      <c r="F18" s="944"/>
      <c r="G18" s="1238" t="s">
        <v>1499</v>
      </c>
      <c r="H18" s="942"/>
      <c r="I18" s="1247" t="s">
        <v>1499</v>
      </c>
      <c r="J18" s="942"/>
      <c r="K18" s="1050"/>
      <c r="L18" s="1057"/>
      <c r="M18" s="1045"/>
      <c r="N18" s="1045"/>
      <c r="O18" s="1056"/>
      <c r="P18" s="3294"/>
      <c r="Q18" s="656"/>
      <c r="R18" s="1093"/>
      <c r="S18" s="1094"/>
      <c r="T18" s="1093"/>
      <c r="U18" s="1094"/>
      <c r="V18" s="1093"/>
      <c r="W18" s="1094"/>
      <c r="X18" s="1087"/>
      <c r="Y18" s="3294"/>
      <c r="Z18" s="1077"/>
      <c r="AA18" s="1104">
        <v>1</v>
      </c>
      <c r="AB18" s="1104">
        <v>1</v>
      </c>
      <c r="AC18" s="1104">
        <v>1</v>
      </c>
    </row>
    <row r="19" spans="1:29" ht="71.25" hidden="1">
      <c r="A19" s="921"/>
      <c r="B19" s="1236" t="s">
        <v>1460</v>
      </c>
      <c r="C19" s="654" t="str">
        <f>估价对象房地状况!C17</f>
        <v>估价对象位于XX商圈，周边办公楼项目较多，入驻率高，办公集聚程度较好</v>
      </c>
      <c r="D19" s="948">
        <v>100</v>
      </c>
      <c r="E19" s="1239"/>
      <c r="F19" s="948">
        <f>SUMIF(92:92,E20,93:93)-SUMIF(92:92,C20,93:93)+100</f>
        <v>100</v>
      </c>
      <c r="G19" s="1239"/>
      <c r="H19" s="944">
        <f>SUMIF(92:92,G20,93:93)-SUMIF(92:92,C20,93:93)+100</f>
        <v>100</v>
      </c>
      <c r="I19" s="1248"/>
      <c r="J19" s="944">
        <f>SUMIF(92:92,I20,93:93)-SUMIF(92:92,C20,93:93)+100</f>
        <v>100</v>
      </c>
      <c r="K19" s="1054"/>
      <c r="L19" s="1057"/>
      <c r="M19" s="1045"/>
      <c r="N19" s="1045"/>
      <c r="O19" s="1056"/>
      <c r="P19" s="3294"/>
      <c r="Q19" s="656" t="str">
        <f>B19</f>
        <v>办公集聚程度</v>
      </c>
      <c r="R19" s="1093" t="s">
        <v>1367</v>
      </c>
      <c r="S19" s="1094">
        <f>F19</f>
        <v>100</v>
      </c>
      <c r="T19" s="1093" t="s">
        <v>1367</v>
      </c>
      <c r="U19" s="1094">
        <f>H19</f>
        <v>100</v>
      </c>
      <c r="V19" s="1093" t="s">
        <v>1367</v>
      </c>
      <c r="W19" s="1094">
        <f>J19</f>
        <v>100</v>
      </c>
      <c r="X19" s="1087"/>
      <c r="Y19" s="3294"/>
      <c r="Z19" s="1077" t="str">
        <f>Q19</f>
        <v>办公集聚程度</v>
      </c>
      <c r="AA19" s="1104">
        <f t="shared" si="3"/>
        <v>1</v>
      </c>
      <c r="AB19" s="1104">
        <f t="shared" si="4"/>
        <v>1</v>
      </c>
      <c r="AC19" s="1104">
        <f t="shared" si="5"/>
        <v>1</v>
      </c>
    </row>
    <row r="20" spans="1:29" ht="15" hidden="1">
      <c r="A20" s="921"/>
      <c r="B20" s="969"/>
      <c r="C20" s="941"/>
      <c r="D20" s="942"/>
      <c r="E20" s="950"/>
      <c r="F20" s="942"/>
      <c r="G20" s="950"/>
      <c r="H20" s="942"/>
      <c r="I20" s="1060"/>
      <c r="J20" s="942"/>
      <c r="K20" s="1050"/>
      <c r="L20" s="1057"/>
      <c r="M20" s="1045"/>
      <c r="N20" s="1045"/>
      <c r="O20" s="1056"/>
      <c r="P20" s="3294"/>
      <c r="Q20" s="656"/>
      <c r="R20" s="1093"/>
      <c r="S20" s="1094"/>
      <c r="T20" s="1093"/>
      <c r="U20" s="1094"/>
      <c r="V20" s="1093"/>
      <c r="W20" s="1094"/>
      <c r="X20" s="1087"/>
      <c r="Y20" s="3294"/>
      <c r="Z20" s="1077"/>
      <c r="AA20" s="1104">
        <v>1</v>
      </c>
      <c r="AB20" s="1104">
        <v>1</v>
      </c>
      <c r="AC20" s="1104">
        <v>1</v>
      </c>
    </row>
    <row r="21" spans="1:29" ht="85.5">
      <c r="A21" s="921"/>
      <c r="B21" s="1236" t="s">
        <v>1380</v>
      </c>
      <c r="C21" s="946" t="str">
        <f>估价对象房地状况!C18</f>
        <v>估价对象周边道路状况、公共交通通达情况、停车便捷程度，综合评价交通便捷度较好</v>
      </c>
      <c r="D21" s="944">
        <v>100</v>
      </c>
      <c r="E21" s="947"/>
      <c r="F21" s="948">
        <f>SUMIF(94:94,E22,95:95)-SUMIF(94:94,C22,95:95)+100</f>
        <v>100</v>
      </c>
      <c r="G21" s="947"/>
      <c r="H21" s="944">
        <f>SUMIF(94:94,G22,95:95)-SUMIF(94:94,C22,95:95)+100</f>
        <v>100</v>
      </c>
      <c r="I21" s="1059"/>
      <c r="J21" s="944">
        <f>SUMIF(94:94,I22,95:95)-SUMIF(94:94,C22,95:95)+100</f>
        <v>100</v>
      </c>
      <c r="K21" s="1054">
        <v>2</v>
      </c>
      <c r="L21" s="1057"/>
      <c r="M21" s="1045"/>
      <c r="N21" s="1045"/>
      <c r="O21" s="1056"/>
      <c r="P21" s="3294"/>
      <c r="Q21" s="656" t="str">
        <f>B21</f>
        <v>交通便捷度</v>
      </c>
      <c r="R21" s="1093" t="s">
        <v>1367</v>
      </c>
      <c r="S21" s="1094">
        <f>F21</f>
        <v>100</v>
      </c>
      <c r="T21" s="1093" t="s">
        <v>1367</v>
      </c>
      <c r="U21" s="1094">
        <f>H21</f>
        <v>100</v>
      </c>
      <c r="V21" s="1093" t="s">
        <v>1367</v>
      </c>
      <c r="W21" s="1094">
        <f>J21</f>
        <v>100</v>
      </c>
      <c r="X21" s="1087"/>
      <c r="Y21" s="3294"/>
      <c r="Z21" s="1077" t="str">
        <f>Q21</f>
        <v>交通便捷度</v>
      </c>
      <c r="AA21" s="1104">
        <f t="shared" si="3"/>
        <v>1</v>
      </c>
      <c r="AB21" s="1104">
        <f t="shared" si="4"/>
        <v>1</v>
      </c>
      <c r="AC21" s="1104">
        <f t="shared" si="5"/>
        <v>1</v>
      </c>
    </row>
    <row r="22" spans="1:29" ht="15">
      <c r="A22" s="921"/>
      <c r="B22" s="1240"/>
      <c r="C22" s="941" t="s">
        <v>1498</v>
      </c>
      <c r="D22" s="944"/>
      <c r="E22" s="3426" t="s">
        <v>1498</v>
      </c>
      <c r="F22" s="942"/>
      <c r="G22" s="950" t="s">
        <v>1498</v>
      </c>
      <c r="H22" s="942"/>
      <c r="I22" s="1060" t="s">
        <v>1498</v>
      </c>
      <c r="J22" s="942"/>
      <c r="K22" s="1050"/>
      <c r="L22" s="1057"/>
      <c r="M22" s="1045"/>
      <c r="N22" s="1045"/>
      <c r="O22" s="1056"/>
      <c r="P22" s="3294"/>
      <c r="Q22" s="656"/>
      <c r="R22" s="1093"/>
      <c r="S22" s="1094"/>
      <c r="T22" s="1093"/>
      <c r="U22" s="1094"/>
      <c r="V22" s="1093"/>
      <c r="W22" s="1094"/>
      <c r="X22" s="1087"/>
      <c r="Y22" s="3294"/>
      <c r="Z22" s="1077"/>
      <c r="AA22" s="1104">
        <v>1</v>
      </c>
      <c r="AB22" s="1104">
        <v>1</v>
      </c>
      <c r="AC22" s="1104">
        <v>1</v>
      </c>
    </row>
    <row r="23" spans="1:29" ht="15">
      <c r="A23" s="901"/>
      <c r="B23" s="1236" t="s">
        <v>1500</v>
      </c>
      <c r="C23" s="959">
        <f>估价对象房地状况!C19</f>
        <v>0</v>
      </c>
      <c r="D23" s="948">
        <v>100</v>
      </c>
      <c r="E23" s="947"/>
      <c r="F23" s="948">
        <f>SUMIF(96:96,E24,97:97)-SUMIF(96:96,C24,97:97)+100</f>
        <v>100</v>
      </c>
      <c r="G23" s="1059"/>
      <c r="H23" s="948">
        <f>SUMIF(96:96,G24,97:97)-SUMIF(96:96,C24,97:97)+100</f>
        <v>100</v>
      </c>
      <c r="I23" s="1059"/>
      <c r="J23" s="948">
        <f>SUMIF(96:96,I24,97:97)-SUMIF(96:96,C24,97:97)+100</f>
        <v>100</v>
      </c>
      <c r="K23" s="1054"/>
      <c r="L23" s="1057"/>
      <c r="M23" s="1045"/>
      <c r="N23" s="1045"/>
      <c r="O23" s="1056"/>
      <c r="P23" s="3294"/>
      <c r="Q23" s="656" t="str">
        <f t="shared" ref="Q23:Q38" si="8">B23</f>
        <v>区域土地利用方向</v>
      </c>
      <c r="R23" s="1093" t="s">
        <v>1367</v>
      </c>
      <c r="S23" s="1094">
        <f>F23</f>
        <v>100</v>
      </c>
      <c r="T23" s="1093" t="s">
        <v>1367</v>
      </c>
      <c r="U23" s="1094">
        <f>H23</f>
        <v>100</v>
      </c>
      <c r="V23" s="1093" t="s">
        <v>1367</v>
      </c>
      <c r="W23" s="1094">
        <f>J23</f>
        <v>100</v>
      </c>
      <c r="X23" s="1087"/>
      <c r="Y23" s="3294"/>
      <c r="Z23" s="1077" t="str">
        <f>Q23</f>
        <v>区域土地利用方向</v>
      </c>
      <c r="AA23" s="1104">
        <f t="shared" si="3"/>
        <v>1</v>
      </c>
      <c r="AB23" s="1104">
        <f t="shared" si="4"/>
        <v>1</v>
      </c>
      <c r="AC23" s="1104">
        <f t="shared" si="5"/>
        <v>1</v>
      </c>
    </row>
    <row r="24" spans="1:29" ht="15">
      <c r="A24" s="901"/>
      <c r="B24" s="969"/>
      <c r="C24" s="955"/>
      <c r="D24" s="942"/>
      <c r="E24" s="950"/>
      <c r="F24" s="942"/>
      <c r="G24" s="1060"/>
      <c r="H24" s="942"/>
      <c r="I24" s="1060"/>
      <c r="J24" s="942"/>
      <c r="K24" s="1061"/>
      <c r="L24" s="1057"/>
      <c r="M24" s="1045"/>
      <c r="N24" s="1045"/>
      <c r="O24" s="1056"/>
      <c r="P24" s="3294"/>
      <c r="Q24" s="656"/>
      <c r="R24" s="1093"/>
      <c r="S24" s="1094"/>
      <c r="T24" s="1093"/>
      <c r="U24" s="1094"/>
      <c r="V24" s="1093"/>
      <c r="W24" s="1094"/>
      <c r="X24" s="1087"/>
      <c r="Y24" s="3294"/>
      <c r="Z24" s="1077"/>
      <c r="AA24" s="1104"/>
      <c r="AB24" s="1104"/>
      <c r="AC24" s="1104"/>
    </row>
    <row r="25" spans="1:29" ht="57">
      <c r="A25" s="901"/>
      <c r="B25" s="1240" t="s">
        <v>1501</v>
      </c>
      <c r="C25" s="654" t="str">
        <f>估价对象房地状况!C20</f>
        <v>区域自然环境：；人文环境；综合评价环境状况一般</v>
      </c>
      <c r="D25" s="944">
        <v>100</v>
      </c>
      <c r="E25" s="947"/>
      <c r="F25" s="944">
        <f>SUMIF(98:98,E26,99:99)-SUMIF(98:98,C26,99:99)+100</f>
        <v>98</v>
      </c>
      <c r="G25" s="947"/>
      <c r="H25" s="944">
        <f>SUMIF(98:98,G26,99:99)-SUMIF(98:98,C26,99:99)+100</f>
        <v>98</v>
      </c>
      <c r="I25" s="1059"/>
      <c r="J25" s="944">
        <f>SUMIF(98:98,I26,99:99)-SUMIF(98:98,C26,99:99)+100</f>
        <v>98</v>
      </c>
      <c r="K25" s="1054">
        <v>2</v>
      </c>
      <c r="L25" s="1057"/>
      <c r="M25" s="1045"/>
      <c r="N25" s="1045"/>
      <c r="O25" s="1056"/>
      <c r="P25" s="3294"/>
      <c r="Q25" s="656" t="str">
        <f t="shared" si="8"/>
        <v>自然及人文环境状况</v>
      </c>
      <c r="R25" s="1093" t="s">
        <v>1367</v>
      </c>
      <c r="S25" s="1094">
        <f>F25</f>
        <v>98</v>
      </c>
      <c r="T25" s="1093" t="s">
        <v>1367</v>
      </c>
      <c r="U25" s="1094">
        <f>H25</f>
        <v>98</v>
      </c>
      <c r="V25" s="1093" t="s">
        <v>1367</v>
      </c>
      <c r="W25" s="1094">
        <f>J25</f>
        <v>98</v>
      </c>
      <c r="X25" s="1087"/>
      <c r="Y25" s="3294"/>
      <c r="Z25" s="1077" t="str">
        <f>Q25</f>
        <v>自然及人文环境状况</v>
      </c>
      <c r="AA25" s="1104">
        <f t="shared" si="3"/>
        <v>1.0204081632653061</v>
      </c>
      <c r="AB25" s="1104">
        <f t="shared" si="4"/>
        <v>1.0204081632653061</v>
      </c>
      <c r="AC25" s="1104">
        <f t="shared" si="5"/>
        <v>1.0204081632653061</v>
      </c>
    </row>
    <row r="26" spans="1:29" ht="15">
      <c r="A26" s="901"/>
      <c r="B26" s="969"/>
      <c r="C26" s="941" t="s">
        <v>1498</v>
      </c>
      <c r="D26" s="942"/>
      <c r="E26" s="943" t="s">
        <v>1499</v>
      </c>
      <c r="F26" s="942"/>
      <c r="G26" s="943" t="s">
        <v>1499</v>
      </c>
      <c r="H26" s="942"/>
      <c r="I26" s="941" t="s">
        <v>1499</v>
      </c>
      <c r="J26" s="942"/>
      <c r="K26" s="1050"/>
      <c r="L26" s="1057"/>
      <c r="M26" s="1045"/>
      <c r="N26" s="1045"/>
      <c r="O26" s="1056"/>
      <c r="P26" s="3294"/>
      <c r="Q26" s="656"/>
      <c r="R26" s="1093"/>
      <c r="S26" s="1094"/>
      <c r="T26" s="1093"/>
      <c r="U26" s="1094"/>
      <c r="V26" s="1093"/>
      <c r="W26" s="1094"/>
      <c r="X26" s="1087"/>
      <c r="Y26" s="3294"/>
      <c r="Z26" s="1077"/>
      <c r="AA26" s="1104">
        <v>1</v>
      </c>
      <c r="AB26" s="1104">
        <v>1</v>
      </c>
      <c r="AC26" s="1104">
        <v>1</v>
      </c>
    </row>
    <row r="27" spans="1:29" s="880" customFormat="1" ht="42.75">
      <c r="A27" s="951"/>
      <c r="B27" s="1240" t="s">
        <v>1381</v>
      </c>
      <c r="C27" s="946" t="str">
        <f>估价对象房地状况!C21</f>
        <v>估价对象所在区域公共配套设施齐备情况</v>
      </c>
      <c r="D27" s="944">
        <v>100</v>
      </c>
      <c r="E27" s="947"/>
      <c r="F27" s="944">
        <f>SUMIF(100:100,E28,101:101)-SUMIF(100:100,C28,101:101)+100</f>
        <v>98</v>
      </c>
      <c r="G27" s="947"/>
      <c r="H27" s="944">
        <f>SUMIF(100:100,G28,101:101)-SUMIF(100:100,C28,101:101)+100</f>
        <v>98</v>
      </c>
      <c r="I27" s="1059"/>
      <c r="J27" s="944">
        <f>SUMIF(100:100,I28,101:101)-SUMIF(100:100,C28,101:101)+100</f>
        <v>98</v>
      </c>
      <c r="K27" s="1054">
        <v>2</v>
      </c>
      <c r="L27" s="1047"/>
      <c r="M27" s="1048"/>
      <c r="N27" s="1048"/>
      <c r="O27" s="1049"/>
      <c r="P27" s="3294"/>
      <c r="Q27" s="1092" t="str">
        <f t="shared" si="8"/>
        <v>公共配套设施</v>
      </c>
      <c r="R27" s="1088" t="s">
        <v>1367</v>
      </c>
      <c r="S27" s="1089">
        <f>F27</f>
        <v>98</v>
      </c>
      <c r="T27" s="1088" t="s">
        <v>1367</v>
      </c>
      <c r="U27" s="1089">
        <f>H27</f>
        <v>98</v>
      </c>
      <c r="V27" s="1088" t="s">
        <v>1367</v>
      </c>
      <c r="W27" s="1089">
        <f>J27</f>
        <v>98</v>
      </c>
      <c r="X27" s="1090"/>
      <c r="Y27" s="3294"/>
      <c r="Z27" s="1103" t="str">
        <f>Q27</f>
        <v>公共配套设施</v>
      </c>
      <c r="AA27" s="1104">
        <f>D27/F27</f>
        <v>1.0204081632653061</v>
      </c>
      <c r="AB27" s="1104">
        <f>D27/H27</f>
        <v>1.0204081632653061</v>
      </c>
      <c r="AC27" s="1104">
        <f>D27/J27</f>
        <v>1.0204081632653061</v>
      </c>
    </row>
    <row r="28" spans="1:29" s="880" customFormat="1" ht="15">
      <c r="A28" s="951"/>
      <c r="B28" s="969"/>
      <c r="C28" s="953" t="s">
        <v>1498</v>
      </c>
      <c r="D28" s="942"/>
      <c r="E28" s="943" t="s">
        <v>1499</v>
      </c>
      <c r="F28" s="942"/>
      <c r="G28" s="943" t="s">
        <v>1499</v>
      </c>
      <c r="H28" s="942"/>
      <c r="I28" s="941" t="s">
        <v>1499</v>
      </c>
      <c r="J28" s="942"/>
      <c r="K28" s="1050"/>
      <c r="L28" s="1047"/>
      <c r="M28" s="1048"/>
      <c r="N28" s="1048"/>
      <c r="O28" s="1049"/>
      <c r="P28" s="3294"/>
      <c r="Q28" s="1092"/>
      <c r="R28" s="1088"/>
      <c r="S28" s="1089"/>
      <c r="T28" s="1088"/>
      <c r="U28" s="1089"/>
      <c r="V28" s="1088"/>
      <c r="W28" s="1089"/>
      <c r="X28" s="1090"/>
      <c r="Y28" s="3294"/>
      <c r="Z28" s="1103"/>
      <c r="AA28" s="1104">
        <v>1</v>
      </c>
      <c r="AB28" s="1104">
        <v>1</v>
      </c>
      <c r="AC28" s="1104">
        <v>1</v>
      </c>
    </row>
    <row r="29" spans="1:29" s="880" customFormat="1" ht="28.5">
      <c r="A29" s="951"/>
      <c r="B29" s="1240" t="s">
        <v>1382</v>
      </c>
      <c r="C29" s="946" t="str">
        <f>估价对象房地状况!C22</f>
        <v>估价对象所在区域基础设施水平</v>
      </c>
      <c r="D29" s="944">
        <v>100</v>
      </c>
      <c r="E29" s="947"/>
      <c r="F29" s="944">
        <f>SUMIF(102:102,E30,103:103)-SUMIF(102:102,C30,103:103)+100</f>
        <v>100</v>
      </c>
      <c r="G29" s="947"/>
      <c r="H29" s="944">
        <f>SUMIF(102:102,G30,103:103)-SUMIF(102:102,C30,103:103)+100</f>
        <v>100</v>
      </c>
      <c r="I29" s="1059"/>
      <c r="J29" s="944">
        <f>SUMIF(102:102,I30,103:103)-SUMIF(102:102,C30,103:103)+100</f>
        <v>100</v>
      </c>
      <c r="K29" s="1054">
        <v>2</v>
      </c>
      <c r="L29" s="1047"/>
      <c r="M29" s="1048"/>
      <c r="N29" s="1048"/>
      <c r="O29" s="1049"/>
      <c r="P29" s="3294"/>
      <c r="Q29" s="1092" t="str">
        <f>B29</f>
        <v>基础设施水平</v>
      </c>
      <c r="R29" s="1088" t="s">
        <v>1367</v>
      </c>
      <c r="S29" s="1089">
        <f>F29</f>
        <v>100</v>
      </c>
      <c r="T29" s="1088" t="s">
        <v>1367</v>
      </c>
      <c r="U29" s="1089">
        <f>H29</f>
        <v>100</v>
      </c>
      <c r="V29" s="1088" t="s">
        <v>1367</v>
      </c>
      <c r="W29" s="1089">
        <f>J29</f>
        <v>100</v>
      </c>
      <c r="X29" s="1090"/>
      <c r="Y29" s="3294"/>
      <c r="Z29" s="1103" t="str">
        <f>Q29</f>
        <v>基础设施水平</v>
      </c>
      <c r="AA29" s="1104">
        <f>D29/F29</f>
        <v>1</v>
      </c>
      <c r="AB29" s="1104">
        <f>D29/H29</f>
        <v>1</v>
      </c>
      <c r="AC29" s="1104">
        <f>D29/J29</f>
        <v>1</v>
      </c>
    </row>
    <row r="30" spans="1:29" s="880" customFormat="1" ht="15">
      <c r="A30" s="951"/>
      <c r="B30" s="969"/>
      <c r="C30" s="953" t="s">
        <v>238</v>
      </c>
      <c r="D30" s="942"/>
      <c r="E30" s="954" t="s">
        <v>238</v>
      </c>
      <c r="F30" s="942"/>
      <c r="G30" s="954" t="s">
        <v>238</v>
      </c>
      <c r="H30" s="942"/>
      <c r="I30" s="954" t="s">
        <v>238</v>
      </c>
      <c r="J30" s="942"/>
      <c r="K30" s="1050"/>
      <c r="L30" s="1047"/>
      <c r="M30" s="1048"/>
      <c r="N30" s="1048"/>
      <c r="O30" s="1049"/>
      <c r="P30" s="3294"/>
      <c r="Q30" s="1092"/>
      <c r="R30" s="1088"/>
      <c r="S30" s="1089"/>
      <c r="T30" s="1088"/>
      <c r="U30" s="1089"/>
      <c r="V30" s="1088"/>
      <c r="W30" s="1089"/>
      <c r="X30" s="1090"/>
      <c r="Y30" s="3294"/>
      <c r="Z30" s="1103"/>
      <c r="AA30" s="1104">
        <v>1</v>
      </c>
      <c r="AB30" s="1104">
        <v>1</v>
      </c>
      <c r="AC30" s="1104">
        <v>1</v>
      </c>
    </row>
    <row r="31" spans="1:29" ht="15">
      <c r="A31" s="921"/>
      <c r="B31" s="969" t="s">
        <v>1448</v>
      </c>
      <c r="C31" s="955"/>
      <c r="D31" s="930">
        <v>100</v>
      </c>
      <c r="E31" s="956"/>
      <c r="F31" s="930">
        <f>SUMIF(104:104,E31,105:105)-SUMIF(104:104,C31,105:105)+100</f>
        <v>100</v>
      </c>
      <c r="G31" s="956"/>
      <c r="H31" s="930">
        <f>SUMIF(104:104,G31,105:105)-SUMIF(104:104,C31,105:105)+100</f>
        <v>100</v>
      </c>
      <c r="I31" s="956"/>
      <c r="J31" s="930">
        <f>SUMIF(104:104,I31,105:105)-SUMIF(104:104,C31,105:105)+100</f>
        <v>100</v>
      </c>
      <c r="K31" s="1054"/>
      <c r="L31" s="1057"/>
      <c r="M31" s="1045"/>
      <c r="N31" s="1045"/>
      <c r="O31" s="1056"/>
      <c r="P31" s="3294"/>
      <c r="Q31" s="656" t="str">
        <f t="shared" si="8"/>
        <v>临街状况</v>
      </c>
      <c r="R31" s="1093" t="s">
        <v>1367</v>
      </c>
      <c r="S31" s="1094">
        <f t="shared" ref="S31:S45" si="9">F31</f>
        <v>100</v>
      </c>
      <c r="T31" s="1093" t="s">
        <v>1367</v>
      </c>
      <c r="U31" s="1094">
        <f t="shared" ref="U31:U45" si="10">H31</f>
        <v>100</v>
      </c>
      <c r="V31" s="1093" t="s">
        <v>1367</v>
      </c>
      <c r="W31" s="1094">
        <f t="shared" ref="W31:W45" si="11">J31</f>
        <v>100</v>
      </c>
      <c r="X31" s="1087"/>
      <c r="Y31" s="3294"/>
      <c r="Z31" s="1077" t="str">
        <f t="shared" ref="Z31:Z45" si="12">Q31</f>
        <v>临街状况</v>
      </c>
      <c r="AA31" s="1104">
        <f t="shared" si="3"/>
        <v>1</v>
      </c>
      <c r="AB31" s="1104">
        <f t="shared" si="4"/>
        <v>1</v>
      </c>
      <c r="AC31" s="1104">
        <f t="shared" si="5"/>
        <v>1</v>
      </c>
    </row>
    <row r="32" spans="1:29" ht="27">
      <c r="A32" s="921"/>
      <c r="B32" s="1240" t="s">
        <v>1462</v>
      </c>
      <c r="C32" s="1059"/>
      <c r="D32" s="944">
        <v>100</v>
      </c>
      <c r="E32" s="947"/>
      <c r="F32" s="944">
        <f>SUMIF(106:106,E33,107:107)-SUMIF(106:106,C33,107:107)+100</f>
        <v>100</v>
      </c>
      <c r="G32" s="947"/>
      <c r="H32" s="944">
        <f>SUMIF(106:106,G33,107:107)-SUMIF(106:106,C33,107:107)+100</f>
        <v>100</v>
      </c>
      <c r="I32" s="1059"/>
      <c r="J32" s="944">
        <f>SUMIF(106:106,I33,107:107)-SUMIF(106:106,C33,107:107)+100</f>
        <v>100</v>
      </c>
      <c r="K32" s="1054"/>
      <c r="L32" s="1057"/>
      <c r="M32" s="1045"/>
      <c r="N32" s="1045"/>
      <c r="O32" s="1056"/>
      <c r="P32" s="3294"/>
      <c r="Q32" s="656" t="str">
        <f t="shared" si="8"/>
        <v>毗邻道路的类型与等级</v>
      </c>
      <c r="R32" s="1093" t="s">
        <v>1367</v>
      </c>
      <c r="S32" s="1094">
        <f t="shared" si="9"/>
        <v>100</v>
      </c>
      <c r="T32" s="1093" t="s">
        <v>1367</v>
      </c>
      <c r="U32" s="1094">
        <f t="shared" si="10"/>
        <v>100</v>
      </c>
      <c r="V32" s="1093" t="s">
        <v>1367</v>
      </c>
      <c r="W32" s="1094">
        <f t="shared" si="11"/>
        <v>100</v>
      </c>
      <c r="X32" s="1087"/>
      <c r="Y32" s="3294"/>
      <c r="Z32" s="1077" t="str">
        <f t="shared" si="12"/>
        <v>毗邻道路的类型与等级</v>
      </c>
      <c r="AA32" s="1104">
        <f t="shared" si="3"/>
        <v>1</v>
      </c>
      <c r="AB32" s="1104">
        <f t="shared" si="4"/>
        <v>1</v>
      </c>
      <c r="AC32" s="1104">
        <f t="shared" si="5"/>
        <v>1</v>
      </c>
    </row>
    <row r="33" spans="1:29" ht="15">
      <c r="A33" s="921"/>
      <c r="B33" s="969"/>
      <c r="C33" s="941"/>
      <c r="D33" s="942"/>
      <c r="E33" s="943"/>
      <c r="F33" s="942"/>
      <c r="G33" s="943"/>
      <c r="H33" s="942"/>
      <c r="I33" s="941"/>
      <c r="J33" s="942"/>
      <c r="K33" s="1062"/>
      <c r="L33" s="1057"/>
      <c r="M33" s="1045"/>
      <c r="N33" s="1045"/>
      <c r="O33" s="1056"/>
      <c r="P33" s="3294"/>
      <c r="Q33" s="656"/>
      <c r="R33" s="1093"/>
      <c r="S33" s="1094"/>
      <c r="T33" s="1093"/>
      <c r="U33" s="1094"/>
      <c r="V33" s="1093"/>
      <c r="W33" s="1094"/>
      <c r="X33" s="1087"/>
      <c r="Y33" s="3294"/>
      <c r="Z33" s="1077"/>
      <c r="AA33" s="1104">
        <v>1</v>
      </c>
      <c r="AB33" s="1104">
        <v>1</v>
      </c>
      <c r="AC33" s="1104">
        <v>1</v>
      </c>
    </row>
    <row r="34" spans="1:29" ht="15">
      <c r="A34" s="921"/>
      <c r="B34" s="918" t="s">
        <v>1503</v>
      </c>
      <c r="C34" s="955" t="s">
        <v>2851</v>
      </c>
      <c r="D34" s="930">
        <v>100</v>
      </c>
      <c r="E34" s="956" t="s">
        <v>2851</v>
      </c>
      <c r="F34" s="930">
        <f>SUMIF(108:108,E34,109:109)-SUMIF(108:108,C34,109:109)+100</f>
        <v>100</v>
      </c>
      <c r="G34" s="956" t="s">
        <v>2851</v>
      </c>
      <c r="H34" s="930">
        <f>SUMIF(108:108,G34,109:109)-SUMIF(108:108,C34,109:109)+100</f>
        <v>100</v>
      </c>
      <c r="I34" s="955" t="s">
        <v>2853</v>
      </c>
      <c r="J34" s="930">
        <f>SUMIF(108:108,I34,109:109)-SUMIF(108:108,C34,109:109)+100</f>
        <v>98</v>
      </c>
      <c r="K34" s="1063">
        <v>2</v>
      </c>
      <c r="L34" s="1057"/>
      <c r="M34" s="1045"/>
      <c r="N34" s="1045"/>
      <c r="O34" s="1056"/>
      <c r="P34" s="3294"/>
      <c r="Q34" s="656" t="str">
        <f t="shared" si="8"/>
        <v>土地级别</v>
      </c>
      <c r="R34" s="1093" t="s">
        <v>1367</v>
      </c>
      <c r="S34" s="1094">
        <f t="shared" si="9"/>
        <v>100</v>
      </c>
      <c r="T34" s="1093" t="s">
        <v>1367</v>
      </c>
      <c r="U34" s="1094">
        <f t="shared" si="10"/>
        <v>100</v>
      </c>
      <c r="V34" s="1093" t="s">
        <v>1367</v>
      </c>
      <c r="W34" s="1094">
        <f t="shared" si="11"/>
        <v>98</v>
      </c>
      <c r="X34" s="1087"/>
      <c r="Y34" s="3294"/>
      <c r="Z34" s="1077" t="str">
        <f t="shared" si="12"/>
        <v>土地级别</v>
      </c>
      <c r="AA34" s="1104">
        <f t="shared" si="3"/>
        <v>1</v>
      </c>
      <c r="AB34" s="1104">
        <f t="shared" si="4"/>
        <v>1</v>
      </c>
      <c r="AC34" s="1104">
        <f t="shared" si="5"/>
        <v>1.0204081632653061</v>
      </c>
    </row>
    <row r="35" spans="1:29" ht="15">
      <c r="A35" s="901"/>
      <c r="B35" s="1241">
        <v>111</v>
      </c>
      <c r="C35" s="928"/>
      <c r="D35" s="930">
        <v>100</v>
      </c>
      <c r="E35" s="961"/>
      <c r="F35" s="930">
        <f>SUMIF(110:110,E35,111:111)-SUMIF(110:110,C35,111:111)+100</f>
        <v>100</v>
      </c>
      <c r="G35" s="961"/>
      <c r="H35" s="930">
        <f>SUMIF(110:110,G35,111:111)-SUMIF(110:110,C35,111:111)+100</f>
        <v>100</v>
      </c>
      <c r="I35" s="928"/>
      <c r="J35" s="930">
        <f>SUMIF(110:110,I35,111:111)-SUMIF(110:110,C35,111:111)+100</f>
        <v>100</v>
      </c>
      <c r="K35" s="1062"/>
      <c r="L35" s="1057"/>
      <c r="M35" s="1045"/>
      <c r="N35" s="1045"/>
      <c r="O35" s="1056"/>
      <c r="P35" s="3294"/>
      <c r="Q35" s="656">
        <f t="shared" si="8"/>
        <v>111</v>
      </c>
      <c r="R35" s="1093" t="s">
        <v>1367</v>
      </c>
      <c r="S35" s="1094">
        <f t="shared" si="9"/>
        <v>100</v>
      </c>
      <c r="T35" s="1093" t="s">
        <v>1367</v>
      </c>
      <c r="U35" s="1094">
        <f t="shared" si="10"/>
        <v>100</v>
      </c>
      <c r="V35" s="1093" t="s">
        <v>1367</v>
      </c>
      <c r="W35" s="1094">
        <f t="shared" si="11"/>
        <v>100</v>
      </c>
      <c r="X35" s="1087"/>
      <c r="Y35" s="3294"/>
      <c r="Z35" s="1077">
        <f t="shared" si="12"/>
        <v>111</v>
      </c>
      <c r="AA35" s="1104">
        <f t="shared" si="3"/>
        <v>1</v>
      </c>
      <c r="AB35" s="1104">
        <f t="shared" si="4"/>
        <v>1</v>
      </c>
      <c r="AC35" s="1104">
        <f t="shared" si="5"/>
        <v>1</v>
      </c>
    </row>
    <row r="36" spans="1:29" ht="15">
      <c r="A36" s="962"/>
      <c r="B36" s="976">
        <v>111</v>
      </c>
      <c r="C36" s="928"/>
      <c r="D36" s="930">
        <v>100</v>
      </c>
      <c r="E36" s="961"/>
      <c r="F36" s="930">
        <f>SUMIF(112:112,E37,113:113)-SUMIF(112:112,C37,113:113)+100</f>
        <v>100</v>
      </c>
      <c r="G36" s="961"/>
      <c r="H36" s="930">
        <f>SUMIF(112:112,G36,113:113)-SUMIF(112:112,C36,113:113)+100</f>
        <v>100</v>
      </c>
      <c r="I36" s="928"/>
      <c r="J36" s="930">
        <f>SUMIF(112:112,I36,113:113)-SUMIF(112:112,C36,113:113)+100</f>
        <v>100</v>
      </c>
      <c r="K36" s="1062"/>
      <c r="L36" s="1057"/>
      <c r="M36" s="1045"/>
      <c r="N36" s="1045"/>
      <c r="O36" s="1056"/>
      <c r="P36" s="3295" t="s">
        <v>1388</v>
      </c>
      <c r="Q36" s="656">
        <f t="shared" si="8"/>
        <v>111</v>
      </c>
      <c r="R36" s="1093" t="s">
        <v>1367</v>
      </c>
      <c r="S36" s="1094">
        <f t="shared" si="9"/>
        <v>100</v>
      </c>
      <c r="T36" s="1093" t="s">
        <v>1367</v>
      </c>
      <c r="U36" s="1094">
        <f t="shared" si="10"/>
        <v>100</v>
      </c>
      <c r="V36" s="1093" t="s">
        <v>1367</v>
      </c>
      <c r="W36" s="1094">
        <f t="shared" si="11"/>
        <v>100</v>
      </c>
      <c r="X36" s="1087"/>
      <c r="Y36" s="3296" t="s">
        <v>1388</v>
      </c>
      <c r="Z36" s="1077">
        <f t="shared" si="12"/>
        <v>111</v>
      </c>
      <c r="AA36" s="1104">
        <f t="shared" si="3"/>
        <v>1</v>
      </c>
      <c r="AB36" s="1104">
        <f t="shared" si="4"/>
        <v>1</v>
      </c>
      <c r="AC36" s="1104">
        <f t="shared" si="5"/>
        <v>1</v>
      </c>
    </row>
    <row r="37" spans="1:29" s="882" customFormat="1" ht="15">
      <c r="A37" s="964"/>
      <c r="B37" s="1242">
        <v>111</v>
      </c>
      <c r="C37" s="966"/>
      <c r="D37" s="967">
        <v>100</v>
      </c>
      <c r="E37" s="968"/>
      <c r="F37" s="934">
        <f>SUMIF(114:114,E37,115:115)-SUMIF(114:114,C37,115:115)+100</f>
        <v>100</v>
      </c>
      <c r="G37" s="968"/>
      <c r="H37" s="934">
        <f>SUMIF(114:114,G37,115:115)-SUMIF(114:114,C37,115:115)+100</f>
        <v>100</v>
      </c>
      <c r="I37" s="966"/>
      <c r="J37" s="934">
        <f>SUMIF(114:114,I37,115:115)-SUMIF(114:114,C37,115:115)+100</f>
        <v>100</v>
      </c>
      <c r="K37" s="1062"/>
      <c r="L37" s="1055"/>
      <c r="M37" s="1064"/>
      <c r="N37" s="1064"/>
      <c r="O37" s="1065"/>
      <c r="P37" s="3296"/>
      <c r="Q37" s="656">
        <f t="shared" si="8"/>
        <v>111</v>
      </c>
      <c r="R37" s="1095" t="s">
        <v>1367</v>
      </c>
      <c r="S37" s="1096">
        <f t="shared" si="9"/>
        <v>100</v>
      </c>
      <c r="T37" s="1095" t="s">
        <v>1367</v>
      </c>
      <c r="U37" s="1096">
        <f t="shared" si="10"/>
        <v>100</v>
      </c>
      <c r="V37" s="1095" t="s">
        <v>1367</v>
      </c>
      <c r="W37" s="1096">
        <f t="shared" si="11"/>
        <v>100</v>
      </c>
      <c r="X37" s="1097"/>
      <c r="Y37" s="3296"/>
      <c r="Z37" s="1105">
        <f t="shared" si="12"/>
        <v>111</v>
      </c>
      <c r="AA37" s="1104">
        <f t="shared" si="3"/>
        <v>1</v>
      </c>
      <c r="AB37" s="1104">
        <f t="shared" si="4"/>
        <v>1</v>
      </c>
      <c r="AC37" s="1104">
        <f t="shared" si="5"/>
        <v>1</v>
      </c>
    </row>
    <row r="38" spans="1:29" ht="15">
      <c r="A38" s="972" t="s">
        <v>1386</v>
      </c>
      <c r="B38" s="969" t="s">
        <v>1504</v>
      </c>
      <c r="C38" s="970">
        <v>27227.86</v>
      </c>
      <c r="D38" s="971">
        <v>100</v>
      </c>
      <c r="E38" s="970">
        <f>土地案例!$D$165</f>
        <v>29750.73</v>
      </c>
      <c r="F38" s="971">
        <f>LOOKUP(E38,117:117,118:118)-LOOKUP(C38,117:117,118:118)+100</f>
        <v>100</v>
      </c>
      <c r="G38" s="970">
        <f>土地案例!$D$166</f>
        <v>33194.400000000001</v>
      </c>
      <c r="H38" s="971">
        <f>LOOKUP(G38,117:117,118:118)-LOOKUP(C38,117:117,118:118)+100</f>
        <v>100</v>
      </c>
      <c r="I38" s="1066">
        <f>土地案例!$D$169</f>
        <v>21023.4</v>
      </c>
      <c r="J38" s="971">
        <f>LOOKUP(I38,117:117,118:118)-LOOKUP(C38,117:117,118:118)+100</f>
        <v>100</v>
      </c>
      <c r="K38" s="1062"/>
      <c r="L38" s="1057"/>
      <c r="M38" s="1045"/>
      <c r="N38" s="1045"/>
      <c r="O38" s="1056"/>
      <c r="P38" s="3296"/>
      <c r="Q38" s="656" t="str">
        <f t="shared" si="8"/>
        <v>宗地面积</v>
      </c>
      <c r="R38" s="1093" t="s">
        <v>1367</v>
      </c>
      <c r="S38" s="1094">
        <f t="shared" si="9"/>
        <v>100</v>
      </c>
      <c r="T38" s="1093" t="s">
        <v>1367</v>
      </c>
      <c r="U38" s="1094">
        <f t="shared" si="10"/>
        <v>100</v>
      </c>
      <c r="V38" s="1093" t="s">
        <v>1367</v>
      </c>
      <c r="W38" s="1094">
        <f t="shared" si="11"/>
        <v>100</v>
      </c>
      <c r="X38" s="1087"/>
      <c r="Y38" s="3296"/>
      <c r="Z38" s="1077" t="str">
        <f t="shared" si="12"/>
        <v>宗地面积</v>
      </c>
      <c r="AA38" s="1104">
        <f t="shared" si="3"/>
        <v>1</v>
      </c>
      <c r="AB38" s="1104">
        <f t="shared" si="4"/>
        <v>1</v>
      </c>
      <c r="AC38" s="1104">
        <f t="shared" si="5"/>
        <v>1</v>
      </c>
    </row>
    <row r="39" spans="1:29" ht="15">
      <c r="A39" s="972"/>
      <c r="B39" s="3424" t="s">
        <v>1505</v>
      </c>
      <c r="C39" s="973"/>
      <c r="D39" s="930">
        <v>100</v>
      </c>
      <c r="E39" s="973"/>
      <c r="F39" s="930">
        <f>SUMIF(119:119,E39,120:120)-SUMIF(119:119,C39,120:120)+100</f>
        <v>100</v>
      </c>
      <c r="G39" s="973"/>
      <c r="H39" s="930">
        <f>SUMIF(119:119,G39,120:120)-SUMIF(119:119,C39,120:120)+100</f>
        <v>100</v>
      </c>
      <c r="I39" s="973"/>
      <c r="J39" s="930">
        <f>SUMIF(119:119,I39,120:120)-SUMIF(119:119,C39,120:120)+100</f>
        <v>100</v>
      </c>
      <c r="K39" s="1063"/>
      <c r="L39" s="1057"/>
      <c r="M39" s="1045"/>
      <c r="N39" s="1045"/>
      <c r="O39" s="1056"/>
      <c r="P39" s="3296"/>
      <c r="Q39" s="656" t="str">
        <f t="shared" ref="Q39:Q45" si="13">B39</f>
        <v>宗地形状</v>
      </c>
      <c r="R39" s="1093" t="s">
        <v>1367</v>
      </c>
      <c r="S39" s="1094">
        <f t="shared" si="9"/>
        <v>100</v>
      </c>
      <c r="T39" s="1093" t="s">
        <v>1367</v>
      </c>
      <c r="U39" s="1094">
        <f t="shared" si="10"/>
        <v>100</v>
      </c>
      <c r="V39" s="1093" t="s">
        <v>1367</v>
      </c>
      <c r="W39" s="1094">
        <f t="shared" si="11"/>
        <v>100</v>
      </c>
      <c r="X39" s="1087"/>
      <c r="Y39" s="3296"/>
      <c r="Z39" s="1077" t="str">
        <f t="shared" si="12"/>
        <v>宗地形状</v>
      </c>
      <c r="AA39" s="1104">
        <f t="shared" si="3"/>
        <v>1</v>
      </c>
      <c r="AB39" s="1104">
        <f t="shared" si="4"/>
        <v>1</v>
      </c>
      <c r="AC39" s="1104">
        <f t="shared" si="5"/>
        <v>1</v>
      </c>
    </row>
    <row r="40" spans="1:29" ht="15">
      <c r="A40" s="972"/>
      <c r="B40" s="918" t="s">
        <v>1506</v>
      </c>
      <c r="C40" s="973"/>
      <c r="D40" s="930">
        <v>100</v>
      </c>
      <c r="E40" s="973"/>
      <c r="F40" s="930">
        <f>SUMIF(121:121,E40,122:122)-SUMIF(121:121,C40,122:122)+100</f>
        <v>100</v>
      </c>
      <c r="G40" s="973"/>
      <c r="H40" s="930">
        <f>SUMIF(121:121,G40,122:122)-SUMIF(121:121,C40,122:122)+100</f>
        <v>100</v>
      </c>
      <c r="I40" s="973"/>
      <c r="J40" s="930">
        <f>SUMIF(121:121,I40,122:122)-SUMIF(121:121,C40,122:122)+100</f>
        <v>100</v>
      </c>
      <c r="K40" s="1063"/>
      <c r="L40" s="1057"/>
      <c r="M40" s="1045"/>
      <c r="N40" s="1045"/>
      <c r="O40" s="1056"/>
      <c r="P40" s="3296"/>
      <c r="Q40" s="656" t="str">
        <f t="shared" si="13"/>
        <v>临街宽度及深度</v>
      </c>
      <c r="R40" s="1093" t="s">
        <v>1367</v>
      </c>
      <c r="S40" s="1094">
        <f t="shared" si="9"/>
        <v>100</v>
      </c>
      <c r="T40" s="1093" t="s">
        <v>1367</v>
      </c>
      <c r="U40" s="1094">
        <f t="shared" si="10"/>
        <v>100</v>
      </c>
      <c r="V40" s="1093" t="s">
        <v>1367</v>
      </c>
      <c r="W40" s="1094">
        <f t="shared" si="11"/>
        <v>100</v>
      </c>
      <c r="X40" s="1087"/>
      <c r="Y40" s="3296"/>
      <c r="Z40" s="1077" t="str">
        <f t="shared" si="12"/>
        <v>临街宽度及深度</v>
      </c>
      <c r="AA40" s="1104">
        <f t="shared" si="3"/>
        <v>1</v>
      </c>
      <c r="AB40" s="1104">
        <f t="shared" si="4"/>
        <v>1</v>
      </c>
      <c r="AC40" s="1104">
        <f t="shared" si="5"/>
        <v>1</v>
      </c>
    </row>
    <row r="41" spans="1:29" s="880" customFormat="1" ht="15">
      <c r="A41" s="974"/>
      <c r="B41" s="918" t="s">
        <v>1507</v>
      </c>
      <c r="C41" s="1243" t="s">
        <v>238</v>
      </c>
      <c r="D41" s="920">
        <v>100</v>
      </c>
      <c r="E41" s="1243" t="s">
        <v>257</v>
      </c>
      <c r="F41" s="930">
        <f>SUMIF(123:123,E41,124:124)-SUMIF(123:123,C41,124:124)+100</f>
        <v>99</v>
      </c>
      <c r="G41" s="1243" t="s">
        <v>257</v>
      </c>
      <c r="H41" s="930">
        <f>SUMIF(123:123,G41,124:124)-SUMIF(123:123,C41,124:124)+100</f>
        <v>99</v>
      </c>
      <c r="I41" s="1243" t="s">
        <v>272</v>
      </c>
      <c r="J41" s="930">
        <f>SUMIF(123:123,I41,124:124)-SUMIF(123:123,C41,124:124)+100</f>
        <v>98</v>
      </c>
      <c r="K41" s="1063">
        <v>0.5</v>
      </c>
      <c r="L41" s="1047"/>
      <c r="M41" s="1048"/>
      <c r="N41" s="1048"/>
      <c r="O41" s="1049"/>
      <c r="P41" s="3296"/>
      <c r="Q41" s="656" t="str">
        <f t="shared" si="13"/>
        <v>宗地开发程度</v>
      </c>
      <c r="R41" s="1088" t="s">
        <v>1367</v>
      </c>
      <c r="S41" s="1089">
        <f t="shared" si="9"/>
        <v>99</v>
      </c>
      <c r="T41" s="1088" t="s">
        <v>1367</v>
      </c>
      <c r="U41" s="1089">
        <f t="shared" si="10"/>
        <v>99</v>
      </c>
      <c r="V41" s="1088" t="s">
        <v>1367</v>
      </c>
      <c r="W41" s="1089">
        <f t="shared" si="11"/>
        <v>98</v>
      </c>
      <c r="X41" s="1090"/>
      <c r="Y41" s="3296"/>
      <c r="Z41" s="1103" t="str">
        <f t="shared" si="12"/>
        <v>宗地开发程度</v>
      </c>
      <c r="AA41" s="1102">
        <f t="shared" si="3"/>
        <v>1.0101010101010102</v>
      </c>
      <c r="AB41" s="1102">
        <f t="shared" si="4"/>
        <v>1.0101010101010102</v>
      </c>
      <c r="AC41" s="1102">
        <f t="shared" si="5"/>
        <v>1.0204081632653061</v>
      </c>
    </row>
    <row r="42" spans="1:29" ht="15">
      <c r="A42" s="972"/>
      <c r="B42" s="918" t="s">
        <v>1508</v>
      </c>
      <c r="C42" s="973"/>
      <c r="D42" s="930">
        <v>100</v>
      </c>
      <c r="E42" s="973"/>
      <c r="F42" s="930">
        <f>SUMIF(125:125,E42,126:126)-SUMIF(125:125,C42,126:126)+100</f>
        <v>100</v>
      </c>
      <c r="G42" s="973"/>
      <c r="H42" s="930">
        <f>SUMIF(125:125,G42,126:126)-SUMIF(125:125,C42,126:126)+100</f>
        <v>100</v>
      </c>
      <c r="I42" s="973"/>
      <c r="J42" s="930">
        <f>SUMIF(125:125,I42,126:126)-SUMIF(125:125,C42,126:126)+100</f>
        <v>100</v>
      </c>
      <c r="K42" s="1063"/>
      <c r="L42" s="1057"/>
      <c r="M42" s="1045"/>
      <c r="N42" s="1045"/>
      <c r="O42" s="1056"/>
      <c r="P42" s="3296" t="s">
        <v>1388</v>
      </c>
      <c r="Q42" s="656" t="str">
        <f t="shared" si="13"/>
        <v>工程地质条件</v>
      </c>
      <c r="R42" s="1093" t="s">
        <v>1367</v>
      </c>
      <c r="S42" s="1094">
        <f t="shared" si="9"/>
        <v>100</v>
      </c>
      <c r="T42" s="1093" t="s">
        <v>1367</v>
      </c>
      <c r="U42" s="1094">
        <f t="shared" si="10"/>
        <v>100</v>
      </c>
      <c r="V42" s="1093" t="s">
        <v>1367</v>
      </c>
      <c r="W42" s="1094">
        <f t="shared" si="11"/>
        <v>100</v>
      </c>
      <c r="X42" s="1087"/>
      <c r="Y42" s="3296" t="s">
        <v>1388</v>
      </c>
      <c r="Z42" s="1077" t="str">
        <f t="shared" si="12"/>
        <v>工程地质条件</v>
      </c>
      <c r="AA42" s="1104">
        <f t="shared" si="3"/>
        <v>1</v>
      </c>
      <c r="AB42" s="1104">
        <f t="shared" si="4"/>
        <v>1</v>
      </c>
      <c r="AC42" s="1104">
        <f t="shared" si="5"/>
        <v>1</v>
      </c>
    </row>
    <row r="43" spans="1:29" ht="15">
      <c r="A43" s="972"/>
      <c r="B43" s="976">
        <v>111</v>
      </c>
      <c r="C43" s="928"/>
      <c r="D43" s="930">
        <v>100</v>
      </c>
      <c r="E43" s="928"/>
      <c r="F43" s="930">
        <f>SUMIF(127:127,E43,128:128)-SUMIF(127:127,C43,128:128)+100</f>
        <v>100</v>
      </c>
      <c r="G43" s="928"/>
      <c r="H43" s="930">
        <f>SUMIF(127:127,G43,128:128)-SUMIF(127:127,C43,128:128)+100</f>
        <v>100</v>
      </c>
      <c r="I43" s="927"/>
      <c r="J43" s="930">
        <f>SUMIF(127:127,I43,128:128)-SUMIF(127:127,C43,128:128)+100</f>
        <v>100</v>
      </c>
      <c r="K43" s="1062"/>
      <c r="L43" s="1057"/>
      <c r="M43" s="1045"/>
      <c r="N43" s="1045"/>
      <c r="O43" s="1056"/>
      <c r="P43" s="3296"/>
      <c r="Q43" s="656">
        <f t="shared" si="13"/>
        <v>111</v>
      </c>
      <c r="R43" s="1093" t="s">
        <v>1367</v>
      </c>
      <c r="S43" s="1094">
        <f t="shared" si="9"/>
        <v>100</v>
      </c>
      <c r="T43" s="1093" t="s">
        <v>1367</v>
      </c>
      <c r="U43" s="1094">
        <f t="shared" si="10"/>
        <v>100</v>
      </c>
      <c r="V43" s="1093" t="s">
        <v>1367</v>
      </c>
      <c r="W43" s="1094">
        <f t="shared" si="11"/>
        <v>100</v>
      </c>
      <c r="X43" s="1087"/>
      <c r="Y43" s="3296"/>
      <c r="Z43" s="1077">
        <f t="shared" si="12"/>
        <v>111</v>
      </c>
      <c r="AA43" s="1104">
        <f t="shared" si="3"/>
        <v>1</v>
      </c>
      <c r="AB43" s="1104">
        <f t="shared" si="4"/>
        <v>1</v>
      </c>
      <c r="AC43" s="1104">
        <f t="shared" si="5"/>
        <v>1</v>
      </c>
    </row>
    <row r="44" spans="1:29" ht="15">
      <c r="A44" s="972"/>
      <c r="B44" s="976">
        <v>111</v>
      </c>
      <c r="C44" s="928"/>
      <c r="D44" s="930">
        <v>100</v>
      </c>
      <c r="E44" s="928"/>
      <c r="F44" s="930">
        <f>SUMIF(129:129,E44,130:130)-SUMIF(129:129,C44,130:130)+100</f>
        <v>100</v>
      </c>
      <c r="G44" s="928"/>
      <c r="H44" s="930">
        <f>SUMIF(129:129,G44,130:130)-SUMIF(129:129,C44,130:130)+100</f>
        <v>100</v>
      </c>
      <c r="I44" s="927"/>
      <c r="J44" s="930">
        <f>SUMIF(129:129,I44,130:130)-SUMIF(129:129,C44,130:130)+100</f>
        <v>100</v>
      </c>
      <c r="K44" s="1062"/>
      <c r="L44" s="1057"/>
      <c r="M44" s="1045"/>
      <c r="N44" s="1045"/>
      <c r="O44" s="1056"/>
      <c r="P44" s="3296"/>
      <c r="Q44" s="656">
        <f t="shared" si="13"/>
        <v>111</v>
      </c>
      <c r="R44" s="1093" t="s">
        <v>1367</v>
      </c>
      <c r="S44" s="1094">
        <f t="shared" si="9"/>
        <v>100</v>
      </c>
      <c r="T44" s="1093" t="s">
        <v>1367</v>
      </c>
      <c r="U44" s="1094">
        <f t="shared" si="10"/>
        <v>100</v>
      </c>
      <c r="V44" s="1093" t="s">
        <v>1367</v>
      </c>
      <c r="W44" s="1094">
        <f t="shared" si="11"/>
        <v>100</v>
      </c>
      <c r="X44" s="1087"/>
      <c r="Y44" s="3296"/>
      <c r="Z44" s="1077">
        <f t="shared" si="12"/>
        <v>111</v>
      </c>
      <c r="AA44" s="1104">
        <f t="shared" si="3"/>
        <v>1</v>
      </c>
      <c r="AB44" s="1104">
        <f t="shared" si="4"/>
        <v>1</v>
      </c>
      <c r="AC44" s="1104">
        <f t="shared" si="5"/>
        <v>1</v>
      </c>
    </row>
    <row r="45" spans="1:29" s="882" customFormat="1" ht="15">
      <c r="A45" s="977"/>
      <c r="B45" s="976">
        <v>111</v>
      </c>
      <c r="C45" s="978"/>
      <c r="D45" s="1244">
        <v>100</v>
      </c>
      <c r="E45" s="928"/>
      <c r="F45" s="934">
        <f>SUMIF(131:131,E45,132:132)-SUMIF(131:131,C45,132:132)+100</f>
        <v>100</v>
      </c>
      <c r="G45" s="928"/>
      <c r="H45" s="934">
        <f>SUMIF(131:131,G45,132:132)-SUMIF(131:131,C45,132:132)+100</f>
        <v>100</v>
      </c>
      <c r="I45" s="928"/>
      <c r="J45" s="934">
        <f>SUMIF(131:131,I45,132:132)-SUMIF(131:131,C45,132:132)+100</f>
        <v>100</v>
      </c>
      <c r="K45" s="1067"/>
      <c r="L45" s="1055"/>
      <c r="M45" s="1064"/>
      <c r="N45" s="1064"/>
      <c r="O45" s="1065"/>
      <c r="P45" s="3296"/>
      <c r="Q45" s="656">
        <f t="shared" si="13"/>
        <v>111</v>
      </c>
      <c r="R45" s="1095" t="s">
        <v>1367</v>
      </c>
      <c r="S45" s="1096">
        <f t="shared" si="9"/>
        <v>100</v>
      </c>
      <c r="T45" s="1095" t="s">
        <v>1367</v>
      </c>
      <c r="U45" s="1096">
        <f t="shared" si="10"/>
        <v>100</v>
      </c>
      <c r="V45" s="1095" t="s">
        <v>1367</v>
      </c>
      <c r="W45" s="1096">
        <f t="shared" si="11"/>
        <v>100</v>
      </c>
      <c r="X45" s="1097"/>
      <c r="Y45" s="3296"/>
      <c r="Z45" s="1105">
        <f t="shared" si="12"/>
        <v>111</v>
      </c>
      <c r="AA45" s="1104">
        <f t="shared" si="3"/>
        <v>1</v>
      </c>
      <c r="AB45" s="1104">
        <f t="shared" si="4"/>
        <v>1</v>
      </c>
      <c r="AC45" s="1104">
        <f t="shared" si="5"/>
        <v>1</v>
      </c>
    </row>
    <row r="46" spans="1:29" ht="15">
      <c r="A46" s="979" t="s">
        <v>1479</v>
      </c>
      <c r="B46" s="980" t="s">
        <v>1509</v>
      </c>
      <c r="C46" s="981" t="s">
        <v>124</v>
      </c>
      <c r="D46" s="982"/>
      <c r="E46" s="983">
        <v>73912</v>
      </c>
      <c r="F46" s="984"/>
      <c r="G46" s="985">
        <v>67202</v>
      </c>
      <c r="H46" s="986"/>
      <c r="I46" s="983">
        <f>土地案例!$R$169</f>
        <v>58228</v>
      </c>
      <c r="J46" s="986"/>
      <c r="K46" s="1068"/>
      <c r="L46" s="1069"/>
      <c r="M46" s="996"/>
      <c r="N46" s="1045"/>
      <c r="O46" s="996"/>
      <c r="P46" s="3276" t="str">
        <f>A46</f>
        <v>成交单价</v>
      </c>
      <c r="Q46" s="3276"/>
      <c r="R46" s="3289">
        <f>E46</f>
        <v>73912</v>
      </c>
      <c r="S46" s="3289"/>
      <c r="T46" s="3289">
        <f>G46</f>
        <v>67202</v>
      </c>
      <c r="U46" s="3289"/>
      <c r="V46" s="3289">
        <f>I46</f>
        <v>58228</v>
      </c>
      <c r="W46" s="3289"/>
      <c r="X46" s="1033"/>
      <c r="Y46" s="1106"/>
      <c r="Z46" s="1033"/>
      <c r="AA46" s="1033"/>
      <c r="AB46" s="1033"/>
      <c r="AC46" s="1033"/>
    </row>
    <row r="47" spans="1:29" ht="15">
      <c r="A47" s="987" t="s">
        <v>1400</v>
      </c>
      <c r="B47" s="988"/>
      <c r="C47" s="989">
        <f>R48</f>
        <v>70898</v>
      </c>
      <c r="D47" s="990" t="s">
        <v>1401</v>
      </c>
      <c r="E47" s="989">
        <f>R47</f>
        <v>75546</v>
      </c>
      <c r="F47" s="991"/>
      <c r="G47" s="992">
        <f>T47</f>
        <v>69382</v>
      </c>
      <c r="H47" s="991"/>
      <c r="I47" s="989">
        <f>V47</f>
        <v>67765</v>
      </c>
      <c r="J47" s="991"/>
      <c r="K47" s="1070">
        <f>F47+H47+J47</f>
        <v>0</v>
      </c>
      <c r="L47" s="1069"/>
      <c r="M47" s="996"/>
      <c r="N47" s="996"/>
      <c r="O47" s="996"/>
      <c r="P47" s="3276" t="str">
        <f>A47</f>
        <v>比较价值（元/平方米）</v>
      </c>
      <c r="Q47" s="3276"/>
      <c r="R47" s="3297">
        <f>ROUND(PRODUCT(R46,AA7:AA45),0)</f>
        <v>75546</v>
      </c>
      <c r="S47" s="3297"/>
      <c r="T47" s="3297">
        <f>ROUND(PRODUCT(T46,AB7:AB45),0)</f>
        <v>69382</v>
      </c>
      <c r="U47" s="3297"/>
      <c r="V47" s="3297">
        <f>ROUND(PRODUCT(V46,AC7:AC45),0)</f>
        <v>67765</v>
      </c>
      <c r="W47" s="3297"/>
      <c r="X47" s="1033"/>
      <c r="Y47" s="1033"/>
      <c r="Z47" s="1033"/>
      <c r="AA47" s="1033"/>
      <c r="AB47" s="1033"/>
      <c r="AC47" s="1033"/>
    </row>
    <row r="48" spans="1:29" ht="15">
      <c r="A48" s="993" t="s">
        <v>1510</v>
      </c>
      <c r="B48" s="994"/>
      <c r="C48" s="995">
        <f>R48</f>
        <v>70898</v>
      </c>
      <c r="D48" s="995"/>
      <c r="E48" s="995"/>
      <c r="F48" s="995"/>
      <c r="G48" s="995"/>
      <c r="H48" s="995"/>
      <c r="I48" s="995"/>
      <c r="J48" s="995"/>
      <c r="K48" s="1071"/>
      <c r="L48" s="1069"/>
      <c r="M48" s="996"/>
      <c r="N48" s="996"/>
      <c r="O48" s="996"/>
      <c r="P48" s="3298" t="str">
        <f>A48</f>
        <v>估价对象XX用房的比较价值（楼面单价，元/平方米）</v>
      </c>
      <c r="Q48" s="3299"/>
      <c r="R48" s="3300">
        <f>ROUND(IF(D47="简单平均",AVERAGE(R47:W47),R47*F47+T47*H47+V47*J47),0)</f>
        <v>70898</v>
      </c>
      <c r="S48" s="3300"/>
      <c r="T48" s="3300"/>
      <c r="U48" s="3300"/>
      <c r="V48" s="3300"/>
      <c r="W48" s="3300"/>
      <c r="X48" s="1033"/>
      <c r="Y48" s="1033"/>
      <c r="Z48" s="1033"/>
      <c r="AA48" s="1033"/>
      <c r="AB48" s="1033"/>
      <c r="AC48" s="1033"/>
    </row>
    <row r="49" spans="1:29">
      <c r="A49" s="996"/>
      <c r="B49" s="996"/>
      <c r="C49" s="996"/>
      <c r="D49" s="996"/>
      <c r="E49" s="996"/>
      <c r="F49" s="996"/>
      <c r="G49" s="997"/>
      <c r="H49" s="996"/>
      <c r="I49" s="996"/>
      <c r="J49" s="996"/>
      <c r="K49" s="1073"/>
      <c r="L49" s="1074"/>
      <c r="M49" s="996"/>
      <c r="N49" s="996"/>
      <c r="O49" s="996"/>
      <c r="P49" s="996"/>
      <c r="Q49" s="996"/>
      <c r="R49" s="996"/>
      <c r="S49" s="996"/>
      <c r="T49" s="996"/>
      <c r="U49" s="996"/>
      <c r="V49" s="996"/>
      <c r="W49" s="996"/>
      <c r="X49" s="996"/>
      <c r="Y49" s="996"/>
      <c r="Z49" s="996"/>
      <c r="AA49" s="996"/>
      <c r="AB49" s="996"/>
      <c r="AC49" s="996"/>
    </row>
    <row r="50" spans="1:29">
      <c r="A50" s="996"/>
      <c r="B50" s="996"/>
      <c r="C50" s="996"/>
      <c r="D50" s="996"/>
      <c r="E50" s="996"/>
      <c r="F50" s="996"/>
      <c r="G50" s="996"/>
      <c r="H50" s="996"/>
      <c r="I50" s="996"/>
      <c r="J50" s="996"/>
      <c r="K50" s="1073"/>
      <c r="L50" s="1074"/>
      <c r="M50" s="996"/>
      <c r="N50" s="996"/>
      <c r="O50" s="996"/>
      <c r="P50" s="996"/>
      <c r="Q50" s="996"/>
      <c r="R50" s="996"/>
      <c r="S50" s="996"/>
      <c r="T50" s="996"/>
      <c r="U50" s="996"/>
      <c r="V50" s="996"/>
      <c r="W50" s="996"/>
      <c r="X50" s="996"/>
      <c r="Y50" s="996"/>
      <c r="Z50" s="996"/>
      <c r="AA50" s="996"/>
      <c r="AB50" s="996"/>
      <c r="AC50" s="996"/>
    </row>
    <row r="51" spans="1:29" ht="13.5" customHeight="1">
      <c r="A51" s="996"/>
      <c r="B51" s="996"/>
      <c r="C51" s="998" t="s">
        <v>1403</v>
      </c>
      <c r="D51" s="698"/>
      <c r="E51" s="999">
        <f>IF(E46&lt;E47,E47/E46-1,E46/E47-1)</f>
        <v>2.2107370927589631E-2</v>
      </c>
      <c r="F51" s="1000" t="str">
        <f>IF(OR(E51&gt;=0.3,E51&lt;=-0.3),"超过30%","")</f>
        <v/>
      </c>
      <c r="G51" s="999">
        <f>IF(G46&lt;G47,G47/G46-1,G46/G47-1)</f>
        <v>3.2439510728847321E-2</v>
      </c>
      <c r="H51" s="1000" t="str">
        <f>IF(OR(G51&gt;=0.3,G51&lt;=-0.3),"超过30%","")</f>
        <v/>
      </c>
      <c r="I51" s="999">
        <f>IF(I46&lt;I47,I47/I46-1,I46/I47-1)</f>
        <v>0.16378718142474402</v>
      </c>
      <c r="J51" s="1000" t="str">
        <f>IF(OR(I51&gt;=0.3,I51&lt;=-0.3),"超过30%","")</f>
        <v/>
      </c>
      <c r="K51" s="1073"/>
      <c r="L51" s="1074"/>
      <c r="M51" s="996"/>
      <c r="N51" s="996"/>
      <c r="O51" s="996"/>
      <c r="P51" s="996"/>
      <c r="Q51" s="996"/>
      <c r="R51" s="996"/>
      <c r="S51" s="996"/>
      <c r="T51" s="996"/>
      <c r="U51" s="996"/>
      <c r="V51" s="996"/>
      <c r="W51" s="996"/>
      <c r="X51" s="996"/>
      <c r="Y51" s="996"/>
      <c r="Z51" s="996"/>
      <c r="AA51" s="996"/>
      <c r="AB51" s="996"/>
      <c r="AC51" s="996"/>
    </row>
    <row r="52" spans="1:29" ht="13.5" customHeight="1">
      <c r="A52" s="996"/>
      <c r="B52" s="996"/>
      <c r="C52" s="998" t="s">
        <v>1404</v>
      </c>
      <c r="D52" s="697"/>
      <c r="E52" s="999">
        <f>IF(E47&lt;G47,G47/E47-1,E47/G47-1)</f>
        <v>8.8841486264449099E-2</v>
      </c>
      <c r="F52" s="1000" t="str">
        <f>IF(OR(E52&gt;=0.2,E52&lt;=-0.2),"超过20%","")</f>
        <v/>
      </c>
      <c r="G52" s="999">
        <f>IF(G47&lt;I47,I47/G47-1,G47/I47-1)</f>
        <v>2.3861875599498372E-2</v>
      </c>
      <c r="H52" s="1000" t="str">
        <f>IF(OR(G52&gt;=0.2,G52&lt;=-0.2),"超过20%","")</f>
        <v/>
      </c>
      <c r="I52" s="999">
        <f>IF(I47&lt;E47,E47/I47-1,I47/E47-1)</f>
        <v>0.11482328635726402</v>
      </c>
      <c r="J52" s="1000" t="str">
        <f>IF(OR(I52&gt;=0.2,I52&lt;=-0.2),"超过20%","")</f>
        <v/>
      </c>
      <c r="K52" s="1073"/>
      <c r="L52" s="1074"/>
      <c r="M52" s="996"/>
      <c r="N52" s="996"/>
      <c r="O52" s="996"/>
      <c r="P52" s="996"/>
      <c r="Q52" s="996"/>
      <c r="R52" s="996"/>
      <c r="S52" s="996"/>
      <c r="T52" s="996"/>
      <c r="U52" s="996"/>
      <c r="V52" s="996"/>
      <c r="W52" s="996"/>
      <c r="X52" s="996"/>
      <c r="Y52" s="996"/>
      <c r="Z52" s="996"/>
      <c r="AA52" s="996"/>
      <c r="AB52" s="996"/>
      <c r="AC52" s="996"/>
    </row>
    <row r="53" spans="1:29" s="883" customFormat="1" ht="13.5" customHeight="1">
      <c r="A53" s="1001"/>
      <c r="B53" s="1001"/>
      <c r="C53" s="998" t="s">
        <v>1405</v>
      </c>
      <c r="D53" s="697"/>
      <c r="E53" s="999">
        <f>IF(E46&lt;G46,G46/E46-1,E46/G46-1)</f>
        <v>9.9848218803011868E-2</v>
      </c>
      <c r="F53" s="1000" t="str">
        <f>IF(OR(E53&gt;=0.3,E53&lt;=-0.3),"超过30%","")</f>
        <v/>
      </c>
      <c r="G53" s="999">
        <f>IF(G46&lt;I46,I46/G46-1,G46/I46-1)</f>
        <v>0.1541182936044514</v>
      </c>
      <c r="H53" s="1000" t="str">
        <f>IF(OR(G53&gt;=0.3,G53&lt;=-0.3),"超过30%","")</f>
        <v/>
      </c>
      <c r="I53" s="999">
        <f>IF(I46&lt;E46,E46/I46-1,I46/E46-1)</f>
        <v>0.26935494950882743</v>
      </c>
      <c r="J53" s="1000" t="str">
        <f>IF(OR(I53&gt;=0.3,I53&lt;=-0.3),"超过30%","")</f>
        <v/>
      </c>
      <c r="K53" s="1075"/>
      <c r="L53" s="1076"/>
      <c r="M53" s="1001"/>
      <c r="N53" s="1001"/>
      <c r="O53" s="1001"/>
      <c r="P53" s="1001"/>
      <c r="Q53" s="1001"/>
      <c r="R53" s="1001"/>
      <c r="S53" s="1001"/>
      <c r="T53" s="1001"/>
      <c r="U53" s="1001"/>
      <c r="V53" s="1001"/>
      <c r="W53" s="1001"/>
      <c r="X53" s="1001"/>
      <c r="Y53" s="1001"/>
      <c r="Z53" s="1001"/>
      <c r="AA53" s="1001"/>
      <c r="AB53" s="1001"/>
      <c r="AC53" s="1001"/>
    </row>
    <row r="54" spans="1:29" s="883" customFormat="1">
      <c r="A54" s="1001"/>
      <c r="B54" s="1002"/>
      <c r="C54" s="1003"/>
      <c r="D54" s="1004"/>
      <c r="E54" s="1004"/>
      <c r="F54" s="1004"/>
      <c r="G54" s="1004"/>
      <c r="H54" s="1004"/>
      <c r="I54" s="1004"/>
      <c r="J54" s="1004"/>
      <c r="K54" s="1075"/>
      <c r="L54" s="1076"/>
      <c r="M54" s="1001"/>
      <c r="N54" s="1001"/>
      <c r="O54" s="1001"/>
      <c r="P54" s="1001"/>
      <c r="Q54" s="1001"/>
      <c r="R54" s="1001"/>
      <c r="S54" s="1001"/>
      <c r="T54" s="1001"/>
      <c r="U54" s="1001"/>
      <c r="V54" s="1001"/>
      <c r="W54" s="1001"/>
      <c r="X54" s="1001"/>
      <c r="Y54" s="1001"/>
      <c r="Z54" s="1001"/>
      <c r="AA54" s="1001"/>
      <c r="AB54" s="1001"/>
      <c r="AC54" s="1001"/>
    </row>
    <row r="55" spans="1:29" ht="27" customHeight="1">
      <c r="A55" s="1005" t="s">
        <v>1511</v>
      </c>
      <c r="B55" s="1006" t="s">
        <v>1512</v>
      </c>
      <c r="C55" s="1007" t="s">
        <v>1513</v>
      </c>
      <c r="D55" s="1008" t="s">
        <v>1514</v>
      </c>
      <c r="E55" s="1009" t="s">
        <v>1515</v>
      </c>
      <c r="F55" s="1245" t="s">
        <v>1516</v>
      </c>
      <c r="G55" s="3273" t="s">
        <v>1517</v>
      </c>
      <c r="H55" s="3274"/>
      <c r="I55" s="1249" t="s">
        <v>1518</v>
      </c>
      <c r="J55" s="1250">
        <f>项目基本情况!F35</f>
        <v>0</v>
      </c>
      <c r="K55" s="1078" t="s">
        <v>1519</v>
      </c>
      <c r="L55" s="1074"/>
      <c r="M55" s="996"/>
      <c r="N55" s="996"/>
      <c r="O55" s="996"/>
      <c r="P55" s="996"/>
      <c r="Q55" s="996"/>
      <c r="R55" s="996"/>
      <c r="S55" s="996"/>
      <c r="T55" s="996"/>
      <c r="U55" s="996"/>
      <c r="V55" s="996"/>
      <c r="W55" s="996"/>
      <c r="X55" s="996"/>
      <c r="Y55" s="996"/>
      <c r="Z55" s="996"/>
      <c r="AA55" s="996"/>
      <c r="AB55" s="996"/>
      <c r="AC55" s="996"/>
    </row>
    <row r="56" spans="1:29" s="884" customFormat="1">
      <c r="A56" s="1011" t="s">
        <v>1520</v>
      </c>
      <c r="B56" s="1012">
        <f>C48</f>
        <v>70898</v>
      </c>
      <c r="C56" s="1013">
        <v>1</v>
      </c>
      <c r="D56" s="1014">
        <v>1</v>
      </c>
      <c r="E56" s="1013">
        <f>'数据-汇总表'!E8+'数据-汇总表'!E9</f>
        <v>37552.749999999993</v>
      </c>
      <c r="F56" s="1246">
        <f t="shared" ref="F56:F65" si="14">ROUND(B56*E56/10000,0)</f>
        <v>266241</v>
      </c>
      <c r="G56" s="3275"/>
      <c r="H56" s="3276"/>
      <c r="I56" s="1251">
        <v>1</v>
      </c>
      <c r="J56" s="1252">
        <v>1</v>
      </c>
      <c r="K56" s="1001"/>
      <c r="L56" s="1079"/>
      <c r="M56" s="1079"/>
      <c r="N56" s="1079"/>
      <c r="O56" s="1079"/>
      <c r="P56" s="1079"/>
      <c r="Q56" s="1079"/>
      <c r="R56" s="1079"/>
      <c r="S56" s="1079"/>
      <c r="T56" s="1079"/>
      <c r="U56" s="1079"/>
      <c r="V56" s="1079"/>
      <c r="W56" s="1079"/>
      <c r="X56" s="1079"/>
      <c r="Y56" s="1079"/>
      <c r="Z56" s="1079"/>
      <c r="AA56" s="1079"/>
      <c r="AB56" s="1079"/>
      <c r="AC56" s="1079"/>
    </row>
    <row r="57" spans="1:29" s="884" customFormat="1">
      <c r="A57" s="1016" t="s">
        <v>1521</v>
      </c>
      <c r="B57" s="162">
        <f>ROUND($C$48*C57*D57,0)</f>
        <v>12407</v>
      </c>
      <c r="C57" s="601">
        <f t="shared" ref="C57:C65" si="15">IF($C$55="北京市系数",I57,J57)</f>
        <v>0.7</v>
      </c>
      <c r="D57" s="1017">
        <v>0.25</v>
      </c>
      <c r="E57" s="1018"/>
      <c r="F57" s="1246">
        <f t="shared" si="14"/>
        <v>0</v>
      </c>
      <c r="G57" s="3292" t="s">
        <v>1522</v>
      </c>
      <c r="H57" s="1020" t="str">
        <f>项目基本情况!B37</f>
        <v>四级</v>
      </c>
      <c r="I57" s="1251">
        <f>SUMIF(修正!A45:A56,H57,修正!B45:B56)</f>
        <v>0.7</v>
      </c>
      <c r="J57" s="1253"/>
      <c r="K57" s="996"/>
      <c r="L57" s="1079"/>
      <c r="M57" s="1079"/>
      <c r="N57" s="1079"/>
      <c r="O57" s="1079"/>
      <c r="P57" s="1079"/>
      <c r="Q57" s="1079"/>
      <c r="R57" s="1079"/>
      <c r="S57" s="1079"/>
      <c r="T57" s="1079"/>
      <c r="U57" s="1079"/>
      <c r="V57" s="1079"/>
      <c r="W57" s="1079"/>
      <c r="X57" s="1079"/>
      <c r="Y57" s="1079"/>
      <c r="Z57" s="1079"/>
      <c r="AA57" s="1079"/>
      <c r="AB57" s="1079"/>
      <c r="AC57" s="1079"/>
    </row>
    <row r="58" spans="1:29" s="884" customFormat="1">
      <c r="A58" s="1016" t="s">
        <v>1523</v>
      </c>
      <c r="B58" s="162">
        <f t="shared" ref="B58:B65" si="16">ROUND($C$48*C58*D58,0)</f>
        <v>7090</v>
      </c>
      <c r="C58" s="601">
        <f t="shared" si="15"/>
        <v>0.4</v>
      </c>
      <c r="D58" s="1017">
        <v>0.25</v>
      </c>
      <c r="E58" s="1018"/>
      <c r="F58" s="1246">
        <f t="shared" si="14"/>
        <v>0</v>
      </c>
      <c r="G58" s="3292"/>
      <c r="H58" s="1020" t="str">
        <f>项目基本情况!B37</f>
        <v>四级</v>
      </c>
      <c r="I58" s="1251">
        <f>SUMIF(修正!A45:A56,H58,修正!C45:C56)</f>
        <v>0.4</v>
      </c>
      <c r="J58" s="1253"/>
      <c r="K58" s="1001"/>
      <c r="L58" s="1079"/>
      <c r="M58" s="1079"/>
      <c r="N58" s="1079"/>
      <c r="O58" s="1079"/>
      <c r="P58" s="1079"/>
      <c r="Q58" s="1079"/>
      <c r="R58" s="1079"/>
      <c r="S58" s="1079"/>
      <c r="T58" s="1079"/>
      <c r="U58" s="1079"/>
      <c r="V58" s="1079"/>
      <c r="W58" s="1079"/>
      <c r="X58" s="1079"/>
      <c r="Y58" s="1079"/>
      <c r="Z58" s="1079"/>
      <c r="AA58" s="1079"/>
      <c r="AB58" s="1079"/>
      <c r="AC58" s="1079"/>
    </row>
    <row r="59" spans="1:29" s="884" customFormat="1">
      <c r="A59" s="1016" t="s">
        <v>1524</v>
      </c>
      <c r="B59" s="162">
        <f t="shared" si="16"/>
        <v>4963</v>
      </c>
      <c r="C59" s="601">
        <f t="shared" si="15"/>
        <v>0.28000000000000003</v>
      </c>
      <c r="D59" s="1017">
        <v>0.25</v>
      </c>
      <c r="E59" s="1018"/>
      <c r="F59" s="1246">
        <f t="shared" si="14"/>
        <v>0</v>
      </c>
      <c r="G59" s="3292"/>
      <c r="H59" s="1020" t="str">
        <f>项目基本情况!B37</f>
        <v>四级</v>
      </c>
      <c r="I59" s="1251">
        <f>SUMIF(修正!A45:A56,H59,修正!D45:D56)</f>
        <v>0.28000000000000003</v>
      </c>
      <c r="J59" s="1253"/>
      <c r="K59" s="996"/>
      <c r="L59" s="1079"/>
      <c r="M59" s="1079"/>
      <c r="N59" s="1079"/>
      <c r="O59" s="1079"/>
      <c r="P59" s="1079"/>
      <c r="Q59" s="1079"/>
      <c r="R59" s="1079"/>
      <c r="S59" s="1079"/>
      <c r="T59" s="1079"/>
      <c r="U59" s="1079"/>
      <c r="V59" s="1079"/>
      <c r="W59" s="1079"/>
      <c r="X59" s="1079"/>
      <c r="Y59" s="1079"/>
      <c r="Z59" s="1079"/>
      <c r="AA59" s="1079"/>
      <c r="AB59" s="1079"/>
      <c r="AC59" s="1079"/>
    </row>
    <row r="60" spans="1:29" s="884" customFormat="1">
      <c r="A60" s="1016" t="s">
        <v>1525</v>
      </c>
      <c r="B60" s="162">
        <f t="shared" si="16"/>
        <v>4431</v>
      </c>
      <c r="C60" s="601">
        <f t="shared" si="15"/>
        <v>0.25</v>
      </c>
      <c r="D60" s="1017">
        <v>0.25</v>
      </c>
      <c r="E60" s="1018"/>
      <c r="F60" s="1246">
        <f t="shared" si="14"/>
        <v>0</v>
      </c>
      <c r="G60" s="3292"/>
      <c r="H60" s="1020" t="str">
        <f>项目基本情况!B37</f>
        <v>四级</v>
      </c>
      <c r="I60" s="1251">
        <f>SUMIF(修正!A45:A56,H60,修正!E45:E56)</f>
        <v>0.25</v>
      </c>
      <c r="J60" s="1253"/>
      <c r="K60" s="1001"/>
      <c r="L60" s="1079"/>
      <c r="M60" s="1079"/>
      <c r="N60" s="1079"/>
      <c r="O60" s="1079"/>
      <c r="P60" s="1079"/>
      <c r="Q60" s="1079"/>
      <c r="R60" s="1079"/>
      <c r="S60" s="1079"/>
      <c r="T60" s="1079"/>
      <c r="U60" s="1079"/>
      <c r="V60" s="1079"/>
      <c r="W60" s="1079"/>
      <c r="X60" s="1079"/>
      <c r="Y60" s="1079"/>
      <c r="Z60" s="1079"/>
      <c r="AA60" s="1079"/>
      <c r="AB60" s="1079"/>
      <c r="AC60" s="1079"/>
    </row>
    <row r="61" spans="1:29" s="884" customFormat="1">
      <c r="A61" s="1016" t="s">
        <v>1526</v>
      </c>
      <c r="B61" s="162">
        <f t="shared" si="16"/>
        <v>0</v>
      </c>
      <c r="C61" s="601">
        <f t="shared" si="15"/>
        <v>0</v>
      </c>
      <c r="D61" s="1017">
        <v>0.25</v>
      </c>
      <c r="E61" s="161">
        <f>'数据-汇总表'!E11</f>
        <v>0</v>
      </c>
      <c r="F61" s="1246">
        <f t="shared" si="14"/>
        <v>0</v>
      </c>
      <c r="G61" s="1019" t="s">
        <v>1527</v>
      </c>
      <c r="H61" s="1020">
        <f>项目基本情况!C37</f>
        <v>0</v>
      </c>
      <c r="I61" s="1251">
        <f>SUMIF(修正!A45:A56,H61,修正!F45:F56)</f>
        <v>0</v>
      </c>
      <c r="J61" s="1253"/>
      <c r="K61" s="996"/>
      <c r="L61" s="1079"/>
      <c r="M61" s="1079"/>
      <c r="N61" s="1079"/>
      <c r="O61" s="1079"/>
      <c r="P61" s="1079"/>
      <c r="Q61" s="1079"/>
      <c r="R61" s="1079"/>
      <c r="S61" s="1079"/>
      <c r="T61" s="1079"/>
      <c r="U61" s="1079"/>
      <c r="V61" s="1079"/>
      <c r="W61" s="1079"/>
      <c r="X61" s="1079"/>
      <c r="Y61" s="1079"/>
      <c r="Z61" s="1079"/>
      <c r="AA61" s="1079"/>
      <c r="AB61" s="1079"/>
      <c r="AC61" s="1079"/>
    </row>
    <row r="62" spans="1:29" s="884" customFormat="1">
      <c r="A62" s="1016" t="s">
        <v>1528</v>
      </c>
      <c r="B62" s="162">
        <f t="shared" si="16"/>
        <v>4431</v>
      </c>
      <c r="C62" s="601">
        <f t="shared" si="15"/>
        <v>0.25</v>
      </c>
      <c r="D62" s="1017">
        <v>0.25</v>
      </c>
      <c r="E62" s="161">
        <f>'数据-汇总表'!E12</f>
        <v>1669.98</v>
      </c>
      <c r="F62" s="1246">
        <f t="shared" si="14"/>
        <v>740</v>
      </c>
      <c r="G62" s="1021" t="s">
        <v>464</v>
      </c>
      <c r="H62" s="1020" t="str">
        <f>IF(G62="商业",项目基本情况!B37,IF(G62="办公",项目基本情况!C37,IF(G62="住宅",项目基本情况!D37,项目基本情况!E37)))</f>
        <v>四级</v>
      </c>
      <c r="I62" s="1251">
        <f>SUMIF(修正!A45:A56,H62,修正!G45:G56)</f>
        <v>0.25</v>
      </c>
      <c r="J62" s="1253"/>
      <c r="K62" s="1001"/>
      <c r="L62" s="1079"/>
      <c r="M62" s="1079"/>
      <c r="N62" s="1079"/>
      <c r="O62" s="1079"/>
      <c r="P62" s="1079"/>
      <c r="Q62" s="1079"/>
      <c r="R62" s="1079"/>
      <c r="S62" s="1079"/>
      <c r="T62" s="1079"/>
      <c r="U62" s="1079"/>
      <c r="V62" s="1079"/>
      <c r="W62" s="1079"/>
      <c r="X62" s="1079"/>
      <c r="Y62" s="1079"/>
      <c r="Z62" s="1079"/>
      <c r="AA62" s="1079"/>
      <c r="AB62" s="1079"/>
      <c r="AC62" s="1079"/>
    </row>
    <row r="63" spans="1:29" s="884" customFormat="1">
      <c r="A63" s="1016" t="s">
        <v>1530</v>
      </c>
      <c r="B63" s="162">
        <f t="shared" si="16"/>
        <v>3545</v>
      </c>
      <c r="C63" s="601">
        <f t="shared" si="15"/>
        <v>0.2</v>
      </c>
      <c r="D63" s="1017">
        <v>0.25</v>
      </c>
      <c r="E63" s="161">
        <f>'数据-汇总表'!E13</f>
        <v>0</v>
      </c>
      <c r="F63" s="1246">
        <f t="shared" si="14"/>
        <v>0</v>
      </c>
      <c r="G63" s="1021" t="s">
        <v>1531</v>
      </c>
      <c r="H63" s="1020" t="str">
        <f>IF(G63="商业",项目基本情况!B37,IF(G63="办公",项目基本情况!C37,IF(G63="住宅",项目基本情况!D37,项目基本情况!E37)))</f>
        <v>四级</v>
      </c>
      <c r="I63" s="1251">
        <f>SUMIF(修正!A45:A56,H63,修正!H45:H56)</f>
        <v>0.2</v>
      </c>
      <c r="J63" s="1253"/>
      <c r="K63" s="996"/>
      <c r="L63" s="1079"/>
      <c r="M63" s="1079"/>
      <c r="N63" s="1079"/>
      <c r="O63" s="1079"/>
      <c r="P63" s="1079"/>
      <c r="Q63" s="1079"/>
      <c r="R63" s="1079"/>
      <c r="S63" s="1079"/>
      <c r="T63" s="1079"/>
      <c r="U63" s="1079"/>
      <c r="V63" s="1079"/>
      <c r="W63" s="1079"/>
      <c r="X63" s="1079"/>
      <c r="Y63" s="1079"/>
      <c r="Z63" s="1079"/>
      <c r="AA63" s="1079"/>
      <c r="AB63" s="1079"/>
      <c r="AC63" s="1079"/>
    </row>
    <row r="64" spans="1:29" s="884" customFormat="1">
      <c r="A64" s="1016" t="s">
        <v>1532</v>
      </c>
      <c r="B64" s="162">
        <f t="shared" si="16"/>
        <v>3545</v>
      </c>
      <c r="C64" s="601">
        <f t="shared" si="15"/>
        <v>0.2</v>
      </c>
      <c r="D64" s="1017">
        <v>0.25</v>
      </c>
      <c r="E64" s="161">
        <f>'数据-汇总表'!E14</f>
        <v>0</v>
      </c>
      <c r="F64" s="1246">
        <f t="shared" si="14"/>
        <v>0</v>
      </c>
      <c r="G64" s="1019" t="s">
        <v>1522</v>
      </c>
      <c r="H64" s="1020" t="str">
        <f>项目基本情况!B37</f>
        <v>四级</v>
      </c>
      <c r="I64" s="1251">
        <f>SUMIF(修正!A45:A56,H64,修正!H45:H56)</f>
        <v>0.2</v>
      </c>
      <c r="J64" s="1253"/>
      <c r="K64" s="1001"/>
      <c r="L64" s="1079"/>
      <c r="M64" s="1079"/>
      <c r="N64" s="1079"/>
      <c r="O64" s="1079"/>
      <c r="P64" s="1079"/>
      <c r="Q64" s="1079"/>
      <c r="R64" s="1079"/>
      <c r="S64" s="1079"/>
      <c r="T64" s="1079"/>
      <c r="U64" s="1079"/>
      <c r="V64" s="1079"/>
      <c r="W64" s="1079"/>
      <c r="X64" s="1079"/>
      <c r="Y64" s="1079"/>
      <c r="Z64" s="1079"/>
      <c r="AA64" s="1079"/>
      <c r="AB64" s="1079"/>
      <c r="AC64" s="1079"/>
    </row>
    <row r="65" spans="1:29" s="884" customFormat="1">
      <c r="A65" s="1016" t="s">
        <v>1533</v>
      </c>
      <c r="B65" s="162">
        <f t="shared" si="16"/>
        <v>0</v>
      </c>
      <c r="C65" s="601">
        <f t="shared" si="15"/>
        <v>0</v>
      </c>
      <c r="D65" s="1017">
        <v>0.25</v>
      </c>
      <c r="E65" s="161">
        <f>'数据-汇总表'!E15</f>
        <v>0</v>
      </c>
      <c r="F65" s="1246">
        <f t="shared" si="14"/>
        <v>0</v>
      </c>
      <c r="G65" s="1022" t="s">
        <v>1527</v>
      </c>
      <c r="H65" s="1023">
        <f>项目基本情况!C37</f>
        <v>0</v>
      </c>
      <c r="I65" s="1261">
        <f>SUMIF(修正!A45:A56,H65,修正!H45:H56)</f>
        <v>0</v>
      </c>
      <c r="J65" s="1262"/>
      <c r="K65" s="996"/>
      <c r="L65" s="1079"/>
      <c r="M65" s="1079"/>
      <c r="N65" s="1079"/>
      <c r="O65" s="1079"/>
      <c r="P65" s="1079"/>
      <c r="Q65" s="1079"/>
      <c r="R65" s="1079"/>
      <c r="S65" s="1079"/>
      <c r="T65" s="1079"/>
      <c r="U65" s="1079"/>
      <c r="V65" s="1079"/>
      <c r="W65" s="1079"/>
      <c r="X65" s="1079"/>
      <c r="Y65" s="1079"/>
      <c r="Z65" s="1079"/>
      <c r="AA65" s="1079"/>
      <c r="AB65" s="1079"/>
      <c r="AC65" s="1079"/>
    </row>
    <row r="66" spans="1:29" s="884" customFormat="1" ht="12.75">
      <c r="A66" s="1024" t="s">
        <v>1534</v>
      </c>
      <c r="B66" s="1025" t="s">
        <v>1457</v>
      </c>
      <c r="C66" s="1025" t="s">
        <v>1457</v>
      </c>
      <c r="D66" s="1025" t="s">
        <v>1457</v>
      </c>
      <c r="E66" s="1025">
        <f>IF(B46="楼面地价",SUM(E56:E65),'数据-汇总表'!D3)</f>
        <v>39222.729999999996</v>
      </c>
      <c r="F66" s="1026">
        <f>IF(B46="楼面地价",SUM(F56:F65),ROUND(C48*E66/10000,0))</f>
        <v>266981</v>
      </c>
      <c r="G66" s="1255"/>
      <c r="H66" s="1255"/>
      <c r="I66" s="1255"/>
      <c r="J66" s="1255"/>
      <c r="K66" s="1263"/>
      <c r="L66" s="1079"/>
      <c r="M66" s="1079"/>
      <c r="N66" s="1079"/>
      <c r="O66" s="1079"/>
      <c r="P66" s="1079"/>
      <c r="Q66" s="1079"/>
      <c r="R66" s="1079"/>
      <c r="S66" s="1079"/>
      <c r="T66" s="1079"/>
      <c r="U66" s="1079"/>
      <c r="V66" s="1079"/>
      <c r="W66" s="1079"/>
      <c r="X66" s="1079"/>
      <c r="Y66" s="1079"/>
      <c r="Z66" s="1079"/>
      <c r="AA66" s="1079"/>
      <c r="AB66" s="1079"/>
      <c r="AC66" s="1079"/>
    </row>
    <row r="67" spans="1:29">
      <c r="A67" s="1033"/>
      <c r="B67" s="1031"/>
      <c r="C67" s="1003"/>
      <c r="D67" s="1033"/>
      <c r="E67" s="1033"/>
      <c r="F67" s="1033"/>
      <c r="G67" s="1033"/>
      <c r="H67" s="1033"/>
      <c r="I67" s="1033"/>
      <c r="J67" s="1028"/>
      <c r="K67" s="1081"/>
      <c r="L67" s="1082"/>
      <c r="M67" s="1028"/>
      <c r="N67" s="1028"/>
      <c r="O67" s="1028"/>
      <c r="P67" s="996"/>
      <c r="Q67" s="996"/>
      <c r="R67" s="996"/>
      <c r="S67" s="996"/>
      <c r="T67" s="996"/>
      <c r="U67" s="996"/>
      <c r="V67" s="996"/>
      <c r="W67" s="996"/>
      <c r="X67" s="996"/>
      <c r="Y67" s="996"/>
      <c r="Z67" s="996"/>
      <c r="AA67" s="996"/>
      <c r="AB67" s="996"/>
      <c r="AC67" s="996"/>
    </row>
    <row r="68" spans="1:29">
      <c r="A68" s="1033"/>
      <c r="B68" s="1031"/>
      <c r="C68" s="1031" t="str">
        <f>YEAR(C7)&amp;"-"&amp;MONTH(C7)&amp;"-1"</f>
        <v>2021-4-1</v>
      </c>
      <c r="D68" s="1031">
        <f>EDATE(C68,-3)</f>
        <v>44197</v>
      </c>
      <c r="E68" s="1031">
        <f>EDATE(D68,-3)</f>
        <v>44105</v>
      </c>
      <c r="F68" s="1031">
        <f t="shared" ref="F68:O68" si="17">EDATE(E68,-3)</f>
        <v>44013</v>
      </c>
      <c r="G68" s="1031">
        <f t="shared" si="17"/>
        <v>43922</v>
      </c>
      <c r="H68" s="1031">
        <f t="shared" si="17"/>
        <v>43831</v>
      </c>
      <c r="I68" s="1031">
        <f t="shared" si="17"/>
        <v>43739</v>
      </c>
      <c r="J68" s="1031">
        <f t="shared" si="17"/>
        <v>43647</v>
      </c>
      <c r="K68" s="1031">
        <f t="shared" si="17"/>
        <v>43556</v>
      </c>
      <c r="L68" s="1031">
        <f t="shared" si="17"/>
        <v>43466</v>
      </c>
      <c r="M68" s="1031">
        <f t="shared" si="17"/>
        <v>43374</v>
      </c>
      <c r="N68" s="1031">
        <f t="shared" si="17"/>
        <v>43282</v>
      </c>
      <c r="O68" s="1031">
        <f t="shared" si="17"/>
        <v>43191</v>
      </c>
      <c r="P68" s="996"/>
      <c r="Q68" s="996"/>
      <c r="R68" s="996"/>
      <c r="S68" s="996"/>
      <c r="T68" s="996"/>
      <c r="U68" s="996"/>
      <c r="V68" s="996"/>
      <c r="W68" s="996"/>
      <c r="X68" s="996"/>
      <c r="Y68" s="996"/>
      <c r="Z68" s="996"/>
      <c r="AA68" s="996"/>
      <c r="AB68" s="996"/>
      <c r="AC68" s="996"/>
    </row>
    <row r="69" spans="1:29" ht="21">
      <c r="A69" s="1032" t="s">
        <v>1406</v>
      </c>
      <c r="B69" s="1033"/>
      <c r="C69" s="1034"/>
      <c r="D69" s="1034"/>
      <c r="E69" s="1034"/>
      <c r="F69" s="1035"/>
      <c r="G69" s="1035"/>
      <c r="H69" s="1034"/>
      <c r="I69" s="1034"/>
      <c r="J69" s="1085"/>
      <c r="K69" s="1264"/>
      <c r="L69" s="1265"/>
      <c r="M69" s="1085"/>
      <c r="N69" s="1086"/>
      <c r="O69" s="1086"/>
      <c r="P69" s="1086"/>
      <c r="Q69" s="1098"/>
      <c r="R69" s="996"/>
      <c r="S69" s="996"/>
      <c r="T69" s="996"/>
      <c r="U69" s="996"/>
      <c r="V69" s="996"/>
      <c r="W69" s="996"/>
      <c r="X69" s="996"/>
      <c r="Y69" s="996"/>
      <c r="Z69" s="996"/>
      <c r="AA69" s="996"/>
      <c r="AB69" s="996"/>
      <c r="AC69" s="996"/>
    </row>
    <row r="70" spans="1:29" s="885" customFormat="1" ht="15">
      <c r="A70" s="1107" t="s">
        <v>1535</v>
      </c>
      <c r="B70" s="1108"/>
      <c r="C70" s="1109" t="str">
        <f>YEAR(C68)&amp;"-"&amp;ROUNDUP(MONTH(C68)/3,0)</f>
        <v>2021-2</v>
      </c>
      <c r="D70" s="1109" t="str">
        <f>YEAR(D68)&amp;"-"&amp;ROUNDUP(MONTH(D68)/3,0)</f>
        <v>2021-1</v>
      </c>
      <c r="E70" s="1109" t="str">
        <f t="shared" ref="E70:O70" si="18">YEAR(E68)&amp;"-"&amp;ROUNDUP(MONTH(E68)/3,0)</f>
        <v>2020-4</v>
      </c>
      <c r="F70" s="1109" t="str">
        <f t="shared" si="18"/>
        <v>2020-3</v>
      </c>
      <c r="G70" s="1109" t="str">
        <f t="shared" si="18"/>
        <v>2020-2</v>
      </c>
      <c r="H70" s="1109" t="str">
        <f t="shared" si="18"/>
        <v>2020-1</v>
      </c>
      <c r="I70" s="1109" t="str">
        <f t="shared" si="18"/>
        <v>2019-4</v>
      </c>
      <c r="J70" s="1109" t="str">
        <f t="shared" si="18"/>
        <v>2019-3</v>
      </c>
      <c r="K70" s="1109" t="str">
        <f t="shared" si="18"/>
        <v>2019-2</v>
      </c>
      <c r="L70" s="1109" t="str">
        <f t="shared" si="18"/>
        <v>2019-1</v>
      </c>
      <c r="M70" s="1109" t="str">
        <f t="shared" si="18"/>
        <v>2018-4</v>
      </c>
      <c r="N70" s="1109" t="str">
        <f t="shared" si="18"/>
        <v>2018-3</v>
      </c>
      <c r="O70" s="1109" t="str">
        <f t="shared" si="18"/>
        <v>2018-2</v>
      </c>
      <c r="P70" s="1161"/>
      <c r="Q70" s="1217"/>
      <c r="R70" s="1217"/>
      <c r="S70" s="1217"/>
      <c r="T70" s="1217"/>
      <c r="U70" s="1217"/>
      <c r="V70" s="1217"/>
      <c r="W70" s="1217"/>
      <c r="X70" s="1217"/>
      <c r="Y70" s="1217"/>
      <c r="Z70" s="1217"/>
      <c r="AA70" s="1217"/>
      <c r="AB70" s="1217"/>
      <c r="AC70" s="1217"/>
    </row>
    <row r="71" spans="1:29" s="880" customFormat="1" ht="30" customHeight="1">
      <c r="A71" s="1256" t="s">
        <v>464</v>
      </c>
      <c r="B71" s="1111" t="str">
        <f>"北京市平均增长率"&amp;TEXT(SUMIF(基准地价修正!N21:N25,A71,基准地价修正!P21:P25),"0.00%")</f>
        <v>北京市平均增长率0.00%</v>
      </c>
      <c r="C71" s="815">
        <v>100</v>
      </c>
      <c r="D71" s="1112">
        <v>100</v>
      </c>
      <c r="E71" s="1112">
        <v>100</v>
      </c>
      <c r="F71" s="1112">
        <v>100</v>
      </c>
      <c r="G71" s="1112">
        <v>100</v>
      </c>
      <c r="H71" s="1112">
        <v>100</v>
      </c>
      <c r="I71" s="1112">
        <v>99</v>
      </c>
      <c r="J71" s="1112">
        <v>98</v>
      </c>
      <c r="K71" s="1112">
        <v>97</v>
      </c>
      <c r="L71" s="1112">
        <v>96</v>
      </c>
      <c r="M71" s="1112">
        <v>95</v>
      </c>
      <c r="N71" s="1112">
        <v>94</v>
      </c>
      <c r="O71" s="1112">
        <v>93</v>
      </c>
      <c r="P71" s="1098"/>
      <c r="Q71" s="1218"/>
      <c r="R71" s="1218"/>
      <c r="S71" s="1218"/>
      <c r="T71" s="1218"/>
      <c r="U71" s="1218"/>
      <c r="V71" s="1218"/>
      <c r="W71" s="1218"/>
      <c r="X71" s="1218"/>
      <c r="Y71" s="1218"/>
      <c r="Z71" s="1218"/>
      <c r="AA71" s="1218"/>
      <c r="AB71" s="1218"/>
      <c r="AC71" s="1218"/>
    </row>
    <row r="72" spans="1:29" s="880" customFormat="1" ht="15">
      <c r="A72" s="1113" t="s">
        <v>1407</v>
      </c>
      <c r="B72" s="1114"/>
      <c r="C72" s="1115"/>
      <c r="D72" s="1116"/>
      <c r="E72" s="1116"/>
      <c r="F72" s="1116"/>
      <c r="G72" s="1116"/>
      <c r="H72" s="1116"/>
      <c r="I72" s="1116"/>
      <c r="J72" s="1116"/>
      <c r="K72" s="1116"/>
      <c r="L72" s="1116"/>
      <c r="M72" s="1164"/>
      <c r="N72" s="1116"/>
      <c r="O72" s="1266"/>
      <c r="P72" s="1098"/>
      <c r="Q72" s="1098"/>
      <c r="R72" s="1218"/>
      <c r="S72" s="1218"/>
      <c r="T72" s="1218"/>
      <c r="U72" s="1218"/>
      <c r="V72" s="1218"/>
      <c r="W72" s="1218"/>
      <c r="X72" s="1218"/>
      <c r="Y72" s="1218"/>
      <c r="Z72" s="1218"/>
      <c r="AA72" s="1218"/>
      <c r="AB72" s="1218"/>
      <c r="AC72" s="1218"/>
    </row>
    <row r="73" spans="1:29" s="880" customFormat="1" ht="15">
      <c r="A73" s="1117" t="s">
        <v>1368</v>
      </c>
      <c r="B73" s="1118"/>
      <c r="C73" s="1119" t="s">
        <v>1369</v>
      </c>
      <c r="D73" s="1120"/>
      <c r="E73" s="1120"/>
      <c r="F73" s="1120"/>
      <c r="G73" s="1120"/>
      <c r="H73" s="1120"/>
      <c r="I73" s="1120"/>
      <c r="J73" s="1120"/>
      <c r="K73" s="1120"/>
      <c r="L73" s="1166"/>
      <c r="M73" s="1167"/>
      <c r="N73" s="1168"/>
      <c r="O73" s="1168"/>
      <c r="P73" s="1169"/>
      <c r="Q73" s="1098"/>
      <c r="R73" s="1218"/>
      <c r="S73" s="1218"/>
      <c r="T73" s="1218"/>
      <c r="U73" s="1218"/>
      <c r="V73" s="1218"/>
      <c r="W73" s="1218"/>
      <c r="X73" s="1218"/>
      <c r="Y73" s="1218"/>
      <c r="Z73" s="1218"/>
      <c r="AA73" s="1218"/>
      <c r="AB73" s="1218"/>
      <c r="AC73" s="1218"/>
    </row>
    <row r="74" spans="1:29" s="880" customFormat="1" ht="15">
      <c r="A74" s="1117"/>
      <c r="B74" s="1118"/>
      <c r="C74" s="1121">
        <v>100</v>
      </c>
      <c r="D74" s="1122"/>
      <c r="E74" s="1122"/>
      <c r="F74" s="1122"/>
      <c r="G74" s="1122"/>
      <c r="H74" s="1122"/>
      <c r="I74" s="1122"/>
      <c r="J74" s="1122"/>
      <c r="K74" s="1122"/>
      <c r="L74" s="1122"/>
      <c r="M74" s="1170"/>
      <c r="N74" s="1168"/>
      <c r="O74" s="1168"/>
      <c r="P74" s="1098"/>
      <c r="Q74" s="1098"/>
      <c r="R74" s="1218"/>
      <c r="S74" s="1218"/>
      <c r="T74" s="1218"/>
      <c r="U74" s="1218"/>
      <c r="V74" s="1218"/>
      <c r="W74" s="1218"/>
      <c r="X74" s="1218"/>
      <c r="Y74" s="1218"/>
      <c r="Z74" s="1218"/>
      <c r="AA74" s="1218"/>
      <c r="AB74" s="1218"/>
      <c r="AC74" s="1218"/>
    </row>
    <row r="75" spans="1:29">
      <c r="A75" s="1123" t="s">
        <v>1408</v>
      </c>
      <c r="B75" s="1124" t="s">
        <v>1372</v>
      </c>
      <c r="C75" s="1257" t="s">
        <v>464</v>
      </c>
      <c r="D75" s="1066"/>
      <c r="E75" s="1066"/>
      <c r="F75" s="1066"/>
      <c r="G75" s="1066"/>
      <c r="H75" s="1066"/>
      <c r="I75" s="1066"/>
      <c r="J75" s="1066"/>
      <c r="K75" s="1171"/>
      <c r="L75" s="1172"/>
      <c r="M75" s="1173"/>
      <c r="N75" s="1174"/>
      <c r="O75" s="1174"/>
      <c r="P75" s="1175"/>
      <c r="Q75" s="1098"/>
      <c r="R75" s="996"/>
      <c r="S75" s="996"/>
      <c r="T75" s="996"/>
      <c r="U75" s="996"/>
      <c r="V75" s="996"/>
      <c r="W75" s="996"/>
      <c r="X75" s="996"/>
      <c r="Y75" s="996"/>
      <c r="Z75" s="996"/>
      <c r="AA75" s="996"/>
      <c r="AB75" s="996"/>
      <c r="AC75" s="996"/>
    </row>
    <row r="76" spans="1:29" ht="15">
      <c r="A76" s="1125"/>
      <c r="B76" s="1126"/>
      <c r="C76" s="1127">
        <v>100</v>
      </c>
      <c r="D76" s="1127"/>
      <c r="E76" s="1127"/>
      <c r="F76" s="1127"/>
      <c r="G76" s="1127"/>
      <c r="H76" s="1127"/>
      <c r="I76" s="1127"/>
      <c r="J76" s="1127"/>
      <c r="K76" s="1127"/>
      <c r="L76" s="1127"/>
      <c r="M76" s="1176"/>
      <c r="N76" s="1177"/>
      <c r="O76" s="1177"/>
      <c r="P76" s="1175"/>
      <c r="Q76" s="1098"/>
      <c r="R76" s="996"/>
      <c r="S76" s="996"/>
      <c r="T76" s="996"/>
      <c r="U76" s="996"/>
      <c r="V76" s="996"/>
      <c r="W76" s="996"/>
      <c r="X76" s="996"/>
      <c r="Y76" s="996"/>
      <c r="Z76" s="996"/>
      <c r="AA76" s="996"/>
      <c r="AB76" s="996"/>
      <c r="AC76" s="996"/>
    </row>
    <row r="77" spans="1:29" ht="27">
      <c r="A77" s="1125"/>
      <c r="B77" s="1128" t="s">
        <v>1375</v>
      </c>
      <c r="C77" s="1129"/>
      <c r="D77" s="1129"/>
      <c r="E77" s="1129"/>
      <c r="F77" s="1129"/>
      <c r="G77" s="1129"/>
      <c r="H77" s="1129"/>
      <c r="I77" s="1129"/>
      <c r="J77" s="1129"/>
      <c r="K77" s="1178"/>
      <c r="L77" s="1179"/>
      <c r="M77" s="1180"/>
      <c r="N77" s="1174"/>
      <c r="O77" s="1174"/>
      <c r="P77" s="1175"/>
      <c r="Q77" s="1098"/>
      <c r="R77" s="996"/>
      <c r="S77" s="996"/>
      <c r="T77" s="996"/>
      <c r="U77" s="996"/>
      <c r="V77" s="996"/>
      <c r="W77" s="996"/>
      <c r="X77" s="996"/>
      <c r="Y77" s="996"/>
      <c r="Z77" s="996"/>
      <c r="AA77" s="996"/>
      <c r="AB77" s="996"/>
      <c r="AC77" s="996"/>
    </row>
    <row r="78" spans="1:29" ht="15">
      <c r="A78" s="1125"/>
      <c r="B78" s="1130"/>
      <c r="C78" s="1131"/>
      <c r="D78" s="1131"/>
      <c r="E78" s="1131"/>
      <c r="F78" s="1131"/>
      <c r="G78" s="1131"/>
      <c r="H78" s="1131"/>
      <c r="I78" s="1131"/>
      <c r="J78" s="1131"/>
      <c r="K78" s="1131"/>
      <c r="L78" s="1131"/>
      <c r="M78" s="1181"/>
      <c r="N78" s="1177"/>
      <c r="O78" s="1177"/>
      <c r="P78" s="1175"/>
      <c r="Q78" s="1098"/>
      <c r="R78" s="996"/>
      <c r="S78" s="996"/>
      <c r="T78" s="996"/>
      <c r="U78" s="996"/>
      <c r="V78" s="996"/>
      <c r="W78" s="996"/>
      <c r="X78" s="996"/>
      <c r="Y78" s="996"/>
      <c r="Z78" s="996"/>
      <c r="AA78" s="996"/>
      <c r="AB78" s="996"/>
      <c r="AC78" s="996"/>
    </row>
    <row r="79" spans="1:29" ht="15">
      <c r="A79" s="1125"/>
      <c r="B79" s="1132" t="s">
        <v>1376</v>
      </c>
      <c r="C79" s="1133" t="str">
        <f>C80&amp;"（含）"&amp;"-"&amp;D80</f>
        <v>0（含）-1</v>
      </c>
      <c r="D79" s="1133" t="str">
        <f t="shared" ref="D79:L79" si="19">D80&amp;"（含）"&amp;"-"&amp;E80</f>
        <v>1（含）-2</v>
      </c>
      <c r="E79" s="1133" t="str">
        <f t="shared" si="19"/>
        <v>2（含）-3</v>
      </c>
      <c r="F79" s="1133" t="str">
        <f t="shared" si="19"/>
        <v>3（含）-4</v>
      </c>
      <c r="G79" s="1133" t="str">
        <f t="shared" si="19"/>
        <v>4（含）-5</v>
      </c>
      <c r="H79" s="1133" t="str">
        <f t="shared" si="19"/>
        <v>5（含）-</v>
      </c>
      <c r="I79" s="1133" t="str">
        <f t="shared" si="19"/>
        <v>（含）-</v>
      </c>
      <c r="J79" s="1133" t="str">
        <f t="shared" si="19"/>
        <v>（含）-</v>
      </c>
      <c r="K79" s="1133" t="str">
        <f t="shared" si="19"/>
        <v>（含）-</v>
      </c>
      <c r="L79" s="1133" t="str">
        <f t="shared" si="19"/>
        <v>（含）-</v>
      </c>
      <c r="M79" s="942" t="str">
        <f>M80&amp;"（含）"&amp;"-"&amp;P80</f>
        <v>（含）-</v>
      </c>
      <c r="N79" s="1177"/>
      <c r="O79" s="1177"/>
      <c r="P79" s="1175"/>
      <c r="Q79" s="1098"/>
      <c r="R79" s="996"/>
      <c r="S79" s="996"/>
      <c r="T79" s="996"/>
      <c r="U79" s="996"/>
      <c r="V79" s="996"/>
      <c r="W79" s="996"/>
      <c r="X79" s="996"/>
      <c r="Y79" s="996"/>
      <c r="Z79" s="996"/>
      <c r="AA79" s="996"/>
      <c r="AB79" s="996"/>
      <c r="AC79" s="996"/>
    </row>
    <row r="80" spans="1:29" ht="15">
      <c r="A80" s="1125"/>
      <c r="B80" s="1134"/>
      <c r="C80" s="927">
        <v>0</v>
      </c>
      <c r="D80" s="927">
        <v>1</v>
      </c>
      <c r="E80" s="927">
        <v>2</v>
      </c>
      <c r="F80" s="927">
        <v>3</v>
      </c>
      <c r="G80" s="927">
        <v>4</v>
      </c>
      <c r="H80" s="927">
        <v>5</v>
      </c>
      <c r="I80" s="927"/>
      <c r="J80" s="927"/>
      <c r="K80" s="1182"/>
      <c r="L80" s="1183"/>
      <c r="M80" s="1184"/>
      <c r="N80" s="1174"/>
      <c r="O80" s="1174"/>
      <c r="P80" s="1175"/>
      <c r="Q80" s="1098"/>
      <c r="R80" s="996"/>
      <c r="S80" s="996"/>
      <c r="T80" s="996"/>
      <c r="U80" s="996"/>
      <c r="V80" s="996"/>
      <c r="W80" s="996"/>
      <c r="X80" s="996"/>
      <c r="Y80" s="996"/>
      <c r="Z80" s="996"/>
      <c r="AA80" s="996"/>
      <c r="AB80" s="996"/>
      <c r="AC80" s="996"/>
    </row>
    <row r="81" spans="1:29" ht="15">
      <c r="A81" s="1125"/>
      <c r="B81" s="1126"/>
      <c r="C81" s="1131">
        <v>100</v>
      </c>
      <c r="D81" s="1131">
        <f t="shared" ref="D81:M81" si="20">IF($B$46="单位面积地价",C81+$K11,C81-$K11)</f>
        <v>95</v>
      </c>
      <c r="E81" s="1131">
        <f t="shared" si="20"/>
        <v>90</v>
      </c>
      <c r="F81" s="1131">
        <f t="shared" si="20"/>
        <v>85</v>
      </c>
      <c r="G81" s="1131">
        <f t="shared" si="20"/>
        <v>80</v>
      </c>
      <c r="H81" s="1131">
        <f t="shared" si="20"/>
        <v>75</v>
      </c>
      <c r="I81" s="1131">
        <f t="shared" si="20"/>
        <v>70</v>
      </c>
      <c r="J81" s="1131">
        <f t="shared" si="20"/>
        <v>65</v>
      </c>
      <c r="K81" s="1131">
        <f t="shared" si="20"/>
        <v>60</v>
      </c>
      <c r="L81" s="1131">
        <f t="shared" si="20"/>
        <v>55</v>
      </c>
      <c r="M81" s="1131">
        <f t="shared" si="20"/>
        <v>50</v>
      </c>
      <c r="N81" s="1177"/>
      <c r="O81" s="1177"/>
      <c r="P81" s="1175"/>
      <c r="Q81" s="1098"/>
      <c r="R81" s="996"/>
      <c r="S81" s="996"/>
      <c r="T81" s="996"/>
      <c r="U81" s="996"/>
      <c r="V81" s="996"/>
      <c r="W81" s="996"/>
      <c r="X81" s="996"/>
      <c r="Y81" s="996"/>
      <c r="Z81" s="996"/>
      <c r="AA81" s="996"/>
      <c r="AB81" s="996"/>
      <c r="AC81" s="996"/>
    </row>
    <row r="82" spans="1:29" s="882" customFormat="1" ht="15">
      <c r="A82" s="1135"/>
      <c r="B82" s="1128" t="str">
        <f>B12</f>
        <v>是否配建</v>
      </c>
      <c r="C82" s="1258" t="s">
        <v>370</v>
      </c>
      <c r="D82" s="1258" t="s">
        <v>2857</v>
      </c>
      <c r="E82" s="1258" t="s">
        <v>2858</v>
      </c>
      <c r="F82" s="1258" t="s">
        <v>2859</v>
      </c>
      <c r="G82" s="1136"/>
      <c r="H82" s="1137"/>
      <c r="I82" s="1137"/>
      <c r="J82" s="1137"/>
      <c r="K82" s="1137"/>
      <c r="L82" s="1185"/>
      <c r="M82" s="1186"/>
      <c r="N82" s="1187"/>
      <c r="O82" s="1187"/>
      <c r="P82" s="1188"/>
      <c r="Q82" s="1219"/>
      <c r="R82" s="1220"/>
      <c r="S82" s="1220"/>
      <c r="T82" s="1220"/>
      <c r="U82" s="1220"/>
      <c r="V82" s="1220"/>
      <c r="W82" s="1220"/>
      <c r="X82" s="1220"/>
      <c r="Y82" s="1220"/>
      <c r="Z82" s="1220"/>
      <c r="AA82" s="1220"/>
      <c r="AB82" s="1220"/>
      <c r="AC82" s="1220"/>
    </row>
    <row r="83" spans="1:29" s="882" customFormat="1" ht="15">
      <c r="A83" s="1135"/>
      <c r="B83" s="1130"/>
      <c r="C83" s="1138">
        <v>100</v>
      </c>
      <c r="D83" s="1127">
        <v>99</v>
      </c>
      <c r="E83" s="1127">
        <v>98</v>
      </c>
      <c r="F83" s="1127">
        <v>97</v>
      </c>
      <c r="G83" s="1127"/>
      <c r="H83" s="1127"/>
      <c r="I83" s="1127"/>
      <c r="J83" s="1127"/>
      <c r="K83" s="1127"/>
      <c r="L83" s="1127"/>
      <c r="M83" s="1176"/>
      <c r="N83" s="1177"/>
      <c r="O83" s="1177"/>
      <c r="P83" s="1188"/>
      <c r="Q83" s="1219"/>
      <c r="R83" s="1220"/>
      <c r="S83" s="1220"/>
      <c r="T83" s="1220"/>
      <c r="U83" s="1220"/>
      <c r="V83" s="1220"/>
      <c r="W83" s="1220"/>
      <c r="X83" s="1220"/>
      <c r="Y83" s="1220"/>
      <c r="Z83" s="1220"/>
      <c r="AA83" s="1220"/>
      <c r="AB83" s="1220"/>
      <c r="AC83" s="1220"/>
    </row>
    <row r="84" spans="1:29" s="882" customFormat="1" ht="15">
      <c r="A84" s="1135"/>
      <c r="B84" s="1128" t="str">
        <f>B13</f>
        <v>是否自持</v>
      </c>
      <c r="C84" s="1258" t="s">
        <v>370</v>
      </c>
      <c r="D84" s="1258" t="s">
        <v>475</v>
      </c>
      <c r="E84" s="1136"/>
      <c r="F84" s="1136"/>
      <c r="G84" s="1136"/>
      <c r="H84" s="1137"/>
      <c r="I84" s="1137"/>
      <c r="J84" s="1137"/>
      <c r="K84" s="1137"/>
      <c r="L84" s="1185"/>
      <c r="M84" s="1186"/>
      <c r="N84" s="1187"/>
      <c r="O84" s="1187"/>
      <c r="P84" s="1064"/>
      <c r="Q84" s="1221"/>
      <c r="R84" s="1220"/>
      <c r="S84" s="1220"/>
      <c r="T84" s="1220"/>
      <c r="U84" s="1220"/>
      <c r="V84" s="1220"/>
      <c r="W84" s="1220"/>
      <c r="X84" s="1220"/>
      <c r="Y84" s="1220"/>
      <c r="Z84" s="1220"/>
      <c r="AA84" s="1220"/>
      <c r="AB84" s="1220"/>
      <c r="AC84" s="1220"/>
    </row>
    <row r="85" spans="1:29" s="882" customFormat="1" ht="15">
      <c r="A85" s="1135"/>
      <c r="B85" s="1130"/>
      <c r="C85" s="1138">
        <v>100</v>
      </c>
      <c r="D85" s="1138">
        <v>95</v>
      </c>
      <c r="E85" s="1138"/>
      <c r="F85" s="1138"/>
      <c r="G85" s="1138"/>
      <c r="H85" s="1139"/>
      <c r="I85" s="1139"/>
      <c r="J85" s="1139"/>
      <c r="K85" s="1139"/>
      <c r="L85" s="1139"/>
      <c r="M85" s="1189"/>
      <c r="N85" s="1187"/>
      <c r="O85" s="1187"/>
      <c r="P85" s="1188"/>
      <c r="Q85" s="1219"/>
      <c r="R85" s="1220"/>
      <c r="S85" s="1220"/>
      <c r="T85" s="1220"/>
      <c r="U85" s="1220"/>
      <c r="V85" s="1220"/>
      <c r="W85" s="1220"/>
      <c r="X85" s="1220"/>
      <c r="Y85" s="1220"/>
      <c r="Z85" s="1220"/>
      <c r="AA85" s="1220"/>
      <c r="AB85" s="1220"/>
      <c r="AC85" s="1220"/>
    </row>
    <row r="86" spans="1:29" s="882" customFormat="1" ht="15">
      <c r="A86" s="1135"/>
      <c r="B86" s="1132" t="str">
        <f>B14</f>
        <v>溢价比例</v>
      </c>
      <c r="C86" s="1259" t="s">
        <v>1536</v>
      </c>
      <c r="D86" s="1120" t="s">
        <v>1497</v>
      </c>
      <c r="E86" s="1120"/>
      <c r="F86" s="1120"/>
      <c r="G86" s="1120"/>
      <c r="H86" s="1140"/>
      <c r="I86" s="1140"/>
      <c r="J86" s="1140"/>
      <c r="K86" s="1140"/>
      <c r="L86" s="1190"/>
      <c r="M86" s="1191"/>
      <c r="N86" s="1187"/>
      <c r="O86" s="1187"/>
      <c r="P86" s="1192"/>
      <c r="Q86" s="1219"/>
      <c r="R86" s="1220"/>
      <c r="S86" s="1220"/>
      <c r="T86" s="1220"/>
      <c r="U86" s="1220"/>
      <c r="V86" s="1220"/>
      <c r="W86" s="1220"/>
      <c r="X86" s="1220"/>
      <c r="Y86" s="1220"/>
      <c r="Z86" s="1220"/>
      <c r="AA86" s="1220"/>
      <c r="AB86" s="1220"/>
      <c r="AC86" s="1220"/>
    </row>
    <row r="87" spans="1:29" s="882" customFormat="1" ht="15">
      <c r="A87" s="1141"/>
      <c r="B87" s="1142"/>
      <c r="C87" s="1143">
        <v>100</v>
      </c>
      <c r="D87" s="1143">
        <v>97</v>
      </c>
      <c r="E87" s="1143"/>
      <c r="F87" s="1143"/>
      <c r="G87" s="1143"/>
      <c r="H87" s="1144"/>
      <c r="I87" s="1144"/>
      <c r="J87" s="1144"/>
      <c r="K87" s="1144"/>
      <c r="L87" s="1144"/>
      <c r="M87" s="1193"/>
      <c r="N87" s="1187"/>
      <c r="O87" s="1187"/>
      <c r="P87" s="1188"/>
      <c r="Q87" s="1219"/>
      <c r="R87" s="1220"/>
      <c r="S87" s="1220"/>
      <c r="T87" s="1220"/>
      <c r="U87" s="1220"/>
      <c r="V87" s="1220"/>
      <c r="W87" s="1220"/>
      <c r="X87" s="1220"/>
      <c r="Y87" s="1220"/>
      <c r="Z87" s="1220"/>
      <c r="AA87" s="1220"/>
      <c r="AB87" s="1220"/>
      <c r="AC87" s="1220"/>
    </row>
    <row r="88" spans="1:29">
      <c r="A88" s="1123" t="s">
        <v>1377</v>
      </c>
      <c r="B88" s="1124" t="s">
        <v>1378</v>
      </c>
      <c r="C88" s="1145" t="s">
        <v>1416</v>
      </c>
      <c r="D88" s="1145" t="s">
        <v>1417</v>
      </c>
      <c r="E88" s="1145" t="s">
        <v>1418</v>
      </c>
      <c r="F88" s="1145" t="s">
        <v>1419</v>
      </c>
      <c r="G88" s="1145" t="s">
        <v>1420</v>
      </c>
      <c r="H88" s="1146"/>
      <c r="I88" s="1146"/>
      <c r="J88" s="1146"/>
      <c r="K88" s="1194"/>
      <c r="L88" s="1195"/>
      <c r="M88" s="1196"/>
      <c r="N88" s="1174"/>
      <c r="O88" s="1174"/>
      <c r="P88" s="1197"/>
      <c r="Q88" s="1098"/>
      <c r="R88" s="996"/>
      <c r="S88" s="996"/>
      <c r="T88" s="996"/>
      <c r="U88" s="996"/>
      <c r="V88" s="996"/>
      <c r="W88" s="996"/>
      <c r="X88" s="996"/>
      <c r="Y88" s="996"/>
      <c r="Z88" s="996"/>
      <c r="AA88" s="996"/>
      <c r="AB88" s="996"/>
      <c r="AC88" s="996"/>
    </row>
    <row r="89" spans="1:29" ht="15">
      <c r="A89" s="1125"/>
      <c r="B89" s="1130"/>
      <c r="C89" s="1131">
        <v>100</v>
      </c>
      <c r="D89" s="1131">
        <f>C89-$K15</f>
        <v>98</v>
      </c>
      <c r="E89" s="1131">
        <f>D89-$K15</f>
        <v>96</v>
      </c>
      <c r="F89" s="1131">
        <f>E89-$K15</f>
        <v>94</v>
      </c>
      <c r="G89" s="1131">
        <f>F89-$K15</f>
        <v>92</v>
      </c>
      <c r="H89" s="1131"/>
      <c r="I89" s="1131"/>
      <c r="J89" s="1131"/>
      <c r="K89" s="1131"/>
      <c r="L89" s="1131"/>
      <c r="M89" s="1181"/>
      <c r="N89" s="1177"/>
      <c r="O89" s="1177"/>
      <c r="P89" s="1175"/>
      <c r="Q89" s="1098"/>
      <c r="R89" s="996"/>
      <c r="S89" s="996"/>
      <c r="T89" s="996"/>
      <c r="U89" s="996"/>
      <c r="V89" s="996"/>
      <c r="W89" s="996"/>
      <c r="X89" s="996"/>
      <c r="Y89" s="996"/>
      <c r="Z89" s="996"/>
      <c r="AA89" s="996"/>
      <c r="AB89" s="996"/>
      <c r="AC89" s="996"/>
    </row>
    <row r="90" spans="1:29" ht="15">
      <c r="A90" s="1125"/>
      <c r="B90" s="1128" t="s">
        <v>1447</v>
      </c>
      <c r="C90" s="1147" t="s">
        <v>1416</v>
      </c>
      <c r="D90" s="1147" t="s">
        <v>1417</v>
      </c>
      <c r="E90" s="1147" t="s">
        <v>1418</v>
      </c>
      <c r="F90" s="1147" t="s">
        <v>1419</v>
      </c>
      <c r="G90" s="1147" t="s">
        <v>1420</v>
      </c>
      <c r="H90" s="1129"/>
      <c r="I90" s="1129"/>
      <c r="J90" s="1129"/>
      <c r="K90" s="1178"/>
      <c r="L90" s="1179"/>
      <c r="M90" s="1180"/>
      <c r="N90" s="1174"/>
      <c r="O90" s="1174"/>
      <c r="P90" s="1175"/>
      <c r="Q90" s="1098"/>
      <c r="R90" s="996"/>
      <c r="S90" s="996"/>
      <c r="T90" s="996"/>
      <c r="U90" s="996"/>
      <c r="V90" s="996"/>
      <c r="W90" s="996"/>
      <c r="X90" s="996"/>
      <c r="Y90" s="996"/>
      <c r="Z90" s="996"/>
      <c r="AA90" s="996"/>
      <c r="AB90" s="996"/>
      <c r="AC90" s="996"/>
    </row>
    <row r="91" spans="1:29" ht="15">
      <c r="A91" s="1125"/>
      <c r="B91" s="1130"/>
      <c r="C91" s="1131">
        <v>100</v>
      </c>
      <c r="D91" s="1131">
        <f>C91-$K17</f>
        <v>98</v>
      </c>
      <c r="E91" s="1131">
        <f>D91-$K17</f>
        <v>96</v>
      </c>
      <c r="F91" s="1131">
        <f>E91-$K17</f>
        <v>94</v>
      </c>
      <c r="G91" s="1131">
        <f>F91-$K17</f>
        <v>92</v>
      </c>
      <c r="H91" s="1131"/>
      <c r="I91" s="1131"/>
      <c r="J91" s="1131"/>
      <c r="K91" s="1131"/>
      <c r="L91" s="1131"/>
      <c r="M91" s="1181"/>
      <c r="N91" s="1177"/>
      <c r="O91" s="1177"/>
      <c r="P91" s="1175"/>
      <c r="Q91" s="1098"/>
      <c r="R91" s="996"/>
      <c r="S91" s="996"/>
      <c r="T91" s="996"/>
      <c r="U91" s="996"/>
      <c r="V91" s="996"/>
      <c r="W91" s="996"/>
      <c r="X91" s="996"/>
      <c r="Y91" s="996"/>
      <c r="Z91" s="996"/>
      <c r="AA91" s="996"/>
      <c r="AB91" s="996"/>
      <c r="AC91" s="996"/>
    </row>
    <row r="92" spans="1:29" ht="15">
      <c r="A92" s="1125"/>
      <c r="B92" s="1128" t="s">
        <v>1460</v>
      </c>
      <c r="C92" s="1147" t="s">
        <v>1416</v>
      </c>
      <c r="D92" s="1147" t="s">
        <v>1417</v>
      </c>
      <c r="E92" s="1147" t="s">
        <v>1418</v>
      </c>
      <c r="F92" s="1147" t="s">
        <v>1419</v>
      </c>
      <c r="G92" s="1147" t="s">
        <v>1420</v>
      </c>
      <c r="H92" s="1129"/>
      <c r="I92" s="1129"/>
      <c r="J92" s="1129"/>
      <c r="K92" s="1178"/>
      <c r="L92" s="1179"/>
      <c r="M92" s="1180"/>
      <c r="N92" s="1174"/>
      <c r="O92" s="1174"/>
      <c r="P92" s="1175"/>
      <c r="Q92" s="1098"/>
      <c r="R92" s="996"/>
      <c r="S92" s="996"/>
      <c r="T92" s="996"/>
      <c r="U92" s="996"/>
      <c r="V92" s="996"/>
      <c r="W92" s="996"/>
      <c r="X92" s="996"/>
      <c r="Y92" s="996"/>
      <c r="Z92" s="996"/>
      <c r="AA92" s="996"/>
      <c r="AB92" s="996"/>
      <c r="AC92" s="996"/>
    </row>
    <row r="93" spans="1:29" ht="15">
      <c r="A93" s="1125"/>
      <c r="B93" s="1130"/>
      <c r="C93" s="1131">
        <v>100</v>
      </c>
      <c r="D93" s="1131">
        <f>C93-$K19</f>
        <v>100</v>
      </c>
      <c r="E93" s="1131">
        <f>D93-$K19</f>
        <v>100</v>
      </c>
      <c r="F93" s="1131">
        <f>E93-$K19</f>
        <v>100</v>
      </c>
      <c r="G93" s="1131">
        <f>F93-$K19</f>
        <v>100</v>
      </c>
      <c r="H93" s="1131"/>
      <c r="I93" s="1131"/>
      <c r="J93" s="1131"/>
      <c r="K93" s="1131"/>
      <c r="L93" s="1131"/>
      <c r="M93" s="1181"/>
      <c r="N93" s="1177"/>
      <c r="O93" s="1177"/>
      <c r="P93" s="1175"/>
      <c r="Q93" s="1098"/>
      <c r="R93" s="996"/>
      <c r="S93" s="996"/>
      <c r="T93" s="996"/>
      <c r="U93" s="996"/>
      <c r="V93" s="996"/>
      <c r="W93" s="996"/>
      <c r="X93" s="996"/>
      <c r="Y93" s="996"/>
      <c r="Z93" s="996"/>
      <c r="AA93" s="996"/>
      <c r="AB93" s="996"/>
      <c r="AC93" s="996"/>
    </row>
    <row r="94" spans="1:29" ht="15">
      <c r="A94" s="1125"/>
      <c r="B94" s="1128" t="s">
        <v>1380</v>
      </c>
      <c r="C94" s="1147" t="s">
        <v>1416</v>
      </c>
      <c r="D94" s="1147" t="s">
        <v>1417</v>
      </c>
      <c r="E94" s="1147" t="s">
        <v>1418</v>
      </c>
      <c r="F94" s="1147" t="s">
        <v>1419</v>
      </c>
      <c r="G94" s="1147" t="s">
        <v>1420</v>
      </c>
      <c r="H94" s="1129"/>
      <c r="I94" s="1129"/>
      <c r="J94" s="1129"/>
      <c r="K94" s="1178"/>
      <c r="L94" s="1179"/>
      <c r="M94" s="1180"/>
      <c r="N94" s="1174"/>
      <c r="O94" s="1174"/>
      <c r="P94" s="1175"/>
      <c r="Q94" s="1098"/>
      <c r="R94" s="996"/>
      <c r="S94" s="996"/>
      <c r="T94" s="996"/>
      <c r="U94" s="996"/>
      <c r="V94" s="996"/>
      <c r="W94" s="996"/>
      <c r="X94" s="996"/>
      <c r="Y94" s="996"/>
      <c r="Z94" s="996"/>
      <c r="AA94" s="996"/>
      <c r="AB94" s="996"/>
      <c r="AC94" s="996"/>
    </row>
    <row r="95" spans="1:29" ht="15">
      <c r="A95" s="1125"/>
      <c r="B95" s="1130"/>
      <c r="C95" s="1131">
        <v>100</v>
      </c>
      <c r="D95" s="1131">
        <f>C95-$K21</f>
        <v>98</v>
      </c>
      <c r="E95" s="1131">
        <f>D95-$K21</f>
        <v>96</v>
      </c>
      <c r="F95" s="1131">
        <f>E95-$K21</f>
        <v>94</v>
      </c>
      <c r="G95" s="1131">
        <f>F95-$K21</f>
        <v>92</v>
      </c>
      <c r="H95" s="1131"/>
      <c r="I95" s="1131"/>
      <c r="J95" s="1131"/>
      <c r="K95" s="1131"/>
      <c r="L95" s="1131"/>
      <c r="M95" s="1181"/>
      <c r="N95" s="1177"/>
      <c r="O95" s="1177"/>
      <c r="P95" s="1175"/>
      <c r="Q95" s="1098"/>
      <c r="R95" s="996"/>
      <c r="S95" s="996"/>
      <c r="T95" s="996"/>
      <c r="U95" s="996"/>
      <c r="V95" s="996"/>
      <c r="W95" s="996"/>
      <c r="X95" s="996"/>
      <c r="Y95" s="996"/>
      <c r="Z95" s="996"/>
      <c r="AA95" s="996"/>
      <c r="AB95" s="996"/>
      <c r="AC95" s="996"/>
    </row>
    <row r="96" spans="1:29" s="880" customFormat="1" ht="15">
      <c r="A96" s="1148"/>
      <c r="B96" s="1128" t="s">
        <v>1500</v>
      </c>
      <c r="C96" s="1147" t="s">
        <v>1416</v>
      </c>
      <c r="D96" s="1147" t="s">
        <v>1417</v>
      </c>
      <c r="E96" s="1147" t="s">
        <v>1418</v>
      </c>
      <c r="F96" s="1147" t="s">
        <v>1419</v>
      </c>
      <c r="G96" s="1147" t="s">
        <v>1420</v>
      </c>
      <c r="H96" s="1147"/>
      <c r="I96" s="1147"/>
      <c r="J96" s="1147"/>
      <c r="K96" s="1147"/>
      <c r="L96" s="1198"/>
      <c r="M96" s="1199"/>
      <c r="N96" s="1168"/>
      <c r="O96" s="1168"/>
      <c r="P96" s="1175"/>
      <c r="Q96" s="1098"/>
      <c r="R96" s="1218"/>
      <c r="S96" s="1218"/>
      <c r="T96" s="1218"/>
      <c r="U96" s="1218"/>
      <c r="V96" s="1218"/>
      <c r="W96" s="1218"/>
      <c r="X96" s="1218"/>
      <c r="Y96" s="1218"/>
      <c r="Z96" s="1218"/>
      <c r="AA96" s="1218"/>
      <c r="AB96" s="1218"/>
      <c r="AC96" s="1218"/>
    </row>
    <row r="97" spans="1:29" s="880" customFormat="1" ht="15">
      <c r="A97" s="1148"/>
      <c r="B97" s="1130"/>
      <c r="C97" s="1149">
        <v>100</v>
      </c>
      <c r="D97" s="1131">
        <f>C97-$K23</f>
        <v>100</v>
      </c>
      <c r="E97" s="1131">
        <f>D97-$K23</f>
        <v>100</v>
      </c>
      <c r="F97" s="1131">
        <f>E97-$K23</f>
        <v>100</v>
      </c>
      <c r="G97" s="1131">
        <f>F97-$K23</f>
        <v>100</v>
      </c>
      <c r="H97" s="1131"/>
      <c r="I97" s="1131"/>
      <c r="J97" s="1131"/>
      <c r="K97" s="1131"/>
      <c r="L97" s="1131"/>
      <c r="M97" s="1181"/>
      <c r="N97" s="1177"/>
      <c r="O97" s="1177"/>
      <c r="P97" s="1175"/>
      <c r="Q97" s="1098"/>
      <c r="R97" s="1218"/>
      <c r="S97" s="1218"/>
      <c r="T97" s="1218"/>
      <c r="U97" s="1218"/>
      <c r="V97" s="1218"/>
      <c r="W97" s="1218"/>
      <c r="X97" s="1218"/>
      <c r="Y97" s="1218"/>
      <c r="Z97" s="1218"/>
      <c r="AA97" s="1218"/>
      <c r="AB97" s="1218"/>
      <c r="AC97" s="1218"/>
    </row>
    <row r="98" spans="1:29" s="880" customFormat="1" ht="27">
      <c r="A98" s="1148"/>
      <c r="B98" s="1128" t="s">
        <v>1501</v>
      </c>
      <c r="C98" s="1145" t="s">
        <v>1416</v>
      </c>
      <c r="D98" s="1145" t="s">
        <v>1417</v>
      </c>
      <c r="E98" s="1145" t="s">
        <v>1418</v>
      </c>
      <c r="F98" s="1145" t="s">
        <v>1419</v>
      </c>
      <c r="G98" s="1145" t="s">
        <v>1420</v>
      </c>
      <c r="H98" s="1147"/>
      <c r="I98" s="1147"/>
      <c r="J98" s="1147"/>
      <c r="K98" s="1147"/>
      <c r="L98" s="1147"/>
      <c r="M98" s="1199"/>
      <c r="N98" s="1168"/>
      <c r="O98" s="1168"/>
      <c r="P98" s="1175"/>
      <c r="Q98" s="1098"/>
      <c r="R98" s="1218"/>
      <c r="S98" s="1218"/>
      <c r="T98" s="1218"/>
      <c r="U98" s="1218"/>
      <c r="V98" s="1218"/>
      <c r="W98" s="1218"/>
      <c r="X98" s="1218"/>
      <c r="Y98" s="1218"/>
      <c r="Z98" s="1218"/>
      <c r="AA98" s="1218"/>
      <c r="AB98" s="1218"/>
      <c r="AC98" s="1218"/>
    </row>
    <row r="99" spans="1:29" s="880" customFormat="1" ht="15">
      <c r="A99" s="1148"/>
      <c r="B99" s="1130"/>
      <c r="C99" s="1131">
        <v>100</v>
      </c>
      <c r="D99" s="1131">
        <f>C99-$K25</f>
        <v>98</v>
      </c>
      <c r="E99" s="1131">
        <f>D99-$K25</f>
        <v>96</v>
      </c>
      <c r="F99" s="1131">
        <f>E99-$K25</f>
        <v>94</v>
      </c>
      <c r="G99" s="1131">
        <f>F99-$K25</f>
        <v>92</v>
      </c>
      <c r="H99" s="1131"/>
      <c r="I99" s="1131"/>
      <c r="J99" s="1131"/>
      <c r="K99" s="1131"/>
      <c r="L99" s="1131"/>
      <c r="M99" s="1181"/>
      <c r="N99" s="1177"/>
      <c r="O99" s="1177"/>
      <c r="P99" s="1175"/>
      <c r="Q99" s="1098"/>
      <c r="R99" s="1218"/>
      <c r="S99" s="1218"/>
      <c r="T99" s="1218"/>
      <c r="U99" s="1218"/>
      <c r="V99" s="1218"/>
      <c r="W99" s="1218"/>
      <c r="X99" s="1218"/>
      <c r="Y99" s="1218"/>
      <c r="Z99" s="1218"/>
      <c r="AA99" s="1218"/>
      <c r="AB99" s="1218"/>
      <c r="AC99" s="1218"/>
    </row>
    <row r="100" spans="1:29" s="882" customFormat="1" ht="15">
      <c r="A100" s="1135"/>
      <c r="B100" s="1128" t="s">
        <v>1381</v>
      </c>
      <c r="C100" s="1145" t="s">
        <v>1416</v>
      </c>
      <c r="D100" s="1145" t="s">
        <v>1417</v>
      </c>
      <c r="E100" s="1145" t="s">
        <v>1418</v>
      </c>
      <c r="F100" s="1145" t="s">
        <v>1419</v>
      </c>
      <c r="G100" s="1145" t="s">
        <v>1420</v>
      </c>
      <c r="H100" s="1150"/>
      <c r="I100" s="1150"/>
      <c r="J100" s="1150"/>
      <c r="K100" s="1150"/>
      <c r="L100" s="1200"/>
      <c r="M100" s="1201"/>
      <c r="N100" s="1187"/>
      <c r="O100" s="1187"/>
      <c r="P100" s="1188"/>
      <c r="Q100" s="1219"/>
      <c r="R100" s="1220"/>
      <c r="S100" s="1220"/>
      <c r="T100" s="1220"/>
      <c r="U100" s="1220"/>
      <c r="V100" s="1220"/>
      <c r="W100" s="1220"/>
      <c r="X100" s="1220"/>
      <c r="Y100" s="1220"/>
      <c r="Z100" s="1220"/>
      <c r="AA100" s="1220"/>
      <c r="AB100" s="1220"/>
      <c r="AC100" s="1220"/>
    </row>
    <row r="101" spans="1:29" s="882" customFormat="1" ht="15">
      <c r="A101" s="1135"/>
      <c r="B101" s="1130"/>
      <c r="C101" s="1131">
        <v>100</v>
      </c>
      <c r="D101" s="1131">
        <f>C101-$K27</f>
        <v>98</v>
      </c>
      <c r="E101" s="1131">
        <f>D101-$K27</f>
        <v>96</v>
      </c>
      <c r="F101" s="1131">
        <f>E101-$K27</f>
        <v>94</v>
      </c>
      <c r="G101" s="1131">
        <f>F101-$K27</f>
        <v>92</v>
      </c>
      <c r="H101" s="1151"/>
      <c r="I101" s="1151"/>
      <c r="J101" s="1151"/>
      <c r="K101" s="1151"/>
      <c r="L101" s="1151"/>
      <c r="M101" s="1202"/>
      <c r="N101" s="1187"/>
      <c r="O101" s="1187"/>
      <c r="P101" s="1188"/>
      <c r="Q101" s="1219"/>
      <c r="R101" s="1220"/>
      <c r="S101" s="1220"/>
      <c r="T101" s="1220"/>
      <c r="U101" s="1220"/>
      <c r="V101" s="1220"/>
      <c r="W101" s="1220"/>
      <c r="X101" s="1220"/>
      <c r="Y101" s="1220"/>
      <c r="Z101" s="1220"/>
      <c r="AA101" s="1220"/>
      <c r="AB101" s="1220"/>
      <c r="AC101" s="1220"/>
    </row>
    <row r="102" spans="1:29" s="882" customFormat="1" ht="15">
      <c r="A102" s="1135"/>
      <c r="B102" s="1132" t="s">
        <v>1382</v>
      </c>
      <c r="C102" s="1152" t="s">
        <v>1421</v>
      </c>
      <c r="D102" s="1152" t="s">
        <v>1422</v>
      </c>
      <c r="E102" s="1152" t="s">
        <v>1423</v>
      </c>
      <c r="F102" s="1152" t="s">
        <v>1424</v>
      </c>
      <c r="G102" s="1152" t="s">
        <v>1425</v>
      </c>
      <c r="H102" s="1150"/>
      <c r="I102" s="1150"/>
      <c r="J102" s="1150"/>
      <c r="K102" s="1150"/>
      <c r="L102" s="1150"/>
      <c r="M102" s="1203"/>
      <c r="N102" s="1187"/>
      <c r="O102" s="1187"/>
      <c r="P102" s="1188"/>
      <c r="Q102" s="1219"/>
      <c r="R102" s="1220"/>
      <c r="S102" s="1220"/>
      <c r="T102" s="1220"/>
      <c r="U102" s="1220"/>
      <c r="V102" s="1220"/>
      <c r="W102" s="1220"/>
      <c r="X102" s="1220"/>
      <c r="Y102" s="1220"/>
      <c r="Z102" s="1220"/>
      <c r="AA102" s="1220"/>
      <c r="AB102" s="1220"/>
      <c r="AC102" s="1220"/>
    </row>
    <row r="103" spans="1:29" s="882" customFormat="1" ht="15">
      <c r="A103" s="1135"/>
      <c r="B103" s="1132"/>
      <c r="C103" s="1131">
        <v>100</v>
      </c>
      <c r="D103" s="1131">
        <f>C103-$K29</f>
        <v>98</v>
      </c>
      <c r="E103" s="1131">
        <f>D103-$K29</f>
        <v>96</v>
      </c>
      <c r="F103" s="1131">
        <f>E103-$K29</f>
        <v>94</v>
      </c>
      <c r="G103" s="1131">
        <f>F103-$K29</f>
        <v>92</v>
      </c>
      <c r="H103" s="1134"/>
      <c r="I103" s="1134"/>
      <c r="J103" s="1134"/>
      <c r="K103" s="1134"/>
      <c r="L103" s="1134"/>
      <c r="M103" s="1203"/>
      <c r="N103" s="1187"/>
      <c r="O103" s="1187"/>
      <c r="P103" s="1188"/>
      <c r="Q103" s="1219"/>
      <c r="R103" s="1220"/>
      <c r="S103" s="1220"/>
      <c r="T103" s="1220"/>
      <c r="U103" s="1220"/>
      <c r="V103" s="1220"/>
      <c r="W103" s="1220"/>
      <c r="X103" s="1220"/>
      <c r="Y103" s="1220"/>
      <c r="Z103" s="1220"/>
      <c r="AA103" s="1220"/>
      <c r="AB103" s="1220"/>
      <c r="AC103" s="1220"/>
    </row>
    <row r="104" spans="1:29" ht="15">
      <c r="A104" s="1125"/>
      <c r="B104" s="1128" t="str">
        <f>B31</f>
        <v>临街状况</v>
      </c>
      <c r="C104" s="1129" t="s">
        <v>1537</v>
      </c>
      <c r="D104" s="1129" t="s">
        <v>1538</v>
      </c>
      <c r="E104" s="1129" t="s">
        <v>1539</v>
      </c>
      <c r="F104" s="1129" t="s">
        <v>1540</v>
      </c>
      <c r="G104" s="1129"/>
      <c r="H104" s="1129"/>
      <c r="I104" s="1129"/>
      <c r="J104" s="1129"/>
      <c r="K104" s="1178"/>
      <c r="L104" s="1179"/>
      <c r="M104" s="1180"/>
      <c r="N104" s="1174"/>
      <c r="O104" s="1174"/>
      <c r="P104" s="1175"/>
      <c r="Q104" s="1098"/>
      <c r="R104" s="996"/>
      <c r="S104" s="996"/>
      <c r="T104" s="996"/>
      <c r="U104" s="996"/>
      <c r="V104" s="996"/>
      <c r="W104" s="996"/>
      <c r="X104" s="996"/>
      <c r="Y104" s="996"/>
      <c r="Z104" s="996"/>
      <c r="AA104" s="996"/>
      <c r="AB104" s="996"/>
      <c r="AC104" s="996"/>
    </row>
    <row r="105" spans="1:29" ht="15">
      <c r="A105" s="1125"/>
      <c r="B105" s="1130"/>
      <c r="C105" s="1131">
        <v>100</v>
      </c>
      <c r="D105" s="1131">
        <f>C105-$K31</f>
        <v>100</v>
      </c>
      <c r="E105" s="1131">
        <f t="shared" ref="E105:M105" si="21">D105-$K31</f>
        <v>100</v>
      </c>
      <c r="F105" s="1131">
        <f t="shared" si="21"/>
        <v>100</v>
      </c>
      <c r="G105" s="1131">
        <f t="shared" si="21"/>
        <v>100</v>
      </c>
      <c r="H105" s="1131">
        <f t="shared" si="21"/>
        <v>100</v>
      </c>
      <c r="I105" s="1131">
        <f t="shared" si="21"/>
        <v>100</v>
      </c>
      <c r="J105" s="1131">
        <f t="shared" si="21"/>
        <v>100</v>
      </c>
      <c r="K105" s="1131">
        <f t="shared" si="21"/>
        <v>100</v>
      </c>
      <c r="L105" s="1131">
        <f t="shared" si="21"/>
        <v>100</v>
      </c>
      <c r="M105" s="1131">
        <f t="shared" si="21"/>
        <v>100</v>
      </c>
      <c r="N105" s="1177"/>
      <c r="O105" s="1177"/>
      <c r="P105" s="1175"/>
      <c r="Q105" s="1098"/>
      <c r="R105" s="996"/>
      <c r="S105" s="996"/>
      <c r="T105" s="996"/>
      <c r="U105" s="996"/>
      <c r="V105" s="996"/>
      <c r="W105" s="996"/>
      <c r="X105" s="996"/>
      <c r="Y105" s="996"/>
      <c r="Z105" s="996"/>
      <c r="AA105" s="996"/>
      <c r="AB105" s="996"/>
      <c r="AC105" s="996"/>
    </row>
    <row r="106" spans="1:29" ht="27">
      <c r="A106" s="1125"/>
      <c r="B106" s="1128" t="s">
        <v>1462</v>
      </c>
      <c r="C106" s="1136"/>
      <c r="D106" s="1136"/>
      <c r="E106" s="1136"/>
      <c r="F106" s="1136"/>
      <c r="G106" s="1136"/>
      <c r="H106" s="1153"/>
      <c r="I106" s="1153"/>
      <c r="J106" s="1153"/>
      <c r="K106" s="1204"/>
      <c r="L106" s="1205"/>
      <c r="M106" s="1206"/>
      <c r="N106" s="1174"/>
      <c r="O106" s="1174"/>
      <c r="P106" s="1175"/>
      <c r="Q106" s="1098"/>
      <c r="R106" s="996"/>
      <c r="S106" s="996"/>
      <c r="T106" s="996"/>
      <c r="U106" s="996"/>
      <c r="V106" s="996"/>
      <c r="W106" s="996"/>
      <c r="X106" s="996"/>
      <c r="Y106" s="996"/>
      <c r="Z106" s="996"/>
      <c r="AA106" s="996"/>
      <c r="AB106" s="996"/>
      <c r="AC106" s="996"/>
    </row>
    <row r="107" spans="1:29" ht="15">
      <c r="A107" s="1125"/>
      <c r="B107" s="1130"/>
      <c r="C107" s="1131">
        <v>100</v>
      </c>
      <c r="D107" s="1131">
        <f>C107-$K32</f>
        <v>100</v>
      </c>
      <c r="E107" s="1131">
        <f t="shared" ref="E107:M107" si="22">D107-$K32</f>
        <v>100</v>
      </c>
      <c r="F107" s="1131">
        <f t="shared" si="22"/>
        <v>100</v>
      </c>
      <c r="G107" s="1131">
        <f t="shared" si="22"/>
        <v>100</v>
      </c>
      <c r="H107" s="1131">
        <f t="shared" si="22"/>
        <v>100</v>
      </c>
      <c r="I107" s="1131">
        <f t="shared" si="22"/>
        <v>100</v>
      </c>
      <c r="J107" s="1131">
        <f t="shared" si="22"/>
        <v>100</v>
      </c>
      <c r="K107" s="1131">
        <f t="shared" si="22"/>
        <v>100</v>
      </c>
      <c r="L107" s="1131">
        <f t="shared" si="22"/>
        <v>100</v>
      </c>
      <c r="M107" s="1131">
        <f t="shared" si="22"/>
        <v>100</v>
      </c>
      <c r="N107" s="1177"/>
      <c r="O107" s="1177"/>
      <c r="P107" s="1175"/>
      <c r="Q107" s="1098"/>
      <c r="R107" s="996"/>
      <c r="S107" s="996"/>
      <c r="T107" s="996"/>
      <c r="U107" s="996"/>
      <c r="V107" s="996"/>
      <c r="W107" s="996"/>
      <c r="X107" s="996"/>
      <c r="Y107" s="996"/>
      <c r="Z107" s="996"/>
      <c r="AA107" s="996"/>
      <c r="AB107" s="996"/>
      <c r="AC107" s="996"/>
    </row>
    <row r="108" spans="1:29" ht="15">
      <c r="A108" s="1125"/>
      <c r="B108" s="1128" t="s">
        <v>1503</v>
      </c>
      <c r="C108" s="3074" t="s">
        <v>2852</v>
      </c>
      <c r="D108" s="3074" t="s">
        <v>2854</v>
      </c>
      <c r="E108" s="1153"/>
      <c r="F108" s="1153"/>
      <c r="G108" s="1153"/>
      <c r="H108" s="1153"/>
      <c r="I108" s="1153"/>
      <c r="J108" s="1153"/>
      <c r="K108" s="1204"/>
      <c r="L108" s="1205"/>
      <c r="M108" s="1206"/>
      <c r="N108" s="1174"/>
      <c r="O108" s="1174"/>
      <c r="P108" s="1175"/>
      <c r="Q108" s="1098"/>
      <c r="R108" s="996"/>
      <c r="S108" s="996"/>
      <c r="T108" s="996"/>
      <c r="U108" s="996"/>
      <c r="V108" s="996"/>
      <c r="W108" s="996"/>
      <c r="X108" s="996"/>
      <c r="Y108" s="996"/>
      <c r="Z108" s="996"/>
      <c r="AA108" s="996"/>
      <c r="AB108" s="996"/>
      <c r="AC108" s="996"/>
    </row>
    <row r="109" spans="1:29" ht="15">
      <c r="A109" s="1125"/>
      <c r="B109" s="1130"/>
      <c r="C109" s="1131">
        <v>100</v>
      </c>
      <c r="D109" s="1131">
        <f>C109-$K34</f>
        <v>98</v>
      </c>
      <c r="E109" s="1131">
        <f t="shared" ref="E109:M109" si="23">D109-$K34</f>
        <v>96</v>
      </c>
      <c r="F109" s="1131">
        <f t="shared" si="23"/>
        <v>94</v>
      </c>
      <c r="G109" s="1131">
        <f t="shared" si="23"/>
        <v>92</v>
      </c>
      <c r="H109" s="1131">
        <f t="shared" si="23"/>
        <v>90</v>
      </c>
      <c r="I109" s="1131">
        <f t="shared" si="23"/>
        <v>88</v>
      </c>
      <c r="J109" s="1131">
        <f t="shared" si="23"/>
        <v>86</v>
      </c>
      <c r="K109" s="1131">
        <f t="shared" si="23"/>
        <v>84</v>
      </c>
      <c r="L109" s="1131">
        <f t="shared" si="23"/>
        <v>82</v>
      </c>
      <c r="M109" s="1131">
        <f t="shared" si="23"/>
        <v>80</v>
      </c>
      <c r="N109" s="1177"/>
      <c r="O109" s="1177"/>
      <c r="P109" s="1175"/>
      <c r="Q109" s="1098"/>
      <c r="R109" s="996"/>
      <c r="S109" s="996"/>
      <c r="T109" s="996"/>
      <c r="U109" s="996"/>
      <c r="V109" s="996"/>
      <c r="W109" s="996"/>
      <c r="X109" s="996"/>
      <c r="Y109" s="996"/>
      <c r="Z109" s="996"/>
      <c r="AA109" s="996"/>
      <c r="AB109" s="996"/>
      <c r="AC109" s="996"/>
    </row>
    <row r="110" spans="1:29" ht="15">
      <c r="A110" s="1125"/>
      <c r="B110" s="1132">
        <f>B35</f>
        <v>111</v>
      </c>
      <c r="C110" s="1136"/>
      <c r="D110" s="1136"/>
      <c r="E110" s="1136"/>
      <c r="F110" s="1136"/>
      <c r="G110" s="1154"/>
      <c r="H110" s="1154"/>
      <c r="I110" s="1154"/>
      <c r="J110" s="1154"/>
      <c r="K110" s="1207"/>
      <c r="L110" s="1208"/>
      <c r="M110" s="1209"/>
      <c r="N110" s="1174"/>
      <c r="O110" s="1174"/>
      <c r="P110" s="1175"/>
      <c r="Q110" s="1098"/>
      <c r="R110" s="996"/>
      <c r="S110" s="996"/>
      <c r="T110" s="996"/>
      <c r="U110" s="996"/>
      <c r="V110" s="996"/>
      <c r="W110" s="996"/>
      <c r="X110" s="996"/>
      <c r="Y110" s="996"/>
      <c r="Z110" s="996"/>
      <c r="AA110" s="996"/>
      <c r="AB110" s="996"/>
      <c r="AC110" s="996"/>
    </row>
    <row r="111" spans="1:29" ht="15">
      <c r="A111" s="1125"/>
      <c r="B111" s="1142"/>
      <c r="C111" s="1138"/>
      <c r="D111" s="1138"/>
      <c r="E111" s="1138"/>
      <c r="F111" s="1138"/>
      <c r="G111" s="1155"/>
      <c r="H111" s="1155"/>
      <c r="I111" s="1155"/>
      <c r="J111" s="1155"/>
      <c r="K111" s="1155"/>
      <c r="L111" s="1155"/>
      <c r="M111" s="1210"/>
      <c r="N111" s="1177"/>
      <c r="O111" s="1177"/>
      <c r="P111" s="1175"/>
      <c r="Q111" s="1098"/>
      <c r="R111" s="996"/>
      <c r="S111" s="996"/>
      <c r="T111" s="996"/>
      <c r="U111" s="996"/>
      <c r="V111" s="996"/>
      <c r="W111" s="996"/>
      <c r="X111" s="996"/>
      <c r="Y111" s="996"/>
      <c r="Z111" s="996"/>
      <c r="AA111" s="996"/>
      <c r="AB111" s="996"/>
      <c r="AC111" s="996"/>
    </row>
    <row r="112" spans="1:29">
      <c r="A112" s="962"/>
      <c r="B112" s="1128">
        <f>B36</f>
        <v>111</v>
      </c>
      <c r="C112" s="1120"/>
      <c r="D112" s="1120"/>
      <c r="E112" s="1120"/>
      <c r="F112" s="1120"/>
      <c r="G112" s="1153"/>
      <c r="H112" s="1153"/>
      <c r="I112" s="1153"/>
      <c r="J112" s="1153"/>
      <c r="K112" s="1204"/>
      <c r="L112" s="1205"/>
      <c r="M112" s="1206"/>
      <c r="N112" s="1174"/>
      <c r="O112" s="1174"/>
      <c r="P112" s="1175"/>
      <c r="Q112" s="1098"/>
      <c r="R112" s="996"/>
      <c r="S112" s="996"/>
      <c r="T112" s="996"/>
      <c r="U112" s="996"/>
      <c r="V112" s="996"/>
      <c r="W112" s="996"/>
      <c r="X112" s="996"/>
      <c r="Y112" s="996"/>
      <c r="Z112" s="996"/>
      <c r="AA112" s="996"/>
      <c r="AB112" s="996"/>
      <c r="AC112" s="996"/>
    </row>
    <row r="113" spans="1:29" ht="15">
      <c r="A113" s="1125"/>
      <c r="B113" s="1130"/>
      <c r="C113" s="1143"/>
      <c r="D113" s="1143"/>
      <c r="E113" s="1143"/>
      <c r="F113" s="1143"/>
      <c r="G113" s="1127"/>
      <c r="H113" s="1127"/>
      <c r="I113" s="1127"/>
      <c r="J113" s="1127"/>
      <c r="K113" s="1127"/>
      <c r="L113" s="1127"/>
      <c r="M113" s="1176"/>
      <c r="N113" s="1177"/>
      <c r="O113" s="1177"/>
      <c r="P113" s="1175"/>
      <c r="Q113" s="1098"/>
      <c r="R113" s="996"/>
      <c r="S113" s="996"/>
      <c r="T113" s="996"/>
      <c r="U113" s="996"/>
      <c r="V113" s="996"/>
      <c r="W113" s="996"/>
      <c r="X113" s="996"/>
      <c r="Y113" s="996"/>
      <c r="Z113" s="996"/>
      <c r="AA113" s="996"/>
      <c r="AB113" s="996"/>
      <c r="AC113" s="996"/>
    </row>
    <row r="114" spans="1:29" s="882" customFormat="1">
      <c r="A114" s="1156"/>
      <c r="B114" s="1157">
        <f>B37</f>
        <v>111</v>
      </c>
      <c r="C114" s="1112"/>
      <c r="D114" s="1112"/>
      <c r="E114" s="1112"/>
      <c r="F114" s="1112"/>
      <c r="G114" s="1112"/>
      <c r="H114" s="1112"/>
      <c r="I114" s="1112"/>
      <c r="J114" s="1211"/>
      <c r="K114" s="1211"/>
      <c r="L114" s="1212"/>
      <c r="M114" s="1213"/>
      <c r="N114" s="1187"/>
      <c r="O114" s="1187"/>
      <c r="P114" s="1188"/>
      <c r="Q114" s="1219"/>
      <c r="R114" s="1220"/>
      <c r="S114" s="1220"/>
      <c r="T114" s="1220"/>
      <c r="U114" s="1220"/>
      <c r="V114" s="1220"/>
      <c r="W114" s="1220"/>
      <c r="X114" s="1220"/>
      <c r="Y114" s="1220"/>
      <c r="Z114" s="1220"/>
      <c r="AA114" s="1220"/>
      <c r="AB114" s="1220"/>
      <c r="AC114" s="1220"/>
    </row>
    <row r="115" spans="1:29" s="882" customFormat="1" ht="15">
      <c r="A115" s="1135"/>
      <c r="B115" s="1132"/>
      <c r="C115" s="1122"/>
      <c r="D115" s="1158"/>
      <c r="E115" s="1158"/>
      <c r="F115" s="1158"/>
      <c r="G115" s="1158"/>
      <c r="H115" s="1158"/>
      <c r="I115" s="1158"/>
      <c r="J115" s="1158"/>
      <c r="K115" s="1158"/>
      <c r="L115" s="1158"/>
      <c r="M115" s="1214"/>
      <c r="N115" s="1177"/>
      <c r="O115" s="1177"/>
      <c r="P115" s="1188"/>
      <c r="Q115" s="1219"/>
      <c r="R115" s="1220"/>
      <c r="S115" s="1220"/>
      <c r="T115" s="1220"/>
      <c r="U115" s="1220"/>
      <c r="V115" s="1220"/>
      <c r="W115" s="1220"/>
      <c r="X115" s="1220"/>
      <c r="Y115" s="1220"/>
      <c r="Z115" s="1220"/>
      <c r="AA115" s="1220"/>
      <c r="AB115" s="1220"/>
      <c r="AC115" s="1220"/>
    </row>
    <row r="116" spans="1:29" ht="28.5">
      <c r="A116" s="1123" t="s">
        <v>1386</v>
      </c>
      <c r="B116" s="1124" t="s">
        <v>1504</v>
      </c>
      <c r="C116" s="1146" t="str">
        <f>C117&amp;"(含)"&amp;"-"&amp;D117</f>
        <v>0(含)-20000</v>
      </c>
      <c r="D116" s="1146" t="str">
        <f t="shared" ref="D116:M116" si="24">D117&amp;"(含)"&amp;"-"&amp;E117</f>
        <v>20000(含)-40000</v>
      </c>
      <c r="E116" s="1146" t="str">
        <f t="shared" si="24"/>
        <v>40000(含)-60000</v>
      </c>
      <c r="F116" s="1146" t="str">
        <f t="shared" si="24"/>
        <v>60000(含)-80000</v>
      </c>
      <c r="G116" s="1146" t="str">
        <f t="shared" si="24"/>
        <v>80000(含)-100000</v>
      </c>
      <c r="H116" s="1146" t="str">
        <f t="shared" si="24"/>
        <v>100000(含)-</v>
      </c>
      <c r="I116" s="1146" t="str">
        <f t="shared" si="24"/>
        <v>(含)-</v>
      </c>
      <c r="J116" s="1146" t="str">
        <f t="shared" si="24"/>
        <v>(含)-</v>
      </c>
      <c r="K116" s="1146" t="str">
        <f t="shared" si="24"/>
        <v>(含)-</v>
      </c>
      <c r="L116" s="1146" t="str">
        <f t="shared" si="24"/>
        <v>(含)-</v>
      </c>
      <c r="M116" s="1146" t="str">
        <f t="shared" si="24"/>
        <v>(含)-</v>
      </c>
      <c r="N116" s="1174"/>
      <c r="O116" s="1174"/>
      <c r="P116" s="1175"/>
      <c r="Q116" s="1098"/>
      <c r="R116" s="996"/>
      <c r="S116" s="996"/>
      <c r="T116" s="996"/>
      <c r="U116" s="996"/>
      <c r="V116" s="996"/>
      <c r="W116" s="996"/>
      <c r="X116" s="996"/>
      <c r="Y116" s="996"/>
      <c r="Z116" s="996"/>
      <c r="AA116" s="996"/>
      <c r="AB116" s="996"/>
      <c r="AC116" s="996"/>
    </row>
    <row r="117" spans="1:29" ht="15">
      <c r="A117" s="1125"/>
      <c r="B117" s="1132"/>
      <c r="C117" s="1112">
        <v>0</v>
      </c>
      <c r="D117" s="1112">
        <v>20000</v>
      </c>
      <c r="E117" s="1112">
        <v>40000</v>
      </c>
      <c r="F117" s="1112">
        <v>60000</v>
      </c>
      <c r="G117" s="1112">
        <v>80000</v>
      </c>
      <c r="H117" s="1112">
        <v>100000</v>
      </c>
      <c r="I117" s="1112"/>
      <c r="J117" s="1211"/>
      <c r="K117" s="1211"/>
      <c r="L117" s="1212"/>
      <c r="M117" s="1213"/>
      <c r="N117" s="1174"/>
      <c r="O117" s="1174"/>
      <c r="P117" s="1175"/>
      <c r="Q117" s="1098"/>
      <c r="R117" s="996"/>
      <c r="S117" s="996"/>
      <c r="T117" s="996"/>
      <c r="U117" s="996"/>
      <c r="V117" s="996"/>
      <c r="W117" s="996"/>
      <c r="X117" s="996"/>
      <c r="Y117" s="996"/>
      <c r="Z117" s="996"/>
      <c r="AA117" s="996"/>
      <c r="AB117" s="996"/>
      <c r="AC117" s="996"/>
    </row>
    <row r="118" spans="1:29" ht="15">
      <c r="A118" s="1125"/>
      <c r="B118" s="1130"/>
      <c r="C118" s="1143">
        <v>100</v>
      </c>
      <c r="D118" s="1155">
        <v>102</v>
      </c>
      <c r="E118" s="1155">
        <v>104</v>
      </c>
      <c r="F118" s="1155">
        <v>106</v>
      </c>
      <c r="G118" s="1155">
        <v>108</v>
      </c>
      <c r="H118" s="1155">
        <v>110</v>
      </c>
      <c r="I118" s="1155"/>
      <c r="J118" s="1155"/>
      <c r="K118" s="1155"/>
      <c r="L118" s="1155"/>
      <c r="M118" s="1210"/>
      <c r="N118" s="1177"/>
      <c r="O118" s="1177"/>
      <c r="P118" s="1175"/>
      <c r="Q118" s="1098"/>
      <c r="R118" s="996"/>
      <c r="S118" s="996"/>
      <c r="T118" s="996"/>
      <c r="U118" s="996"/>
      <c r="V118" s="996"/>
      <c r="W118" s="996"/>
      <c r="X118" s="996"/>
      <c r="Y118" s="996"/>
      <c r="Z118" s="996"/>
      <c r="AA118" s="996"/>
      <c r="AB118" s="996"/>
      <c r="AC118" s="996"/>
    </row>
    <row r="119" spans="1:29">
      <c r="A119" s="1159"/>
      <c r="B119" s="1128" t="s">
        <v>1505</v>
      </c>
      <c r="C119" s="1153"/>
      <c r="D119" s="1153"/>
      <c r="E119" s="1153"/>
      <c r="F119" s="1153"/>
      <c r="G119" s="1153"/>
      <c r="H119" s="1153"/>
      <c r="I119" s="1153"/>
      <c r="J119" s="1153"/>
      <c r="K119" s="1204"/>
      <c r="L119" s="1205"/>
      <c r="M119" s="1206"/>
      <c r="N119" s="1174"/>
      <c r="O119" s="1174"/>
      <c r="P119" s="1175"/>
      <c r="Q119" s="1098"/>
      <c r="R119" s="996"/>
      <c r="S119" s="996"/>
      <c r="T119" s="996"/>
      <c r="U119" s="996"/>
      <c r="V119" s="996"/>
      <c r="W119" s="996"/>
      <c r="X119" s="996"/>
      <c r="Y119" s="996"/>
      <c r="Z119" s="996"/>
      <c r="AA119" s="996"/>
      <c r="AB119" s="996"/>
      <c r="AC119" s="996"/>
    </row>
    <row r="120" spans="1:29" ht="15">
      <c r="A120" s="1125"/>
      <c r="B120" s="1130"/>
      <c r="C120" s="1131">
        <v>100</v>
      </c>
      <c r="D120" s="1131">
        <f t="shared" ref="D120:M120" si="25">C120-$K39</f>
        <v>100</v>
      </c>
      <c r="E120" s="1131">
        <f t="shared" si="25"/>
        <v>100</v>
      </c>
      <c r="F120" s="1131">
        <f t="shared" si="25"/>
        <v>100</v>
      </c>
      <c r="G120" s="1131">
        <f t="shared" si="25"/>
        <v>100</v>
      </c>
      <c r="H120" s="1131">
        <f t="shared" si="25"/>
        <v>100</v>
      </c>
      <c r="I120" s="1131">
        <f t="shared" si="25"/>
        <v>100</v>
      </c>
      <c r="J120" s="1131">
        <f t="shared" si="25"/>
        <v>100</v>
      </c>
      <c r="K120" s="1131">
        <f t="shared" si="25"/>
        <v>100</v>
      </c>
      <c r="L120" s="1131">
        <f t="shared" si="25"/>
        <v>100</v>
      </c>
      <c r="M120" s="1181">
        <f t="shared" si="25"/>
        <v>100</v>
      </c>
      <c r="N120" s="1177"/>
      <c r="O120" s="1177"/>
      <c r="P120" s="1175"/>
      <c r="Q120" s="1098"/>
      <c r="R120" s="996"/>
      <c r="S120" s="996"/>
      <c r="T120" s="996"/>
      <c r="U120" s="996"/>
      <c r="V120" s="996"/>
      <c r="W120" s="996"/>
      <c r="X120" s="996"/>
      <c r="Y120" s="996"/>
      <c r="Z120" s="996"/>
      <c r="AA120" s="996"/>
      <c r="AB120" s="996"/>
      <c r="AC120" s="996"/>
    </row>
    <row r="121" spans="1:29">
      <c r="A121" s="1159"/>
      <c r="B121" s="1128" t="s">
        <v>1506</v>
      </c>
      <c r="C121" s="1136"/>
      <c r="D121" s="1136"/>
      <c r="E121" s="1136"/>
      <c r="F121" s="1153"/>
      <c r="G121" s="1153"/>
      <c r="H121" s="1153"/>
      <c r="I121" s="1153"/>
      <c r="J121" s="1153"/>
      <c r="K121" s="1204"/>
      <c r="L121" s="1205"/>
      <c r="M121" s="1206"/>
      <c r="N121" s="1174"/>
      <c r="O121" s="1174"/>
      <c r="P121" s="1175"/>
      <c r="Q121" s="1098"/>
      <c r="R121" s="996"/>
      <c r="S121" s="996"/>
      <c r="T121" s="996"/>
      <c r="U121" s="996"/>
      <c r="V121" s="996"/>
      <c r="W121" s="996"/>
      <c r="X121" s="996"/>
      <c r="Y121" s="996"/>
      <c r="Z121" s="996"/>
      <c r="AA121" s="996"/>
      <c r="AB121" s="996"/>
      <c r="AC121" s="996"/>
    </row>
    <row r="122" spans="1:29" ht="15">
      <c r="A122" s="1125"/>
      <c r="B122" s="1130"/>
      <c r="C122" s="1131">
        <v>100</v>
      </c>
      <c r="D122" s="1131">
        <f t="shared" ref="D122:M122" si="26">C122-$K40</f>
        <v>100</v>
      </c>
      <c r="E122" s="1131">
        <f t="shared" si="26"/>
        <v>100</v>
      </c>
      <c r="F122" s="1131">
        <f t="shared" si="26"/>
        <v>100</v>
      </c>
      <c r="G122" s="1131">
        <f t="shared" si="26"/>
        <v>100</v>
      </c>
      <c r="H122" s="1131">
        <f t="shared" si="26"/>
        <v>100</v>
      </c>
      <c r="I122" s="1131">
        <f t="shared" si="26"/>
        <v>100</v>
      </c>
      <c r="J122" s="1131">
        <f t="shared" si="26"/>
        <v>100</v>
      </c>
      <c r="K122" s="1131">
        <f t="shared" si="26"/>
        <v>100</v>
      </c>
      <c r="L122" s="1131">
        <f t="shared" si="26"/>
        <v>100</v>
      </c>
      <c r="M122" s="1181">
        <f t="shared" si="26"/>
        <v>100</v>
      </c>
      <c r="N122" s="1177"/>
      <c r="O122" s="1177"/>
      <c r="P122" s="1175"/>
      <c r="Q122" s="1098"/>
      <c r="R122" s="996"/>
      <c r="S122" s="996"/>
      <c r="T122" s="996"/>
      <c r="U122" s="996"/>
      <c r="V122" s="996"/>
      <c r="W122" s="996"/>
      <c r="X122" s="996"/>
      <c r="Y122" s="996"/>
      <c r="Z122" s="996"/>
      <c r="AA122" s="996"/>
      <c r="AB122" s="996"/>
      <c r="AC122" s="996"/>
    </row>
    <row r="123" spans="1:29" s="882" customFormat="1">
      <c r="A123" s="1156"/>
      <c r="B123" s="1128" t="s">
        <v>1507</v>
      </c>
      <c r="C123" s="1260" t="s">
        <v>1421</v>
      </c>
      <c r="D123" s="1260" t="s">
        <v>1422</v>
      </c>
      <c r="E123" s="1260" t="s">
        <v>1423</v>
      </c>
      <c r="F123" s="1260" t="s">
        <v>1424</v>
      </c>
      <c r="G123" s="1260" t="s">
        <v>1425</v>
      </c>
      <c r="H123" s="1153"/>
      <c r="I123" s="1153"/>
      <c r="J123" s="1153"/>
      <c r="K123" s="1204"/>
      <c r="L123" s="1205"/>
      <c r="M123" s="1206"/>
      <c r="N123" s="1187"/>
      <c r="O123" s="1187"/>
      <c r="P123" s="1188"/>
      <c r="Q123" s="1219"/>
      <c r="R123" s="1220"/>
      <c r="S123" s="1220"/>
      <c r="T123" s="1220"/>
      <c r="U123" s="1220"/>
      <c r="V123" s="1220"/>
      <c r="W123" s="1220"/>
      <c r="X123" s="1220"/>
      <c r="Y123" s="1220"/>
      <c r="Z123" s="1220"/>
      <c r="AA123" s="1220"/>
      <c r="AB123" s="1220"/>
      <c r="AC123" s="1220"/>
    </row>
    <row r="124" spans="1:29" s="882" customFormat="1" ht="15">
      <c r="A124" s="1135"/>
      <c r="B124" s="1130"/>
      <c r="C124" s="1131">
        <v>100</v>
      </c>
      <c r="D124" s="1131">
        <f>C124-$K41</f>
        <v>99.5</v>
      </c>
      <c r="E124" s="1131">
        <f t="shared" ref="E124:M124" si="27">D124-$K41</f>
        <v>99</v>
      </c>
      <c r="F124" s="1131">
        <f t="shared" si="27"/>
        <v>98.5</v>
      </c>
      <c r="G124" s="1131">
        <f t="shared" si="27"/>
        <v>98</v>
      </c>
      <c r="H124" s="1131">
        <f t="shared" si="27"/>
        <v>97.5</v>
      </c>
      <c r="I124" s="1131">
        <f t="shared" si="27"/>
        <v>97</v>
      </c>
      <c r="J124" s="1131">
        <f t="shared" si="27"/>
        <v>96.5</v>
      </c>
      <c r="K124" s="1131">
        <f t="shared" si="27"/>
        <v>96</v>
      </c>
      <c r="L124" s="1131">
        <f t="shared" si="27"/>
        <v>95.5</v>
      </c>
      <c r="M124" s="1181">
        <f t="shared" si="27"/>
        <v>95</v>
      </c>
      <c r="N124" s="1187"/>
      <c r="O124" s="1187"/>
      <c r="P124" s="1188"/>
      <c r="Q124" s="1219"/>
      <c r="R124" s="1220"/>
      <c r="S124" s="1220"/>
      <c r="T124" s="1220"/>
      <c r="U124" s="1220"/>
      <c r="V124" s="1220"/>
      <c r="W124" s="1220"/>
      <c r="X124" s="1220"/>
      <c r="Y124" s="1220"/>
      <c r="Z124" s="1220"/>
      <c r="AA124" s="1220"/>
      <c r="AB124" s="1220"/>
      <c r="AC124" s="1220"/>
    </row>
    <row r="125" spans="1:29">
      <c r="A125" s="1159"/>
      <c r="B125" s="1128" t="s">
        <v>1508</v>
      </c>
      <c r="C125" s="1136"/>
      <c r="D125" s="1136"/>
      <c r="E125" s="1153"/>
      <c r="F125" s="1153"/>
      <c r="G125" s="1153"/>
      <c r="H125" s="1153"/>
      <c r="I125" s="1153"/>
      <c r="J125" s="1153"/>
      <c r="K125" s="1204"/>
      <c r="L125" s="1205"/>
      <c r="M125" s="1206"/>
      <c r="N125" s="1174"/>
      <c r="O125" s="1174"/>
      <c r="P125" s="1175"/>
      <c r="Q125" s="1098"/>
      <c r="R125" s="996"/>
      <c r="S125" s="996"/>
      <c r="T125" s="996"/>
      <c r="U125" s="996"/>
      <c r="V125" s="996"/>
      <c r="W125" s="996"/>
      <c r="X125" s="996"/>
      <c r="Y125" s="996"/>
      <c r="Z125" s="996"/>
      <c r="AA125" s="996"/>
      <c r="AB125" s="996"/>
      <c r="AC125" s="996"/>
    </row>
    <row r="126" spans="1:29" ht="15">
      <c r="A126" s="1125"/>
      <c r="B126" s="1130"/>
      <c r="C126" s="1131">
        <v>100</v>
      </c>
      <c r="D126" s="1131">
        <f t="shared" ref="D126:M126" si="28">C126-$K42</f>
        <v>100</v>
      </c>
      <c r="E126" s="1131">
        <f t="shared" si="28"/>
        <v>100</v>
      </c>
      <c r="F126" s="1131">
        <f t="shared" si="28"/>
        <v>100</v>
      </c>
      <c r="G126" s="1131">
        <f t="shared" si="28"/>
        <v>100</v>
      </c>
      <c r="H126" s="1131">
        <f t="shared" si="28"/>
        <v>100</v>
      </c>
      <c r="I126" s="1131">
        <f t="shared" si="28"/>
        <v>100</v>
      </c>
      <c r="J126" s="1131">
        <f t="shared" si="28"/>
        <v>100</v>
      </c>
      <c r="K126" s="1131">
        <f t="shared" si="28"/>
        <v>100</v>
      </c>
      <c r="L126" s="1131">
        <f t="shared" si="28"/>
        <v>100</v>
      </c>
      <c r="M126" s="1181">
        <f t="shared" si="28"/>
        <v>100</v>
      </c>
      <c r="N126" s="1177"/>
      <c r="O126" s="1177"/>
      <c r="P126" s="1175"/>
      <c r="Q126" s="1098"/>
      <c r="R126" s="996"/>
      <c r="S126" s="996"/>
      <c r="T126" s="996"/>
      <c r="U126" s="996"/>
      <c r="V126" s="996"/>
      <c r="W126" s="996"/>
      <c r="X126" s="996"/>
      <c r="Y126" s="996"/>
      <c r="Z126" s="996"/>
      <c r="AA126" s="996"/>
      <c r="AB126" s="996"/>
      <c r="AC126" s="996"/>
    </row>
    <row r="127" spans="1:29">
      <c r="A127" s="1159"/>
      <c r="B127" s="1128">
        <f>B43</f>
        <v>111</v>
      </c>
      <c r="C127" s="1136"/>
      <c r="D127" s="1136"/>
      <c r="E127" s="1136"/>
      <c r="F127" s="1136"/>
      <c r="G127" s="1136"/>
      <c r="H127" s="1153"/>
      <c r="I127" s="1153"/>
      <c r="J127" s="1153"/>
      <c r="K127" s="1204"/>
      <c r="L127" s="1205"/>
      <c r="M127" s="1206"/>
      <c r="N127" s="1174"/>
      <c r="O127" s="1174"/>
      <c r="P127" s="1175"/>
      <c r="Q127" s="1098"/>
      <c r="R127" s="996"/>
      <c r="S127" s="996"/>
      <c r="T127" s="996"/>
      <c r="U127" s="996"/>
      <c r="V127" s="996"/>
      <c r="W127" s="996"/>
      <c r="X127" s="996"/>
      <c r="Y127" s="996"/>
      <c r="Z127" s="996"/>
      <c r="AA127" s="996"/>
      <c r="AB127" s="996"/>
      <c r="AC127" s="996"/>
    </row>
    <row r="128" spans="1:29" ht="15">
      <c r="A128" s="1125"/>
      <c r="B128" s="1130"/>
      <c r="C128" s="1138"/>
      <c r="D128" s="1138"/>
      <c r="E128" s="1138"/>
      <c r="F128" s="1138"/>
      <c r="G128" s="1127"/>
      <c r="H128" s="1127"/>
      <c r="I128" s="1127"/>
      <c r="J128" s="1127"/>
      <c r="K128" s="1127"/>
      <c r="L128" s="1127"/>
      <c r="M128" s="1176"/>
      <c r="N128" s="1177"/>
      <c r="O128" s="1177"/>
      <c r="P128" s="1175"/>
      <c r="Q128" s="1098"/>
      <c r="R128" s="996"/>
      <c r="S128" s="996"/>
      <c r="T128" s="996"/>
      <c r="U128" s="996"/>
      <c r="V128" s="996"/>
      <c r="W128" s="996"/>
      <c r="X128" s="996"/>
      <c r="Y128" s="996"/>
      <c r="Z128" s="996"/>
      <c r="AA128" s="996"/>
      <c r="AB128" s="996"/>
      <c r="AC128" s="996"/>
    </row>
    <row r="129" spans="1:29">
      <c r="A129" s="1159"/>
      <c r="B129" s="1128">
        <f>B44</f>
        <v>111</v>
      </c>
      <c r="C129" s="1120"/>
      <c r="D129" s="1120"/>
      <c r="E129" s="1120"/>
      <c r="F129" s="1120"/>
      <c r="G129" s="1153"/>
      <c r="H129" s="1153"/>
      <c r="I129" s="1153"/>
      <c r="J129" s="1153"/>
      <c r="K129" s="1204"/>
      <c r="L129" s="1205"/>
      <c r="M129" s="1206"/>
      <c r="N129" s="1174"/>
      <c r="O129" s="1174"/>
      <c r="P129" s="1175"/>
      <c r="Q129" s="1098"/>
      <c r="R129" s="996"/>
      <c r="S129" s="996"/>
      <c r="T129" s="996"/>
      <c r="U129" s="996"/>
      <c r="V129" s="996"/>
      <c r="W129" s="996"/>
      <c r="X129" s="996"/>
      <c r="Y129" s="996"/>
      <c r="Z129" s="996"/>
      <c r="AA129" s="996"/>
      <c r="AB129" s="996"/>
      <c r="AC129" s="996"/>
    </row>
    <row r="130" spans="1:29" ht="15">
      <c r="A130" s="1125"/>
      <c r="B130" s="1130"/>
      <c r="C130" s="1143"/>
      <c r="D130" s="1143"/>
      <c r="E130" s="1143"/>
      <c r="F130" s="1143"/>
      <c r="G130" s="1127"/>
      <c r="H130" s="1127"/>
      <c r="I130" s="1127"/>
      <c r="J130" s="1127"/>
      <c r="K130" s="1127"/>
      <c r="L130" s="1127"/>
      <c r="M130" s="1176"/>
      <c r="N130" s="1177"/>
      <c r="O130" s="1177"/>
      <c r="P130" s="1175"/>
      <c r="Q130" s="1098"/>
      <c r="R130" s="996"/>
      <c r="S130" s="996"/>
      <c r="T130" s="996"/>
      <c r="U130" s="996"/>
      <c r="V130" s="996"/>
      <c r="W130" s="996"/>
      <c r="X130" s="996"/>
      <c r="Y130" s="996"/>
      <c r="Z130" s="996"/>
      <c r="AA130" s="996"/>
      <c r="AB130" s="996"/>
      <c r="AC130" s="996"/>
    </row>
    <row r="131" spans="1:29" s="882" customFormat="1">
      <c r="A131" s="1156"/>
      <c r="B131" s="1128">
        <f>B45</f>
        <v>111</v>
      </c>
      <c r="C131" s="1120"/>
      <c r="D131" s="1120"/>
      <c r="E131" s="1120"/>
      <c r="F131" s="1120"/>
      <c r="G131" s="1137"/>
      <c r="H131" s="1137"/>
      <c r="I131" s="1137"/>
      <c r="J131" s="1137"/>
      <c r="K131" s="1137"/>
      <c r="L131" s="1185"/>
      <c r="M131" s="1186"/>
      <c r="N131" s="1187"/>
      <c r="O131" s="1187"/>
      <c r="P131" s="1188"/>
      <c r="Q131" s="1219"/>
      <c r="R131" s="1220"/>
      <c r="S131" s="1220"/>
      <c r="T131" s="1220"/>
      <c r="U131" s="1220"/>
      <c r="V131" s="1220"/>
      <c r="W131" s="1220"/>
      <c r="X131" s="1220"/>
      <c r="Y131" s="1220"/>
      <c r="Z131" s="1220"/>
      <c r="AA131" s="1220"/>
      <c r="AB131" s="1220"/>
      <c r="AC131" s="1220"/>
    </row>
    <row r="132" spans="1:29" s="882" customFormat="1" ht="15">
      <c r="A132" s="1141"/>
      <c r="B132" s="1160"/>
      <c r="C132" s="1143"/>
      <c r="D132" s="1143"/>
      <c r="E132" s="1143"/>
      <c r="F132" s="1143"/>
      <c r="G132" s="1155"/>
      <c r="H132" s="1155"/>
      <c r="I132" s="1155"/>
      <c r="J132" s="1155"/>
      <c r="K132" s="1155"/>
      <c r="L132" s="1155"/>
      <c r="M132" s="1210"/>
      <c r="N132" s="1187"/>
      <c r="O132" s="1187"/>
      <c r="P132" s="1188"/>
      <c r="Q132" s="1219"/>
      <c r="R132" s="1220"/>
      <c r="S132" s="1220"/>
      <c r="T132" s="1220"/>
      <c r="U132" s="1220"/>
      <c r="V132" s="1220"/>
      <c r="W132" s="1220"/>
      <c r="X132" s="1220"/>
      <c r="Y132" s="1220"/>
      <c r="Z132" s="1220"/>
      <c r="AA132" s="1220"/>
      <c r="AB132" s="1220"/>
      <c r="AC132" s="1220"/>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2" type="noConversion"/>
  <conditionalFormatting sqref="F47">
    <cfRule type="expression" dxfId="183" priority="4">
      <formula>$D$47="简单平均"</formula>
    </cfRule>
  </conditionalFormatting>
  <conditionalFormatting sqref="H47">
    <cfRule type="expression" dxfId="182" priority="3">
      <formula>$D$47="简单平均"</formula>
    </cfRule>
  </conditionalFormatting>
  <conditionalFormatting sqref="J47">
    <cfRule type="expression" dxfId="181" priority="2">
      <formula>$D$47="简单平均"</formula>
    </cfRule>
  </conditionalFormatting>
  <conditionalFormatting sqref="E51">
    <cfRule type="expression" dxfId="180" priority="13" stopIfTrue="1">
      <formula>$F$51="超过30%"</formula>
    </cfRule>
  </conditionalFormatting>
  <conditionalFormatting sqref="G51">
    <cfRule type="expression" dxfId="179" priority="9" stopIfTrue="1">
      <formula>$H$53+$H$51="超过30%"</formula>
    </cfRule>
  </conditionalFormatting>
  <conditionalFormatting sqref="I51">
    <cfRule type="expression" dxfId="178" priority="7" stopIfTrue="1">
      <formula>$J$51="超过30%"</formula>
    </cfRule>
  </conditionalFormatting>
  <conditionalFormatting sqref="E52">
    <cfRule type="expression" dxfId="177" priority="11" stopIfTrue="1">
      <formula>$F$52="超过20%"</formula>
    </cfRule>
  </conditionalFormatting>
  <conditionalFormatting sqref="G52">
    <cfRule type="expression" dxfId="176" priority="8" stopIfTrue="1">
      <formula>$H$52="超过20%"</formula>
    </cfRule>
  </conditionalFormatting>
  <conditionalFormatting sqref="I52">
    <cfRule type="expression" dxfId="175" priority="6" stopIfTrue="1">
      <formula>$J$52="超过20%"</formula>
    </cfRule>
  </conditionalFormatting>
  <conditionalFormatting sqref="E53">
    <cfRule type="expression" dxfId="174" priority="10" stopIfTrue="1">
      <formula>$F$53="超过30%"</formula>
    </cfRule>
  </conditionalFormatting>
  <conditionalFormatting sqref="F53">
    <cfRule type="containsText" dxfId="173" priority="15"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H53">
    <cfRule type="containsText" dxfId="171" priority="16" stopIfTrue="1" operator="containsText" text="超过">
      <formula>NOT(ISERROR(SEARCH("超过",H53)))</formula>
    </cfRule>
  </conditionalFormatting>
  <conditionalFormatting sqref="I53">
    <cfRule type="expression" dxfId="170" priority="5" stopIfTrue="1">
      <formula>$J$53="超过30%"</formula>
    </cfRule>
  </conditionalFormatting>
  <conditionalFormatting sqref="J53">
    <cfRule type="containsText" dxfId="169" priority="17" stopIfTrue="1" operator="containsText" text="超过">
      <formula>NOT(ISERROR(SEARCH("超过",J53)))</formula>
    </cfRule>
  </conditionalFormatting>
  <conditionalFormatting sqref="F7:F45 H7:H45 J7:J45">
    <cfRule type="cellIs" dxfId="168" priority="1" operator="notEqual">
      <formula>100</formula>
    </cfRule>
  </conditionalFormatting>
  <conditionalFormatting sqref="F51 H51 J51">
    <cfRule type="containsText" dxfId="167" priority="18" stopIfTrue="1" operator="containsText" text="超过">
      <formula>NOT(ISERROR(SEARCH("超过",F51)))</formula>
    </cfRule>
  </conditionalFormatting>
  <conditionalFormatting sqref="F52 H52 J52">
    <cfRule type="containsText" dxfId="166" priority="14" stopIfTrue="1" operator="containsText" text="超过">
      <formula>NOT(ISERROR(SEARCH("超过",F52)))</formula>
    </cfRule>
  </conditionalFormatting>
  <dataValidations count="25">
    <dataValidation type="list" allowBlank="1" showInputMessage="1" showErrorMessage="1" sqref="C16 E16 G16 I16" xr:uid="{00000000-0002-0000-1400-000000000000}">
      <formula1>居住社区成熟度</formula1>
    </dataValidation>
    <dataValidation type="list" allowBlank="1" showInputMessage="1" showErrorMessage="1" sqref="C8 E8 G8 I8" xr:uid="{00000000-0002-0000-1400-000001000000}">
      <formula1>套综交易情况</formula1>
    </dataValidation>
    <dataValidation type="list" allowBlank="1" showInputMessage="1" showErrorMessage="1" sqref="C39 E39 G39 I39" xr:uid="{00000000-0002-0000-1400-000002000000}">
      <formula1>套综宗地形状</formula1>
    </dataValidation>
    <dataValidation type="list" allowBlank="1" showInputMessage="1" showErrorMessage="1" sqref="C20 E20 G20 I20" xr:uid="{00000000-0002-0000-1400-000003000000}">
      <formula1>办公集聚程度</formula1>
    </dataValidation>
    <dataValidation type="list" allowBlank="1" showInputMessage="1" showErrorMessage="1" sqref="C9 E9 G9 I9" xr:uid="{00000000-0002-0000-1400-000004000000}">
      <formula1>套综用途</formula1>
    </dataValidation>
    <dataValidation type="list" allowBlank="1" showInputMessage="1" showErrorMessage="1" sqref="C18 E18 G18 I18" xr:uid="{00000000-0002-0000-1400-000005000000}">
      <formula1>商业繁华度</formula1>
    </dataValidation>
    <dataValidation type="list" allowBlank="1" showInputMessage="1" showErrorMessage="1" sqref="C26 E26 G26 I26" xr:uid="{00000000-0002-0000-1400-000006000000}">
      <formula1>环境</formula1>
    </dataValidation>
    <dataValidation type="list" allowBlank="1" showInputMessage="1" showErrorMessage="1" sqref="C22 E22 G22 I22" xr:uid="{00000000-0002-0000-1400-000007000000}">
      <formula1>交通便捷度</formula1>
    </dataValidation>
    <dataValidation type="list" allowBlank="1" showInputMessage="1" showErrorMessage="1" sqref="C24 E24 G24 I24" xr:uid="{00000000-0002-0000-1400-000008000000}">
      <formula1>区域土地利用方向</formula1>
    </dataValidation>
    <dataValidation type="list" allowBlank="1" showInputMessage="1" showErrorMessage="1" sqref="G63" xr:uid="{00000000-0002-0000-1400-000009000000}">
      <formula1>"住宅,工业"</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25" xr:uid="{00000000-0002-0000-1400-00000B000000}">
      <formula1>住宅朝向</formula1>
    </dataValidation>
    <dataValidation type="list" allowBlank="1" showInputMessage="1" showErrorMessage="1" sqref="C28 E28 G28 I28" xr:uid="{00000000-0002-0000-1400-00000C000000}">
      <formula1>公共配套设施</formula1>
    </dataValidation>
    <dataValidation type="list" allowBlank="1" showInputMessage="1" showErrorMessage="1" sqref="C30 E30 G30 I30" xr:uid="{00000000-0002-0000-1400-00000D000000}">
      <formula1>基础设施水平</formula1>
    </dataValidation>
    <dataValidation type="list" allowBlank="1" showInputMessage="1" showErrorMessage="1" sqref="C31 E31 G31 I31" xr:uid="{00000000-0002-0000-1400-00000E000000}">
      <formula1>临街状况</formula1>
    </dataValidation>
    <dataValidation type="list" allowBlank="1" showInputMessage="1" showErrorMessage="1" sqref="C34 E34 G34 I34" xr:uid="{00000000-0002-0000-1400-00000F000000}">
      <formula1>套综土地级别</formula1>
    </dataValidation>
    <dataValidation type="list" allowBlank="1" showInputMessage="1" showErrorMessage="1" sqref="C40 E40 G40 I40" xr:uid="{00000000-0002-0000-1400-000010000000}">
      <formula1>套综临街宽度及深度</formula1>
    </dataValidation>
    <dataValidation type="list" allowBlank="1" showInputMessage="1" showErrorMessage="1" sqref="C41 E41 G41 I41" xr:uid="{00000000-0002-0000-1400-000011000000}">
      <formula1>套综宗地内开发程度</formula1>
    </dataValidation>
    <dataValidation type="list" allowBlank="1" showInputMessage="1" showErrorMessage="1" sqref="C42 E42 G42 I42" xr:uid="{00000000-0002-0000-1400-000012000000}">
      <formula1>套综工程地质条件</formula1>
    </dataValidation>
    <dataValidation type="list" allowBlank="1" showInputMessage="1" showErrorMessage="1" sqref="B46" xr:uid="{00000000-0002-0000-1400-000013000000}">
      <formula1>单价内涵</formula1>
    </dataValidation>
    <dataValidation type="list" allowBlank="1" showInputMessage="1" showErrorMessage="1" sqref="D47" xr:uid="{00000000-0002-0000-1400-000014000000}">
      <formula1>"简单平均,加权平均"</formula1>
    </dataValidation>
    <dataValidation type="list" allowBlank="1" showInputMessage="1" showErrorMessage="1" sqref="C55" xr:uid="{00000000-0002-0000-1400-000015000000}">
      <formula1>"北京市系数,其他省市系数"</formula1>
    </dataValidation>
    <dataValidation type="list" allowBlank="1" showInputMessage="1" showErrorMessage="1" sqref="G62" xr:uid="{00000000-0002-0000-1400-000016000000}">
      <formula1>"商业,办公,住宅,工业"</formula1>
    </dataValidation>
    <dataValidation type="list" allowBlank="1" showInputMessage="1" showErrorMessage="1" sqref="A71" xr:uid="{00000000-0002-0000-1400-000017000000}">
      <formula1>"综合,商业,办公,住宅"</formula1>
    </dataValidation>
    <dataValidation type="list" allowBlank="1" showInputMessage="1" showErrorMessage="1" sqref="D57:D65" xr:uid="{00000000-0002-0000-1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85" zoomScaleNormal="70" zoomScaleSheetLayoutView="85" workbookViewId="0">
      <selection activeCell="D7" sqref="D7"/>
    </sheetView>
  </sheetViews>
  <sheetFormatPr defaultColWidth="6.625" defaultRowHeight="12.75"/>
  <cols>
    <col min="1" max="1" width="9.75" style="330" customWidth="1"/>
    <col min="2" max="2" width="25.75" style="1920" customWidth="1"/>
    <col min="3" max="3" width="10.375" style="1921" customWidth="1"/>
    <col min="4" max="4" width="9.875" style="1920" customWidth="1"/>
    <col min="5" max="5" width="9.5" style="330" customWidth="1"/>
    <col min="6" max="6" width="10.125" style="1920" customWidth="1"/>
    <col min="7" max="7" width="10.75" style="1920" customWidth="1"/>
    <col min="8" max="8" width="10" style="1920" customWidth="1"/>
    <col min="9" max="11" width="9.5" style="1920" customWidth="1"/>
    <col min="12" max="12" width="9" style="1920" customWidth="1"/>
    <col min="13" max="13" width="10.5" style="1920" customWidth="1"/>
    <col min="14" max="254" width="9" style="1920" customWidth="1"/>
    <col min="255" max="16384" width="6.625" style="1920"/>
  </cols>
  <sheetData>
    <row r="1" spans="1:33" ht="20.25">
      <c r="A1" s="141" t="s">
        <v>1030</v>
      </c>
      <c r="B1" s="1734"/>
      <c r="C1" s="1922"/>
      <c r="D1" s="1923"/>
      <c r="E1" s="1924"/>
      <c r="F1" s="1924"/>
      <c r="G1" s="1925"/>
      <c r="H1" s="1924"/>
      <c r="I1" s="1924"/>
      <c r="J1" s="1924"/>
      <c r="K1" s="1994">
        <f>MATCH(C1,'数据-取费表'!A6:A16,0)+5</f>
        <v>10</v>
      </c>
    </row>
    <row r="2" spans="1:33" ht="18" customHeight="1">
      <c r="A2" s="145" t="s">
        <v>926</v>
      </c>
      <c r="B2" s="149">
        <f ca="1">C32</f>
        <v>332010</v>
      </c>
      <c r="C2" s="1926" t="s">
        <v>1031</v>
      </c>
      <c r="D2" s="1926"/>
      <c r="E2" s="1924"/>
      <c r="F2" s="1924"/>
      <c r="G2" s="1924"/>
      <c r="H2" s="1924"/>
      <c r="I2" s="1924"/>
      <c r="J2" s="1924"/>
      <c r="K2" s="1924"/>
    </row>
    <row r="3" spans="1:33" ht="18" customHeight="1">
      <c r="A3" s="148" t="s">
        <v>928</v>
      </c>
      <c r="B3" s="149">
        <f ca="1">ROUND(B2*10000/IF(C1="",'数据-汇总表'!E3,INDIRECT("'数据-取费表'!K"&amp;$K$1)),0)</f>
        <v>84647</v>
      </c>
      <c r="C3" s="1926" t="s">
        <v>1032</v>
      </c>
      <c r="D3" s="1926"/>
      <c r="E3" s="1924"/>
      <c r="F3" s="1924"/>
      <c r="G3" s="1924"/>
      <c r="H3" s="1924"/>
      <c r="I3" s="1924"/>
      <c r="J3" s="1924"/>
      <c r="K3" s="1924"/>
    </row>
    <row r="4" spans="1:33" s="1911" customFormat="1" ht="16.5" customHeight="1">
      <c r="A4" s="1927" t="s">
        <v>1033</v>
      </c>
      <c r="B4" s="1928"/>
      <c r="C4" s="1929">
        <f ca="1">SUM(C8:K8)</f>
        <v>478374</v>
      </c>
      <c r="D4" s="1928"/>
      <c r="E4" s="1928"/>
      <c r="F4" s="1928"/>
      <c r="G4" s="1928"/>
      <c r="H4" s="1928"/>
      <c r="I4" s="1928"/>
      <c r="J4" s="1928"/>
      <c r="K4" s="1995"/>
    </row>
    <row r="5" spans="1:33" s="1912" customFormat="1" ht="25.5">
      <c r="A5" s="1930" t="s">
        <v>1034</v>
      </c>
      <c r="B5" s="1931" t="s">
        <v>1035</v>
      </c>
      <c r="C5" s="1932" t="s">
        <v>2765</v>
      </c>
      <c r="D5" s="1932" t="s">
        <v>465</v>
      </c>
      <c r="E5" s="1932" t="s">
        <v>2767</v>
      </c>
      <c r="F5" s="1932" t="s">
        <v>466</v>
      </c>
      <c r="G5" s="1932"/>
      <c r="H5" s="1932"/>
      <c r="I5" s="1932"/>
      <c r="J5" s="1932"/>
      <c r="K5" s="1932"/>
      <c r="L5" s="1996"/>
      <c r="M5" s="1996"/>
      <c r="N5" s="1996"/>
      <c r="O5" s="1996"/>
      <c r="P5" s="1996"/>
      <c r="Q5" s="1996"/>
      <c r="R5" s="1996"/>
      <c r="S5" s="1996"/>
      <c r="T5" s="1996"/>
      <c r="U5" s="1996"/>
      <c r="V5" s="1996"/>
      <c r="W5" s="1996"/>
      <c r="X5" s="1996"/>
      <c r="Y5" s="1996"/>
      <c r="Z5" s="1996"/>
      <c r="AA5" s="1996"/>
      <c r="AB5" s="1996"/>
      <c r="AC5" s="1996"/>
      <c r="AD5" s="1996"/>
      <c r="AE5" s="1996"/>
      <c r="AF5" s="1996"/>
      <c r="AG5" s="1996"/>
    </row>
    <row r="6" spans="1:33" s="1913" customFormat="1" ht="13.5" customHeight="1">
      <c r="A6" s="1933" t="s">
        <v>836</v>
      </c>
      <c r="B6" s="1697" t="s">
        <v>1036</v>
      </c>
      <c r="C6" s="1934">
        <f>'比较法-住宅'!B3</f>
        <v>106549</v>
      </c>
      <c r="D6" s="1934">
        <f ca="1">收益法!B3</f>
        <v>42764</v>
      </c>
      <c r="E6" s="1934">
        <f>C6</f>
        <v>106549</v>
      </c>
      <c r="F6" s="1934">
        <f>ROUND(E6*0.5,0)</f>
        <v>53275</v>
      </c>
      <c r="G6" s="1934"/>
      <c r="H6" s="1934"/>
      <c r="I6" s="1934"/>
      <c r="J6" s="1934"/>
      <c r="K6" s="1997"/>
      <c r="L6" s="1998"/>
      <c r="M6" s="1998"/>
      <c r="N6" s="1998"/>
      <c r="O6" s="1998"/>
      <c r="P6" s="1998"/>
      <c r="Q6" s="1998"/>
      <c r="R6" s="1998"/>
      <c r="S6" s="1998"/>
      <c r="T6" s="1998"/>
      <c r="U6" s="1998"/>
      <c r="V6" s="1998"/>
      <c r="W6" s="1998"/>
      <c r="X6" s="1998"/>
      <c r="Y6" s="1998"/>
      <c r="Z6" s="1998"/>
      <c r="AA6" s="1998"/>
      <c r="AB6" s="1998"/>
      <c r="AC6" s="1998"/>
      <c r="AD6" s="1998"/>
      <c r="AE6" s="1998"/>
      <c r="AF6" s="1998"/>
      <c r="AG6" s="1998"/>
    </row>
    <row r="7" spans="1:33" s="1913" customFormat="1" ht="13.5" customHeight="1">
      <c r="A7" s="1933" t="s">
        <v>840</v>
      </c>
      <c r="B7" s="1697" t="s">
        <v>362</v>
      </c>
      <c r="C7" s="1935">
        <f>SUMIF('数据-汇总表'!$C19:$C33,假设开发法!C5,'数据-汇总表'!$E19:$E33)</f>
        <v>33705.019999999997</v>
      </c>
      <c r="D7" s="1935">
        <f>SUMIF('数据-汇总表'!$C19:$C33,假设开发法!D5,'数据-汇总表'!$E19:$E33)</f>
        <v>889.53</v>
      </c>
      <c r="E7" s="1935">
        <f>SUMIF('数据-汇总表'!$C19:$C33,假设开发法!E5,'数据-汇总表'!$E19:$E33)</f>
        <v>2958.2</v>
      </c>
      <c r="F7" s="1935">
        <f>SUMIF('数据-汇总表'!$C19:$C33,假设开发法!F5,'数据-汇总表'!$E19:$E33)</f>
        <v>1669.98</v>
      </c>
      <c r="G7" s="1935">
        <f>SUMIF('数据-汇总表'!$C19:$C33,假设开发法!G5,'数据-汇总表'!$E19:$E33)</f>
        <v>0</v>
      </c>
      <c r="H7" s="1935">
        <f>SUMIF('数据-汇总表'!$C19:$C33,假设开发法!H5,'数据-汇总表'!$E19:$E33)</f>
        <v>0</v>
      </c>
      <c r="I7" s="1935">
        <f>SUMIF('数据-汇总表'!$C19:$C33,假设开发法!I5,'数据-汇总表'!$E19:$E33)</f>
        <v>0</v>
      </c>
      <c r="J7" s="1935">
        <f>SUMIF('数据-汇总表'!$C19:$C33,假设开发法!J5,'数据-汇总表'!$E19:$E33)</f>
        <v>0</v>
      </c>
      <c r="K7" s="1999">
        <f>SUMIF('数据-汇总表'!$C19:$C33,假设开发法!K5,'数据-汇总表'!$E19:$E33)</f>
        <v>0</v>
      </c>
      <c r="L7" s="1998">
        <f>(E8+F8)/(E7+F7)</f>
        <v>24.944146511155573</v>
      </c>
      <c r="M7" s="1998"/>
      <c r="N7" s="1998"/>
      <c r="O7" s="1998"/>
      <c r="P7" s="1998"/>
      <c r="Q7" s="1998"/>
      <c r="R7" s="1998"/>
      <c r="S7" s="1998"/>
      <c r="T7" s="1998"/>
      <c r="U7" s="1998"/>
      <c r="V7" s="1998"/>
      <c r="W7" s="1998"/>
      <c r="X7" s="1998"/>
      <c r="Y7" s="1998"/>
      <c r="Z7" s="1998"/>
      <c r="AA7" s="1998"/>
      <c r="AB7" s="1998"/>
      <c r="AC7" s="1998"/>
      <c r="AD7" s="1998"/>
      <c r="AE7" s="1998"/>
      <c r="AF7" s="1998"/>
      <c r="AG7" s="1998"/>
    </row>
    <row r="8" spans="1:33" s="1913" customFormat="1" ht="13.5" customHeight="1">
      <c r="A8" s="1936" t="s">
        <v>885</v>
      </c>
      <c r="B8" s="1937" t="s">
        <v>1037</v>
      </c>
      <c r="C8" s="1938">
        <f>'比较法-住宅'!B2</f>
        <v>359124</v>
      </c>
      <c r="D8" s="1938">
        <f ca="1">收益法!B2</f>
        <v>3804</v>
      </c>
      <c r="E8" s="3423">
        <f>C6</f>
        <v>106549</v>
      </c>
      <c r="F8" s="1939">
        <f>ROUND(F6*F7/10000,0)</f>
        <v>8897</v>
      </c>
      <c r="G8" s="1939"/>
      <c r="H8" s="1939"/>
      <c r="I8" s="1939"/>
      <c r="J8" s="1939"/>
      <c r="K8" s="2000"/>
      <c r="L8" s="1998"/>
      <c r="M8" s="1998"/>
      <c r="N8" s="1998"/>
      <c r="O8" s="1998"/>
      <c r="P8" s="1998"/>
      <c r="Q8" s="1998"/>
      <c r="R8" s="1998"/>
      <c r="S8" s="1998"/>
      <c r="T8" s="1998"/>
      <c r="U8" s="1998"/>
      <c r="V8" s="1998"/>
      <c r="W8" s="1998"/>
      <c r="X8" s="1998"/>
      <c r="Y8" s="1998"/>
      <c r="Z8" s="1998"/>
      <c r="AA8" s="1998"/>
      <c r="AB8" s="1998"/>
      <c r="AC8" s="1998"/>
      <c r="AD8" s="1998"/>
      <c r="AE8" s="1998"/>
      <c r="AF8" s="1998"/>
      <c r="AG8" s="1998"/>
    </row>
    <row r="9" spans="1:33" s="1911" customFormat="1" ht="16.5" customHeight="1">
      <c r="A9" s="1927" t="s">
        <v>1038</v>
      </c>
      <c r="B9" s="1928"/>
      <c r="C9" s="1928"/>
      <c r="D9" s="1928"/>
      <c r="E9" s="1928"/>
      <c r="F9" s="1928"/>
      <c r="G9" s="1928"/>
      <c r="H9" s="1928"/>
      <c r="I9" s="1928"/>
      <c r="J9" s="1928"/>
      <c r="K9" s="1995"/>
    </row>
    <row r="10" spans="1:33" s="1914" customFormat="1" ht="13.5" customHeight="1">
      <c r="A10" s="1930" t="s">
        <v>1034</v>
      </c>
      <c r="B10" s="1940" t="s">
        <v>1035</v>
      </c>
      <c r="C10" s="1941" t="s">
        <v>1039</v>
      </c>
      <c r="D10" s="1942" t="s">
        <v>1040</v>
      </c>
      <c r="E10" s="1942" t="s">
        <v>1041</v>
      </c>
      <c r="F10" s="1942" t="s">
        <v>1042</v>
      </c>
      <c r="G10" s="1940"/>
      <c r="H10" s="1943"/>
      <c r="I10" s="1943"/>
      <c r="J10" s="1943"/>
      <c r="K10" s="2001"/>
    </row>
    <row r="11" spans="1:33" s="1915" customFormat="1" ht="13.5" customHeight="1">
      <c r="A11" s="1944" t="s">
        <v>942</v>
      </c>
      <c r="B11" s="1945" t="s">
        <v>1043</v>
      </c>
      <c r="C11" s="1946">
        <f ca="1">IF(C1="",'数据-取费表'!P16,INDIRECT("'数据-取费表'!p"&amp;$K$1)+INDIRECT("'数据-取费表'!ar"&amp;$K$1))</f>
        <v>22907</v>
      </c>
      <c r="D11" s="1947"/>
      <c r="E11" s="1700"/>
      <c r="F11" s="1948">
        <f ca="1">1-IF('数据-取费表'!B24=0,1,IF(C1="",'数据-取费表'!N16,INDIRECT("'数据-取费表'!n"&amp;$K$1)))</f>
        <v>0.73</v>
      </c>
      <c r="G11" s="1940"/>
      <c r="H11" s="1943"/>
      <c r="I11" s="1943"/>
      <c r="J11" s="1943"/>
      <c r="K11" s="2001"/>
    </row>
    <row r="12" spans="1:33" s="1915" customFormat="1" ht="13.5" customHeight="1">
      <c r="A12" s="1944" t="s">
        <v>945</v>
      </c>
      <c r="B12" s="1945" t="s">
        <v>1044</v>
      </c>
      <c r="C12" s="288">
        <f ca="1">ROUND(C11*F12,0)</f>
        <v>1145</v>
      </c>
      <c r="D12" s="1947"/>
      <c r="E12" s="1700"/>
      <c r="F12" s="1949">
        <f>'数据-取费表'!B33</f>
        <v>0.05</v>
      </c>
      <c r="G12" s="1940" t="s">
        <v>1045</v>
      </c>
      <c r="H12" s="1943"/>
      <c r="I12" s="1943"/>
      <c r="J12" s="1943"/>
      <c r="K12" s="2001"/>
    </row>
    <row r="13" spans="1:33" s="1915" customFormat="1" ht="13.5" customHeight="1">
      <c r="A13" s="1944" t="s">
        <v>1046</v>
      </c>
      <c r="B13" s="1945" t="s">
        <v>1047</v>
      </c>
      <c r="C13" s="288">
        <f ca="1">ROUND(IF(C1="",SUMIF('数据-取费表'!C:C,"住宅",'数据-取费表'!P:P)*F13,IF(INDIRECT("'数据-取费表'!c"&amp;$K$1)="住宅",INDIRECT("'数据-取费表'!P"&amp;$K$1)*F13,0)),0)</f>
        <v>1071</v>
      </c>
      <c r="D13" s="1950"/>
      <c r="E13" s="1700"/>
      <c r="F13" s="1949">
        <f>'数据-取费表'!B34</f>
        <v>0.05</v>
      </c>
      <c r="G13" s="1940" t="s">
        <v>1048</v>
      </c>
      <c r="H13" s="1943"/>
      <c r="I13" s="1943"/>
      <c r="J13" s="1943"/>
      <c r="K13" s="2001"/>
    </row>
    <row r="14" spans="1:33" s="1916" customFormat="1" ht="13.5" customHeight="1">
      <c r="A14" s="1944" t="s">
        <v>1049</v>
      </c>
      <c r="B14" s="1945" t="s">
        <v>1050</v>
      </c>
      <c r="C14" s="288">
        <f ca="1">ROUND(D14*E14*F11/10000,0)</f>
        <v>573</v>
      </c>
      <c r="D14" s="1950">
        <f ca="1">IF(C1="",'数据-汇总表'!E3,INDIRECT("'数据-取费表'!K"&amp;$K$1)+INDIRECT("'数据-取费表'!S"&amp;$K$1))</f>
        <v>39222.729999999996</v>
      </c>
      <c r="E14" s="288">
        <f>'数据-取费表'!B35</f>
        <v>200</v>
      </c>
      <c r="F14" s="1949"/>
      <c r="G14" s="1940" t="s">
        <v>1051</v>
      </c>
      <c r="H14" s="1943"/>
      <c r="I14" s="1943"/>
      <c r="J14" s="1943"/>
      <c r="K14" s="2001"/>
      <c r="L14" s="1915"/>
      <c r="M14" s="1915"/>
      <c r="N14" s="1915"/>
      <c r="O14" s="1915"/>
      <c r="P14" s="1915"/>
      <c r="Q14" s="1915"/>
      <c r="R14" s="1915"/>
      <c r="S14" s="1915"/>
      <c r="T14" s="1915"/>
      <c r="U14" s="1915"/>
      <c r="V14" s="1915"/>
      <c r="W14" s="1915"/>
      <c r="X14" s="1915"/>
      <c r="Y14" s="1915"/>
      <c r="Z14" s="1915"/>
      <c r="AA14" s="1915"/>
      <c r="AB14" s="1915"/>
      <c r="AC14" s="1915"/>
      <c r="AD14" s="1915"/>
      <c r="AE14" s="1915"/>
      <c r="AF14" s="1915"/>
      <c r="AG14" s="1915"/>
    </row>
    <row r="15" spans="1:33" s="1916" customFormat="1" ht="13.5" customHeight="1">
      <c r="A15" s="1944" t="s">
        <v>1052</v>
      </c>
      <c r="B15" s="1945" t="s">
        <v>1053</v>
      </c>
      <c r="C15" s="1951">
        <f ca="1">ROUND(C11*F15,0)</f>
        <v>344</v>
      </c>
      <c r="D15" s="1952"/>
      <c r="E15" s="1951"/>
      <c r="F15" s="1953">
        <f>'数据-取费表'!B36</f>
        <v>1.4999999999999999E-2</v>
      </c>
      <c r="G15" s="1697" t="s">
        <v>1054</v>
      </c>
      <c r="H15" s="1811"/>
      <c r="I15" s="1811"/>
      <c r="J15" s="1811"/>
      <c r="K15" s="1812"/>
      <c r="L15" s="1915"/>
      <c r="M15" s="1915"/>
      <c r="N15" s="1915"/>
      <c r="O15" s="1915"/>
      <c r="P15" s="1915"/>
      <c r="Q15" s="1915"/>
      <c r="R15" s="1915"/>
      <c r="S15" s="1915"/>
      <c r="T15" s="1915"/>
      <c r="U15" s="1915"/>
      <c r="V15" s="1915"/>
      <c r="W15" s="1915"/>
      <c r="X15" s="1915"/>
      <c r="Y15" s="1915"/>
      <c r="Z15" s="1915"/>
      <c r="AA15" s="1915"/>
      <c r="AB15" s="1915"/>
      <c r="AC15" s="1915"/>
      <c r="AD15" s="1915"/>
      <c r="AE15" s="1915"/>
      <c r="AF15" s="1915"/>
      <c r="AG15" s="1915"/>
    </row>
    <row r="16" spans="1:33" s="1916" customFormat="1" ht="13.5" customHeight="1">
      <c r="A16" s="1944" t="s">
        <v>859</v>
      </c>
      <c r="B16" s="1945" t="s">
        <v>1055</v>
      </c>
      <c r="C16" s="1951">
        <f ca="1">SUM(C11:C15)</f>
        <v>26040</v>
      </c>
      <c r="D16" s="1952"/>
      <c r="E16" s="1951"/>
      <c r="F16" s="1953"/>
      <c r="G16" s="1697"/>
      <c r="H16" s="1954"/>
      <c r="I16" s="1811"/>
      <c r="J16" s="1811"/>
      <c r="K16" s="1812"/>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row>
    <row r="17" spans="1:33" s="1916" customFormat="1" ht="13.5" customHeight="1">
      <c r="A17" s="1944" t="s">
        <v>863</v>
      </c>
      <c r="B17" s="1945" t="s">
        <v>1056</v>
      </c>
      <c r="C17" s="288">
        <f ca="1">ROUND(D17*E17/10000,0)</f>
        <v>0</v>
      </c>
      <c r="D17" s="1950">
        <f ca="1">D14</f>
        <v>39222.729999999996</v>
      </c>
      <c r="E17" s="288">
        <f>'数据-取费表'!B32</f>
        <v>0</v>
      </c>
      <c r="F17" s="1952"/>
      <c r="G17" s="1697" t="s">
        <v>1057</v>
      </c>
      <c r="H17" s="1954"/>
      <c r="I17" s="1811"/>
      <c r="J17" s="1811"/>
      <c r="K17" s="1812"/>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row>
    <row r="18" spans="1:33" s="1915" customFormat="1" ht="13.5" customHeight="1">
      <c r="A18" s="1944" t="s">
        <v>1058</v>
      </c>
      <c r="B18" s="1945" t="s">
        <v>1059</v>
      </c>
      <c r="C18" s="288">
        <f ca="1">C19+C20-IF(C1="",'数据-取费表'!B29,IF(G18="已全部缴纳",C19+C20,H18))</f>
        <v>638</v>
      </c>
      <c r="D18" s="1950"/>
      <c r="E18" s="288"/>
      <c r="F18" s="1949"/>
      <c r="G18" s="1955"/>
      <c r="H18" s="1956"/>
      <c r="I18" s="2002" t="s">
        <v>1060</v>
      </c>
      <c r="J18" s="1811"/>
      <c r="K18" s="1812"/>
    </row>
    <row r="19" spans="1:33" s="1915" customFormat="1" ht="13.5" customHeight="1">
      <c r="A19" s="1944" t="s">
        <v>942</v>
      </c>
      <c r="B19" s="1945" t="s">
        <v>350</v>
      </c>
      <c r="C19" s="288">
        <f ca="1">ROUND(D19*E19/10000,0)</f>
        <v>587</v>
      </c>
      <c r="D19" s="1950">
        <f ca="1">IF(C1="",'数据-汇总表'!E5,IF(INDIRECT("'数据-取费表'!c"&amp;$K$1)="住宅",INDIRECT("'数据-取费表'!k"&amp;$K$1),0))</f>
        <v>36663.219999999994</v>
      </c>
      <c r="E19" s="288">
        <f>'数据-取费表'!B27</f>
        <v>160</v>
      </c>
      <c r="F19" s="1949"/>
      <c r="G19" s="1810"/>
      <c r="H19" s="1957"/>
      <c r="I19" s="1958"/>
      <c r="J19" s="1958"/>
      <c r="K19" s="2003"/>
    </row>
    <row r="20" spans="1:33" s="1915" customFormat="1" ht="13.5" customHeight="1">
      <c r="A20" s="1944" t="s">
        <v>945</v>
      </c>
      <c r="B20" s="1945" t="s">
        <v>1061</v>
      </c>
      <c r="C20" s="288">
        <f ca="1">ROUND(D20*E20/10000,0)</f>
        <v>51</v>
      </c>
      <c r="D20" s="1950">
        <f ca="1">IF(C1="",'数据-汇总表'!E6,IF(INDIRECT("'数据-取费表'!c"&amp;$K$1)="住宅",INDIRECT("'数据-取费表'!s"&amp;$K$1),INDIRECT("'数据-取费表'!k"&amp;$K$1)+INDIRECT("'数据-取费表'!s"&amp;$K$1)))</f>
        <v>2559.510000000002</v>
      </c>
      <c r="E20" s="288">
        <f>'数据-取费表'!B28</f>
        <v>200</v>
      </c>
      <c r="F20" s="1949"/>
      <c r="G20" s="1810"/>
      <c r="H20" s="1958"/>
      <c r="I20" s="1958"/>
      <c r="J20" s="1958"/>
      <c r="K20" s="2003"/>
    </row>
    <row r="21" spans="1:33" s="1915" customFormat="1" ht="13.5" customHeight="1">
      <c r="A21" s="1933" t="s">
        <v>836</v>
      </c>
      <c r="B21" s="1959" t="s">
        <v>1062</v>
      </c>
      <c r="C21" s="1960">
        <f ca="1">C16+C17+C18</f>
        <v>26678</v>
      </c>
      <c r="D21" s="1961"/>
      <c r="E21" s="1962"/>
      <c r="F21" s="1962"/>
      <c r="G21" s="1697" t="s">
        <v>1063</v>
      </c>
      <c r="H21" s="1811"/>
      <c r="I21" s="1811"/>
      <c r="J21" s="1811"/>
      <c r="K21" s="1812"/>
    </row>
    <row r="22" spans="1:33" s="1915" customFormat="1" ht="13.5" customHeight="1">
      <c r="A22" s="1933" t="s">
        <v>840</v>
      </c>
      <c r="B22" s="1959" t="s">
        <v>1064</v>
      </c>
      <c r="C22" s="1960">
        <f ca="1">ROUND(C21*F22,0)</f>
        <v>800</v>
      </c>
      <c r="D22" s="1962"/>
      <c r="E22" s="1962"/>
      <c r="F22" s="1963">
        <f>'数据-取费表'!B37</f>
        <v>0.03</v>
      </c>
      <c r="G22" s="1940" t="s">
        <v>1065</v>
      </c>
      <c r="H22" s="1943"/>
      <c r="I22" s="1943"/>
      <c r="J22" s="1943"/>
      <c r="K22" s="2001"/>
    </row>
    <row r="23" spans="1:33" s="1915" customFormat="1" ht="13.5" customHeight="1">
      <c r="A23" s="1933" t="s">
        <v>885</v>
      </c>
      <c r="B23" s="1959" t="s">
        <v>1066</v>
      </c>
      <c r="C23" s="1960">
        <f ca="1">ROUND(C4*F23*F11,0)</f>
        <v>6984</v>
      </c>
      <c r="D23" s="1962"/>
      <c r="E23" s="1962"/>
      <c r="F23" s="1963">
        <f>'数据-取费表'!B38</f>
        <v>0.02</v>
      </c>
      <c r="G23" s="1940" t="s">
        <v>1067</v>
      </c>
      <c r="H23" s="1943"/>
      <c r="I23" s="1943"/>
      <c r="J23" s="1943"/>
      <c r="K23" s="2001"/>
    </row>
    <row r="24" spans="1:33" s="1915" customFormat="1" ht="13.5" customHeight="1">
      <c r="A24" s="1933" t="s">
        <v>888</v>
      </c>
      <c r="B24" s="1959" t="s">
        <v>1068</v>
      </c>
      <c r="C24" s="1964">
        <f>ROUND(F24/(1+'数据-取费表'!C42),4)</f>
        <v>2.9000000000000001E-2</v>
      </c>
      <c r="D24" s="1962" t="s">
        <v>1069</v>
      </c>
      <c r="E24" s="1962"/>
      <c r="F24" s="1963">
        <f>IF(项目基本情况!B8="出让",0,'数据-取费表'!B48+'数据-取费表'!B49)</f>
        <v>3.0499999999999999E-2</v>
      </c>
      <c r="G24" s="1940" t="s">
        <v>1070</v>
      </c>
      <c r="H24" s="1965"/>
      <c r="I24" s="1965"/>
      <c r="J24" s="1965"/>
      <c r="K24" s="2004"/>
    </row>
    <row r="25" spans="1:33" s="1915" customFormat="1" ht="13.5" customHeight="1">
      <c r="A25" s="1933" t="s">
        <v>892</v>
      </c>
      <c r="B25" s="1961" t="s">
        <v>1071</v>
      </c>
      <c r="C25" s="1966">
        <f ca="1">C27</f>
        <v>1043</v>
      </c>
      <c r="D25" s="1964">
        <f ca="1">C26</f>
        <v>6.3200000000000006E-2</v>
      </c>
      <c r="E25" s="1967" t="s">
        <v>1069</v>
      </c>
      <c r="F25" s="1968">
        <f ca="1">'数据-取费表'!B40</f>
        <v>4.3499999999999997E-2</v>
      </c>
      <c r="G25" s="1697" t="str">
        <f>IF('数据-取费表'!B22&lt;=1,"单利计息。","复利计息。")&amp;"后续开发成本、管理费用及销售费用产生的利息。"</f>
        <v>复利计息。后续开发成本、管理费用及销售费用产生的利息。</v>
      </c>
      <c r="H25" s="1965"/>
      <c r="I25" s="1965"/>
      <c r="J25" s="1965"/>
      <c r="K25" s="2004"/>
    </row>
    <row r="26" spans="1:33" s="1917" customFormat="1" ht="13.5" customHeight="1">
      <c r="A26" s="1944" t="s">
        <v>859</v>
      </c>
      <c r="B26" s="1969" t="s">
        <v>1072</v>
      </c>
      <c r="C26" s="1970">
        <f ca="1">ROUND(IF('数据-取费表'!B22&lt;=1,(1+C24)*F25*'数据-取费表'!B24,(1+C24)*(POWER((1+F25),'数据-取费表'!B24)-1)),4)</f>
        <v>6.3200000000000006E-2</v>
      </c>
      <c r="D26" s="1971"/>
      <c r="E26" s="1972"/>
      <c r="F26" s="1973"/>
      <c r="G26" s="1974" t="str">
        <f>IF('数据-取费表'!B22&lt;=1,"（(1)+取得税费率/(1+5%)）×年利率×建设期","（(1)+取得税费率）/(1+5%)×((1+年利率)^建设期-1)")</f>
        <v>（(1)+取得税费率）/(1+5%)×((1+年利率)^建设期-1)</v>
      </c>
      <c r="H26" s="1811"/>
      <c r="I26" s="1811"/>
      <c r="J26" s="1811"/>
      <c r="K26" s="1812"/>
    </row>
    <row r="27" spans="1:33" s="1917" customFormat="1" ht="13.5" customHeight="1">
      <c r="A27" s="1944" t="s">
        <v>863</v>
      </c>
      <c r="B27" s="1969" t="s">
        <v>1073</v>
      </c>
      <c r="C27" s="1975">
        <f ca="1">ROUND(IF('数据-取费表'!B22&lt;=1,(C21+C22+C23)*F25*'数据-取费表'!B24/2,(C21+C22+C23)*(POWER((1+F25),'数据-取费表'!B24/2)-1)),0)</f>
        <v>1043</v>
      </c>
      <c r="D27" s="1971"/>
      <c r="E27" s="1972"/>
      <c r="F27" s="1973"/>
      <c r="G27" s="1974" t="str">
        <f>IF('数据-取费表'!B22&lt;=1,"（1）-（3）项×年利率×建设期÷2","（1）-（3）项×((1+年利率)^(建设期÷2)-1)")</f>
        <v>（1）-（3）项×((1+年利率)^(建设期÷2)-1)</v>
      </c>
      <c r="H27" s="1811"/>
      <c r="I27" s="1811"/>
      <c r="J27" s="1811"/>
      <c r="K27" s="1812"/>
    </row>
    <row r="28" spans="1:33" s="1918" customFormat="1" ht="13.5" customHeight="1">
      <c r="A28" s="1933" t="s">
        <v>893</v>
      </c>
      <c r="B28" s="1976" t="s">
        <v>1074</v>
      </c>
      <c r="C28" s="1977">
        <f ca="1">C30</f>
        <v>6892</v>
      </c>
      <c r="D28" s="1964">
        <f ca="1">C29</f>
        <v>0.14410000000000001</v>
      </c>
      <c r="E28" s="1967" t="s">
        <v>1069</v>
      </c>
      <c r="F28" s="1111">
        <f ca="1">IF(C1="",'数据-取费表'!Q16,INDIRECT("'数据-取费表'!q"&amp;$K$1))</f>
        <v>0.2</v>
      </c>
      <c r="G28" s="1978"/>
      <c r="H28" s="1965"/>
      <c r="I28" s="1965"/>
      <c r="J28" s="1965"/>
      <c r="K28" s="2004"/>
    </row>
    <row r="29" spans="1:33" s="1919" customFormat="1" ht="13.5" customHeight="1">
      <c r="A29" s="1944" t="s">
        <v>859</v>
      </c>
      <c r="B29" s="1979" t="s">
        <v>1075</v>
      </c>
      <c r="C29" s="1971">
        <f ca="1">ROUND((1+C24)*F28*'数据-取费表'!B24/'数据-取费表'!B20,4)</f>
        <v>0.14410000000000001</v>
      </c>
      <c r="D29" s="1971"/>
      <c r="E29" s="1972"/>
      <c r="F29" s="1980"/>
      <c r="G29" s="1697" t="s">
        <v>1076</v>
      </c>
      <c r="H29" s="1811"/>
      <c r="I29" s="1811"/>
      <c r="J29" s="1811"/>
      <c r="K29" s="1812"/>
    </row>
    <row r="30" spans="1:33" s="1919" customFormat="1" ht="13.5" customHeight="1">
      <c r="A30" s="1944" t="s">
        <v>863</v>
      </c>
      <c r="B30" s="1979" t="s">
        <v>1077</v>
      </c>
      <c r="C30" s="1981">
        <f ca="1">ROUND((C21+C22+C23)*F28,0)</f>
        <v>6892</v>
      </c>
      <c r="D30" s="1971"/>
      <c r="E30" s="1972"/>
      <c r="F30" s="1980"/>
      <c r="G30" s="1697"/>
      <c r="H30" s="1811"/>
      <c r="I30" s="1811"/>
      <c r="J30" s="1811"/>
      <c r="K30" s="1812"/>
    </row>
    <row r="31" spans="1:33" s="1915" customFormat="1" ht="13.5" customHeight="1">
      <c r="A31" s="1982" t="s">
        <v>1078</v>
      </c>
      <c r="B31" s="1983" t="s">
        <v>1079</v>
      </c>
      <c r="C31" s="1984">
        <f ca="1">ROUND(C4*F31/(1+'数据-取费表'!C42),0)</f>
        <v>25513</v>
      </c>
      <c r="D31" s="1985"/>
      <c r="E31" s="1986"/>
      <c r="F31" s="1987">
        <f>'数据-取费表'!B41</f>
        <v>5.6000000000000001E-2</v>
      </c>
      <c r="G31" s="1988" t="s">
        <v>1080</v>
      </c>
      <c r="H31" s="1989"/>
      <c r="I31" s="1989"/>
      <c r="J31" s="1989"/>
      <c r="K31" s="2005"/>
    </row>
    <row r="32" spans="1:33" s="1914" customFormat="1" ht="13.5" customHeight="1">
      <c r="A32" s="1990" t="s">
        <v>1081</v>
      </c>
      <c r="B32" s="1991"/>
      <c r="C32" s="1992">
        <f ca="1">ROUND((C4-C21-C22-C23-C25-C28-C31)/(1+C24+D25+D28),0)</f>
        <v>332010</v>
      </c>
      <c r="D32" s="1991"/>
      <c r="E32" s="1991"/>
      <c r="F32" s="1991"/>
      <c r="G32" s="1993" t="s">
        <v>1082</v>
      </c>
      <c r="H32" s="1991"/>
      <c r="I32" s="1991"/>
      <c r="J32" s="1991"/>
      <c r="K32" s="2006"/>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1" zoomScaleNormal="60" zoomScaleSheetLayoutView="100" workbookViewId="0">
      <selection activeCell="I18" sqref="I18"/>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65"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67" customFormat="1" ht="28.5" customHeight="1">
      <c r="A1" s="1268" t="s">
        <v>1346</v>
      </c>
      <c r="B1" s="1466" t="s">
        <v>1347</v>
      </c>
      <c r="C1" s="1327" t="s">
        <v>1348</v>
      </c>
      <c r="D1" s="1271" t="s">
        <v>2765</v>
      </c>
      <c r="E1" s="1490"/>
      <c r="F1" s="1273" t="s">
        <v>1349</v>
      </c>
      <c r="G1" s="1274" t="s">
        <v>1350</v>
      </c>
      <c r="H1" s="1272"/>
      <c r="I1" s="1272"/>
      <c r="J1" s="1272"/>
      <c r="K1" s="1325"/>
      <c r="L1" s="1326"/>
      <c r="M1" s="1327"/>
      <c r="N1" s="1327"/>
      <c r="O1" s="1327"/>
      <c r="P1" s="1499"/>
      <c r="Q1" s="1270"/>
      <c r="R1" s="1270"/>
      <c r="S1" s="1270"/>
      <c r="T1" s="1270"/>
      <c r="U1" s="1270"/>
      <c r="V1" s="1270"/>
      <c r="W1" s="1270"/>
      <c r="X1" s="1270"/>
      <c r="Y1" s="1270"/>
      <c r="Z1" s="1270"/>
      <c r="AA1" s="1270"/>
      <c r="AB1" s="1270"/>
      <c r="AC1" s="1333"/>
    </row>
    <row r="2" spans="1:29" s="1489" customFormat="1" ht="28.5" customHeight="1">
      <c r="A2" s="1275" t="s">
        <v>926</v>
      </c>
      <c r="B2" s="1276">
        <f>IF(C2="——",ROUND(C49*D3/10000,0),ROUND(C49*D3/10000,0)-D2)</f>
        <v>359124</v>
      </c>
      <c r="C2" s="1277" t="s">
        <v>124</v>
      </c>
      <c r="D2" s="1445" t="e">
        <f ca="1">SUMIF(INDIRECT("'"&amp;F2&amp;"'"&amp;"!A:A"),"承租人权益价值",INDIRECT("'"&amp;F2&amp;"'"&amp;"!c:c"))</f>
        <v>#REF!</v>
      </c>
      <c r="E2" s="1278" t="s">
        <v>927</v>
      </c>
      <c r="F2" s="1279"/>
      <c r="G2" s="1222"/>
      <c r="H2" s="1222"/>
      <c r="I2" s="1222"/>
      <c r="J2" s="1222"/>
      <c r="K2" s="1500"/>
      <c r="L2" s="1501"/>
      <c r="M2" s="1502"/>
      <c r="N2" s="1502"/>
      <c r="O2" s="1502"/>
      <c r="P2" s="1503"/>
      <c r="Q2" s="1521"/>
      <c r="R2" s="1521"/>
      <c r="S2" s="1521"/>
      <c r="T2" s="1521"/>
      <c r="U2" s="1521"/>
      <c r="V2" s="1521"/>
      <c r="W2" s="1521"/>
      <c r="X2" s="1521"/>
      <c r="Y2" s="1521"/>
      <c r="Z2" s="1521"/>
      <c r="AA2" s="1521"/>
      <c r="AB2" s="1521"/>
      <c r="AC2" s="1522"/>
    </row>
    <row r="3" spans="1:29" s="1489" customFormat="1" ht="28.5" customHeight="1">
      <c r="A3" s="148" t="s">
        <v>928</v>
      </c>
      <c r="B3" s="1281">
        <f>IF(C2="——",C49,ROUND(B2*10000/D3,0))</f>
        <v>106549</v>
      </c>
      <c r="C3" s="1280" t="s">
        <v>1351</v>
      </c>
      <c r="D3" s="1281">
        <f>IF(D1="",'数据-汇总表'!E3,SUMIF('数据-汇总表'!$C19:$C33,D1,'数据-汇总表'!$E19:$E33))</f>
        <v>33705.019999999997</v>
      </c>
      <c r="E3" s="1222"/>
      <c r="F3" s="1491"/>
      <c r="G3" s="1222"/>
      <c r="H3" s="1222"/>
      <c r="I3" s="1222"/>
      <c r="J3" s="1222"/>
      <c r="K3" s="1500"/>
      <c r="L3" s="1501"/>
      <c r="M3" s="1502"/>
      <c r="N3" s="1502"/>
      <c r="O3" s="1502"/>
      <c r="P3" s="1503"/>
      <c r="Q3" s="1521"/>
      <c r="R3" s="1521"/>
      <c r="S3" s="1521"/>
      <c r="T3" s="1521"/>
      <c r="U3" s="1521"/>
      <c r="V3" s="1521"/>
      <c r="W3" s="1521"/>
      <c r="X3" s="1521"/>
      <c r="Y3" s="1521"/>
      <c r="Z3" s="1521"/>
      <c r="AA3" s="1521"/>
      <c r="AB3" s="1521"/>
      <c r="AC3" s="1523"/>
    </row>
    <row r="4" spans="1:29" ht="15">
      <c r="A4" s="899" t="s">
        <v>1352</v>
      </c>
      <c r="B4" s="900"/>
      <c r="C4" s="3273" t="s">
        <v>1353</v>
      </c>
      <c r="D4" s="3306"/>
      <c r="E4" s="3307" t="s">
        <v>1354</v>
      </c>
      <c r="F4" s="3308"/>
      <c r="G4" s="3273" t="s">
        <v>1355</v>
      </c>
      <c r="H4" s="3306"/>
      <c r="I4" s="3273" t="s">
        <v>1356</v>
      </c>
      <c r="J4" s="3306"/>
      <c r="K4" s="1504" t="s">
        <v>1357</v>
      </c>
      <c r="L4" s="1044"/>
      <c r="M4" s="1045"/>
      <c r="N4" s="1045"/>
      <c r="O4" s="1045"/>
      <c r="P4" s="3277" t="s">
        <v>1358</v>
      </c>
      <c r="Q4" s="3278"/>
      <c r="R4" s="3283" t="s">
        <v>1354</v>
      </c>
      <c r="S4" s="3284"/>
      <c r="T4" s="3283" t="s">
        <v>1355</v>
      </c>
      <c r="U4" s="3284"/>
      <c r="V4" s="3289" t="s">
        <v>1356</v>
      </c>
      <c r="W4" s="3289"/>
      <c r="X4" s="1087"/>
      <c r="Y4" s="3283" t="s">
        <v>1358</v>
      </c>
      <c r="Z4" s="3284"/>
      <c r="AA4" s="3270" t="s">
        <v>1354</v>
      </c>
      <c r="AB4" s="3270" t="s">
        <v>1355</v>
      </c>
      <c r="AC4" s="3270" t="s">
        <v>1356</v>
      </c>
    </row>
    <row r="5" spans="1:29" ht="15">
      <c r="A5" s="901"/>
      <c r="B5" s="902"/>
      <c r="C5" s="3309" t="s">
        <v>1359</v>
      </c>
      <c r="D5" s="3310"/>
      <c r="E5" s="3321" t="s">
        <v>2792</v>
      </c>
      <c r="F5" s="3310"/>
      <c r="G5" s="3321" t="s">
        <v>2793</v>
      </c>
      <c r="H5" s="3310"/>
      <c r="I5" s="3321" t="s">
        <v>2789</v>
      </c>
      <c r="J5" s="3310"/>
      <c r="K5" s="1505"/>
      <c r="L5" s="1044"/>
      <c r="M5" s="1045"/>
      <c r="N5" s="1045"/>
      <c r="O5" s="1045"/>
      <c r="P5" s="3279"/>
      <c r="Q5" s="3280"/>
      <c r="R5" s="3285"/>
      <c r="S5" s="3286"/>
      <c r="T5" s="3285"/>
      <c r="U5" s="3286"/>
      <c r="V5" s="3289"/>
      <c r="W5" s="3289"/>
      <c r="X5" s="1087"/>
      <c r="Y5" s="3285"/>
      <c r="Z5" s="3286"/>
      <c r="AA5" s="3271"/>
      <c r="AB5" s="3271"/>
      <c r="AC5" s="3271"/>
    </row>
    <row r="6" spans="1:29" ht="15">
      <c r="A6" s="903"/>
      <c r="B6" s="904"/>
      <c r="C6" s="3301" t="s">
        <v>1363</v>
      </c>
      <c r="D6" s="3302"/>
      <c r="E6" s="3303" t="s">
        <v>1363</v>
      </c>
      <c r="F6" s="3304"/>
      <c r="G6" s="3301" t="s">
        <v>1363</v>
      </c>
      <c r="H6" s="3302"/>
      <c r="I6" s="3301" t="s">
        <v>1363</v>
      </c>
      <c r="J6" s="3302"/>
      <c r="K6" s="1505" t="s">
        <v>1364</v>
      </c>
      <c r="L6" s="1044"/>
      <c r="M6" s="1045"/>
      <c r="N6" s="1045"/>
      <c r="O6" s="1045"/>
      <c r="P6" s="3281"/>
      <c r="Q6" s="3282"/>
      <c r="R6" s="3285"/>
      <c r="S6" s="3286"/>
      <c r="T6" s="3287"/>
      <c r="U6" s="3288"/>
      <c r="V6" s="3289"/>
      <c r="W6" s="3289"/>
      <c r="X6" s="1087"/>
      <c r="Y6" s="3287"/>
      <c r="Z6" s="3288"/>
      <c r="AA6" s="3272"/>
      <c r="AB6" s="3272"/>
      <c r="AC6" s="3272"/>
    </row>
    <row r="7" spans="1:29" s="880" customFormat="1" ht="15">
      <c r="A7" s="905" t="s">
        <v>1365</v>
      </c>
      <c r="B7" s="906"/>
      <c r="C7" s="907">
        <f>'数据-取费表'!B2</f>
        <v>44288</v>
      </c>
      <c r="D7" s="908">
        <v>100</v>
      </c>
      <c r="E7" s="909">
        <f>C7</f>
        <v>44288</v>
      </c>
      <c r="F7" s="910">
        <f>SUMIF(58:58,YEAR(E7)&amp;"-"&amp;MONTH(E7),59:59)</f>
        <v>100</v>
      </c>
      <c r="G7" s="909">
        <f>C7</f>
        <v>44288</v>
      </c>
      <c r="H7" s="908">
        <f>SUMIF(58:58,YEAR(G7)&amp;"-"&amp;MONTH(G7),59:59)</f>
        <v>100</v>
      </c>
      <c r="I7" s="909">
        <f>C7</f>
        <v>44288</v>
      </c>
      <c r="J7" s="908">
        <f>SUMIF(58:58,YEAR(I7)&amp;"-"&amp;MONTH(I7),59:59)</f>
        <v>100</v>
      </c>
      <c r="K7" s="1506"/>
      <c r="L7" s="1047"/>
      <c r="M7" s="1048"/>
      <c r="N7" s="1048"/>
      <c r="O7" s="1048"/>
      <c r="P7" s="3290" t="s">
        <v>1366</v>
      </c>
      <c r="Q7" s="3305"/>
      <c r="R7" s="1088" t="s">
        <v>1367</v>
      </c>
      <c r="S7" s="1089">
        <f t="shared" ref="S7:S15" si="0">F7</f>
        <v>100</v>
      </c>
      <c r="T7" s="1088" t="s">
        <v>1367</v>
      </c>
      <c r="U7" s="1089">
        <f t="shared" ref="U7:U15" si="1">H7</f>
        <v>100</v>
      </c>
      <c r="V7" s="1088" t="s">
        <v>1367</v>
      </c>
      <c r="W7" s="1089">
        <f t="shared" ref="W7:W15" si="2">J7</f>
        <v>100</v>
      </c>
      <c r="X7" s="1090"/>
      <c r="Y7" s="3290" t="s">
        <v>1366</v>
      </c>
      <c r="Z7" s="3291"/>
      <c r="AA7" s="1102">
        <f>D7/F7</f>
        <v>1</v>
      </c>
      <c r="AB7" s="1102">
        <f>D7/H7</f>
        <v>1</v>
      </c>
      <c r="AC7" s="1102">
        <f>D7/J7</f>
        <v>1</v>
      </c>
    </row>
    <row r="8" spans="1:29" s="880" customFormat="1" ht="15">
      <c r="A8" s="905" t="s">
        <v>1368</v>
      </c>
      <c r="B8" s="906"/>
      <c r="C8" s="912" t="s">
        <v>1369</v>
      </c>
      <c r="D8" s="908">
        <v>100</v>
      </c>
      <c r="E8" s="1492" t="s">
        <v>1488</v>
      </c>
      <c r="F8" s="910">
        <f>SUMIF(61:61,E8,62:62)-SUMIF(61:61,C8,62:62)+100</f>
        <v>100</v>
      </c>
      <c r="G8" s="912" t="s">
        <v>1488</v>
      </c>
      <c r="H8" s="908">
        <f>SUMIF(61:61,G8,62:62)-SUMIF(61:61,C8,62:62)+100</f>
        <v>100</v>
      </c>
      <c r="I8" s="1492" t="s">
        <v>1488</v>
      </c>
      <c r="J8" s="908">
        <f>SUMIF(61:61,I8,62:62)-SUMIF(61:61,C8,62:62)+100</f>
        <v>100</v>
      </c>
      <c r="K8" s="1506"/>
      <c r="L8" s="1047"/>
      <c r="M8" s="1048"/>
      <c r="N8" s="1048"/>
      <c r="O8" s="1048"/>
      <c r="P8" s="3290" t="s">
        <v>1370</v>
      </c>
      <c r="Q8" s="3291"/>
      <c r="R8" s="1088" t="s">
        <v>1367</v>
      </c>
      <c r="S8" s="1089">
        <f t="shared" si="0"/>
        <v>100</v>
      </c>
      <c r="T8" s="1088" t="s">
        <v>1367</v>
      </c>
      <c r="U8" s="1089">
        <f t="shared" si="1"/>
        <v>100</v>
      </c>
      <c r="V8" s="1088" t="s">
        <v>1367</v>
      </c>
      <c r="W8" s="1089">
        <f t="shared" si="2"/>
        <v>100</v>
      </c>
      <c r="X8" s="1090"/>
      <c r="Y8" s="3290" t="s">
        <v>1370</v>
      </c>
      <c r="Z8" s="3291"/>
      <c r="AA8" s="1102">
        <f t="shared" ref="AA8:AA19" si="3">D8/F8</f>
        <v>1</v>
      </c>
      <c r="AB8" s="1102">
        <f t="shared" ref="AB8:AB19" si="4">D8/H8</f>
        <v>1</v>
      </c>
      <c r="AC8" s="1102">
        <f t="shared" ref="AC8:AC19" si="5">D8/J8</f>
        <v>1</v>
      </c>
    </row>
    <row r="9" spans="1:29" s="880" customFormat="1">
      <c r="A9" s="913" t="s">
        <v>1371</v>
      </c>
      <c r="B9" s="914" t="s">
        <v>1372</v>
      </c>
      <c r="C9" s="3062" t="s">
        <v>2781</v>
      </c>
      <c r="D9" s="916">
        <v>100</v>
      </c>
      <c r="E9" s="1351" t="s">
        <v>464</v>
      </c>
      <c r="F9" s="1284">
        <f>SUMIF(63:63,E9,64:64)-SUMIF(63:63,C9,64:64)+100</f>
        <v>100</v>
      </c>
      <c r="G9" s="1283" t="s">
        <v>464</v>
      </c>
      <c r="H9" s="916">
        <f>SUMIF(63:63,G9,64:64)-SUMIF(63:63,C9,64:64)+100</f>
        <v>100</v>
      </c>
      <c r="I9" s="1283" t="s">
        <v>464</v>
      </c>
      <c r="J9" s="916">
        <f>SUMIF(63:63,I9,64:64)-SUMIF(63:63,C9,64:64)+100</f>
        <v>100</v>
      </c>
      <c r="K9" s="1506"/>
      <c r="L9" s="1047"/>
      <c r="M9" s="1048"/>
      <c r="N9" s="1048"/>
      <c r="O9" s="1048"/>
      <c r="P9" s="3275" t="s">
        <v>1373</v>
      </c>
      <c r="Q9" s="1092" t="str">
        <f t="shared" ref="Q9:Q15" si="6">B9</f>
        <v>用途</v>
      </c>
      <c r="R9" s="1088" t="s">
        <v>1367</v>
      </c>
      <c r="S9" s="1089">
        <f t="shared" si="0"/>
        <v>100</v>
      </c>
      <c r="T9" s="1088" t="s">
        <v>1367</v>
      </c>
      <c r="U9" s="1089">
        <f t="shared" si="1"/>
        <v>100</v>
      </c>
      <c r="V9" s="1088" t="s">
        <v>1367</v>
      </c>
      <c r="W9" s="1089">
        <f t="shared" si="2"/>
        <v>100</v>
      </c>
      <c r="X9" s="1090"/>
      <c r="Y9" s="3179" t="s">
        <v>1374</v>
      </c>
      <c r="Z9" s="1103" t="str">
        <f t="shared" ref="Z9:Z15" si="7">Q9</f>
        <v>用途</v>
      </c>
      <c r="AA9" s="1102">
        <f t="shared" si="3"/>
        <v>1</v>
      </c>
      <c r="AB9" s="1102">
        <f t="shared" si="4"/>
        <v>1</v>
      </c>
      <c r="AC9" s="1102">
        <f t="shared" si="5"/>
        <v>1</v>
      </c>
    </row>
    <row r="10" spans="1:29" s="881" customFormat="1" ht="27">
      <c r="A10" s="917"/>
      <c r="B10" s="918" t="s">
        <v>1375</v>
      </c>
      <c r="C10" s="1285" t="s">
        <v>2794</v>
      </c>
      <c r="D10" s="920">
        <v>100</v>
      </c>
      <c r="E10" s="1354" t="s">
        <v>2794</v>
      </c>
      <c r="F10" s="1286">
        <f>SUMIF(65:65,E10,66:66)-SUMIF(65:65,C10,66:66)+100</f>
        <v>100</v>
      </c>
      <c r="G10" s="1285" t="s">
        <v>2794</v>
      </c>
      <c r="H10" s="920">
        <f>SUMIF(65:65,G10,66:66)-SUMIF(65:65,C10,66:66)+100</f>
        <v>100</v>
      </c>
      <c r="I10" s="1285" t="s">
        <v>2794</v>
      </c>
      <c r="J10" s="920">
        <f>SUMIF(65:65,I10,66:66)-SUMIF(65:65,C10,66:66)+100</f>
        <v>100</v>
      </c>
      <c r="K10" s="1507">
        <v>2</v>
      </c>
      <c r="L10" s="1051"/>
      <c r="M10" s="1052"/>
      <c r="N10" s="1052"/>
      <c r="O10" s="1052"/>
      <c r="P10" s="3275"/>
      <c r="Q10" s="1092" t="str">
        <f t="shared" si="6"/>
        <v>土地使用年限（年）</v>
      </c>
      <c r="R10" s="1088" t="s">
        <v>1367</v>
      </c>
      <c r="S10" s="1089">
        <f t="shared" si="0"/>
        <v>100</v>
      </c>
      <c r="T10" s="1088" t="s">
        <v>1367</v>
      </c>
      <c r="U10" s="1089">
        <f t="shared" si="1"/>
        <v>100</v>
      </c>
      <c r="V10" s="1088" t="s">
        <v>1367</v>
      </c>
      <c r="W10" s="1089">
        <f t="shared" si="2"/>
        <v>100</v>
      </c>
      <c r="X10" s="1090"/>
      <c r="Y10" s="3179"/>
      <c r="Z10" s="1103" t="str">
        <f t="shared" si="7"/>
        <v>土地使用年限（年）</v>
      </c>
      <c r="AA10" s="1102">
        <f t="shared" si="3"/>
        <v>1</v>
      </c>
      <c r="AB10" s="1102">
        <f t="shared" si="4"/>
        <v>1</v>
      </c>
      <c r="AC10" s="1102">
        <f t="shared" si="5"/>
        <v>1</v>
      </c>
    </row>
    <row r="11" spans="1:29" ht="15">
      <c r="A11" s="921"/>
      <c r="B11" s="918" t="s">
        <v>1376</v>
      </c>
      <c r="C11" s="3420">
        <f>'数据-汇总表'!I6</f>
        <v>3.22</v>
      </c>
      <c r="D11" s="920">
        <v>100</v>
      </c>
      <c r="E11" s="923">
        <v>1.52</v>
      </c>
      <c r="F11" s="1286">
        <f>LOOKUP(E11,68:68,69:69)-LOOKUP(C11,68:68,69:69)+100</f>
        <v>104</v>
      </c>
      <c r="G11" s="922">
        <v>2.82</v>
      </c>
      <c r="H11" s="920">
        <f>LOOKUP(G11,68:68,69:69)-LOOKUP(C11,68:68,69:69)+100</f>
        <v>102</v>
      </c>
      <c r="I11" s="922">
        <v>2.8</v>
      </c>
      <c r="J11" s="920">
        <f>LOOKUP(I11,68:68,69:69)-LOOKUP(C11,68:68,69:69)+100</f>
        <v>102</v>
      </c>
      <c r="K11" s="1507">
        <v>2</v>
      </c>
      <c r="L11" s="1055"/>
      <c r="M11" s="1045"/>
      <c r="N11" s="1045"/>
      <c r="O11" s="1045"/>
      <c r="P11" s="3275"/>
      <c r="Q11" s="1092" t="str">
        <f t="shared" si="6"/>
        <v>容积率</v>
      </c>
      <c r="R11" s="1088" t="s">
        <v>1367</v>
      </c>
      <c r="S11" s="1089">
        <f t="shared" si="0"/>
        <v>104</v>
      </c>
      <c r="T11" s="1088" t="s">
        <v>1367</v>
      </c>
      <c r="U11" s="1089">
        <f t="shared" si="1"/>
        <v>102</v>
      </c>
      <c r="V11" s="1088" t="s">
        <v>1367</v>
      </c>
      <c r="W11" s="1089">
        <f t="shared" si="2"/>
        <v>102</v>
      </c>
      <c r="X11" s="1090"/>
      <c r="Y11" s="3179"/>
      <c r="Z11" s="1103" t="str">
        <f t="shared" si="7"/>
        <v>容积率</v>
      </c>
      <c r="AA11" s="1102">
        <f t="shared" si="3"/>
        <v>0.96153846153846156</v>
      </c>
      <c r="AB11" s="1102">
        <f t="shared" si="4"/>
        <v>0.98039215686274506</v>
      </c>
      <c r="AC11" s="1102">
        <f t="shared" si="5"/>
        <v>0.98039215686274506</v>
      </c>
    </row>
    <row r="12" spans="1:29" s="880" customFormat="1" ht="15" hidden="1">
      <c r="A12" s="924"/>
      <c r="B12" s="925">
        <v>111</v>
      </c>
      <c r="C12" s="919"/>
      <c r="D12" s="926">
        <v>100</v>
      </c>
      <c r="E12" s="919"/>
      <c r="F12" s="1286">
        <f>SUMIF(70:70,E12,71:71)-SUMIF(70:70,C12,71:71)+100</f>
        <v>100</v>
      </c>
      <c r="G12" s="919"/>
      <c r="H12" s="920">
        <f>SUMIF(70:70,G12,71:71)-SUMIF(70:70,C12,71:71)+100</f>
        <v>100</v>
      </c>
      <c r="I12" s="919"/>
      <c r="J12" s="920">
        <f>SUMIF(70:70,I12,71:71)-SUMIF(70:70,C12,71:71)+100</f>
        <v>100</v>
      </c>
      <c r="K12" s="1508"/>
      <c r="L12" s="1047"/>
      <c r="M12" s="1048"/>
      <c r="N12" s="1048"/>
      <c r="O12" s="1048"/>
      <c r="P12" s="3275"/>
      <c r="Q12" s="1092">
        <f t="shared" si="6"/>
        <v>111</v>
      </c>
      <c r="R12" s="1088" t="s">
        <v>1367</v>
      </c>
      <c r="S12" s="1089">
        <f t="shared" si="0"/>
        <v>100</v>
      </c>
      <c r="T12" s="1088" t="s">
        <v>1367</v>
      </c>
      <c r="U12" s="1089">
        <f t="shared" si="1"/>
        <v>100</v>
      </c>
      <c r="V12" s="1088" t="s">
        <v>1367</v>
      </c>
      <c r="W12" s="1089">
        <f t="shared" si="2"/>
        <v>100</v>
      </c>
      <c r="X12" s="1090"/>
      <c r="Y12" s="3179"/>
      <c r="Z12" s="1103">
        <f t="shared" si="7"/>
        <v>111</v>
      </c>
      <c r="AA12" s="1102">
        <f t="shared" si="3"/>
        <v>1</v>
      </c>
      <c r="AB12" s="1102">
        <f t="shared" si="4"/>
        <v>1</v>
      </c>
      <c r="AC12" s="1102">
        <f t="shared" si="5"/>
        <v>1</v>
      </c>
    </row>
    <row r="13" spans="1:29" ht="15" hidden="1">
      <c r="A13" s="921"/>
      <c r="B13" s="925">
        <v>111</v>
      </c>
      <c r="C13" s="929"/>
      <c r="D13" s="930">
        <v>100</v>
      </c>
      <c r="E13" s="929"/>
      <c r="F13" s="1286">
        <f>SUMIF(72:72,E13,73:73)-SUMIF(72:72,C13,73:73)+100</f>
        <v>100</v>
      </c>
      <c r="G13" s="929"/>
      <c r="H13" s="930">
        <f>SUMIF(72:72,G13,73:73)-SUMIF(72:72,C13,73:73)+100</f>
        <v>100</v>
      </c>
      <c r="I13" s="929"/>
      <c r="J13" s="930">
        <f>SUMIF(72:72,I13,73:73)-SUMIF(72:72,C13,73:73)+100</f>
        <v>100</v>
      </c>
      <c r="K13" s="1508"/>
      <c r="L13" s="1057"/>
      <c r="M13" s="1045"/>
      <c r="N13" s="1045"/>
      <c r="O13" s="1045"/>
      <c r="P13" s="3275"/>
      <c r="Q13" s="1092">
        <f t="shared" si="6"/>
        <v>111</v>
      </c>
      <c r="R13" s="1088" t="s">
        <v>1367</v>
      </c>
      <c r="S13" s="1089">
        <f t="shared" si="0"/>
        <v>100</v>
      </c>
      <c r="T13" s="1088" t="s">
        <v>1367</v>
      </c>
      <c r="U13" s="1089">
        <f t="shared" si="1"/>
        <v>100</v>
      </c>
      <c r="V13" s="1088" t="s">
        <v>1367</v>
      </c>
      <c r="W13" s="1089">
        <f t="shared" si="2"/>
        <v>100</v>
      </c>
      <c r="X13" s="1090"/>
      <c r="Y13" s="3179"/>
      <c r="Z13" s="1103">
        <f t="shared" si="7"/>
        <v>111</v>
      </c>
      <c r="AA13" s="1102">
        <f t="shared" si="3"/>
        <v>1</v>
      </c>
      <c r="AB13" s="1102">
        <f t="shared" si="4"/>
        <v>1</v>
      </c>
      <c r="AC13" s="1102">
        <f t="shared" si="5"/>
        <v>1</v>
      </c>
    </row>
    <row r="14" spans="1:29" ht="15" hidden="1">
      <c r="A14" s="931"/>
      <c r="B14" s="932">
        <v>111</v>
      </c>
      <c r="C14" s="933"/>
      <c r="D14" s="934">
        <v>100</v>
      </c>
      <c r="E14" s="933"/>
      <c r="F14" s="1306">
        <f>SUMIF(74:74,E14,75:75)-SUMIF(74:74,C14,75:75)+100</f>
        <v>100</v>
      </c>
      <c r="G14" s="933"/>
      <c r="H14" s="934">
        <f>SUMIF(74:74,G14,75:75)-SUMIF(74:74,C14,75:75)+100</f>
        <v>100</v>
      </c>
      <c r="I14" s="933"/>
      <c r="J14" s="934">
        <f>SUMIF(74:74,I14,75:75)-SUMIF(74:74,C14,75:75)+100</f>
        <v>100</v>
      </c>
      <c r="K14" s="1508"/>
      <c r="L14" s="1057"/>
      <c r="M14" s="1045"/>
      <c r="N14" s="1045"/>
      <c r="O14" s="1045"/>
      <c r="P14" s="3275"/>
      <c r="Q14" s="1092">
        <f t="shared" si="6"/>
        <v>111</v>
      </c>
      <c r="R14" s="1088" t="s">
        <v>1367</v>
      </c>
      <c r="S14" s="1089">
        <f t="shared" si="0"/>
        <v>100</v>
      </c>
      <c r="T14" s="1088" t="s">
        <v>1367</v>
      </c>
      <c r="U14" s="1089">
        <f t="shared" si="1"/>
        <v>100</v>
      </c>
      <c r="V14" s="1088" t="s">
        <v>1367</v>
      </c>
      <c r="W14" s="1089">
        <f t="shared" si="2"/>
        <v>100</v>
      </c>
      <c r="X14" s="1090"/>
      <c r="Y14" s="3179"/>
      <c r="Z14" s="1103">
        <f t="shared" si="7"/>
        <v>111</v>
      </c>
      <c r="AA14" s="1102">
        <f t="shared" si="3"/>
        <v>1</v>
      </c>
      <c r="AB14" s="1102">
        <f t="shared" si="4"/>
        <v>1</v>
      </c>
      <c r="AC14" s="1102">
        <f t="shared" si="5"/>
        <v>1</v>
      </c>
    </row>
    <row r="15" spans="1:29" ht="99.75">
      <c r="A15" s="935" t="s">
        <v>1377</v>
      </c>
      <c r="B15" s="1233" t="s">
        <v>1378</v>
      </c>
      <c r="C15" s="1234" t="str">
        <f>估价对象房地状况!C3</f>
        <v>估价对象周边居住用地比例、居住小区规模和社区发展完善程度，综合评价居住社区成熟度一般</v>
      </c>
      <c r="D15" s="938">
        <v>100</v>
      </c>
      <c r="E15" s="1058"/>
      <c r="F15" s="938">
        <f>SUMIF(76:76,E16,77:77)-SUMIF(76:76,C16,77:77)+100</f>
        <v>100</v>
      </c>
      <c r="G15" s="939"/>
      <c r="H15" s="938">
        <f>SUMIF(76:76,G16,77:77)-SUMIF(76:76,C16,77:77)+100</f>
        <v>100</v>
      </c>
      <c r="I15" s="939"/>
      <c r="J15" s="938">
        <f>SUMIF(76:76,I16,77:77)-SUMIF(76:76,C16,77:77)+100</f>
        <v>100</v>
      </c>
      <c r="K15" s="1509">
        <v>5</v>
      </c>
      <c r="L15" s="1057"/>
      <c r="M15" s="1045"/>
      <c r="N15" s="1045"/>
      <c r="O15" s="1045"/>
      <c r="P15" s="3315" t="s">
        <v>1379</v>
      </c>
      <c r="Q15" s="656" t="str">
        <f t="shared" si="6"/>
        <v>居住社区成熟度</v>
      </c>
      <c r="R15" s="1093" t="s">
        <v>1367</v>
      </c>
      <c r="S15" s="1094">
        <f t="shared" si="0"/>
        <v>100</v>
      </c>
      <c r="T15" s="1093" t="s">
        <v>1367</v>
      </c>
      <c r="U15" s="1094">
        <f t="shared" si="1"/>
        <v>100</v>
      </c>
      <c r="V15" s="1093" t="s">
        <v>1367</v>
      </c>
      <c r="W15" s="1094">
        <f t="shared" si="2"/>
        <v>100</v>
      </c>
      <c r="X15" s="1087"/>
      <c r="Y15" s="3293" t="s">
        <v>1379</v>
      </c>
      <c r="Z15" s="1077" t="str">
        <f t="shared" si="7"/>
        <v>居住社区成熟度</v>
      </c>
      <c r="AA15" s="1104">
        <f t="shared" si="3"/>
        <v>1</v>
      </c>
      <c r="AB15" s="1104">
        <f t="shared" si="4"/>
        <v>1</v>
      </c>
      <c r="AC15" s="1104">
        <f t="shared" si="5"/>
        <v>1</v>
      </c>
    </row>
    <row r="16" spans="1:29" ht="15">
      <c r="A16" s="921"/>
      <c r="B16" s="1235"/>
      <c r="C16" s="941" t="s">
        <v>1498</v>
      </c>
      <c r="D16" s="942"/>
      <c r="E16" s="941" t="s">
        <v>1498</v>
      </c>
      <c r="F16" s="942"/>
      <c r="G16" s="941" t="s">
        <v>1498</v>
      </c>
      <c r="H16" s="944"/>
      <c r="I16" s="941" t="s">
        <v>1498</v>
      </c>
      <c r="J16" s="942"/>
      <c r="K16" s="1510"/>
      <c r="L16" s="1057"/>
      <c r="M16" s="1045"/>
      <c r="N16" s="1045"/>
      <c r="O16" s="1045"/>
      <c r="P16" s="3316"/>
      <c r="Q16" s="656"/>
      <c r="R16" s="1093"/>
      <c r="S16" s="1094"/>
      <c r="T16" s="1093"/>
      <c r="U16" s="1094"/>
      <c r="V16" s="1093"/>
      <c r="W16" s="1094"/>
      <c r="X16" s="1087"/>
      <c r="Y16" s="3294"/>
      <c r="Z16" s="1077"/>
      <c r="AA16" s="1104">
        <v>1</v>
      </c>
      <c r="AB16" s="1104">
        <v>1</v>
      </c>
      <c r="AC16" s="1104">
        <v>1</v>
      </c>
    </row>
    <row r="17" spans="1:29" ht="85.5">
      <c r="A17" s="921"/>
      <c r="B17" s="1236" t="s">
        <v>1380</v>
      </c>
      <c r="C17" s="946" t="str">
        <f>估价对象房地状况!C6</f>
        <v>估价对象周边道路状况、公共交通通达情况、停车便捷程度，综合评价交通便捷度较好</v>
      </c>
      <c r="D17" s="944">
        <v>100</v>
      </c>
      <c r="E17" s="1059"/>
      <c r="F17" s="944">
        <f>SUMIF(78:78,E18,79:79)-SUMIF(78:78,C18,79:79)+100</f>
        <v>97</v>
      </c>
      <c r="G17" s="947"/>
      <c r="H17" s="948">
        <f>SUMIF(78:78,G18,79:79)-SUMIF(78:78,C18,79:79)+100</f>
        <v>97</v>
      </c>
      <c r="I17" s="947"/>
      <c r="J17" s="948">
        <f>SUMIF(78:78,I18,79:79)-SUMIF(78:78,C18,79:79)+100</f>
        <v>97</v>
      </c>
      <c r="K17" s="1509">
        <v>3</v>
      </c>
      <c r="L17" s="1057"/>
      <c r="M17" s="1045"/>
      <c r="N17" s="1045"/>
      <c r="O17" s="1045"/>
      <c r="P17" s="3316"/>
      <c r="Q17" s="656" t="str">
        <f>B17</f>
        <v>交通便捷度</v>
      </c>
      <c r="R17" s="1093" t="s">
        <v>1367</v>
      </c>
      <c r="S17" s="1094">
        <f>F17</f>
        <v>97</v>
      </c>
      <c r="T17" s="1093" t="s">
        <v>1367</v>
      </c>
      <c r="U17" s="1094">
        <f>H17</f>
        <v>97</v>
      </c>
      <c r="V17" s="1093" t="s">
        <v>1367</v>
      </c>
      <c r="W17" s="1094">
        <f>J17</f>
        <v>97</v>
      </c>
      <c r="X17" s="1087"/>
      <c r="Y17" s="3294"/>
      <c r="Z17" s="1077" t="str">
        <f>Q17</f>
        <v>交通便捷度</v>
      </c>
      <c r="AA17" s="1104">
        <f t="shared" si="3"/>
        <v>1.0309278350515463</v>
      </c>
      <c r="AB17" s="1104">
        <f t="shared" si="4"/>
        <v>1.0309278350515463</v>
      </c>
      <c r="AC17" s="1104">
        <f t="shared" si="5"/>
        <v>1.0309278350515463</v>
      </c>
    </row>
    <row r="18" spans="1:29" ht="15">
      <c r="A18" s="921"/>
      <c r="B18" s="969"/>
      <c r="C18" s="1237" t="s">
        <v>1498</v>
      </c>
      <c r="D18" s="944"/>
      <c r="E18" s="941" t="s">
        <v>1499</v>
      </c>
      <c r="F18" s="944"/>
      <c r="G18" s="941" t="s">
        <v>1499</v>
      </c>
      <c r="H18" s="942"/>
      <c r="I18" s="3427" t="s">
        <v>1499</v>
      </c>
      <c r="J18" s="942"/>
      <c r="K18" s="1510"/>
      <c r="L18" s="1057"/>
      <c r="M18" s="1045"/>
      <c r="N18" s="1045"/>
      <c r="O18" s="1045"/>
      <c r="P18" s="3316"/>
      <c r="Q18" s="656"/>
      <c r="R18" s="1093"/>
      <c r="S18" s="1094"/>
      <c r="T18" s="1093"/>
      <c r="U18" s="1094"/>
      <c r="V18" s="1093"/>
      <c r="W18" s="1094"/>
      <c r="X18" s="1087"/>
      <c r="Y18" s="3294"/>
      <c r="Z18" s="1077"/>
      <c r="AA18" s="1104">
        <v>1</v>
      </c>
      <c r="AB18" s="1104">
        <v>1</v>
      </c>
      <c r="AC18" s="1104">
        <v>1</v>
      </c>
    </row>
    <row r="19" spans="1:29" ht="42.75">
      <c r="A19" s="921"/>
      <c r="B19" s="1236" t="s">
        <v>1381</v>
      </c>
      <c r="C19" s="946" t="str">
        <f>估价对象房地状况!C7</f>
        <v>估价对象所在区域公共配套设施齐备情况</v>
      </c>
      <c r="D19" s="948">
        <v>100</v>
      </c>
      <c r="E19" s="1248"/>
      <c r="F19" s="948">
        <f>SUMIF(80:80,E20,81:81)-SUMIF(80:80,C20,81:81)+100</f>
        <v>97</v>
      </c>
      <c r="G19" s="1239"/>
      <c r="H19" s="944">
        <f>SUMIF(80:80,G20,81:81)-SUMIF(80:80,C20,81:81)+100</f>
        <v>100</v>
      </c>
      <c r="I19" s="1239"/>
      <c r="J19" s="944">
        <f>SUMIF(80:80,I20,81:81)-SUMIF(80:80,C20,81:81)+100</f>
        <v>97</v>
      </c>
      <c r="K19" s="1509">
        <v>3</v>
      </c>
      <c r="L19" s="1057"/>
      <c r="M19" s="1045"/>
      <c r="N19" s="1045"/>
      <c r="O19" s="1045"/>
      <c r="P19" s="3316"/>
      <c r="Q19" s="656" t="str">
        <f>B19</f>
        <v>公共配套设施</v>
      </c>
      <c r="R19" s="1093" t="s">
        <v>1367</v>
      </c>
      <c r="S19" s="1094">
        <f>F19</f>
        <v>97</v>
      </c>
      <c r="T19" s="1093" t="s">
        <v>1367</v>
      </c>
      <c r="U19" s="1094">
        <f>H19</f>
        <v>100</v>
      </c>
      <c r="V19" s="1093" t="s">
        <v>1367</v>
      </c>
      <c r="W19" s="1094">
        <f>J19</f>
        <v>97</v>
      </c>
      <c r="X19" s="1087"/>
      <c r="Y19" s="3294"/>
      <c r="Z19" s="1077" t="str">
        <f>Q19</f>
        <v>公共配套设施</v>
      </c>
      <c r="AA19" s="1104">
        <f t="shared" si="3"/>
        <v>1.0309278350515463</v>
      </c>
      <c r="AB19" s="1104">
        <f t="shared" si="4"/>
        <v>1</v>
      </c>
      <c r="AC19" s="1104">
        <f t="shared" si="5"/>
        <v>1.0309278350515463</v>
      </c>
    </row>
    <row r="20" spans="1:29" ht="15">
      <c r="A20" s="921"/>
      <c r="B20" s="969"/>
      <c r="C20" s="941" t="s">
        <v>1498</v>
      </c>
      <c r="D20" s="942"/>
      <c r="E20" s="941" t="s">
        <v>1499</v>
      </c>
      <c r="F20" s="942"/>
      <c r="G20" s="941" t="s">
        <v>1498</v>
      </c>
      <c r="H20" s="942"/>
      <c r="I20" s="941" t="s">
        <v>1499</v>
      </c>
      <c r="J20" s="942"/>
      <c r="K20" s="1510"/>
      <c r="L20" s="1057"/>
      <c r="M20" s="1045"/>
      <c r="N20" s="1045"/>
      <c r="O20" s="1045"/>
      <c r="P20" s="3316"/>
      <c r="Q20" s="656"/>
      <c r="R20" s="1093"/>
      <c r="S20" s="1094"/>
      <c r="T20" s="1093"/>
      <c r="U20" s="1094"/>
      <c r="V20" s="1093"/>
      <c r="W20" s="1094"/>
      <c r="X20" s="1087"/>
      <c r="Y20" s="3294"/>
      <c r="Z20" s="1077"/>
      <c r="AA20" s="1104">
        <v>1</v>
      </c>
      <c r="AB20" s="1104">
        <v>1</v>
      </c>
      <c r="AC20" s="1104">
        <v>1</v>
      </c>
    </row>
    <row r="21" spans="1:29" ht="28.5">
      <c r="A21" s="921"/>
      <c r="B21" s="1240" t="s">
        <v>1382</v>
      </c>
      <c r="C21" s="946" t="str">
        <f>估价对象房地状况!C8</f>
        <v>估价对象所在区域基础设施水平</v>
      </c>
      <c r="D21" s="944">
        <v>100</v>
      </c>
      <c r="E21" s="1248"/>
      <c r="F21" s="948">
        <f>SUMIF(82:82,E22,83:83)-SUMIF(82:82,C22,83:83)+100</f>
        <v>100</v>
      </c>
      <c r="G21" s="1239"/>
      <c r="H21" s="944">
        <f>SUMIF(82:82,G22,83:83)-SUMIF(82:82,C22,83:83)+100</f>
        <v>100</v>
      </c>
      <c r="I21" s="1239"/>
      <c r="J21" s="944">
        <f>SUMIF(82:82,I22,83:83)-SUMIF(82:82,C22,83:83)+100</f>
        <v>100</v>
      </c>
      <c r="K21" s="1509">
        <v>2</v>
      </c>
      <c r="L21" s="1057"/>
      <c r="M21" s="1045"/>
      <c r="N21" s="1045"/>
      <c r="O21" s="1045"/>
      <c r="P21" s="3316"/>
      <c r="Q21" s="656" t="str">
        <f>B21</f>
        <v>基础设施水平</v>
      </c>
      <c r="R21" s="1093" t="s">
        <v>1367</v>
      </c>
      <c r="S21" s="1094">
        <f>F21</f>
        <v>100</v>
      </c>
      <c r="T21" s="1093" t="s">
        <v>1367</v>
      </c>
      <c r="U21" s="1094">
        <f>H21</f>
        <v>100</v>
      </c>
      <c r="V21" s="1093" t="s">
        <v>1367</v>
      </c>
      <c r="W21" s="1094">
        <f>J21</f>
        <v>100</v>
      </c>
      <c r="X21" s="1087"/>
      <c r="Y21" s="3294"/>
      <c r="Z21" s="1077" t="str">
        <f>Q21</f>
        <v>基础设施水平</v>
      </c>
      <c r="AA21" s="1104">
        <f>D21/F21</f>
        <v>1</v>
      </c>
      <c r="AB21" s="1104">
        <f>D21/H21</f>
        <v>1</v>
      </c>
      <c r="AC21" s="1104">
        <f>D21/J21</f>
        <v>1</v>
      </c>
    </row>
    <row r="22" spans="1:29" ht="15">
      <c r="A22" s="921"/>
      <c r="B22" s="1240"/>
      <c r="C22" s="1237" t="s">
        <v>238</v>
      </c>
      <c r="D22" s="942"/>
      <c r="E22" s="941" t="s">
        <v>238</v>
      </c>
      <c r="F22" s="942"/>
      <c r="G22" s="941" t="s">
        <v>238</v>
      </c>
      <c r="H22" s="942"/>
      <c r="I22" s="941" t="s">
        <v>238</v>
      </c>
      <c r="J22" s="942"/>
      <c r="K22" s="1511"/>
      <c r="L22" s="1057"/>
      <c r="M22" s="1045"/>
      <c r="N22" s="1045"/>
      <c r="O22" s="1045"/>
      <c r="P22" s="3316"/>
      <c r="Q22" s="656"/>
      <c r="R22" s="1093"/>
      <c r="S22" s="1094"/>
      <c r="T22" s="1093"/>
      <c r="U22" s="1094"/>
      <c r="V22" s="1093"/>
      <c r="W22" s="1094"/>
      <c r="X22" s="1087"/>
      <c r="Y22" s="3294"/>
      <c r="Z22" s="1077"/>
      <c r="AA22" s="1104">
        <v>1</v>
      </c>
      <c r="AB22" s="1104">
        <v>1</v>
      </c>
      <c r="AC22" s="1104">
        <v>1</v>
      </c>
    </row>
    <row r="23" spans="1:29" ht="57">
      <c r="A23" s="921"/>
      <c r="B23" s="1236" t="s">
        <v>1383</v>
      </c>
      <c r="C23" s="946" t="str">
        <f>估价对象房地状况!C9</f>
        <v>区域自然环境：；人文环境；综合评价环境状况一般</v>
      </c>
      <c r="D23" s="944">
        <v>100</v>
      </c>
      <c r="E23" s="1059"/>
      <c r="F23" s="944">
        <f>SUMIF(84:84,E24,85:85)-SUMIF(84:84,C24,85:85)+100</f>
        <v>100</v>
      </c>
      <c r="G23" s="947"/>
      <c r="H23" s="944">
        <f>SUMIF(84:84,G24,85:85)-SUMIF(84:84,C24,85:85)+100</f>
        <v>97</v>
      </c>
      <c r="I23" s="947"/>
      <c r="J23" s="944">
        <f>SUMIF(84:84,I24,85:85)-SUMIF(84:84,C24,85:85)+100</f>
        <v>97</v>
      </c>
      <c r="K23" s="1509">
        <v>3</v>
      </c>
      <c r="L23" s="1057"/>
      <c r="M23" s="1045"/>
      <c r="N23" s="1045"/>
      <c r="O23" s="1045"/>
      <c r="P23" s="3316"/>
      <c r="Q23" s="656" t="str">
        <f>B23</f>
        <v>自然及人文环境</v>
      </c>
      <c r="R23" s="1093" t="s">
        <v>1367</v>
      </c>
      <c r="S23" s="1094">
        <f>F23</f>
        <v>100</v>
      </c>
      <c r="T23" s="1093" t="s">
        <v>1367</v>
      </c>
      <c r="U23" s="1094">
        <f>H23</f>
        <v>97</v>
      </c>
      <c r="V23" s="1093" t="s">
        <v>1367</v>
      </c>
      <c r="W23" s="1094">
        <f>J23</f>
        <v>97</v>
      </c>
      <c r="X23" s="1087"/>
      <c r="Y23" s="3294"/>
      <c r="Z23" s="1077" t="str">
        <f>Q23</f>
        <v>自然及人文环境</v>
      </c>
      <c r="AA23" s="1104">
        <f>D23/F23</f>
        <v>1</v>
      </c>
      <c r="AB23" s="1104">
        <f>D23/H23</f>
        <v>1.0309278350515463</v>
      </c>
      <c r="AC23" s="1104">
        <f>D23/J23</f>
        <v>1.0309278350515463</v>
      </c>
    </row>
    <row r="24" spans="1:29" ht="15">
      <c r="A24" s="921"/>
      <c r="B24" s="969"/>
      <c r="C24" s="941" t="s">
        <v>1498</v>
      </c>
      <c r="D24" s="942"/>
      <c r="E24" s="941" t="s">
        <v>1498</v>
      </c>
      <c r="F24" s="942"/>
      <c r="G24" s="941" t="s">
        <v>1499</v>
      </c>
      <c r="H24" s="942"/>
      <c r="I24" s="941" t="s">
        <v>1499</v>
      </c>
      <c r="J24" s="942"/>
      <c r="K24" s="1510"/>
      <c r="L24" s="1057"/>
      <c r="M24" s="1045"/>
      <c r="N24" s="1045"/>
      <c r="O24" s="1045"/>
      <c r="P24" s="3316"/>
      <c r="Q24" s="656"/>
      <c r="R24" s="1093"/>
      <c r="S24" s="1094"/>
      <c r="T24" s="1093"/>
      <c r="U24" s="1094"/>
      <c r="V24" s="1093"/>
      <c r="W24" s="1094"/>
      <c r="X24" s="1087"/>
      <c r="Y24" s="3294"/>
      <c r="Z24" s="1077"/>
      <c r="AA24" s="1104">
        <v>1</v>
      </c>
      <c r="AB24" s="1104">
        <v>1</v>
      </c>
      <c r="AC24" s="1104">
        <v>1</v>
      </c>
    </row>
    <row r="25" spans="1:29" ht="15" hidden="1">
      <c r="A25" s="921"/>
      <c r="B25" s="918" t="s">
        <v>1384</v>
      </c>
      <c r="C25" s="1303"/>
      <c r="D25" s="930">
        <v>100</v>
      </c>
      <c r="E25" s="973"/>
      <c r="F25" s="930">
        <f>SUMIF(86:86,E25,87:87)-SUMIF(86:86,C25,87:87)+100</f>
        <v>100</v>
      </c>
      <c r="G25" s="1493"/>
      <c r="H25" s="930">
        <f>SUMIF(86:86,G25,87:87)-SUMIF(86:86,C25,87:87)+100</f>
        <v>100</v>
      </c>
      <c r="I25" s="1493"/>
      <c r="J25" s="930">
        <f>SUMIF(86:86,I25,87:87)-SUMIF(86:86,C25,87:87)+100</f>
        <v>100</v>
      </c>
      <c r="K25" s="1507"/>
      <c r="L25" s="1057"/>
      <c r="M25" s="1045"/>
      <c r="N25" s="1045"/>
      <c r="O25" s="1045"/>
      <c r="P25" s="3316"/>
      <c r="Q25" s="656" t="str">
        <f t="shared" ref="Q25:Q46" si="8">B25</f>
        <v>楼层-1</v>
      </c>
      <c r="R25" s="1093" t="s">
        <v>1367</v>
      </c>
      <c r="S25" s="1094">
        <f t="shared" ref="S25:S46" si="9">F25</f>
        <v>100</v>
      </c>
      <c r="T25" s="1093" t="s">
        <v>1367</v>
      </c>
      <c r="U25" s="1094">
        <f t="shared" ref="U25:U46" si="10">H25</f>
        <v>100</v>
      </c>
      <c r="V25" s="1093" t="s">
        <v>1367</v>
      </c>
      <c r="W25" s="1094">
        <f t="shared" ref="W25:W46" si="11">J25</f>
        <v>100</v>
      </c>
      <c r="X25" s="1087"/>
      <c r="Y25" s="3294"/>
      <c r="Z25" s="1077" t="str">
        <f>Q25</f>
        <v>楼层-1</v>
      </c>
      <c r="AA25" s="1104">
        <f t="shared" ref="AA25:AA46" si="12">D25/F25</f>
        <v>1</v>
      </c>
      <c r="AB25" s="1104">
        <f t="shared" ref="AB25:AB46" si="13">D25/H25</f>
        <v>1</v>
      </c>
      <c r="AC25" s="1104">
        <f t="shared" ref="AC25:AC46" si="14">D25/J25</f>
        <v>1</v>
      </c>
    </row>
    <row r="26" spans="1:29" ht="15" hidden="1">
      <c r="A26" s="921"/>
      <c r="B26" s="918" t="s">
        <v>1385</v>
      </c>
      <c r="C26" s="1303"/>
      <c r="D26" s="930">
        <v>100</v>
      </c>
      <c r="E26" s="973"/>
      <c r="F26" s="930">
        <f>SUMIF(88:88,E26,89:89)-SUMIF(88:88,C26,89:89)+100</f>
        <v>100</v>
      </c>
      <c r="G26" s="1493"/>
      <c r="H26" s="930">
        <f>SUMIF(88:88,G26,89:89)-SUMIF(88:88,C26,89:89)+100</f>
        <v>100</v>
      </c>
      <c r="I26" s="1493"/>
      <c r="J26" s="930">
        <f>SUMIF(88:88,I26,89:89)-SUMIF(88:88,C26,89:89)+100</f>
        <v>100</v>
      </c>
      <c r="K26" s="1507"/>
      <c r="L26" s="1057"/>
      <c r="M26" s="1045"/>
      <c r="N26" s="1045"/>
      <c r="O26" s="1045"/>
      <c r="P26" s="3316"/>
      <c r="Q26" s="656" t="str">
        <f t="shared" si="8"/>
        <v>朝向</v>
      </c>
      <c r="R26" s="1093" t="s">
        <v>1367</v>
      </c>
      <c r="S26" s="1094">
        <f t="shared" si="9"/>
        <v>100</v>
      </c>
      <c r="T26" s="1093" t="s">
        <v>1367</v>
      </c>
      <c r="U26" s="1094">
        <f t="shared" si="10"/>
        <v>100</v>
      </c>
      <c r="V26" s="1093" t="s">
        <v>1367</v>
      </c>
      <c r="W26" s="1094">
        <f t="shared" si="11"/>
        <v>100</v>
      </c>
      <c r="X26" s="1087"/>
      <c r="Y26" s="3294"/>
      <c r="Z26" s="1077" t="str">
        <f>Q26</f>
        <v>朝向</v>
      </c>
      <c r="AA26" s="1104">
        <f t="shared" si="12"/>
        <v>1</v>
      </c>
      <c r="AB26" s="1104">
        <f t="shared" si="13"/>
        <v>1</v>
      </c>
      <c r="AC26" s="1104">
        <f t="shared" si="14"/>
        <v>1</v>
      </c>
    </row>
    <row r="27" spans="1:29" s="880" customFormat="1" ht="15" hidden="1">
      <c r="A27" s="924"/>
      <c r="B27" s="1241">
        <v>111</v>
      </c>
      <c r="C27" s="919"/>
      <c r="D27" s="1405">
        <v>100</v>
      </c>
      <c r="E27" s="1223"/>
      <c r="F27" s="1405">
        <f>SUMIF(90:90,E27,91:91)-SUMIF(90:90,C27,91:91)+100</f>
        <v>100</v>
      </c>
      <c r="G27" s="1224"/>
      <c r="H27" s="1405">
        <f>SUMIF(90:90,G27,91:91)-SUMIF(90:90,C27,91:91)+100</f>
        <v>100</v>
      </c>
      <c r="I27" s="1224"/>
      <c r="J27" s="1405">
        <f>SUMIF(90:90,I27,91:91)-SUMIF(90:90,C27,91:91)+100</f>
        <v>100</v>
      </c>
      <c r="K27" s="1508"/>
      <c r="L27" s="1047"/>
      <c r="M27" s="1048"/>
      <c r="N27" s="1048"/>
      <c r="O27" s="1048"/>
      <c r="P27" s="3316"/>
      <c r="Q27" s="1092">
        <f t="shared" si="8"/>
        <v>111</v>
      </c>
      <c r="R27" s="1088" t="s">
        <v>1367</v>
      </c>
      <c r="S27" s="1089">
        <f t="shared" si="9"/>
        <v>100</v>
      </c>
      <c r="T27" s="1088" t="s">
        <v>1367</v>
      </c>
      <c r="U27" s="1089">
        <f t="shared" si="10"/>
        <v>100</v>
      </c>
      <c r="V27" s="1088" t="s">
        <v>1367</v>
      </c>
      <c r="W27" s="1089">
        <f t="shared" si="11"/>
        <v>100</v>
      </c>
      <c r="X27" s="1090"/>
      <c r="Y27" s="3294"/>
      <c r="Z27" s="1103">
        <f>Q27</f>
        <v>111</v>
      </c>
      <c r="AA27" s="1104">
        <f t="shared" si="12"/>
        <v>1</v>
      </c>
      <c r="AB27" s="1104">
        <f t="shared" si="13"/>
        <v>1</v>
      </c>
      <c r="AC27" s="1104">
        <f t="shared" si="14"/>
        <v>1</v>
      </c>
    </row>
    <row r="28" spans="1:29" ht="15" hidden="1">
      <c r="A28" s="921"/>
      <c r="B28" s="1241">
        <v>111</v>
      </c>
      <c r="C28" s="929"/>
      <c r="D28" s="930">
        <v>100</v>
      </c>
      <c r="E28" s="929"/>
      <c r="F28" s="930">
        <f>SUMIF(92:92,E28,93:93)-SUMIF(92:92,C28,93:93)+100</f>
        <v>100</v>
      </c>
      <c r="G28" s="1451"/>
      <c r="H28" s="930">
        <f>SUMIF(92:92,G28,93:93)-SUMIF(92:92,C28,93:93)+100</f>
        <v>100</v>
      </c>
      <c r="I28" s="929"/>
      <c r="J28" s="930">
        <f>SUMIF(92:92,I28,93:93)-SUMIF(92:92,C28,93:93)+100</f>
        <v>100</v>
      </c>
      <c r="K28" s="1508"/>
      <c r="L28" s="1057"/>
      <c r="M28" s="1045"/>
      <c r="N28" s="1045"/>
      <c r="O28" s="1045"/>
      <c r="P28" s="3316"/>
      <c r="Q28" s="656">
        <f t="shared" si="8"/>
        <v>111</v>
      </c>
      <c r="R28" s="1093" t="s">
        <v>1367</v>
      </c>
      <c r="S28" s="1094">
        <f t="shared" si="9"/>
        <v>100</v>
      </c>
      <c r="T28" s="1093" t="s">
        <v>1367</v>
      </c>
      <c r="U28" s="1094">
        <f t="shared" si="10"/>
        <v>100</v>
      </c>
      <c r="V28" s="1093" t="s">
        <v>1367</v>
      </c>
      <c r="W28" s="1094">
        <f t="shared" si="11"/>
        <v>100</v>
      </c>
      <c r="X28" s="1087"/>
      <c r="Y28" s="3294"/>
      <c r="Z28" s="1077">
        <f t="shared" ref="Z28:Z46" si="15">Q28</f>
        <v>111</v>
      </c>
      <c r="AA28" s="1104">
        <f t="shared" si="12"/>
        <v>1</v>
      </c>
      <c r="AB28" s="1104">
        <f t="shared" si="13"/>
        <v>1</v>
      </c>
      <c r="AC28" s="1104">
        <f t="shared" si="14"/>
        <v>1</v>
      </c>
    </row>
    <row r="29" spans="1:29" ht="15" hidden="1">
      <c r="A29" s="921"/>
      <c r="B29" s="1241">
        <v>111</v>
      </c>
      <c r="C29" s="929"/>
      <c r="D29" s="930">
        <v>100</v>
      </c>
      <c r="E29" s="929"/>
      <c r="F29" s="930">
        <f>SUMIF(94:94,E29,95:95)-SUMIF(94:94,C29,95:95)+100</f>
        <v>100</v>
      </c>
      <c r="G29" s="1451"/>
      <c r="H29" s="930">
        <f>SUMIF(94:94,G29,95:95)-SUMIF(94:94,C29,95:95)+100</f>
        <v>100</v>
      </c>
      <c r="I29" s="929"/>
      <c r="J29" s="930">
        <f>SUMIF(94:94,I29,95:95)-SUMIF(94:94,C29,95:95)+100</f>
        <v>100</v>
      </c>
      <c r="K29" s="1508"/>
      <c r="L29" s="1057"/>
      <c r="M29" s="1045"/>
      <c r="N29" s="1045"/>
      <c r="O29" s="1045"/>
      <c r="P29" s="3316"/>
      <c r="Q29" s="656">
        <f t="shared" si="8"/>
        <v>111</v>
      </c>
      <c r="R29" s="1093" t="s">
        <v>1367</v>
      </c>
      <c r="S29" s="1094">
        <f t="shared" si="9"/>
        <v>100</v>
      </c>
      <c r="T29" s="1093" t="s">
        <v>1367</v>
      </c>
      <c r="U29" s="1094">
        <f t="shared" si="10"/>
        <v>100</v>
      </c>
      <c r="V29" s="1093" t="s">
        <v>1367</v>
      </c>
      <c r="W29" s="1094">
        <f t="shared" si="11"/>
        <v>100</v>
      </c>
      <c r="X29" s="1087"/>
      <c r="Y29" s="3294"/>
      <c r="Z29" s="1077">
        <f t="shared" si="15"/>
        <v>111</v>
      </c>
      <c r="AA29" s="1104">
        <f t="shared" si="12"/>
        <v>1</v>
      </c>
      <c r="AB29" s="1104">
        <f t="shared" si="13"/>
        <v>1</v>
      </c>
      <c r="AC29" s="1104">
        <f t="shared" si="14"/>
        <v>1</v>
      </c>
    </row>
    <row r="30" spans="1:29" ht="15" hidden="1">
      <c r="A30" s="921"/>
      <c r="B30" s="1241">
        <v>111</v>
      </c>
      <c r="C30" s="929"/>
      <c r="D30" s="930">
        <v>100</v>
      </c>
      <c r="E30" s="929"/>
      <c r="F30" s="930">
        <f>SUMIF(96:96,E30,97:97)-SUMIF(96:96,C30,97:97)+100</f>
        <v>100</v>
      </c>
      <c r="G30" s="1451"/>
      <c r="H30" s="930">
        <f>SUMIF(96:96,G30,97:97)-SUMIF(96:96,C30,97:97)+100</f>
        <v>100</v>
      </c>
      <c r="I30" s="929"/>
      <c r="J30" s="930">
        <f>SUMIF(96:96,I30,97:97)-SUMIF(96:96,C30,97:97)+100</f>
        <v>100</v>
      </c>
      <c r="K30" s="1508"/>
      <c r="L30" s="1057"/>
      <c r="M30" s="1045"/>
      <c r="N30" s="1045"/>
      <c r="O30" s="1045"/>
      <c r="P30" s="3316"/>
      <c r="Q30" s="656">
        <f t="shared" si="8"/>
        <v>111</v>
      </c>
      <c r="R30" s="1093" t="s">
        <v>1367</v>
      </c>
      <c r="S30" s="1094">
        <f t="shared" si="9"/>
        <v>100</v>
      </c>
      <c r="T30" s="1093" t="s">
        <v>1367</v>
      </c>
      <c r="U30" s="1094">
        <f t="shared" si="10"/>
        <v>100</v>
      </c>
      <c r="V30" s="1093" t="s">
        <v>1367</v>
      </c>
      <c r="W30" s="1094">
        <f t="shared" si="11"/>
        <v>100</v>
      </c>
      <c r="X30" s="1087"/>
      <c r="Y30" s="3294"/>
      <c r="Z30" s="1077">
        <f t="shared" si="15"/>
        <v>111</v>
      </c>
      <c r="AA30" s="1104">
        <f t="shared" si="12"/>
        <v>1</v>
      </c>
      <c r="AB30" s="1104">
        <f t="shared" si="13"/>
        <v>1</v>
      </c>
      <c r="AC30" s="1104">
        <f t="shared" si="14"/>
        <v>1</v>
      </c>
    </row>
    <row r="31" spans="1:29" ht="15" hidden="1">
      <c r="A31" s="931"/>
      <c r="B31" s="1241">
        <v>111</v>
      </c>
      <c r="C31" s="933"/>
      <c r="D31" s="934">
        <v>100</v>
      </c>
      <c r="E31" s="933"/>
      <c r="F31" s="934">
        <f>SUMIF(98:98,E31,99:99)-SUMIF(98:98,C31,99:99)+100</f>
        <v>100</v>
      </c>
      <c r="G31" s="1454"/>
      <c r="H31" s="934">
        <f>SUMIF(98:98,G31,99:99)-SUMIF(98:98,C31,99:99)+100</f>
        <v>100</v>
      </c>
      <c r="I31" s="933"/>
      <c r="J31" s="934">
        <f>SUMIF(98:98,I31,99:99)-SUMIF(98:98,C31,99:99)+100</f>
        <v>100</v>
      </c>
      <c r="K31" s="1508"/>
      <c r="L31" s="1057"/>
      <c r="M31" s="1045"/>
      <c r="N31" s="1045"/>
      <c r="O31" s="1045"/>
      <c r="P31" s="3316"/>
      <c r="Q31" s="656">
        <f t="shared" si="8"/>
        <v>111</v>
      </c>
      <c r="R31" s="1093" t="s">
        <v>1367</v>
      </c>
      <c r="S31" s="1094">
        <f t="shared" si="9"/>
        <v>100</v>
      </c>
      <c r="T31" s="1093" t="s">
        <v>1367</v>
      </c>
      <c r="U31" s="1094">
        <f t="shared" si="10"/>
        <v>100</v>
      </c>
      <c r="V31" s="1093" t="s">
        <v>1367</v>
      </c>
      <c r="W31" s="1094">
        <f t="shared" si="11"/>
        <v>100</v>
      </c>
      <c r="X31" s="1087"/>
      <c r="Y31" s="3294"/>
      <c r="Z31" s="1077">
        <f t="shared" si="15"/>
        <v>111</v>
      </c>
      <c r="AA31" s="1104">
        <f t="shared" si="12"/>
        <v>1</v>
      </c>
      <c r="AB31" s="1104">
        <f t="shared" si="13"/>
        <v>1</v>
      </c>
      <c r="AC31" s="1104">
        <f t="shared" si="14"/>
        <v>1</v>
      </c>
    </row>
    <row r="32" spans="1:29" ht="15">
      <c r="A32" s="935" t="s">
        <v>1386</v>
      </c>
      <c r="B32" s="914" t="s">
        <v>1387</v>
      </c>
      <c r="C32" s="1468" t="s">
        <v>2785</v>
      </c>
      <c r="D32" s="971">
        <v>100</v>
      </c>
      <c r="E32" s="3068" t="s">
        <v>2788</v>
      </c>
      <c r="F32" s="1293">
        <f>SUMIF(100:100,E32,101:101)-SUMIF(100:100,C32,101:101)+100</f>
        <v>98</v>
      </c>
      <c r="G32" s="3067" t="s">
        <v>2785</v>
      </c>
      <c r="H32" s="971">
        <f>SUMIF(100:100,G32,101:101)-SUMIF(100:100,C32,101:101)+100</f>
        <v>100</v>
      </c>
      <c r="I32" s="1494" t="s">
        <v>2787</v>
      </c>
      <c r="J32" s="930">
        <f>SUMIF(100:100,I32,101:101)-SUMIF(100:100,C32,101:101)+100</f>
        <v>98</v>
      </c>
      <c r="K32" s="1507">
        <v>2</v>
      </c>
      <c r="L32" s="1057"/>
      <c r="M32" s="1045"/>
      <c r="N32" s="1045"/>
      <c r="O32" s="1045"/>
      <c r="P32" s="3317" t="s">
        <v>1388</v>
      </c>
      <c r="Q32" s="656" t="str">
        <f t="shared" si="8"/>
        <v>建筑类型</v>
      </c>
      <c r="R32" s="1093" t="s">
        <v>1367</v>
      </c>
      <c r="S32" s="1094">
        <f t="shared" si="9"/>
        <v>98</v>
      </c>
      <c r="T32" s="1093" t="s">
        <v>1367</v>
      </c>
      <c r="U32" s="1094">
        <f t="shared" si="10"/>
        <v>100</v>
      </c>
      <c r="V32" s="1093" t="s">
        <v>1367</v>
      </c>
      <c r="W32" s="1094">
        <f t="shared" si="11"/>
        <v>98</v>
      </c>
      <c r="X32" s="1087"/>
      <c r="Y32" s="3296" t="s">
        <v>1388</v>
      </c>
      <c r="Z32" s="1077" t="str">
        <f t="shared" si="15"/>
        <v>建筑类型</v>
      </c>
      <c r="AA32" s="1104">
        <f t="shared" si="12"/>
        <v>1.0204081632653061</v>
      </c>
      <c r="AB32" s="1104">
        <f t="shared" si="13"/>
        <v>1</v>
      </c>
      <c r="AC32" s="1104">
        <f t="shared" si="14"/>
        <v>1.0204081632653061</v>
      </c>
    </row>
    <row r="33" spans="1:29" s="882" customFormat="1" ht="15">
      <c r="A33" s="977"/>
      <c r="B33" s="918" t="s">
        <v>1389</v>
      </c>
      <c r="C33" s="1287">
        <v>91585.74</v>
      </c>
      <c r="D33" s="920">
        <v>100</v>
      </c>
      <c r="E33" s="923">
        <v>67657.33</v>
      </c>
      <c r="F33" s="1286">
        <f>LOOKUP(E33,103:103,104:104)-LOOKUP(C33,103:103,104:104)+100</f>
        <v>100</v>
      </c>
      <c r="G33" s="922">
        <v>187000</v>
      </c>
      <c r="H33" s="920">
        <f>LOOKUP(G33,103:103,104:104)-LOOKUP(C33,103:103,104:104)+100</f>
        <v>102</v>
      </c>
      <c r="I33" s="923">
        <v>107437</v>
      </c>
      <c r="J33" s="920">
        <f>LOOKUP(I33,103:103,104:104)-LOOKUP(C33,103:103,104:104)+100</f>
        <v>101</v>
      </c>
      <c r="K33" s="1508"/>
      <c r="L33" s="1055"/>
      <c r="M33" s="1064"/>
      <c r="N33" s="1064"/>
      <c r="O33" s="1064"/>
      <c r="P33" s="3318"/>
      <c r="Q33" s="1332" t="str">
        <f t="shared" si="8"/>
        <v>项目建筑规模</v>
      </c>
      <c r="R33" s="1095" t="s">
        <v>1367</v>
      </c>
      <c r="S33" s="1096">
        <f t="shared" si="9"/>
        <v>100</v>
      </c>
      <c r="T33" s="1095" t="s">
        <v>1367</v>
      </c>
      <c r="U33" s="1096">
        <f t="shared" si="10"/>
        <v>102</v>
      </c>
      <c r="V33" s="1095" t="s">
        <v>1367</v>
      </c>
      <c r="W33" s="1096">
        <f t="shared" si="11"/>
        <v>101</v>
      </c>
      <c r="X33" s="1097"/>
      <c r="Y33" s="3296"/>
      <c r="Z33" s="1105" t="str">
        <f t="shared" si="15"/>
        <v>项目建筑规模</v>
      </c>
      <c r="AA33" s="1104">
        <f t="shared" si="12"/>
        <v>1</v>
      </c>
      <c r="AB33" s="1104">
        <f t="shared" si="13"/>
        <v>0.98039215686274506</v>
      </c>
      <c r="AC33" s="1104">
        <f t="shared" si="14"/>
        <v>0.99009900990099009</v>
      </c>
    </row>
    <row r="34" spans="1:29" ht="15">
      <c r="A34" s="972"/>
      <c r="B34" s="918" t="s">
        <v>1390</v>
      </c>
      <c r="C34" s="1469"/>
      <c r="D34" s="930">
        <v>100</v>
      </c>
      <c r="E34" s="1495"/>
      <c r="F34" s="1293">
        <f>SUMIF(105:105,E34,106:106)-SUMIF(105:105,C34,106:106)+100</f>
        <v>100</v>
      </c>
      <c r="G34" s="1469"/>
      <c r="H34" s="930">
        <f>SUMIF(105:105,G34,106:106)-SUMIF(105:105,C34,106:106)+100</f>
        <v>100</v>
      </c>
      <c r="I34" s="1495"/>
      <c r="J34" s="930">
        <f>SUMIF(105:105,I34,106:106)-SUMIF(105:105,C34,106:106)+100</f>
        <v>100</v>
      </c>
      <c r="K34" s="1507"/>
      <c r="L34" s="1057"/>
      <c r="M34" s="1045"/>
      <c r="N34" s="1045"/>
      <c r="O34" s="1045"/>
      <c r="P34" s="3318"/>
      <c r="Q34" s="656" t="str">
        <f t="shared" si="8"/>
        <v>建筑结构</v>
      </c>
      <c r="R34" s="1093" t="s">
        <v>1367</v>
      </c>
      <c r="S34" s="1094">
        <f t="shared" si="9"/>
        <v>100</v>
      </c>
      <c r="T34" s="1093" t="s">
        <v>1367</v>
      </c>
      <c r="U34" s="1094">
        <f t="shared" si="10"/>
        <v>100</v>
      </c>
      <c r="V34" s="1093" t="s">
        <v>1367</v>
      </c>
      <c r="W34" s="1094">
        <f t="shared" si="11"/>
        <v>100</v>
      </c>
      <c r="X34" s="1087"/>
      <c r="Y34" s="3296"/>
      <c r="Z34" s="1077" t="str">
        <f t="shared" si="15"/>
        <v>建筑结构</v>
      </c>
      <c r="AA34" s="1104">
        <f t="shared" si="12"/>
        <v>1</v>
      </c>
      <c r="AB34" s="1104">
        <f t="shared" si="13"/>
        <v>1</v>
      </c>
      <c r="AC34" s="1104">
        <f t="shared" si="14"/>
        <v>1</v>
      </c>
    </row>
    <row r="35" spans="1:29" ht="15">
      <c r="A35" s="972"/>
      <c r="B35" s="918" t="s">
        <v>1391</v>
      </c>
      <c r="C35" s="973"/>
      <c r="D35" s="930">
        <v>100</v>
      </c>
      <c r="E35" s="1493"/>
      <c r="F35" s="1293">
        <f>SUMIF(107:107,E35,108:108)-SUMIF(107:107,C35,108:108)+100</f>
        <v>100</v>
      </c>
      <c r="G35" s="973"/>
      <c r="H35" s="930">
        <f>SUMIF(107:107,G35,108:108)-SUMIF(107:107,C35,108:108)+100</f>
        <v>100</v>
      </c>
      <c r="I35" s="1493"/>
      <c r="J35" s="930">
        <f>SUMIF(107:107,I35,108:108)-SUMIF(107:107,C35,108:108)+100</f>
        <v>100</v>
      </c>
      <c r="K35" s="1507"/>
      <c r="L35" s="1057"/>
      <c r="M35" s="1045"/>
      <c r="N35" s="1045"/>
      <c r="O35" s="1045"/>
      <c r="P35" s="3318"/>
      <c r="Q35" s="656" t="str">
        <f t="shared" si="8"/>
        <v>建筑品质</v>
      </c>
      <c r="R35" s="1093" t="s">
        <v>1367</v>
      </c>
      <c r="S35" s="1094">
        <f t="shared" si="9"/>
        <v>100</v>
      </c>
      <c r="T35" s="1093" t="s">
        <v>1367</v>
      </c>
      <c r="U35" s="1094">
        <f t="shared" si="10"/>
        <v>100</v>
      </c>
      <c r="V35" s="1093" t="s">
        <v>1367</v>
      </c>
      <c r="W35" s="1094">
        <f t="shared" si="11"/>
        <v>100</v>
      </c>
      <c r="X35" s="1087"/>
      <c r="Y35" s="3296"/>
      <c r="Z35" s="1077" t="str">
        <f t="shared" si="15"/>
        <v>建筑品质</v>
      </c>
      <c r="AA35" s="1104">
        <f t="shared" si="12"/>
        <v>1</v>
      </c>
      <c r="AB35" s="1104">
        <f t="shared" si="13"/>
        <v>1</v>
      </c>
      <c r="AC35" s="1104">
        <f t="shared" si="14"/>
        <v>1</v>
      </c>
    </row>
    <row r="36" spans="1:29" ht="15">
      <c r="A36" s="972"/>
      <c r="B36" s="918" t="s">
        <v>1392</v>
      </c>
      <c r="C36" s="973"/>
      <c r="D36" s="930">
        <v>100</v>
      </c>
      <c r="E36" s="1493"/>
      <c r="F36" s="1293">
        <f>SUMIF(109:109,E36,110:110)-SUMIF(109:109,C36,110:110)+100</f>
        <v>100</v>
      </c>
      <c r="G36" s="973"/>
      <c r="H36" s="930">
        <f>SUMIF(109:109,G36,110:110)-SUMIF(109:109,C36,110:110)+100</f>
        <v>100</v>
      </c>
      <c r="I36" s="1493"/>
      <c r="J36" s="930">
        <f>SUMIF(109:109,I36,110:110)-SUMIF(109:109,C36,110:110)+100</f>
        <v>100</v>
      </c>
      <c r="K36" s="1507"/>
      <c r="L36" s="1057"/>
      <c r="M36" s="1045"/>
      <c r="N36" s="1045"/>
      <c r="O36" s="1045"/>
      <c r="P36" s="3318"/>
      <c r="Q36" s="656" t="str">
        <f t="shared" si="8"/>
        <v>公共部分装修</v>
      </c>
      <c r="R36" s="1093" t="s">
        <v>1367</v>
      </c>
      <c r="S36" s="1094">
        <f t="shared" si="9"/>
        <v>100</v>
      </c>
      <c r="T36" s="1093" t="s">
        <v>1367</v>
      </c>
      <c r="U36" s="1094">
        <f t="shared" si="10"/>
        <v>100</v>
      </c>
      <c r="V36" s="1093" t="s">
        <v>1367</v>
      </c>
      <c r="W36" s="1094">
        <f t="shared" si="11"/>
        <v>100</v>
      </c>
      <c r="X36" s="1087"/>
      <c r="Y36" s="3296"/>
      <c r="Z36" s="1077" t="str">
        <f t="shared" si="15"/>
        <v>公共部分装修</v>
      </c>
      <c r="AA36" s="1104">
        <f t="shared" si="12"/>
        <v>1</v>
      </c>
      <c r="AB36" s="1104">
        <f t="shared" si="13"/>
        <v>1</v>
      </c>
      <c r="AC36" s="1104">
        <f t="shared" si="14"/>
        <v>1</v>
      </c>
    </row>
    <row r="37" spans="1:29" s="880" customFormat="1" ht="15">
      <c r="A37" s="974"/>
      <c r="B37" s="918" t="s">
        <v>576</v>
      </c>
      <c r="C37" s="1300">
        <v>1</v>
      </c>
      <c r="D37" s="920">
        <v>100</v>
      </c>
      <c r="E37" s="1300">
        <v>1</v>
      </c>
      <c r="F37" s="1286">
        <f>LOOKUP(E37,112:112,113:113)-LOOKUP(C37,112:112,113:113)+100</f>
        <v>100</v>
      </c>
      <c r="G37" s="1302">
        <v>1</v>
      </c>
      <c r="H37" s="920">
        <f>LOOKUP(G37,112:112,113:113)-LOOKUP(C37,112:112,113:113)+100</f>
        <v>100</v>
      </c>
      <c r="I37" s="1301">
        <v>1</v>
      </c>
      <c r="J37" s="920">
        <f>LOOKUP(I37,112:112,113:113)-LOOKUP(C37,112:112,113:113)+100</f>
        <v>100</v>
      </c>
      <c r="K37" s="1507"/>
      <c r="L37" s="1047"/>
      <c r="M37" s="1048"/>
      <c r="N37" s="1048"/>
      <c r="O37" s="1048"/>
      <c r="P37" s="3318"/>
      <c r="Q37" s="1092" t="str">
        <f t="shared" si="8"/>
        <v>成新度</v>
      </c>
      <c r="R37" s="1088" t="s">
        <v>1367</v>
      </c>
      <c r="S37" s="1089">
        <f t="shared" si="9"/>
        <v>100</v>
      </c>
      <c r="T37" s="1088" t="s">
        <v>1367</v>
      </c>
      <c r="U37" s="1089">
        <f t="shared" si="10"/>
        <v>100</v>
      </c>
      <c r="V37" s="1088" t="s">
        <v>1367</v>
      </c>
      <c r="W37" s="1089">
        <f t="shared" si="11"/>
        <v>100</v>
      </c>
      <c r="X37" s="1090"/>
      <c r="Y37" s="3296"/>
      <c r="Z37" s="1103" t="str">
        <f t="shared" si="15"/>
        <v>成新度</v>
      </c>
      <c r="AA37" s="1102">
        <f t="shared" si="12"/>
        <v>1</v>
      </c>
      <c r="AB37" s="1102">
        <f t="shared" si="13"/>
        <v>1</v>
      </c>
      <c r="AC37" s="1102">
        <f t="shared" si="14"/>
        <v>1</v>
      </c>
    </row>
    <row r="38" spans="1:29" ht="15">
      <c r="A38" s="972"/>
      <c r="B38" s="918" t="s">
        <v>1393</v>
      </c>
      <c r="C38" s="973"/>
      <c r="D38" s="930">
        <v>100</v>
      </c>
      <c r="E38" s="1493"/>
      <c r="F38" s="1293">
        <f>SUMIF(114:114,E38,115:115)-SUMIF(114:114,C38,115:115)+100</f>
        <v>100</v>
      </c>
      <c r="G38" s="973"/>
      <c r="H38" s="930">
        <f>SUMIF(114:114,G38,115:115)-SUMIF(114:114,C38,115:115)+100</f>
        <v>100</v>
      </c>
      <c r="I38" s="1493"/>
      <c r="J38" s="930">
        <f>SUMIF(114:114,I38,115:115)-SUMIF(114:114,C38,115:115)+100</f>
        <v>100</v>
      </c>
      <c r="K38" s="1507"/>
      <c r="L38" s="1057"/>
      <c r="M38" s="1045"/>
      <c r="N38" s="1045"/>
      <c r="O38" s="1045"/>
      <c r="P38" s="3318" t="s">
        <v>1388</v>
      </c>
      <c r="Q38" s="656" t="str">
        <f t="shared" si="8"/>
        <v>物业管理</v>
      </c>
      <c r="R38" s="1093" t="s">
        <v>1367</v>
      </c>
      <c r="S38" s="1094">
        <f t="shared" si="9"/>
        <v>100</v>
      </c>
      <c r="T38" s="1093" t="s">
        <v>1367</v>
      </c>
      <c r="U38" s="1094">
        <f t="shared" si="10"/>
        <v>100</v>
      </c>
      <c r="V38" s="1093" t="s">
        <v>1367</v>
      </c>
      <c r="W38" s="1094">
        <f t="shared" si="11"/>
        <v>100</v>
      </c>
      <c r="X38" s="1087"/>
      <c r="Y38" s="3296" t="s">
        <v>1388</v>
      </c>
      <c r="Z38" s="1077" t="str">
        <f t="shared" si="15"/>
        <v>物业管理</v>
      </c>
      <c r="AA38" s="1104">
        <f t="shared" si="12"/>
        <v>1</v>
      </c>
      <c r="AB38" s="1104">
        <f t="shared" si="13"/>
        <v>1</v>
      </c>
      <c r="AC38" s="1104">
        <f t="shared" si="14"/>
        <v>1</v>
      </c>
    </row>
    <row r="39" spans="1:29" ht="15">
      <c r="A39" s="972"/>
      <c r="B39" s="918" t="s">
        <v>1394</v>
      </c>
      <c r="C39" s="973"/>
      <c r="D39" s="930">
        <v>100</v>
      </c>
      <c r="E39" s="1493"/>
      <c r="F39" s="1293">
        <f>SUMIF(116:116,E39,117:117)-SUMIF(116:116,C39,117:117)+100</f>
        <v>100</v>
      </c>
      <c r="G39" s="973"/>
      <c r="H39" s="930">
        <f>SUMIF(116:116,G39,117:117)-SUMIF(116:116,C39,117:117)+100</f>
        <v>100</v>
      </c>
      <c r="I39" s="1493"/>
      <c r="J39" s="930">
        <f>SUMIF(116:116,I39,117:117)-SUMIF(116:116,C39,117:117)+100</f>
        <v>100</v>
      </c>
      <c r="K39" s="1507"/>
      <c r="L39" s="1057"/>
      <c r="M39" s="1045"/>
      <c r="N39" s="1045"/>
      <c r="O39" s="1045"/>
      <c r="P39" s="3318"/>
      <c r="Q39" s="656" t="str">
        <f t="shared" si="8"/>
        <v>市政基础设施</v>
      </c>
      <c r="R39" s="1093" t="s">
        <v>1367</v>
      </c>
      <c r="S39" s="1094">
        <f t="shared" si="9"/>
        <v>100</v>
      </c>
      <c r="T39" s="1093" t="s">
        <v>1367</v>
      </c>
      <c r="U39" s="1094">
        <f t="shared" si="10"/>
        <v>100</v>
      </c>
      <c r="V39" s="1093" t="s">
        <v>1367</v>
      </c>
      <c r="W39" s="1094">
        <f t="shared" si="11"/>
        <v>100</v>
      </c>
      <c r="X39" s="1087"/>
      <c r="Y39" s="3296"/>
      <c r="Z39" s="1077" t="str">
        <f t="shared" si="15"/>
        <v>市政基础设施</v>
      </c>
      <c r="AA39" s="1104">
        <f t="shared" si="12"/>
        <v>1</v>
      </c>
      <c r="AB39" s="1104">
        <f t="shared" si="13"/>
        <v>1</v>
      </c>
      <c r="AC39" s="1104">
        <f t="shared" si="14"/>
        <v>1</v>
      </c>
    </row>
    <row r="40" spans="1:29" ht="15">
      <c r="A40" s="972"/>
      <c r="B40" s="3425" t="s">
        <v>1395</v>
      </c>
      <c r="C40" s="973"/>
      <c r="D40" s="930">
        <v>100</v>
      </c>
      <c r="E40" s="1493"/>
      <c r="F40" s="1293">
        <f>SUMIF(118:118,E40,119:119)-SUMIF(118:118,C40,119:119)+100</f>
        <v>100</v>
      </c>
      <c r="G40" s="973"/>
      <c r="H40" s="930">
        <f>SUMIF(118:118,G40,119:119)-SUMIF(118:118,C40,119:119)+100</f>
        <v>100</v>
      </c>
      <c r="I40" s="1493"/>
      <c r="J40" s="930">
        <f>SUMIF(118:118,I40,119:119)-SUMIF(118:118,C40,119:119)+100</f>
        <v>100</v>
      </c>
      <c r="K40" s="1507"/>
      <c r="L40" s="1057"/>
      <c r="M40" s="1045"/>
      <c r="N40" s="1045"/>
      <c r="O40" s="1045"/>
      <c r="P40" s="3318"/>
      <c r="Q40" s="656" t="str">
        <f t="shared" si="8"/>
        <v>房型</v>
      </c>
      <c r="R40" s="1093" t="s">
        <v>1367</v>
      </c>
      <c r="S40" s="1094">
        <f t="shared" si="9"/>
        <v>100</v>
      </c>
      <c r="T40" s="1093" t="s">
        <v>1367</v>
      </c>
      <c r="U40" s="1094">
        <f t="shared" si="10"/>
        <v>100</v>
      </c>
      <c r="V40" s="1093" t="s">
        <v>1367</v>
      </c>
      <c r="W40" s="1094">
        <f t="shared" si="11"/>
        <v>100</v>
      </c>
      <c r="X40" s="1087"/>
      <c r="Y40" s="3296"/>
      <c r="Z40" s="1077" t="str">
        <f t="shared" si="15"/>
        <v>房型</v>
      </c>
      <c r="AA40" s="1104">
        <f t="shared" si="12"/>
        <v>1</v>
      </c>
      <c r="AB40" s="1104">
        <f t="shared" si="13"/>
        <v>1</v>
      </c>
      <c r="AC40" s="1104">
        <f t="shared" si="14"/>
        <v>1</v>
      </c>
    </row>
    <row r="41" spans="1:29" s="882" customFormat="1" ht="28.5">
      <c r="A41" s="977"/>
      <c r="B41" s="3424" t="s">
        <v>1396</v>
      </c>
      <c r="C41" s="1287"/>
      <c r="D41" s="920">
        <v>100</v>
      </c>
      <c r="E41" s="923"/>
      <c r="F41" s="1286">
        <f>SUMIF(120:120,E41,121:121)-SUMIF(120:120,C41,121:121)+100</f>
        <v>100</v>
      </c>
      <c r="G41" s="922"/>
      <c r="H41" s="920">
        <f>SUMIF(120:120,G41,121:121)-SUMIF(120:120,C41,121:121)+100</f>
        <v>100</v>
      </c>
      <c r="I41" s="961"/>
      <c r="J41" s="930">
        <f>SUMIF(120:120,I41,121:121)-SUMIF(120:120,C41,121:121)+100</f>
        <v>100</v>
      </c>
      <c r="K41" s="1508"/>
      <c r="L41" s="1055"/>
      <c r="M41" s="1064"/>
      <c r="N41" s="1064"/>
      <c r="O41" s="1064"/>
      <c r="P41" s="3318"/>
      <c r="Q41" s="1332" t="str">
        <f t="shared" si="8"/>
        <v>单套/主力户型建筑面积</v>
      </c>
      <c r="R41" s="1095" t="s">
        <v>1367</v>
      </c>
      <c r="S41" s="1096">
        <f t="shared" si="9"/>
        <v>100</v>
      </c>
      <c r="T41" s="1095" t="s">
        <v>1367</v>
      </c>
      <c r="U41" s="1096">
        <f t="shared" si="10"/>
        <v>100</v>
      </c>
      <c r="V41" s="1095" t="s">
        <v>1367</v>
      </c>
      <c r="W41" s="1096">
        <f t="shared" si="11"/>
        <v>100</v>
      </c>
      <c r="X41" s="1097"/>
      <c r="Y41" s="3296"/>
      <c r="Z41" s="1105" t="str">
        <f t="shared" si="15"/>
        <v>单套/主力户型建筑面积</v>
      </c>
      <c r="AA41" s="1104">
        <f t="shared" si="12"/>
        <v>1</v>
      </c>
      <c r="AB41" s="1104">
        <f t="shared" si="13"/>
        <v>1</v>
      </c>
      <c r="AC41" s="1104">
        <f t="shared" si="14"/>
        <v>1</v>
      </c>
    </row>
    <row r="42" spans="1:29" ht="15">
      <c r="A42" s="972"/>
      <c r="B42" s="918" t="s">
        <v>1397</v>
      </c>
      <c r="C42" s="3076" t="s">
        <v>2790</v>
      </c>
      <c r="D42" s="930">
        <v>100</v>
      </c>
      <c r="E42" s="3069" t="s">
        <v>2790</v>
      </c>
      <c r="F42" s="1293">
        <f>SUMIF(122:122,E42,123:123)-SUMIF(122:122,C42,123:123)+100</f>
        <v>100</v>
      </c>
      <c r="G42" s="3066" t="s">
        <v>2790</v>
      </c>
      <c r="H42" s="930">
        <f>SUMIF(122:122,G42,123:123)-SUMIF(122:122,C42,123:123)+100</f>
        <v>100</v>
      </c>
      <c r="I42" s="3069" t="s">
        <v>2790</v>
      </c>
      <c r="J42" s="930">
        <f>SUMIF(122:122,I42,123:123)-SUMIF(122:122,C42,123:123)+100</f>
        <v>100</v>
      </c>
      <c r="K42" s="1507">
        <v>3</v>
      </c>
      <c r="L42" s="1057"/>
      <c r="M42" s="1045"/>
      <c r="N42" s="1045"/>
      <c r="O42" s="1045"/>
      <c r="P42" s="3318"/>
      <c r="Q42" s="656" t="str">
        <f t="shared" si="8"/>
        <v>内部装修</v>
      </c>
      <c r="R42" s="1093" t="s">
        <v>1367</v>
      </c>
      <c r="S42" s="1094">
        <f t="shared" si="9"/>
        <v>100</v>
      </c>
      <c r="T42" s="1093" t="s">
        <v>1367</v>
      </c>
      <c r="U42" s="1094">
        <f t="shared" si="10"/>
        <v>100</v>
      </c>
      <c r="V42" s="1093" t="s">
        <v>1367</v>
      </c>
      <c r="W42" s="1094">
        <f t="shared" si="11"/>
        <v>100</v>
      </c>
      <c r="X42" s="1087"/>
      <c r="Y42" s="3296"/>
      <c r="Z42" s="1077" t="str">
        <f t="shared" si="15"/>
        <v>内部装修</v>
      </c>
      <c r="AA42" s="1104">
        <f t="shared" si="12"/>
        <v>1</v>
      </c>
      <c r="AB42" s="1104">
        <f t="shared" si="13"/>
        <v>1</v>
      </c>
      <c r="AC42" s="1104">
        <f t="shared" si="14"/>
        <v>1</v>
      </c>
    </row>
    <row r="43" spans="1:29" ht="15">
      <c r="A43" s="972"/>
      <c r="B43" s="918" t="s">
        <v>1398</v>
      </c>
      <c r="C43" s="973"/>
      <c r="D43" s="930">
        <v>100</v>
      </c>
      <c r="E43" s="1493"/>
      <c r="F43" s="1293">
        <f>SUMIF(124:124,E43,125:125)-SUMIF(124:124,C43,125:125)+100</f>
        <v>100</v>
      </c>
      <c r="G43" s="973"/>
      <c r="H43" s="930">
        <f>SUMIF(124:124,G43,125:125)-SUMIF(124:124,C43,125:125)+100</f>
        <v>100</v>
      </c>
      <c r="I43" s="1493"/>
      <c r="J43" s="930">
        <f>SUMIF(124:124,I43,125:125)-SUMIF(124:124,C43,125:125)+100</f>
        <v>100</v>
      </c>
      <c r="K43" s="1507"/>
      <c r="L43" s="1057"/>
      <c r="M43" s="1045"/>
      <c r="N43" s="1045"/>
      <c r="O43" s="1045"/>
      <c r="P43" s="3318"/>
      <c r="Q43" s="656" t="str">
        <f t="shared" si="8"/>
        <v>内部装修维护情况</v>
      </c>
      <c r="R43" s="1093" t="s">
        <v>1367</v>
      </c>
      <c r="S43" s="1094">
        <f t="shared" si="9"/>
        <v>100</v>
      </c>
      <c r="T43" s="1093" t="s">
        <v>1367</v>
      </c>
      <c r="U43" s="1094">
        <f t="shared" si="10"/>
        <v>100</v>
      </c>
      <c r="V43" s="1093" t="s">
        <v>1367</v>
      </c>
      <c r="W43" s="1094">
        <f t="shared" si="11"/>
        <v>100</v>
      </c>
      <c r="X43" s="1087"/>
      <c r="Y43" s="3296"/>
      <c r="Z43" s="1077" t="str">
        <f t="shared" si="15"/>
        <v>内部装修维护情况</v>
      </c>
      <c r="AA43" s="1104">
        <f t="shared" si="12"/>
        <v>1</v>
      </c>
      <c r="AB43" s="1104">
        <f t="shared" si="13"/>
        <v>1</v>
      </c>
      <c r="AC43" s="1104">
        <f t="shared" si="14"/>
        <v>1</v>
      </c>
    </row>
    <row r="44" spans="1:29" s="880" customFormat="1" ht="15">
      <c r="A44" s="974"/>
      <c r="B44" s="3063" t="s">
        <v>2782</v>
      </c>
      <c r="C44" s="3064" t="s">
        <v>2783</v>
      </c>
      <c r="D44" s="920">
        <v>100</v>
      </c>
      <c r="E44" s="3064" t="s">
        <v>2783</v>
      </c>
      <c r="F44" s="1286">
        <f>SUMIF(126:126,E44,127:127)-SUMIF(126:126,C44,127:127)+100</f>
        <v>100</v>
      </c>
      <c r="G44" s="3064" t="s">
        <v>2784</v>
      </c>
      <c r="H44" s="920">
        <f>SUMIF(126:126,G44,127:127)-SUMIF(126:126,C44,127:127)+100</f>
        <v>105</v>
      </c>
      <c r="I44" s="3064" t="s">
        <v>2783</v>
      </c>
      <c r="J44" s="920">
        <f>SUMIF(126:126,I44,127:127)-SUMIF(126:126,C44,127:127)+100</f>
        <v>100</v>
      </c>
      <c r="K44" s="1508"/>
      <c r="L44" s="1047"/>
      <c r="M44" s="1048"/>
      <c r="N44" s="1048"/>
      <c r="O44" s="1048"/>
      <c r="P44" s="3318"/>
      <c r="Q44" s="1092" t="str">
        <f t="shared" si="8"/>
        <v>期房现房</v>
      </c>
      <c r="R44" s="1088" t="s">
        <v>1367</v>
      </c>
      <c r="S44" s="1089">
        <f t="shared" si="9"/>
        <v>100</v>
      </c>
      <c r="T44" s="1088" t="s">
        <v>1367</v>
      </c>
      <c r="U44" s="1089">
        <f t="shared" si="10"/>
        <v>105</v>
      </c>
      <c r="V44" s="1088" t="s">
        <v>1367</v>
      </c>
      <c r="W44" s="1089">
        <f t="shared" si="11"/>
        <v>100</v>
      </c>
      <c r="X44" s="1090"/>
      <c r="Y44" s="3296"/>
      <c r="Z44" s="1103" t="str">
        <f t="shared" si="15"/>
        <v>期房现房</v>
      </c>
      <c r="AA44" s="1102">
        <f t="shared" si="12"/>
        <v>1</v>
      </c>
      <c r="AB44" s="1102">
        <f t="shared" si="13"/>
        <v>0.95238095238095233</v>
      </c>
      <c r="AC44" s="1102">
        <f t="shared" si="14"/>
        <v>1</v>
      </c>
    </row>
    <row r="45" spans="1:29" ht="15">
      <c r="A45" s="972"/>
      <c r="B45" s="1241">
        <v>111</v>
      </c>
      <c r="C45" s="929"/>
      <c r="D45" s="930">
        <v>100</v>
      </c>
      <c r="E45" s="929"/>
      <c r="F45" s="1293">
        <f>SUMIF(128:128,E45,129:129)-SUMIF(128:128,C45,129:129)+100</f>
        <v>100</v>
      </c>
      <c r="G45" s="929"/>
      <c r="H45" s="930">
        <f>SUMIF(128:128,G45,129:129)-SUMIF(128:128,C45,129:129)+100</f>
        <v>100</v>
      </c>
      <c r="I45" s="929"/>
      <c r="J45" s="930">
        <f>SUMIF(128:128,I45,129:129)-SUMIF(128:128,C45,129:129)+100</f>
        <v>100</v>
      </c>
      <c r="K45" s="1508"/>
      <c r="L45" s="1057"/>
      <c r="M45" s="1045"/>
      <c r="N45" s="1045"/>
      <c r="O45" s="1045"/>
      <c r="P45" s="3318"/>
      <c r="Q45" s="656">
        <f t="shared" si="8"/>
        <v>111</v>
      </c>
      <c r="R45" s="1093" t="s">
        <v>1367</v>
      </c>
      <c r="S45" s="1094">
        <f t="shared" si="9"/>
        <v>100</v>
      </c>
      <c r="T45" s="1093" t="s">
        <v>1367</v>
      </c>
      <c r="U45" s="1094">
        <f t="shared" si="10"/>
        <v>100</v>
      </c>
      <c r="V45" s="1093" t="s">
        <v>1367</v>
      </c>
      <c r="W45" s="1094">
        <f t="shared" si="11"/>
        <v>100</v>
      </c>
      <c r="X45" s="1087"/>
      <c r="Y45" s="3296"/>
      <c r="Z45" s="1077">
        <f t="shared" si="15"/>
        <v>111</v>
      </c>
      <c r="AA45" s="1104">
        <f t="shared" si="12"/>
        <v>1</v>
      </c>
      <c r="AB45" s="1104">
        <f t="shared" si="13"/>
        <v>1</v>
      </c>
      <c r="AC45" s="1104">
        <f t="shared" si="14"/>
        <v>1</v>
      </c>
    </row>
    <row r="46" spans="1:29" ht="15">
      <c r="A46" s="1305"/>
      <c r="B46" s="932">
        <v>111</v>
      </c>
      <c r="C46" s="933"/>
      <c r="D46" s="934">
        <v>100</v>
      </c>
      <c r="E46" s="933"/>
      <c r="F46" s="1306">
        <f>SUMIF(130:130,E46,131:131)-SUMIF(130:130,C46,131:131)+100</f>
        <v>100</v>
      </c>
      <c r="G46" s="933"/>
      <c r="H46" s="934">
        <f>SUMIF(130:130,G46,131:131)-SUMIF(130:130,C46,131:131)+100</f>
        <v>100</v>
      </c>
      <c r="I46" s="933"/>
      <c r="J46" s="934">
        <f>SUMIF(130:130,I46,131:131)-SUMIF(130:130,C46,131:131)+100</f>
        <v>100</v>
      </c>
      <c r="K46" s="1508"/>
      <c r="L46" s="1057"/>
      <c r="M46" s="1045"/>
      <c r="N46" s="1045"/>
      <c r="O46" s="1045"/>
      <c r="P46" s="3319"/>
      <c r="Q46" s="656">
        <f t="shared" si="8"/>
        <v>111</v>
      </c>
      <c r="R46" s="1093" t="s">
        <v>1367</v>
      </c>
      <c r="S46" s="1094">
        <f t="shared" si="9"/>
        <v>100</v>
      </c>
      <c r="T46" s="1093" t="s">
        <v>1367</v>
      </c>
      <c r="U46" s="1094">
        <f t="shared" si="10"/>
        <v>100</v>
      </c>
      <c r="V46" s="1093" t="s">
        <v>1367</v>
      </c>
      <c r="W46" s="1094">
        <f t="shared" si="11"/>
        <v>100</v>
      </c>
      <c r="X46" s="1087"/>
      <c r="Y46" s="3320"/>
      <c r="Z46" s="1077">
        <f t="shared" si="15"/>
        <v>111</v>
      </c>
      <c r="AA46" s="1104">
        <f t="shared" si="12"/>
        <v>1</v>
      </c>
      <c r="AB46" s="1104">
        <f t="shared" si="13"/>
        <v>1</v>
      </c>
      <c r="AC46" s="1104">
        <f t="shared" si="14"/>
        <v>1</v>
      </c>
    </row>
    <row r="47" spans="1:29" ht="15">
      <c r="A47" s="979" t="s">
        <v>1399</v>
      </c>
      <c r="B47" s="1307"/>
      <c r="C47" s="1308" t="s">
        <v>124</v>
      </c>
      <c r="D47" s="1309"/>
      <c r="E47" s="1310">
        <v>102592</v>
      </c>
      <c r="F47" s="1311"/>
      <c r="G47" s="1312">
        <v>100048</v>
      </c>
      <c r="H47" s="1313"/>
      <c r="I47" s="1310">
        <v>106267</v>
      </c>
      <c r="J47" s="1313"/>
      <c r="K47" s="1512"/>
      <c r="L47" s="1069"/>
      <c r="M47" s="996"/>
      <c r="N47" s="1045"/>
      <c r="O47" s="996"/>
      <c r="P47" s="3276" t="str">
        <f>A47</f>
        <v>成交单价（元/平方米）</v>
      </c>
      <c r="Q47" s="3276"/>
      <c r="R47" s="3313">
        <f>E47</f>
        <v>102592</v>
      </c>
      <c r="S47" s="3313"/>
      <c r="T47" s="3313">
        <f>G47</f>
        <v>100048</v>
      </c>
      <c r="U47" s="3313"/>
      <c r="V47" s="3313">
        <f>I47</f>
        <v>106267</v>
      </c>
      <c r="W47" s="3313"/>
      <c r="X47" s="1033"/>
      <c r="Y47" s="1106"/>
      <c r="Z47" s="1033"/>
      <c r="AA47" s="1033"/>
      <c r="AB47" s="1033"/>
      <c r="AC47" s="1033"/>
    </row>
    <row r="48" spans="1:29" ht="15">
      <c r="A48" s="987" t="s">
        <v>1400</v>
      </c>
      <c r="B48" s="1314"/>
      <c r="C48" s="1315">
        <f>R49</f>
        <v>106549</v>
      </c>
      <c r="D48" s="990" t="s">
        <v>1401</v>
      </c>
      <c r="E48" s="1316">
        <f>R48</f>
        <v>106982</v>
      </c>
      <c r="F48" s="991"/>
      <c r="G48" s="1315">
        <f>T48</f>
        <v>97336</v>
      </c>
      <c r="H48" s="991"/>
      <c r="I48" s="1316">
        <f>V48</f>
        <v>115328</v>
      </c>
      <c r="J48" s="991"/>
      <c r="K48" s="1513">
        <f>F48+H48+J48</f>
        <v>0</v>
      </c>
      <c r="L48" s="1069"/>
      <c r="M48" s="996"/>
      <c r="N48" s="996"/>
      <c r="O48" s="996"/>
      <c r="P48" s="3276" t="str">
        <f>A48</f>
        <v>比较价值（元/平方米）</v>
      </c>
      <c r="Q48" s="3276"/>
      <c r="R48" s="3313">
        <f>IF(F1="售价",ROUND(PRODUCT(R47,AA7:AA46),0),ROUND(PRODUCT(R47,AA7:AA46),1))</f>
        <v>106982</v>
      </c>
      <c r="S48" s="3313"/>
      <c r="T48" s="3313">
        <f>IF(F1="售价",ROUND(PRODUCT(T47,AB7:AB46),0),ROUND(PRODUCT(T47,AB7:AB46),1))</f>
        <v>97336</v>
      </c>
      <c r="U48" s="3313"/>
      <c r="V48" s="3313">
        <f>IF(F1="售价",ROUND(PRODUCT(V47,AC7:AC46),0),ROUND(PRODUCT(V47,AC7:AC46),1))</f>
        <v>115328</v>
      </c>
      <c r="W48" s="3313"/>
      <c r="X48" s="1033"/>
      <c r="Y48" s="1033"/>
      <c r="Z48" s="1033"/>
      <c r="AA48" s="1033"/>
      <c r="AB48" s="1033"/>
      <c r="AC48" s="1033"/>
    </row>
    <row r="49" spans="1:29" ht="15">
      <c r="A49" s="993" t="s">
        <v>1402</v>
      </c>
      <c r="B49" s="994"/>
      <c r="C49" s="1496">
        <f>R49</f>
        <v>106549</v>
      </c>
      <c r="D49" s="1317"/>
      <c r="E49" s="1317"/>
      <c r="F49" s="1317"/>
      <c r="G49" s="1317"/>
      <c r="H49" s="1317"/>
      <c r="I49" s="1317"/>
      <c r="J49" s="1317"/>
      <c r="K49" s="1514"/>
      <c r="L49" s="1069"/>
      <c r="M49" s="996"/>
      <c r="N49" s="996"/>
      <c r="O49" s="996"/>
      <c r="P49" s="3298" t="str">
        <f>A49</f>
        <v>估价对象XX用房的比较价值（楼面单价，元/平方米）</v>
      </c>
      <c r="Q49" s="3299"/>
      <c r="R49" s="3314">
        <f>IF(F1="售价",ROUND(IF(D48="简单平均",AVERAGE(R48:V48),R48*F48+T48*H48+V48*J48),0),ROUND(IF(D48="简单平均",AVERAGE(R48:V48),R48*F48+T48*H48+V48*J48),1))</f>
        <v>106549</v>
      </c>
      <c r="S49" s="3314"/>
      <c r="T49" s="3314"/>
      <c r="U49" s="3314"/>
      <c r="V49" s="3314"/>
      <c r="W49" s="3314"/>
      <c r="X49" s="1033"/>
      <c r="Y49" s="1033"/>
      <c r="Z49" s="1033"/>
      <c r="AA49" s="1033"/>
      <c r="AB49" s="1033"/>
      <c r="AC49" s="1033"/>
    </row>
    <row r="50" spans="1:29">
      <c r="A50" s="996"/>
      <c r="B50" s="996"/>
      <c r="C50" s="996"/>
      <c r="D50" s="996"/>
      <c r="E50" s="996"/>
      <c r="F50" s="996"/>
      <c r="G50" s="997"/>
      <c r="H50" s="996"/>
      <c r="I50" s="996"/>
      <c r="J50" s="996"/>
      <c r="K50" s="1073"/>
      <c r="L50" s="1074"/>
      <c r="M50" s="996"/>
      <c r="N50" s="996"/>
      <c r="O50" s="996"/>
    </row>
    <row r="51" spans="1:29">
      <c r="A51" s="996"/>
      <c r="B51" s="996"/>
      <c r="C51" s="996"/>
      <c r="D51" s="996"/>
      <c r="E51" s="996"/>
      <c r="F51" s="996"/>
      <c r="G51" s="996"/>
      <c r="H51" s="996"/>
      <c r="I51" s="996"/>
      <c r="J51" s="996"/>
      <c r="K51" s="1073"/>
      <c r="L51" s="1074"/>
      <c r="M51" s="996"/>
      <c r="N51" s="996"/>
      <c r="O51" s="996"/>
    </row>
    <row r="52" spans="1:29" ht="13.5" customHeight="1">
      <c r="A52" s="996"/>
      <c r="B52" s="996"/>
      <c r="C52" s="998" t="s">
        <v>1403</v>
      </c>
      <c r="D52" s="698"/>
      <c r="E52" s="999">
        <f>IF(E47&lt;E48,E48/E47-1,E47/E48-1)</f>
        <v>4.2790860885838944E-2</v>
      </c>
      <c r="F52" s="1000" t="str">
        <f>IF(OR(E52&gt;=0.3,E52&lt;=-0.3),"超过30%","")</f>
        <v/>
      </c>
      <c r="G52" s="999">
        <f>IF(G47&lt;G48,G48/G47-1,G47/G48-1)</f>
        <v>2.7862250349305562E-2</v>
      </c>
      <c r="H52" s="1000" t="str">
        <f>IF(OR(G52&gt;=0.3,G52&lt;=-0.3),"超过30%","")</f>
        <v/>
      </c>
      <c r="I52" s="999">
        <f>IF(I47&lt;I48,I48/I47-1,I47/I48-1)</f>
        <v>8.5266357382818736E-2</v>
      </c>
      <c r="J52" s="1000" t="str">
        <f>IF(OR(I52&gt;=0.3,I52&lt;=-0.3),"超过30%","")</f>
        <v/>
      </c>
      <c r="K52" s="1073"/>
      <c r="L52" s="1074"/>
      <c r="M52" s="996"/>
      <c r="N52" s="996"/>
      <c r="O52" s="996"/>
    </row>
    <row r="53" spans="1:29" ht="13.5" customHeight="1">
      <c r="A53" s="996"/>
      <c r="B53" s="996"/>
      <c r="C53" s="998" t="s">
        <v>1404</v>
      </c>
      <c r="D53" s="697"/>
      <c r="E53" s="999">
        <f>IF(E48&lt;G48,G48/E48-1,E48/G48-1)</f>
        <v>9.9100024656858743E-2</v>
      </c>
      <c r="F53" s="1000" t="str">
        <f>IF(OR(E53&gt;=0.2,E53&lt;=-0.2),"超过20%","")</f>
        <v/>
      </c>
      <c r="G53" s="999">
        <f>IF(G48&lt;I48,I48/G48-1,G48/I48-1)</f>
        <v>0.1848442508424426</v>
      </c>
      <c r="H53" s="1000" t="str">
        <f>IF(OR(G53&gt;=0.2,G53&lt;=-0.2),"超过20%","")</f>
        <v/>
      </c>
      <c r="I53" s="999">
        <f>IF(I48&lt;E48,E48/I48-1,I48/E48-1)</f>
        <v>7.80131237030528E-2</v>
      </c>
      <c r="J53" s="1000" t="str">
        <f>IF(OR(I53&gt;=0.2,I53&lt;=-0.2),"超过20%","")</f>
        <v/>
      </c>
      <c r="K53" s="1073"/>
      <c r="L53" s="1074"/>
      <c r="M53" s="996"/>
      <c r="N53" s="996"/>
      <c r="O53" s="996"/>
    </row>
    <row r="54" spans="1:29" s="883" customFormat="1" ht="13.5" customHeight="1">
      <c r="A54" s="1001"/>
      <c r="B54" s="1001"/>
      <c r="C54" s="998" t="s">
        <v>1405</v>
      </c>
      <c r="D54" s="697"/>
      <c r="E54" s="999">
        <f>IF(E47&lt;G47,G47/E47-1,E47/G47-1)</f>
        <v>2.5427794658563929E-2</v>
      </c>
      <c r="F54" s="1000" t="str">
        <f>IF(OR(E54&gt;=0.3,E54&lt;=-0.3),"超过30%","")</f>
        <v/>
      </c>
      <c r="G54" s="999">
        <f>IF(G47&lt;I47,I47/G47-1,G47/I47-1)</f>
        <v>6.2160163121701473E-2</v>
      </c>
      <c r="H54" s="1000" t="str">
        <f>IF(OR(G54&gt;=0.3,G54&lt;=-0.3),"超过30%","")</f>
        <v/>
      </c>
      <c r="I54" s="999">
        <f>IF(I47&lt;E47,E47/I47-1,I47/E47-1)</f>
        <v>3.5821506550218318E-2</v>
      </c>
      <c r="J54" s="1000" t="str">
        <f>IF(OR(I54&gt;=0.3,I54&lt;=-0.3),"超过30%","")</f>
        <v/>
      </c>
      <c r="K54" s="1075"/>
      <c r="L54" s="1076"/>
      <c r="M54" s="1001"/>
      <c r="N54" s="1001"/>
      <c r="O54" s="1001"/>
      <c r="P54" s="1515"/>
    </row>
    <row r="55" spans="1:29" s="883" customFormat="1">
      <c r="A55" s="1001"/>
      <c r="B55" s="1002"/>
      <c r="C55" s="1318"/>
      <c r="D55" s="1001"/>
      <c r="E55" s="1001"/>
      <c r="F55" s="1001"/>
      <c r="G55" s="1001"/>
      <c r="H55" s="1001"/>
      <c r="I55" s="1001"/>
      <c r="J55" s="1001"/>
      <c r="K55" s="1075"/>
      <c r="L55" s="1076"/>
      <c r="M55" s="1001"/>
      <c r="N55" s="1001"/>
      <c r="O55" s="1001"/>
      <c r="P55" s="1515"/>
    </row>
    <row r="56" spans="1:29">
      <c r="A56" s="996"/>
      <c r="B56" s="1002"/>
      <c r="C56" s="1318"/>
      <c r="D56" s="996"/>
      <c r="E56" s="996"/>
      <c r="F56" s="996"/>
      <c r="G56" s="996"/>
      <c r="H56" s="996"/>
      <c r="I56" s="996"/>
      <c r="J56" s="996"/>
      <c r="K56" s="1073"/>
      <c r="L56" s="1074"/>
      <c r="M56" s="996"/>
      <c r="N56" s="996"/>
      <c r="O56" s="996"/>
    </row>
    <row r="57" spans="1:29" ht="21">
      <c r="A57" s="1032" t="s">
        <v>1406</v>
      </c>
      <c r="B57" s="1033"/>
      <c r="C57" s="1034"/>
      <c r="D57" s="1034"/>
      <c r="E57" s="1034"/>
      <c r="F57" s="1035"/>
      <c r="G57" s="1035"/>
      <c r="H57" s="1034"/>
      <c r="I57" s="1034"/>
      <c r="J57" s="1034"/>
      <c r="K57" s="1264"/>
      <c r="L57" s="1265"/>
      <c r="M57" s="1085"/>
      <c r="N57" s="1085"/>
      <c r="O57" s="1085"/>
      <c r="P57" s="1516"/>
      <c r="Q57" s="1427"/>
    </row>
    <row r="58" spans="1:29" s="885" customFormat="1" ht="15">
      <c r="A58" s="1319" t="s">
        <v>1365</v>
      </c>
      <c r="B58" s="1320"/>
      <c r="C58" s="1497" t="str">
        <f>YEAR(C7)&amp;"-"&amp;MONTH(C7)</f>
        <v>2021-4</v>
      </c>
      <c r="D58" s="1322">
        <f>EDATE(C58,-1)</f>
        <v>44256</v>
      </c>
      <c r="E58" s="1322">
        <f>EDATE(D58,-1)</f>
        <v>44228</v>
      </c>
      <c r="F58" s="1322">
        <f t="shared" ref="F58:O58" si="16">EDATE(E58,-1)</f>
        <v>44197</v>
      </c>
      <c r="G58" s="1322">
        <f t="shared" si="16"/>
        <v>44166</v>
      </c>
      <c r="H58" s="1322">
        <f t="shared" si="16"/>
        <v>44136</v>
      </c>
      <c r="I58" s="1322">
        <f t="shared" si="16"/>
        <v>44105</v>
      </c>
      <c r="J58" s="1322">
        <f t="shared" si="16"/>
        <v>44075</v>
      </c>
      <c r="K58" s="1322">
        <f t="shared" si="16"/>
        <v>44044</v>
      </c>
      <c r="L58" s="1322">
        <f t="shared" si="16"/>
        <v>44013</v>
      </c>
      <c r="M58" s="1322">
        <f t="shared" si="16"/>
        <v>43983</v>
      </c>
      <c r="N58" s="1322">
        <f t="shared" si="16"/>
        <v>43952</v>
      </c>
      <c r="O58" s="1322">
        <f t="shared" si="16"/>
        <v>43922</v>
      </c>
      <c r="P58" s="1517"/>
    </row>
    <row r="59" spans="1:29" s="880" customFormat="1" ht="15">
      <c r="A59" s="1323"/>
      <c r="B59" s="1498"/>
      <c r="C59" s="1324">
        <v>100</v>
      </c>
      <c r="D59" s="1455"/>
      <c r="E59" s="1122"/>
      <c r="F59" s="1122"/>
      <c r="G59" s="1122"/>
      <c r="H59" s="1122"/>
      <c r="I59" s="1122"/>
      <c r="J59" s="1122"/>
      <c r="K59" s="1122"/>
      <c r="L59" s="1122"/>
      <c r="M59" s="1331"/>
      <c r="N59" s="1122"/>
      <c r="O59" s="1331"/>
      <c r="P59" s="1518"/>
    </row>
    <row r="60" spans="1:29" s="880" customFormat="1" ht="15">
      <c r="A60" s="1113" t="s">
        <v>1407</v>
      </c>
      <c r="B60" s="1114"/>
      <c r="C60" s="1115"/>
      <c r="D60" s="1116"/>
      <c r="E60" s="1116"/>
      <c r="F60" s="1116"/>
      <c r="G60" s="1116"/>
      <c r="H60" s="1116"/>
      <c r="I60" s="1116"/>
      <c r="J60" s="1116"/>
      <c r="K60" s="1116"/>
      <c r="L60" s="1116"/>
      <c r="M60" s="1164"/>
      <c r="N60" s="1116"/>
      <c r="O60" s="1164"/>
      <c r="P60" s="1518"/>
      <c r="Q60" s="1427"/>
    </row>
    <row r="61" spans="1:29" s="880" customFormat="1" ht="15">
      <c r="A61" s="1117" t="s">
        <v>1368</v>
      </c>
      <c r="B61" s="1118"/>
      <c r="C61" s="1119" t="s">
        <v>1369</v>
      </c>
      <c r="D61" s="1120"/>
      <c r="E61" s="1120"/>
      <c r="F61" s="1120"/>
      <c r="G61" s="1120"/>
      <c r="H61" s="1120"/>
      <c r="I61" s="1120"/>
      <c r="J61" s="1120"/>
      <c r="K61" s="1120"/>
      <c r="L61" s="1166"/>
      <c r="M61" s="1167"/>
      <c r="N61" s="1430"/>
      <c r="O61" s="1430"/>
      <c r="P61" s="1519"/>
      <c r="Q61" s="1427"/>
    </row>
    <row r="62" spans="1:29" s="880" customFormat="1" ht="15">
      <c r="A62" s="1117"/>
      <c r="B62" s="1118"/>
      <c r="C62" s="1455">
        <v>100</v>
      </c>
      <c r="D62" s="1122"/>
      <c r="E62" s="1122"/>
      <c r="F62" s="1122"/>
      <c r="G62" s="1122"/>
      <c r="H62" s="1122"/>
      <c r="I62" s="1122"/>
      <c r="J62" s="1122"/>
      <c r="K62" s="1122"/>
      <c r="L62" s="1122"/>
      <c r="M62" s="1170"/>
      <c r="N62" s="1430"/>
      <c r="O62" s="1430"/>
      <c r="P62" s="1518"/>
      <c r="Q62" s="1427"/>
    </row>
    <row r="63" spans="1:29">
      <c r="A63" s="1123" t="s">
        <v>1408</v>
      </c>
      <c r="B63" s="1124" t="s">
        <v>1372</v>
      </c>
      <c r="C63" s="1146" t="str">
        <f>C9</f>
        <v>住宅</v>
      </c>
      <c r="D63" s="1066"/>
      <c r="E63" s="1066"/>
      <c r="F63" s="1066"/>
      <c r="G63" s="1066"/>
      <c r="H63" s="1066"/>
      <c r="I63" s="1066"/>
      <c r="J63" s="1066"/>
      <c r="K63" s="1171"/>
      <c r="L63" s="1172"/>
      <c r="M63" s="1173"/>
      <c r="N63" s="1432"/>
      <c r="O63" s="1432"/>
      <c r="P63" s="1520"/>
      <c r="Q63" s="1427"/>
    </row>
    <row r="64" spans="1:29" ht="15">
      <c r="A64" s="1125"/>
      <c r="B64" s="1126"/>
      <c r="C64" s="1127">
        <v>100</v>
      </c>
      <c r="D64" s="1127"/>
      <c r="E64" s="1127"/>
      <c r="F64" s="1127"/>
      <c r="G64" s="1127"/>
      <c r="H64" s="1127"/>
      <c r="I64" s="1127"/>
      <c r="J64" s="1127"/>
      <c r="K64" s="1127"/>
      <c r="L64" s="1127"/>
      <c r="M64" s="1176"/>
      <c r="N64" s="1434"/>
      <c r="O64" s="1434"/>
      <c r="P64" s="1520"/>
      <c r="Q64" s="1427"/>
    </row>
    <row r="65" spans="1:17" ht="27">
      <c r="A65" s="1125"/>
      <c r="B65" s="1128" t="s">
        <v>1375</v>
      </c>
      <c r="C65" s="1129" t="s">
        <v>1409</v>
      </c>
      <c r="D65" s="1129" t="s">
        <v>1410</v>
      </c>
      <c r="E65" s="1129" t="s">
        <v>1411</v>
      </c>
      <c r="F65" s="1129" t="s">
        <v>1412</v>
      </c>
      <c r="G65" s="1129" t="s">
        <v>1413</v>
      </c>
      <c r="H65" s="1129" t="s">
        <v>1414</v>
      </c>
      <c r="I65" s="1129" t="s">
        <v>1415</v>
      </c>
      <c r="J65" s="1129"/>
      <c r="K65" s="1178"/>
      <c r="L65" s="1179"/>
      <c r="M65" s="1180"/>
      <c r="N65" s="1432"/>
      <c r="O65" s="1432"/>
      <c r="P65" s="1520"/>
      <c r="Q65" s="1427"/>
    </row>
    <row r="66" spans="1:17" ht="15">
      <c r="A66" s="1125"/>
      <c r="B66" s="1130"/>
      <c r="C66" s="1131">
        <v>100</v>
      </c>
      <c r="D66" s="1131">
        <f t="shared" ref="D66:I66" si="17">C66-$K10</f>
        <v>98</v>
      </c>
      <c r="E66" s="1131">
        <f t="shared" si="17"/>
        <v>96</v>
      </c>
      <c r="F66" s="1131">
        <f t="shared" si="17"/>
        <v>94</v>
      </c>
      <c r="G66" s="1131">
        <f t="shared" si="17"/>
        <v>92</v>
      </c>
      <c r="H66" s="1131">
        <f t="shared" si="17"/>
        <v>90</v>
      </c>
      <c r="I66" s="1131">
        <f t="shared" si="17"/>
        <v>88</v>
      </c>
      <c r="J66" s="1131"/>
      <c r="K66" s="1131"/>
      <c r="L66" s="1131"/>
      <c r="M66" s="1181"/>
      <c r="N66" s="1434"/>
      <c r="O66" s="1434"/>
      <c r="P66" s="1520"/>
      <c r="Q66" s="1427"/>
    </row>
    <row r="67" spans="1:17" ht="15">
      <c r="A67" s="1125"/>
      <c r="B67" s="1132" t="s">
        <v>1376</v>
      </c>
      <c r="C67" s="1133" t="str">
        <f>C68&amp;"（含）"&amp;"-"&amp;D68</f>
        <v>0（含）-1</v>
      </c>
      <c r="D67" s="1133" t="str">
        <f t="shared" ref="D67:L67" si="18">D68&amp;"（含）"&amp;"-"&amp;E68</f>
        <v>1（含）-2</v>
      </c>
      <c r="E67" s="1133" t="str">
        <f t="shared" si="18"/>
        <v>2（含）-3</v>
      </c>
      <c r="F67" s="1133" t="str">
        <f t="shared" si="18"/>
        <v>3（含）-4</v>
      </c>
      <c r="G67" s="1133" t="str">
        <f t="shared" si="18"/>
        <v>4（含）-5</v>
      </c>
      <c r="H67" s="1133" t="str">
        <f t="shared" si="18"/>
        <v>5（含）-</v>
      </c>
      <c r="I67" s="1133" t="str">
        <f t="shared" si="18"/>
        <v>（含）-</v>
      </c>
      <c r="J67" s="1133" t="str">
        <f t="shared" si="18"/>
        <v>（含）-</v>
      </c>
      <c r="K67" s="1133" t="str">
        <f t="shared" si="18"/>
        <v>（含）-</v>
      </c>
      <c r="L67" s="1133" t="str">
        <f t="shared" si="18"/>
        <v>（含）-</v>
      </c>
      <c r="M67" s="942" t="str">
        <f>M68&amp;"（含）"&amp;"-"&amp;P68</f>
        <v>（含）-</v>
      </c>
      <c r="N67" s="1434"/>
      <c r="O67" s="1434"/>
      <c r="P67" s="1520"/>
      <c r="Q67" s="1427"/>
    </row>
    <row r="68" spans="1:17" ht="15">
      <c r="A68" s="1125"/>
      <c r="B68" s="1134"/>
      <c r="C68" s="927">
        <v>0</v>
      </c>
      <c r="D68" s="927">
        <v>1</v>
      </c>
      <c r="E68" s="927">
        <v>2</v>
      </c>
      <c r="F68" s="927">
        <v>3</v>
      </c>
      <c r="G68" s="927">
        <v>4</v>
      </c>
      <c r="H68" s="927">
        <v>5</v>
      </c>
      <c r="I68" s="927"/>
      <c r="J68" s="927"/>
      <c r="K68" s="1182"/>
      <c r="L68" s="1183"/>
      <c r="M68" s="1184"/>
      <c r="N68" s="1432"/>
      <c r="O68" s="1432"/>
      <c r="P68" s="1520"/>
      <c r="Q68" s="1427"/>
    </row>
    <row r="69" spans="1:17" ht="15">
      <c r="A69" s="1125"/>
      <c r="B69" s="1126"/>
      <c r="C69" s="1131">
        <v>100</v>
      </c>
      <c r="D69" s="1131">
        <f t="shared" ref="D69:M69" si="19">C69-$K11</f>
        <v>98</v>
      </c>
      <c r="E69" s="1131">
        <f t="shared" si="19"/>
        <v>96</v>
      </c>
      <c r="F69" s="1131">
        <f t="shared" si="19"/>
        <v>94</v>
      </c>
      <c r="G69" s="1131">
        <f t="shared" si="19"/>
        <v>92</v>
      </c>
      <c r="H69" s="1131">
        <f t="shared" si="19"/>
        <v>90</v>
      </c>
      <c r="I69" s="1131">
        <f t="shared" si="19"/>
        <v>88</v>
      </c>
      <c r="J69" s="1131">
        <f t="shared" si="19"/>
        <v>86</v>
      </c>
      <c r="K69" s="1131">
        <f t="shared" si="19"/>
        <v>84</v>
      </c>
      <c r="L69" s="1131">
        <f t="shared" si="19"/>
        <v>82</v>
      </c>
      <c r="M69" s="1181">
        <f t="shared" si="19"/>
        <v>80</v>
      </c>
      <c r="N69" s="1434"/>
      <c r="O69" s="1434"/>
      <c r="P69" s="1520"/>
      <c r="Q69" s="1427"/>
    </row>
    <row r="70" spans="1:17" s="882" customFormat="1" ht="15">
      <c r="A70" s="1135"/>
      <c r="B70" s="1128">
        <f>B12</f>
        <v>111</v>
      </c>
      <c r="C70" s="1136"/>
      <c r="D70" s="1136"/>
      <c r="E70" s="1136"/>
      <c r="F70" s="1136"/>
      <c r="G70" s="1136"/>
      <c r="H70" s="1137"/>
      <c r="I70" s="1137"/>
      <c r="J70" s="1137"/>
      <c r="K70" s="1137"/>
      <c r="L70" s="1185"/>
      <c r="M70" s="1186"/>
      <c r="N70" s="1435"/>
      <c r="O70" s="1435"/>
      <c r="P70" s="1524"/>
      <c r="Q70" s="1437"/>
    </row>
    <row r="71" spans="1:17" s="882" customFormat="1" ht="15">
      <c r="A71" s="1135"/>
      <c r="B71" s="1130"/>
      <c r="C71" s="1138"/>
      <c r="D71" s="1127"/>
      <c r="E71" s="1127"/>
      <c r="F71" s="1127"/>
      <c r="G71" s="1127"/>
      <c r="H71" s="1127"/>
      <c r="I71" s="1127"/>
      <c r="J71" s="1127"/>
      <c r="K71" s="1127"/>
      <c r="L71" s="1127"/>
      <c r="M71" s="1176"/>
      <c r="N71" s="1434"/>
      <c r="O71" s="1434"/>
      <c r="P71" s="1524"/>
      <c r="Q71" s="1437"/>
    </row>
    <row r="72" spans="1:17" s="882" customFormat="1" ht="15">
      <c r="A72" s="1135"/>
      <c r="B72" s="1128">
        <f>B13</f>
        <v>111</v>
      </c>
      <c r="C72" s="1136"/>
      <c r="D72" s="1136"/>
      <c r="E72" s="1136"/>
      <c r="F72" s="1136"/>
      <c r="G72" s="1136"/>
      <c r="H72" s="1137"/>
      <c r="I72" s="1137"/>
      <c r="J72" s="1137"/>
      <c r="K72" s="1137"/>
      <c r="L72" s="1185"/>
      <c r="M72" s="1186"/>
      <c r="N72" s="1435"/>
      <c r="O72" s="1435"/>
      <c r="P72" s="1525"/>
      <c r="Q72" s="1443"/>
    </row>
    <row r="73" spans="1:17" s="882" customFormat="1" ht="15">
      <c r="A73" s="1135"/>
      <c r="B73" s="1130"/>
      <c r="C73" s="1138"/>
      <c r="D73" s="1138"/>
      <c r="E73" s="1138"/>
      <c r="F73" s="1138"/>
      <c r="G73" s="1138"/>
      <c r="H73" s="1139"/>
      <c r="I73" s="1139"/>
      <c r="J73" s="1139"/>
      <c r="K73" s="1139"/>
      <c r="L73" s="1139"/>
      <c r="M73" s="1189"/>
      <c r="N73" s="1435"/>
      <c r="O73" s="1435"/>
      <c r="P73" s="1524"/>
      <c r="Q73" s="1437"/>
    </row>
    <row r="74" spans="1:17" s="882" customFormat="1" ht="15">
      <c r="A74" s="1135"/>
      <c r="B74" s="1132">
        <f>B14</f>
        <v>111</v>
      </c>
      <c r="C74" s="1136"/>
      <c r="D74" s="1136"/>
      <c r="E74" s="1136"/>
      <c r="F74" s="1136"/>
      <c r="G74" s="1120"/>
      <c r="H74" s="1140"/>
      <c r="I74" s="1140"/>
      <c r="J74" s="1140"/>
      <c r="K74" s="1140"/>
      <c r="L74" s="1190"/>
      <c r="M74" s="1191"/>
      <c r="N74" s="1435"/>
      <c r="O74" s="1435"/>
      <c r="P74" s="1526"/>
      <c r="Q74" s="1437"/>
    </row>
    <row r="75" spans="1:17" s="882" customFormat="1" ht="15">
      <c r="A75" s="1141"/>
      <c r="B75" s="1142"/>
      <c r="C75" s="1143"/>
      <c r="D75" s="1143"/>
      <c r="E75" s="1143"/>
      <c r="F75" s="1143"/>
      <c r="G75" s="1143"/>
      <c r="H75" s="1144"/>
      <c r="I75" s="1144"/>
      <c r="J75" s="1144"/>
      <c r="K75" s="1144"/>
      <c r="L75" s="1144"/>
      <c r="M75" s="1193"/>
      <c r="N75" s="1435"/>
      <c r="O75" s="1435"/>
      <c r="P75" s="1524"/>
      <c r="Q75" s="1437"/>
    </row>
    <row r="76" spans="1:17">
      <c r="A76" s="1123" t="s">
        <v>1377</v>
      </c>
      <c r="B76" s="1124" t="s">
        <v>1378</v>
      </c>
      <c r="C76" s="1145" t="s">
        <v>1416</v>
      </c>
      <c r="D76" s="1145" t="s">
        <v>1417</v>
      </c>
      <c r="E76" s="1145" t="s">
        <v>1418</v>
      </c>
      <c r="F76" s="1145" t="s">
        <v>1419</v>
      </c>
      <c r="G76" s="1145" t="s">
        <v>1420</v>
      </c>
      <c r="H76" s="1146"/>
      <c r="I76" s="1146"/>
      <c r="J76" s="1146"/>
      <c r="K76" s="1194"/>
      <c r="L76" s="1195"/>
      <c r="M76" s="1196"/>
      <c r="N76" s="1432"/>
      <c r="O76" s="1432"/>
      <c r="P76" s="1527"/>
      <c r="Q76" s="1427"/>
    </row>
    <row r="77" spans="1:17" ht="15">
      <c r="A77" s="1125"/>
      <c r="B77" s="1130"/>
      <c r="C77" s="1131">
        <v>100</v>
      </c>
      <c r="D77" s="1131">
        <f>C77-$K15</f>
        <v>95</v>
      </c>
      <c r="E77" s="1131">
        <f>D77-$K15</f>
        <v>90</v>
      </c>
      <c r="F77" s="1131">
        <f>E77-$K15</f>
        <v>85</v>
      </c>
      <c r="G77" s="1131">
        <f>F77-$K15</f>
        <v>80</v>
      </c>
      <c r="H77" s="1131"/>
      <c r="I77" s="1131"/>
      <c r="J77" s="1131"/>
      <c r="K77" s="1131"/>
      <c r="L77" s="1131"/>
      <c r="M77" s="1181"/>
      <c r="N77" s="1434"/>
      <c r="O77" s="1434"/>
      <c r="P77" s="1520"/>
      <c r="Q77" s="1427"/>
    </row>
    <row r="78" spans="1:17" ht="15">
      <c r="A78" s="1125"/>
      <c r="B78" s="1128" t="s">
        <v>1380</v>
      </c>
      <c r="C78" s="1147" t="s">
        <v>1416</v>
      </c>
      <c r="D78" s="1147" t="s">
        <v>1417</v>
      </c>
      <c r="E78" s="1147" t="s">
        <v>1418</v>
      </c>
      <c r="F78" s="1147" t="s">
        <v>1419</v>
      </c>
      <c r="G78" s="1147" t="s">
        <v>1420</v>
      </c>
      <c r="H78" s="1129"/>
      <c r="I78" s="1129"/>
      <c r="J78" s="1129"/>
      <c r="K78" s="1178"/>
      <c r="L78" s="1179"/>
      <c r="M78" s="1180"/>
      <c r="N78" s="1432"/>
      <c r="O78" s="1432"/>
      <c r="P78" s="1520"/>
      <c r="Q78" s="1427"/>
    </row>
    <row r="79" spans="1:17" ht="15">
      <c r="A79" s="1125"/>
      <c r="B79" s="1130"/>
      <c r="C79" s="1131">
        <v>100</v>
      </c>
      <c r="D79" s="1131">
        <f>C79-$K17</f>
        <v>97</v>
      </c>
      <c r="E79" s="1131">
        <f>D79-$K17</f>
        <v>94</v>
      </c>
      <c r="F79" s="1131">
        <f>E79-$K17</f>
        <v>91</v>
      </c>
      <c r="G79" s="1131">
        <f>F79-$K17</f>
        <v>88</v>
      </c>
      <c r="H79" s="1131"/>
      <c r="I79" s="1131"/>
      <c r="J79" s="1131"/>
      <c r="K79" s="1131"/>
      <c r="L79" s="1131"/>
      <c r="M79" s="1181"/>
      <c r="N79" s="1434"/>
      <c r="O79" s="1434"/>
      <c r="P79" s="1520"/>
      <c r="Q79" s="1427"/>
    </row>
    <row r="80" spans="1:17" ht="15">
      <c r="A80" s="1125"/>
      <c r="B80" s="1128" t="s">
        <v>1381</v>
      </c>
      <c r="C80" s="1147" t="s">
        <v>1416</v>
      </c>
      <c r="D80" s="1147" t="s">
        <v>1417</v>
      </c>
      <c r="E80" s="1147" t="s">
        <v>1418</v>
      </c>
      <c r="F80" s="1147" t="s">
        <v>1419</v>
      </c>
      <c r="G80" s="1147" t="s">
        <v>1420</v>
      </c>
      <c r="H80" s="1129"/>
      <c r="I80" s="1129"/>
      <c r="J80" s="1129"/>
      <c r="K80" s="1178"/>
      <c r="L80" s="1179"/>
      <c r="M80" s="1180"/>
      <c r="N80" s="1432"/>
      <c r="O80" s="1432"/>
      <c r="P80" s="1520"/>
      <c r="Q80" s="1427"/>
    </row>
    <row r="81" spans="1:17" ht="15">
      <c r="A81" s="1125"/>
      <c r="B81" s="1130"/>
      <c r="C81" s="1131">
        <v>100</v>
      </c>
      <c r="D81" s="1131">
        <f>C81-$K19</f>
        <v>97</v>
      </c>
      <c r="E81" s="1131">
        <f>D81-$K19</f>
        <v>94</v>
      </c>
      <c r="F81" s="1131">
        <f>E81-$K19</f>
        <v>91</v>
      </c>
      <c r="G81" s="1131">
        <f>F81-$K19</f>
        <v>88</v>
      </c>
      <c r="H81" s="1131"/>
      <c r="I81" s="1131"/>
      <c r="J81" s="1131"/>
      <c r="K81" s="1131"/>
      <c r="L81" s="1131"/>
      <c r="M81" s="1181"/>
      <c r="N81" s="1434"/>
      <c r="O81" s="1434"/>
      <c r="P81" s="1520"/>
      <c r="Q81" s="1427"/>
    </row>
    <row r="82" spans="1:17" ht="15">
      <c r="A82" s="1125"/>
      <c r="B82" s="1132" t="s">
        <v>1382</v>
      </c>
      <c r="C82" s="1129" t="s">
        <v>1421</v>
      </c>
      <c r="D82" s="1129" t="s">
        <v>1422</v>
      </c>
      <c r="E82" s="1129" t="s">
        <v>1423</v>
      </c>
      <c r="F82" s="1129" t="s">
        <v>1424</v>
      </c>
      <c r="G82" s="1129" t="s">
        <v>1425</v>
      </c>
      <c r="H82" s="1129"/>
      <c r="I82" s="1129"/>
      <c r="J82" s="1129"/>
      <c r="K82" s="1129"/>
      <c r="L82" s="1129"/>
      <c r="M82" s="1336"/>
      <c r="N82" s="1434"/>
      <c r="O82" s="1434"/>
      <c r="P82" s="1520"/>
      <c r="Q82" s="1427"/>
    </row>
    <row r="83" spans="1:17" ht="15">
      <c r="A83" s="1125"/>
      <c r="B83" s="1132"/>
      <c r="C83" s="1152">
        <v>100</v>
      </c>
      <c r="D83" s="1152">
        <f>C83-$K21</f>
        <v>98</v>
      </c>
      <c r="E83" s="1152">
        <f>D83-$K21</f>
        <v>96</v>
      </c>
      <c r="F83" s="1152">
        <f>E83-$K21</f>
        <v>94</v>
      </c>
      <c r="G83" s="1152">
        <f>F83-$K21</f>
        <v>92</v>
      </c>
      <c r="H83" s="1152"/>
      <c r="I83" s="1152"/>
      <c r="J83" s="1152"/>
      <c r="K83" s="1152"/>
      <c r="L83" s="1152"/>
      <c r="M83" s="944"/>
      <c r="N83" s="1434"/>
      <c r="O83" s="1434"/>
      <c r="P83" s="1520"/>
      <c r="Q83" s="1427"/>
    </row>
    <row r="84" spans="1:17" ht="15">
      <c r="A84" s="1125"/>
      <c r="B84" s="1128" t="s">
        <v>1383</v>
      </c>
      <c r="C84" s="1147" t="s">
        <v>1416</v>
      </c>
      <c r="D84" s="1147" t="s">
        <v>1417</v>
      </c>
      <c r="E84" s="1147" t="s">
        <v>1418</v>
      </c>
      <c r="F84" s="1147" t="s">
        <v>1419</v>
      </c>
      <c r="G84" s="1147" t="s">
        <v>1420</v>
      </c>
      <c r="H84" s="1129"/>
      <c r="I84" s="1129"/>
      <c r="J84" s="1129"/>
      <c r="K84" s="1178"/>
      <c r="L84" s="1179"/>
      <c r="M84" s="1180"/>
      <c r="N84" s="1432"/>
      <c r="O84" s="1432"/>
      <c r="P84" s="1520"/>
      <c r="Q84" s="1427"/>
    </row>
    <row r="85" spans="1:17" ht="15">
      <c r="A85" s="1125"/>
      <c r="B85" s="1130"/>
      <c r="C85" s="1131">
        <v>100</v>
      </c>
      <c r="D85" s="1131">
        <f>C85-$K23</f>
        <v>97</v>
      </c>
      <c r="E85" s="1131">
        <f>D85-$K23</f>
        <v>94</v>
      </c>
      <c r="F85" s="1131">
        <f>E85-$K23</f>
        <v>91</v>
      </c>
      <c r="G85" s="1131">
        <f>F85-$K23</f>
        <v>88</v>
      </c>
      <c r="H85" s="1131"/>
      <c r="I85" s="1131"/>
      <c r="J85" s="1131"/>
      <c r="K85" s="1131"/>
      <c r="L85" s="1131"/>
      <c r="M85" s="1181"/>
      <c r="N85" s="1434"/>
      <c r="O85" s="1434"/>
      <c r="P85" s="1520"/>
      <c r="Q85" s="1427"/>
    </row>
    <row r="86" spans="1:17" s="880" customFormat="1" ht="15">
      <c r="A86" s="1148"/>
      <c r="B86" s="1128" t="s">
        <v>1384</v>
      </c>
      <c r="C86" s="1136"/>
      <c r="D86" s="1136"/>
      <c r="E86" s="1136"/>
      <c r="F86" s="1136"/>
      <c r="G86" s="1136"/>
      <c r="H86" s="1136"/>
      <c r="I86" s="1136"/>
      <c r="J86" s="1136"/>
      <c r="K86" s="1136"/>
      <c r="L86" s="1337"/>
      <c r="M86" s="1338"/>
      <c r="N86" s="1430"/>
      <c r="O86" s="1430"/>
      <c r="P86" s="1520"/>
      <c r="Q86" s="1427"/>
    </row>
    <row r="87" spans="1:17" s="880" customFormat="1" ht="15">
      <c r="A87" s="1148"/>
      <c r="B87" s="1130"/>
      <c r="C87" s="1149">
        <v>100</v>
      </c>
      <c r="D87" s="1131">
        <f t="shared" ref="D87:M87" si="20">$C$87-($C$86-D86)*$K$25</f>
        <v>100</v>
      </c>
      <c r="E87" s="1131">
        <f t="shared" si="20"/>
        <v>100</v>
      </c>
      <c r="F87" s="1131">
        <f t="shared" si="20"/>
        <v>100</v>
      </c>
      <c r="G87" s="1131">
        <f t="shared" si="20"/>
        <v>100</v>
      </c>
      <c r="H87" s="1131">
        <f t="shared" si="20"/>
        <v>100</v>
      </c>
      <c r="I87" s="1131">
        <f t="shared" si="20"/>
        <v>100</v>
      </c>
      <c r="J87" s="1131">
        <f t="shared" si="20"/>
        <v>100</v>
      </c>
      <c r="K87" s="1131">
        <f t="shared" si="20"/>
        <v>100</v>
      </c>
      <c r="L87" s="1131">
        <f t="shared" si="20"/>
        <v>100</v>
      </c>
      <c r="M87" s="1131">
        <f t="shared" si="20"/>
        <v>100</v>
      </c>
      <c r="N87" s="1434"/>
      <c r="O87" s="1434"/>
      <c r="P87" s="1520"/>
      <c r="Q87" s="1427"/>
    </row>
    <row r="88" spans="1:17" s="880" customFormat="1" ht="15">
      <c r="A88" s="1148"/>
      <c r="B88" s="1128" t="s">
        <v>1385</v>
      </c>
      <c r="C88" s="1136"/>
      <c r="D88" s="1136"/>
      <c r="E88" s="1136"/>
      <c r="F88" s="1461"/>
      <c r="G88" s="1136"/>
      <c r="H88" s="1136"/>
      <c r="I88" s="1136"/>
      <c r="J88" s="1136"/>
      <c r="K88" s="1136"/>
      <c r="L88" s="1136"/>
      <c r="M88" s="1338"/>
      <c r="N88" s="1430"/>
      <c r="O88" s="1430"/>
      <c r="P88" s="1520"/>
      <c r="Q88" s="1427"/>
    </row>
    <row r="89" spans="1:17" s="880" customFormat="1" ht="15">
      <c r="A89" s="1148"/>
      <c r="B89" s="1130"/>
      <c r="C89" s="1149">
        <v>100</v>
      </c>
      <c r="D89" s="1131">
        <f t="shared" ref="D89:M89" si="21">C89-$K26</f>
        <v>100</v>
      </c>
      <c r="E89" s="1131">
        <f t="shared" si="21"/>
        <v>100</v>
      </c>
      <c r="F89" s="1131">
        <f t="shared" si="21"/>
        <v>100</v>
      </c>
      <c r="G89" s="1131">
        <f t="shared" si="21"/>
        <v>100</v>
      </c>
      <c r="H89" s="1131">
        <f t="shared" si="21"/>
        <v>100</v>
      </c>
      <c r="I89" s="1131">
        <f t="shared" si="21"/>
        <v>100</v>
      </c>
      <c r="J89" s="1131">
        <f t="shared" si="21"/>
        <v>100</v>
      </c>
      <c r="K89" s="1131">
        <f t="shared" si="21"/>
        <v>100</v>
      </c>
      <c r="L89" s="1131">
        <f t="shared" si="21"/>
        <v>100</v>
      </c>
      <c r="M89" s="1131">
        <f t="shared" si="21"/>
        <v>100</v>
      </c>
      <c r="N89" s="1434"/>
      <c r="O89" s="1434"/>
      <c r="P89" s="1520"/>
      <c r="Q89" s="1427"/>
    </row>
    <row r="90" spans="1:17" s="882" customFormat="1" ht="15">
      <c r="A90" s="1135"/>
      <c r="B90" s="1128">
        <f>B27</f>
        <v>111</v>
      </c>
      <c r="C90" s="1136"/>
      <c r="D90" s="1136"/>
      <c r="E90" s="1136"/>
      <c r="F90" s="1136"/>
      <c r="G90" s="1136"/>
      <c r="H90" s="1137"/>
      <c r="I90" s="1137"/>
      <c r="J90" s="1137"/>
      <c r="K90" s="1137"/>
      <c r="L90" s="1185"/>
      <c r="M90" s="1186"/>
      <c r="N90" s="1435"/>
      <c r="O90" s="1435"/>
      <c r="P90" s="1524"/>
      <c r="Q90" s="1437"/>
    </row>
    <row r="91" spans="1:17" s="882" customFormat="1" ht="15">
      <c r="A91" s="1135"/>
      <c r="B91" s="1130"/>
      <c r="C91" s="1138"/>
      <c r="D91" s="1138"/>
      <c r="E91" s="1138"/>
      <c r="F91" s="1138"/>
      <c r="G91" s="1138"/>
      <c r="H91" s="1139"/>
      <c r="I91" s="1139"/>
      <c r="J91" s="1139"/>
      <c r="K91" s="1139"/>
      <c r="L91" s="1139"/>
      <c r="M91" s="1189"/>
      <c r="N91" s="1435"/>
      <c r="O91" s="1435"/>
      <c r="P91" s="1524"/>
      <c r="Q91" s="1437"/>
    </row>
    <row r="92" spans="1:17" ht="15">
      <c r="A92" s="1125"/>
      <c r="B92" s="1128">
        <f>B28</f>
        <v>111</v>
      </c>
      <c r="C92" s="1136"/>
      <c r="D92" s="1136"/>
      <c r="E92" s="1136"/>
      <c r="F92" s="1136"/>
      <c r="G92" s="1153"/>
      <c r="H92" s="1153"/>
      <c r="I92" s="1153"/>
      <c r="J92" s="1153"/>
      <c r="K92" s="1204"/>
      <c r="L92" s="1205"/>
      <c r="M92" s="1206"/>
      <c r="N92" s="1432"/>
      <c r="O92" s="1432"/>
      <c r="P92" s="1520"/>
      <c r="Q92" s="1427"/>
    </row>
    <row r="93" spans="1:17" ht="15">
      <c r="A93" s="1125"/>
      <c r="B93" s="1130"/>
      <c r="C93" s="1138"/>
      <c r="D93" s="1127"/>
      <c r="E93" s="1127"/>
      <c r="F93" s="1127"/>
      <c r="G93" s="1127"/>
      <c r="H93" s="1127"/>
      <c r="I93" s="1127"/>
      <c r="J93" s="1127"/>
      <c r="K93" s="1127"/>
      <c r="L93" s="1127"/>
      <c r="M93" s="1176"/>
      <c r="N93" s="1434"/>
      <c r="O93" s="1434"/>
      <c r="P93" s="1520"/>
      <c r="Q93" s="1427"/>
    </row>
    <row r="94" spans="1:17" ht="15">
      <c r="A94" s="1125"/>
      <c r="B94" s="1128">
        <f>B29</f>
        <v>111</v>
      </c>
      <c r="C94" s="1136"/>
      <c r="D94" s="1136"/>
      <c r="E94" s="1136"/>
      <c r="F94" s="1136"/>
      <c r="G94" s="1153"/>
      <c r="H94" s="1153"/>
      <c r="I94" s="1153"/>
      <c r="J94" s="1153"/>
      <c r="K94" s="1204"/>
      <c r="L94" s="1205"/>
      <c r="M94" s="1206"/>
      <c r="N94" s="1432"/>
      <c r="O94" s="1432"/>
      <c r="P94" s="1520"/>
      <c r="Q94" s="1427"/>
    </row>
    <row r="95" spans="1:17" ht="15">
      <c r="A95" s="1125"/>
      <c r="B95" s="1130"/>
      <c r="C95" s="1138"/>
      <c r="D95" s="1138"/>
      <c r="E95" s="1138"/>
      <c r="F95" s="1138"/>
      <c r="G95" s="1127"/>
      <c r="H95" s="1127"/>
      <c r="I95" s="1127"/>
      <c r="J95" s="1127"/>
      <c r="K95" s="1127"/>
      <c r="L95" s="1127"/>
      <c r="M95" s="1176"/>
      <c r="N95" s="1434"/>
      <c r="O95" s="1434"/>
      <c r="P95" s="1520"/>
      <c r="Q95" s="1427"/>
    </row>
    <row r="96" spans="1:17" ht="15">
      <c r="A96" s="1125"/>
      <c r="B96" s="1128">
        <f>B30</f>
        <v>111</v>
      </c>
      <c r="C96" s="1136"/>
      <c r="D96" s="1136"/>
      <c r="E96" s="1136"/>
      <c r="F96" s="1136"/>
      <c r="G96" s="1153"/>
      <c r="H96" s="1153"/>
      <c r="I96" s="1153"/>
      <c r="J96" s="1153"/>
      <c r="K96" s="1204"/>
      <c r="L96" s="1205"/>
      <c r="M96" s="1206"/>
      <c r="N96" s="1432"/>
      <c r="O96" s="1432"/>
      <c r="P96" s="1520"/>
      <c r="Q96" s="1427"/>
    </row>
    <row r="97" spans="1:17" ht="15">
      <c r="A97" s="1125"/>
      <c r="B97" s="1130"/>
      <c r="C97" s="1143"/>
      <c r="D97" s="1143"/>
      <c r="E97" s="1143"/>
      <c r="F97" s="1143"/>
      <c r="G97" s="1127"/>
      <c r="H97" s="1127"/>
      <c r="I97" s="1127"/>
      <c r="J97" s="1127"/>
      <c r="K97" s="1127"/>
      <c r="L97" s="1127"/>
      <c r="M97" s="1176"/>
      <c r="N97" s="1434"/>
      <c r="O97" s="1434"/>
      <c r="P97" s="1520"/>
      <c r="Q97" s="1427"/>
    </row>
    <row r="98" spans="1:17" ht="15">
      <c r="A98" s="1125"/>
      <c r="B98" s="1132">
        <f>B31</f>
        <v>111</v>
      </c>
      <c r="C98" s="1154"/>
      <c r="D98" s="1154"/>
      <c r="E98" s="1154"/>
      <c r="F98" s="1154"/>
      <c r="G98" s="1154"/>
      <c r="H98" s="1154"/>
      <c r="I98" s="1154"/>
      <c r="J98" s="1154"/>
      <c r="K98" s="1207"/>
      <c r="L98" s="1208"/>
      <c r="M98" s="1209"/>
      <c r="N98" s="1432"/>
      <c r="O98" s="1432"/>
      <c r="P98" s="1520"/>
      <c r="Q98" s="1427"/>
    </row>
    <row r="99" spans="1:17" ht="15">
      <c r="A99" s="1438"/>
      <c r="B99" s="1142"/>
      <c r="C99" s="1155"/>
      <c r="D99" s="1155"/>
      <c r="E99" s="1155"/>
      <c r="F99" s="1155"/>
      <c r="G99" s="1155"/>
      <c r="H99" s="1155"/>
      <c r="I99" s="1155"/>
      <c r="J99" s="1155"/>
      <c r="K99" s="1155"/>
      <c r="L99" s="1155"/>
      <c r="M99" s="1210"/>
      <c r="N99" s="1434"/>
      <c r="O99" s="1434"/>
      <c r="P99" s="1520"/>
      <c r="Q99" s="1427"/>
    </row>
    <row r="100" spans="1:17">
      <c r="A100" s="1123" t="s">
        <v>1386</v>
      </c>
      <c r="B100" s="1124" t="s">
        <v>1387</v>
      </c>
      <c r="C100" s="1257" t="s">
        <v>2791</v>
      </c>
      <c r="D100" s="1257" t="s">
        <v>2786</v>
      </c>
      <c r="E100" s="1257" t="s">
        <v>2788</v>
      </c>
      <c r="F100" s="1066"/>
      <c r="G100" s="1066"/>
      <c r="H100" s="1066"/>
      <c r="I100" s="1066"/>
      <c r="J100" s="1066"/>
      <c r="K100" s="1171"/>
      <c r="L100" s="1172"/>
      <c r="M100" s="1173"/>
      <c r="N100" s="1432"/>
      <c r="O100" s="1432"/>
      <c r="P100" s="1520"/>
      <c r="Q100" s="1427"/>
    </row>
    <row r="101" spans="1:17" ht="15">
      <c r="A101" s="1125"/>
      <c r="B101" s="1130"/>
      <c r="C101" s="1131">
        <v>100</v>
      </c>
      <c r="D101" s="1131">
        <f t="shared" ref="D101:M101" si="22">C101-$K32</f>
        <v>98</v>
      </c>
      <c r="E101" s="1131">
        <f t="shared" si="22"/>
        <v>96</v>
      </c>
      <c r="F101" s="1131">
        <f t="shared" si="22"/>
        <v>94</v>
      </c>
      <c r="G101" s="1131">
        <f t="shared" si="22"/>
        <v>92</v>
      </c>
      <c r="H101" s="1131">
        <f t="shared" si="22"/>
        <v>90</v>
      </c>
      <c r="I101" s="1131">
        <f t="shared" si="22"/>
        <v>88</v>
      </c>
      <c r="J101" s="1131">
        <f t="shared" si="22"/>
        <v>86</v>
      </c>
      <c r="K101" s="1131">
        <f t="shared" si="22"/>
        <v>84</v>
      </c>
      <c r="L101" s="1131">
        <f t="shared" si="22"/>
        <v>82</v>
      </c>
      <c r="M101" s="1131">
        <f t="shared" si="22"/>
        <v>80</v>
      </c>
      <c r="N101" s="1434"/>
      <c r="O101" s="1434"/>
      <c r="P101" s="1520"/>
      <c r="Q101" s="1427"/>
    </row>
    <row r="102" spans="1:17" ht="28.5">
      <c r="A102" s="1125"/>
      <c r="B102" s="1128" t="s">
        <v>1389</v>
      </c>
      <c r="C102" s="1147" t="str">
        <f>C103&amp;"(含)"&amp;"-"&amp;D103</f>
        <v>0(含)-50000</v>
      </c>
      <c r="D102" s="1147" t="str">
        <f t="shared" ref="D102:L102" si="23">D103&amp;"(含)"&amp;"-"&amp;E103</f>
        <v>50000(含)-100000</v>
      </c>
      <c r="E102" s="1147" t="str">
        <f t="shared" si="23"/>
        <v>100000(含)-150000</v>
      </c>
      <c r="F102" s="1147" t="str">
        <f t="shared" si="23"/>
        <v>150000(含)-200000</v>
      </c>
      <c r="G102" s="1147" t="str">
        <f t="shared" si="23"/>
        <v>200000(含)-250000</v>
      </c>
      <c r="H102" s="1147" t="str">
        <f t="shared" si="23"/>
        <v>250000(含)-300000</v>
      </c>
      <c r="I102" s="1147" t="str">
        <f t="shared" si="23"/>
        <v>300000(含)-</v>
      </c>
      <c r="J102" s="1147" t="str">
        <f t="shared" si="23"/>
        <v>(含)-</v>
      </c>
      <c r="K102" s="1147" t="str">
        <f t="shared" si="23"/>
        <v>(含)-</v>
      </c>
      <c r="L102" s="1147" t="str">
        <f t="shared" si="23"/>
        <v>(含)-</v>
      </c>
      <c r="M102" s="1147" t="str">
        <f>M103&amp;"(含)"&amp;"-"&amp;P103</f>
        <v>(含)-</v>
      </c>
      <c r="N102" s="1430"/>
      <c r="O102" s="1430"/>
      <c r="P102" s="1520"/>
      <c r="Q102" s="1427"/>
    </row>
    <row r="103" spans="1:17" s="882" customFormat="1">
      <c r="A103" s="1156"/>
      <c r="B103" s="1157"/>
      <c r="C103" s="1112">
        <v>0</v>
      </c>
      <c r="D103" s="1112">
        <v>50000</v>
      </c>
      <c r="E103" s="1112">
        <v>100000</v>
      </c>
      <c r="F103" s="1112">
        <v>150000</v>
      </c>
      <c r="G103" s="1112">
        <v>200000</v>
      </c>
      <c r="H103" s="1112">
        <v>250000</v>
      </c>
      <c r="I103" s="1112">
        <v>300000</v>
      </c>
      <c r="J103" s="1211"/>
      <c r="K103" s="1211"/>
      <c r="L103" s="1212"/>
      <c r="M103" s="1213"/>
      <c r="N103" s="1435"/>
      <c r="O103" s="1435"/>
      <c r="P103" s="1524"/>
      <c r="Q103" s="1437"/>
    </row>
    <row r="104" spans="1:17" s="882" customFormat="1" ht="15">
      <c r="A104" s="1135"/>
      <c r="B104" s="1130"/>
      <c r="C104" s="1138">
        <v>100</v>
      </c>
      <c r="D104" s="1127">
        <v>101</v>
      </c>
      <c r="E104" s="1138">
        <v>102</v>
      </c>
      <c r="F104" s="1127">
        <v>103</v>
      </c>
      <c r="G104" s="1138">
        <v>104</v>
      </c>
      <c r="H104" s="1127">
        <v>105</v>
      </c>
      <c r="I104" s="1138">
        <v>106</v>
      </c>
      <c r="J104" s="1127"/>
      <c r="K104" s="1127"/>
      <c r="L104" s="1127"/>
      <c r="M104" s="1127"/>
      <c r="N104" s="1434"/>
      <c r="O104" s="1434"/>
      <c r="P104" s="1524"/>
      <c r="Q104" s="1437"/>
    </row>
    <row r="105" spans="1:17">
      <c r="A105" s="1159"/>
      <c r="B105" s="1128" t="s">
        <v>1390</v>
      </c>
      <c r="C105" s="1136"/>
      <c r="D105" s="1136"/>
      <c r="E105" s="1153"/>
      <c r="F105" s="1153"/>
      <c r="G105" s="1153"/>
      <c r="H105" s="1153"/>
      <c r="I105" s="1153"/>
      <c r="J105" s="1153"/>
      <c r="K105" s="1204"/>
      <c r="L105" s="1205"/>
      <c r="M105" s="1206"/>
      <c r="N105" s="1432"/>
      <c r="O105" s="1432"/>
      <c r="P105" s="1520"/>
      <c r="Q105" s="1427"/>
    </row>
    <row r="106" spans="1:17" ht="15">
      <c r="A106" s="1125"/>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31">
        <f t="shared" si="24"/>
        <v>100</v>
      </c>
      <c r="N106" s="1434"/>
      <c r="O106" s="1434"/>
      <c r="P106" s="1520"/>
      <c r="Q106" s="1427"/>
    </row>
    <row r="107" spans="1:17">
      <c r="A107" s="1159"/>
      <c r="B107" s="1128" t="s">
        <v>1391</v>
      </c>
      <c r="C107" s="1153"/>
      <c r="D107" s="1153"/>
      <c r="E107" s="1153"/>
      <c r="F107" s="1153"/>
      <c r="G107" s="1153"/>
      <c r="H107" s="1153"/>
      <c r="I107" s="1153"/>
      <c r="J107" s="1153"/>
      <c r="K107" s="1204"/>
      <c r="L107" s="1205"/>
      <c r="M107" s="1206"/>
      <c r="N107" s="1432"/>
      <c r="O107" s="1432"/>
      <c r="P107" s="1520"/>
      <c r="Q107" s="1427"/>
    </row>
    <row r="108" spans="1:17" ht="15">
      <c r="A108" s="1125"/>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31">
        <f t="shared" si="25"/>
        <v>100</v>
      </c>
      <c r="N108" s="1434"/>
      <c r="O108" s="1434"/>
      <c r="P108" s="1520"/>
      <c r="Q108" s="1427"/>
    </row>
    <row r="109" spans="1:17">
      <c r="A109" s="1159"/>
      <c r="B109" s="1128" t="s">
        <v>1392</v>
      </c>
      <c r="C109" s="1136"/>
      <c r="D109" s="1136"/>
      <c r="E109" s="1136"/>
      <c r="F109" s="1153"/>
      <c r="G109" s="1153"/>
      <c r="H109" s="1153"/>
      <c r="I109" s="1153"/>
      <c r="J109" s="1153"/>
      <c r="K109" s="1204"/>
      <c r="L109" s="1205"/>
      <c r="M109" s="1206"/>
      <c r="N109" s="1432"/>
      <c r="O109" s="1432"/>
      <c r="P109" s="1520"/>
      <c r="Q109" s="1427"/>
    </row>
    <row r="110" spans="1:17" ht="15">
      <c r="A110" s="1125"/>
      <c r="B110" s="1130"/>
      <c r="C110" s="1131">
        <v>100</v>
      </c>
      <c r="D110" s="1131">
        <f t="shared" ref="D110:M110" si="26">C110-$K36</f>
        <v>100</v>
      </c>
      <c r="E110" s="1131">
        <f t="shared" si="26"/>
        <v>100</v>
      </c>
      <c r="F110" s="1131">
        <f t="shared" si="26"/>
        <v>100</v>
      </c>
      <c r="G110" s="1131">
        <f t="shared" si="26"/>
        <v>100</v>
      </c>
      <c r="H110" s="1131">
        <f t="shared" si="26"/>
        <v>100</v>
      </c>
      <c r="I110" s="1131">
        <f t="shared" si="26"/>
        <v>100</v>
      </c>
      <c r="J110" s="1131">
        <f t="shared" si="26"/>
        <v>100</v>
      </c>
      <c r="K110" s="1131">
        <f t="shared" si="26"/>
        <v>100</v>
      </c>
      <c r="L110" s="1131">
        <f t="shared" si="26"/>
        <v>100</v>
      </c>
      <c r="M110" s="1131">
        <f t="shared" si="26"/>
        <v>100</v>
      </c>
      <c r="N110" s="1434"/>
      <c r="O110" s="1434"/>
      <c r="P110" s="1520"/>
      <c r="Q110" s="1427"/>
    </row>
    <row r="111" spans="1:17" s="882" customFormat="1">
      <c r="A111" s="1156"/>
      <c r="B111" s="1128" t="s">
        <v>576</v>
      </c>
      <c r="C111" s="1147" t="str">
        <f>C112&amp;"(含)"&amp;"-"&amp;D112</f>
        <v>0.5(含)-0.6</v>
      </c>
      <c r="D111" s="1147" t="str">
        <f>D112&amp;"(含)"&amp;"-"&amp;E112</f>
        <v>0.6(含)-0.7</v>
      </c>
      <c r="E111" s="1147" t="str">
        <f>E112&amp;"(含)"&amp;"-"&amp;F112</f>
        <v>0.7(含)-0.8</v>
      </c>
      <c r="F111" s="1147" t="str">
        <f>F112&amp;"(含)"&amp;"-"&amp;G112</f>
        <v>0.8(含)-0.9</v>
      </c>
      <c r="G111" s="1147" t="str">
        <f>G112&amp;"(含)"&amp;"-"&amp;ROUND(H112,0)&amp;"(含)"</f>
        <v>0.9(含)-1(含)</v>
      </c>
      <c r="H111" s="1147" t="str">
        <f>ROUND(H112,0)&amp;"(含)"&amp;"-"&amp;I112</f>
        <v>1(含)-</v>
      </c>
      <c r="I111" s="1147"/>
      <c r="J111" s="1150"/>
      <c r="K111" s="1150"/>
      <c r="L111" s="1200"/>
      <c r="M111" s="1201"/>
      <c r="N111" s="1435"/>
      <c r="O111" s="1435"/>
      <c r="P111" s="1524"/>
      <c r="Q111" s="1437"/>
    </row>
    <row r="112" spans="1:17" s="882" customFormat="1">
      <c r="A112" s="1156"/>
      <c r="B112" s="1132"/>
      <c r="C112" s="815">
        <v>0.5</v>
      </c>
      <c r="D112" s="815">
        <v>0.6</v>
      </c>
      <c r="E112" s="815">
        <v>0.7</v>
      </c>
      <c r="F112" s="815">
        <v>0.8</v>
      </c>
      <c r="G112" s="815">
        <v>0.9</v>
      </c>
      <c r="H112" s="815">
        <v>1.0001</v>
      </c>
      <c r="I112" s="815"/>
      <c r="J112" s="1528"/>
      <c r="K112" s="1528"/>
      <c r="L112" s="1529"/>
      <c r="M112" s="1530"/>
      <c r="N112" s="1435"/>
      <c r="O112" s="1435"/>
      <c r="P112" s="1524"/>
      <c r="Q112" s="1437"/>
    </row>
    <row r="113" spans="1:17" s="882" customFormat="1" ht="15">
      <c r="A113" s="1135"/>
      <c r="B113" s="1130"/>
      <c r="C113" s="1149">
        <v>100</v>
      </c>
      <c r="D113" s="1131">
        <f>C113+$K37</f>
        <v>100</v>
      </c>
      <c r="E113" s="1131">
        <f>D113+$K37</f>
        <v>100</v>
      </c>
      <c r="F113" s="1131">
        <f>E113+$K37</f>
        <v>100</v>
      </c>
      <c r="G113" s="1131">
        <f>F113+$K37</f>
        <v>100</v>
      </c>
      <c r="H113" s="1131">
        <f>G113+$K37</f>
        <v>100</v>
      </c>
      <c r="I113" s="1149"/>
      <c r="J113" s="1151"/>
      <c r="K113" s="1151"/>
      <c r="L113" s="1151"/>
      <c r="M113" s="1202"/>
      <c r="N113" s="1435"/>
      <c r="O113" s="1435"/>
      <c r="P113" s="1524"/>
      <c r="Q113" s="1437"/>
    </row>
    <row r="114" spans="1:17">
      <c r="A114" s="1159"/>
      <c r="B114" s="1128" t="s">
        <v>1393</v>
      </c>
      <c r="C114" s="1136"/>
      <c r="D114" s="1136"/>
      <c r="E114" s="1153"/>
      <c r="F114" s="1153"/>
      <c r="G114" s="1153"/>
      <c r="H114" s="1153"/>
      <c r="I114" s="1153"/>
      <c r="J114" s="1153"/>
      <c r="K114" s="1204"/>
      <c r="L114" s="1205"/>
      <c r="M114" s="1206"/>
      <c r="N114" s="1432"/>
      <c r="O114" s="1432"/>
      <c r="P114" s="1520"/>
      <c r="Q114" s="1427"/>
    </row>
    <row r="115" spans="1:17" ht="15">
      <c r="A115" s="1125"/>
      <c r="B115" s="1130"/>
      <c r="C115" s="1131">
        <v>100</v>
      </c>
      <c r="D115" s="1131">
        <f t="shared" ref="D115:M115" si="27">C115-$K38</f>
        <v>100</v>
      </c>
      <c r="E115" s="1131">
        <f t="shared" si="27"/>
        <v>100</v>
      </c>
      <c r="F115" s="1131">
        <f t="shared" si="27"/>
        <v>100</v>
      </c>
      <c r="G115" s="1131">
        <f t="shared" si="27"/>
        <v>100</v>
      </c>
      <c r="H115" s="1131">
        <f t="shared" si="27"/>
        <v>100</v>
      </c>
      <c r="I115" s="1131">
        <f t="shared" si="27"/>
        <v>100</v>
      </c>
      <c r="J115" s="1131">
        <f t="shared" si="27"/>
        <v>100</v>
      </c>
      <c r="K115" s="1131">
        <f t="shared" si="27"/>
        <v>100</v>
      </c>
      <c r="L115" s="1131">
        <f t="shared" si="27"/>
        <v>100</v>
      </c>
      <c r="M115" s="1131">
        <f t="shared" si="27"/>
        <v>100</v>
      </c>
      <c r="N115" s="1434"/>
      <c r="O115" s="1434"/>
      <c r="P115" s="1520"/>
      <c r="Q115" s="1427"/>
    </row>
    <row r="116" spans="1:17">
      <c r="A116" s="1159"/>
      <c r="B116" s="1128" t="s">
        <v>1394</v>
      </c>
      <c r="C116" s="1136"/>
      <c r="D116" s="1136"/>
      <c r="E116" s="1136"/>
      <c r="F116" s="1136"/>
      <c r="G116" s="1136"/>
      <c r="H116" s="1153"/>
      <c r="I116" s="1153"/>
      <c r="J116" s="1153"/>
      <c r="K116" s="1204"/>
      <c r="L116" s="1205"/>
      <c r="M116" s="1206"/>
      <c r="N116" s="1432"/>
      <c r="O116" s="1432"/>
      <c r="P116" s="1520"/>
      <c r="Q116" s="1427"/>
    </row>
    <row r="117" spans="1:17" ht="15">
      <c r="A117" s="1125"/>
      <c r="B117" s="1130"/>
      <c r="C117" s="1131">
        <v>100</v>
      </c>
      <c r="D117" s="1131">
        <f>C117-$K39</f>
        <v>100</v>
      </c>
      <c r="E117" s="1131">
        <f>D117-$K39</f>
        <v>100</v>
      </c>
      <c r="F117" s="1131">
        <f>E117-$K39</f>
        <v>100</v>
      </c>
      <c r="G117" s="1131">
        <f>F117-$K39</f>
        <v>100</v>
      </c>
      <c r="H117" s="1131"/>
      <c r="I117" s="1131"/>
      <c r="J117" s="1131"/>
      <c r="K117" s="1131"/>
      <c r="L117" s="1131"/>
      <c r="M117" s="1181"/>
      <c r="N117" s="1434"/>
      <c r="O117" s="1434"/>
      <c r="P117" s="1520"/>
      <c r="Q117" s="1427"/>
    </row>
    <row r="118" spans="1:17">
      <c r="A118" s="1159"/>
      <c r="B118" s="1128" t="s">
        <v>1395</v>
      </c>
      <c r="C118" s="1153"/>
      <c r="D118" s="1153"/>
      <c r="E118" s="1153"/>
      <c r="F118" s="1153"/>
      <c r="G118" s="1153"/>
      <c r="H118" s="1153"/>
      <c r="I118" s="1153"/>
      <c r="J118" s="1153"/>
      <c r="K118" s="1204"/>
      <c r="L118" s="1205"/>
      <c r="M118" s="1206"/>
      <c r="N118" s="1432"/>
      <c r="O118" s="1432"/>
      <c r="P118" s="1520"/>
      <c r="Q118" s="1427"/>
    </row>
    <row r="119" spans="1:17" ht="15">
      <c r="A119" s="1125"/>
      <c r="B119" s="1130"/>
      <c r="C119" s="1131">
        <v>100</v>
      </c>
      <c r="D119" s="1131">
        <f t="shared" ref="D119:M119" si="28">C119-$K40</f>
        <v>100</v>
      </c>
      <c r="E119" s="1131">
        <f t="shared" si="28"/>
        <v>100</v>
      </c>
      <c r="F119" s="1131">
        <f t="shared" si="28"/>
        <v>100</v>
      </c>
      <c r="G119" s="1131">
        <f t="shared" si="28"/>
        <v>100</v>
      </c>
      <c r="H119" s="1131">
        <f t="shared" si="28"/>
        <v>100</v>
      </c>
      <c r="I119" s="1131">
        <f t="shared" si="28"/>
        <v>100</v>
      </c>
      <c r="J119" s="1131">
        <f t="shared" si="28"/>
        <v>100</v>
      </c>
      <c r="K119" s="1131">
        <f t="shared" si="28"/>
        <v>100</v>
      </c>
      <c r="L119" s="1131">
        <f t="shared" si="28"/>
        <v>100</v>
      </c>
      <c r="M119" s="1131">
        <f t="shared" si="28"/>
        <v>100</v>
      </c>
      <c r="N119" s="1434"/>
      <c r="O119" s="1434"/>
      <c r="P119" s="1520"/>
      <c r="Q119" s="1427"/>
    </row>
    <row r="120" spans="1:17" s="882" customFormat="1" ht="27.75">
      <c r="A120" s="1156"/>
      <c r="B120" s="1128" t="s">
        <v>1396</v>
      </c>
      <c r="C120" s="1136"/>
      <c r="D120" s="1136"/>
      <c r="E120" s="1136"/>
      <c r="F120" s="1136"/>
      <c r="G120" s="1136"/>
      <c r="H120" s="1136"/>
      <c r="I120" s="1136"/>
      <c r="J120" s="1136"/>
      <c r="K120" s="1136"/>
      <c r="L120" s="1337"/>
      <c r="M120" s="1338"/>
      <c r="N120" s="1435"/>
      <c r="O120" s="1435"/>
      <c r="P120" s="1524"/>
      <c r="Q120" s="1437"/>
    </row>
    <row r="121" spans="1:17" s="882" customFormat="1" ht="15">
      <c r="A121" s="1135"/>
      <c r="B121" s="1126"/>
      <c r="C121" s="1138"/>
      <c r="D121" s="1127"/>
      <c r="E121" s="1127"/>
      <c r="F121" s="1127"/>
      <c r="G121" s="1127"/>
      <c r="H121" s="1127"/>
      <c r="I121" s="1127"/>
      <c r="J121" s="1127"/>
      <c r="K121" s="1127"/>
      <c r="L121" s="1127"/>
      <c r="M121" s="1127"/>
      <c r="N121" s="1435"/>
      <c r="O121" s="1435"/>
      <c r="P121" s="1524"/>
      <c r="Q121" s="1437"/>
    </row>
    <row r="122" spans="1:17">
      <c r="A122" s="1159"/>
      <c r="B122" s="1128" t="s">
        <v>1397</v>
      </c>
      <c r="C122" s="1136"/>
      <c r="D122" s="1136"/>
      <c r="E122" s="1136"/>
      <c r="F122" s="1153"/>
      <c r="G122" s="1153"/>
      <c r="H122" s="1153"/>
      <c r="I122" s="1153"/>
      <c r="J122" s="1153"/>
      <c r="K122" s="1204"/>
      <c r="L122" s="1205"/>
      <c r="M122" s="1206"/>
      <c r="N122" s="1432"/>
      <c r="O122" s="1432"/>
      <c r="P122" s="1520"/>
      <c r="Q122" s="1427"/>
    </row>
    <row r="123" spans="1:17" ht="15">
      <c r="A123" s="1125"/>
      <c r="B123" s="1130"/>
      <c r="C123" s="1131">
        <v>100</v>
      </c>
      <c r="D123" s="1131">
        <f t="shared" ref="D123:M123" si="29">C123-$K42</f>
        <v>97</v>
      </c>
      <c r="E123" s="1131">
        <f t="shared" si="29"/>
        <v>94</v>
      </c>
      <c r="F123" s="1131">
        <f t="shared" si="29"/>
        <v>91</v>
      </c>
      <c r="G123" s="1131">
        <f t="shared" si="29"/>
        <v>88</v>
      </c>
      <c r="H123" s="1131">
        <f t="shared" si="29"/>
        <v>85</v>
      </c>
      <c r="I123" s="1131">
        <f t="shared" si="29"/>
        <v>82</v>
      </c>
      <c r="J123" s="1131">
        <f t="shared" si="29"/>
        <v>79</v>
      </c>
      <c r="K123" s="1131">
        <f t="shared" si="29"/>
        <v>76</v>
      </c>
      <c r="L123" s="1131">
        <f t="shared" si="29"/>
        <v>73</v>
      </c>
      <c r="M123" s="1131">
        <f t="shared" si="29"/>
        <v>70</v>
      </c>
      <c r="N123" s="1434"/>
      <c r="O123" s="1434"/>
      <c r="P123" s="1520"/>
      <c r="Q123" s="1427"/>
    </row>
    <row r="124" spans="1:17">
      <c r="A124" s="1159"/>
      <c r="B124" s="1128" t="s">
        <v>1398</v>
      </c>
      <c r="C124" s="1147" t="s">
        <v>1416</v>
      </c>
      <c r="D124" s="1147" t="s">
        <v>1417</v>
      </c>
      <c r="E124" s="1147" t="s">
        <v>1418</v>
      </c>
      <c r="F124" s="1147" t="s">
        <v>1419</v>
      </c>
      <c r="G124" s="1147" t="s">
        <v>1420</v>
      </c>
      <c r="H124" s="1129"/>
      <c r="I124" s="1129"/>
      <c r="J124" s="1129"/>
      <c r="K124" s="1178"/>
      <c r="L124" s="1179"/>
      <c r="M124" s="1180"/>
      <c r="N124" s="1432"/>
      <c r="O124" s="1432"/>
      <c r="P124" s="1524"/>
      <c r="Q124" s="1427"/>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434"/>
      <c r="O125" s="1434"/>
      <c r="P125" s="1520"/>
      <c r="Q125" s="1427"/>
    </row>
    <row r="126" spans="1:17" s="882" customFormat="1">
      <c r="A126" s="1156"/>
      <c r="B126" s="1128" t="str">
        <f>B44</f>
        <v>期房现房</v>
      </c>
      <c r="C126" s="3065" t="s">
        <v>2784</v>
      </c>
      <c r="D126" s="3065" t="s">
        <v>2783</v>
      </c>
      <c r="E126" s="1136"/>
      <c r="F126" s="1136"/>
      <c r="G126" s="1136"/>
      <c r="H126" s="1137"/>
      <c r="I126" s="1137"/>
      <c r="J126" s="1137"/>
      <c r="K126" s="1137"/>
      <c r="L126" s="1185"/>
      <c r="M126" s="1186"/>
      <c r="N126" s="1435"/>
      <c r="O126" s="1435"/>
      <c r="P126" s="1524"/>
      <c r="Q126" s="1437"/>
    </row>
    <row r="127" spans="1:17" s="882" customFormat="1" ht="15">
      <c r="A127" s="1135"/>
      <c r="B127" s="1130"/>
      <c r="C127" s="1138">
        <v>100</v>
      </c>
      <c r="D127" s="1127">
        <v>95</v>
      </c>
      <c r="E127" s="1127"/>
      <c r="F127" s="1127"/>
      <c r="G127" s="1138"/>
      <c r="H127" s="1139"/>
      <c r="I127" s="1139"/>
      <c r="J127" s="1139"/>
      <c r="K127" s="1139"/>
      <c r="L127" s="1139"/>
      <c r="M127" s="1189"/>
      <c r="N127" s="1435"/>
      <c r="O127" s="1435"/>
      <c r="P127" s="1524"/>
      <c r="Q127" s="1437"/>
    </row>
    <row r="128" spans="1:17">
      <c r="A128" s="1159"/>
      <c r="B128" s="1128">
        <f>B45</f>
        <v>111</v>
      </c>
      <c r="C128" s="1136"/>
      <c r="D128" s="1136"/>
      <c r="E128" s="1136"/>
      <c r="F128" s="1136"/>
      <c r="G128" s="1153"/>
      <c r="H128" s="1153"/>
      <c r="I128" s="1153"/>
      <c r="J128" s="1153"/>
      <c r="K128" s="1204"/>
      <c r="L128" s="1205"/>
      <c r="M128" s="1206"/>
      <c r="N128" s="1432"/>
      <c r="O128" s="1432"/>
      <c r="P128" s="1520"/>
      <c r="Q128" s="1427"/>
    </row>
    <row r="129" spans="1:17" ht="15">
      <c r="A129" s="1125"/>
      <c r="B129" s="1130"/>
      <c r="C129" s="1138"/>
      <c r="D129" s="1138"/>
      <c r="E129" s="1138"/>
      <c r="F129" s="1138"/>
      <c r="G129" s="1127"/>
      <c r="H129" s="1127"/>
      <c r="I129" s="1127"/>
      <c r="J129" s="1127"/>
      <c r="K129" s="1127"/>
      <c r="L129" s="1127"/>
      <c r="M129" s="1176"/>
      <c r="N129" s="1434"/>
      <c r="O129" s="1434"/>
      <c r="P129" s="1520"/>
      <c r="Q129" s="1427"/>
    </row>
    <row r="130" spans="1:17">
      <c r="A130" s="1159"/>
      <c r="B130" s="1132">
        <f>B46</f>
        <v>111</v>
      </c>
      <c r="C130" s="1136"/>
      <c r="D130" s="1136"/>
      <c r="E130" s="1136"/>
      <c r="F130" s="1136"/>
      <c r="G130" s="1154"/>
      <c r="H130" s="1154"/>
      <c r="I130" s="1154"/>
      <c r="J130" s="1154"/>
      <c r="K130" s="1120"/>
      <c r="L130" s="1166"/>
      <c r="M130" s="1209"/>
      <c r="N130" s="1432"/>
      <c r="O130" s="1432"/>
      <c r="P130" s="1520"/>
      <c r="Q130" s="1427"/>
    </row>
    <row r="131" spans="1:17" ht="15">
      <c r="A131" s="1438"/>
      <c r="B131" s="1142"/>
      <c r="C131" s="1143"/>
      <c r="D131" s="1143"/>
      <c r="E131" s="1143"/>
      <c r="F131" s="1143"/>
      <c r="G131" s="1155"/>
      <c r="H131" s="1155"/>
      <c r="I131" s="1155"/>
      <c r="J131" s="1155"/>
      <c r="K131" s="1155"/>
      <c r="L131" s="1155"/>
      <c r="M131" s="1210"/>
      <c r="N131" s="1434"/>
      <c r="O131" s="1434"/>
      <c r="P131" s="1520"/>
      <c r="Q131" s="1427"/>
    </row>
    <row r="136" spans="1:17">
      <c r="B136" s="1531" t="s">
        <v>1426</v>
      </c>
    </row>
    <row r="137" spans="1:17" ht="15">
      <c r="B137" s="1532" t="s">
        <v>1427</v>
      </c>
      <c r="C137" s="1533"/>
      <c r="D137" s="1533"/>
      <c r="E137" s="1533"/>
      <c r="F137" s="1533"/>
      <c r="G137" s="1534"/>
      <c r="H137" s="1535"/>
      <c r="I137" s="1558" t="s">
        <v>1428</v>
      </c>
      <c r="J137" s="1533"/>
      <c r="K137" s="1559"/>
    </row>
    <row r="138" spans="1:17" ht="15">
      <c r="B138" s="1536"/>
      <c r="C138" s="1537" t="s">
        <v>1429</v>
      </c>
      <c r="D138" s="1537" t="s">
        <v>1430</v>
      </c>
      <c r="E138" s="1538" t="s">
        <v>1431</v>
      </c>
      <c r="F138" s="1539" t="s">
        <v>1432</v>
      </c>
      <c r="G138" s="1537" t="s">
        <v>1430</v>
      </c>
      <c r="H138" s="1540" t="s">
        <v>1431</v>
      </c>
      <c r="I138" s="1560"/>
      <c r="J138" s="1537" t="s">
        <v>1433</v>
      </c>
      <c r="K138" s="1540" t="s">
        <v>1434</v>
      </c>
    </row>
    <row r="139" spans="1:17" ht="15">
      <c r="B139" s="1541">
        <v>6</v>
      </c>
      <c r="C139" s="1542">
        <v>96</v>
      </c>
      <c r="D139" s="1543" t="s">
        <v>1435</v>
      </c>
      <c r="E139" s="1544">
        <v>100</v>
      </c>
      <c r="F139" s="1545">
        <v>102.5</v>
      </c>
      <c r="G139" s="1543" t="s">
        <v>1435</v>
      </c>
      <c r="H139" s="1546">
        <v>105</v>
      </c>
      <c r="I139" s="1561" t="s">
        <v>1436</v>
      </c>
      <c r="J139" s="1542">
        <v>20</v>
      </c>
      <c r="K139" s="1562">
        <f>C145/(J139-2)</f>
        <v>4.0555555555555553E-3</v>
      </c>
    </row>
    <row r="140" spans="1:17" ht="15">
      <c r="B140" s="1547">
        <v>5</v>
      </c>
      <c r="C140" s="1548">
        <v>100</v>
      </c>
      <c r="D140" s="1548"/>
      <c r="E140" s="1549"/>
      <c r="F140" s="1550">
        <v>102</v>
      </c>
      <c r="G140" s="1548"/>
      <c r="H140" s="1551"/>
      <c r="I140" s="1563" t="s">
        <v>1437</v>
      </c>
      <c r="J140" s="222">
        <f>ROUNDUP((J139-1)/2,0)</f>
        <v>10</v>
      </c>
      <c r="K140" s="1564">
        <v>100</v>
      </c>
    </row>
    <row r="141" spans="1:17" ht="15">
      <c r="B141" s="1547">
        <v>4</v>
      </c>
      <c r="C141" s="1548">
        <v>102</v>
      </c>
      <c r="D141" s="1548"/>
      <c r="E141" s="1549"/>
      <c r="F141" s="1550">
        <v>101.5</v>
      </c>
      <c r="G141" s="1548"/>
      <c r="H141" s="1551"/>
      <c r="I141" s="1563" t="s">
        <v>1438</v>
      </c>
      <c r="J141" s="222">
        <v>1</v>
      </c>
      <c r="K141" s="1565">
        <f>ROUND(100+(J141-J140)*K139*100,1)</f>
        <v>96.4</v>
      </c>
    </row>
    <row r="142" spans="1:17" ht="15">
      <c r="B142" s="1547">
        <v>3</v>
      </c>
      <c r="C142" s="1548">
        <v>103</v>
      </c>
      <c r="D142" s="1548"/>
      <c r="E142" s="1549"/>
      <c r="F142" s="1550">
        <v>101</v>
      </c>
      <c r="G142" s="1548"/>
      <c r="H142" s="1551"/>
      <c r="I142" s="1563" t="s">
        <v>1439</v>
      </c>
      <c r="J142" s="222">
        <f>J139</f>
        <v>20</v>
      </c>
      <c r="K142" s="1566">
        <v>95</v>
      </c>
    </row>
    <row r="143" spans="1:17" ht="15">
      <c r="B143" s="1547">
        <v>2</v>
      </c>
      <c r="C143" s="1548">
        <v>100</v>
      </c>
      <c r="D143" s="1548"/>
      <c r="E143" s="1549"/>
      <c r="F143" s="1550">
        <v>100.5</v>
      </c>
      <c r="G143" s="1548"/>
      <c r="H143" s="1551"/>
      <c r="I143" s="1563" t="s">
        <v>1440</v>
      </c>
      <c r="J143" s="1548">
        <v>15</v>
      </c>
      <c r="K143" s="1565">
        <f>ROUND(100+(J143-J140)*K139*100,1)</f>
        <v>102</v>
      </c>
    </row>
    <row r="144" spans="1:17" ht="15">
      <c r="B144" s="1547">
        <v>1</v>
      </c>
      <c r="C144" s="1548">
        <v>98</v>
      </c>
      <c r="D144" s="1552" t="s">
        <v>1441</v>
      </c>
      <c r="E144" s="1549">
        <v>102</v>
      </c>
      <c r="F144" s="1553">
        <v>100</v>
      </c>
      <c r="G144" s="1552" t="s">
        <v>1441</v>
      </c>
      <c r="H144" s="1551">
        <v>105</v>
      </c>
      <c r="I144" s="1563" t="s">
        <v>1440</v>
      </c>
      <c r="J144" s="1548">
        <v>18</v>
      </c>
      <c r="K144" s="1565">
        <f>ROUND(100+(J144-J140)*K139*100,1)</f>
        <v>103.2</v>
      </c>
    </row>
    <row r="145" spans="2:11" ht="15">
      <c r="B145" s="1554" t="s">
        <v>1442</v>
      </c>
      <c r="C145" s="1555">
        <f>ROUND(MAX(C139:C144)/MIN(C139:C144)-1,3)</f>
        <v>7.2999999999999995E-2</v>
      </c>
      <c r="D145" s="1556"/>
      <c r="E145" s="1556"/>
      <c r="F145" s="1557" t="s">
        <v>1443</v>
      </c>
      <c r="G145" s="1457"/>
      <c r="H145" s="1460"/>
      <c r="I145" s="1567" t="s">
        <v>1440</v>
      </c>
      <c r="J145" s="1568">
        <v>8</v>
      </c>
      <c r="K145" s="1569">
        <f>ROUND(100+(J145-J140)*K139*100,1)</f>
        <v>99.2</v>
      </c>
    </row>
    <row r="147" spans="2:11">
      <c r="B147" s="1531" t="s">
        <v>1444</v>
      </c>
    </row>
    <row r="148" spans="2:11">
      <c r="B148" s="1531" t="s">
        <v>1445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C10 E10 G10 I10" xr:uid="{00000000-0002-0000-1600-000000000000}">
      <formula1>土地年限区间</formula1>
    </dataValidation>
    <dataValidation type="list" allowBlank="1" showInputMessage="1" showErrorMessage="1" sqref="C2" xr:uid="{00000000-0002-0000-1600-000001000000}">
      <formula1>"需扣减承租人权益,——"</formula1>
    </dataValidation>
    <dataValidation type="list" allowBlank="1" showInputMessage="1" showErrorMessage="1" sqref="D1" xr:uid="{00000000-0002-0000-1600-000002000000}">
      <formula1>项目类型</formula1>
    </dataValidation>
    <dataValidation type="list" allowBlank="1" showInputMessage="1" showErrorMessage="1" sqref="C16 E16 G16 I16" xr:uid="{00000000-0002-0000-1600-000003000000}">
      <formula1>居住社区成熟度</formula1>
    </dataValidation>
    <dataValidation type="list" allowBlank="1" showInputMessage="1" showErrorMessage="1" sqref="E9 G9 I9" xr:uid="{00000000-0002-0000-1600-000004000000}">
      <formula1>住宅用途</formula1>
    </dataValidation>
    <dataValidation type="list" allowBlank="1" showInputMessage="1" showErrorMessage="1" sqref="D48" xr:uid="{00000000-0002-0000-1600-000005000000}">
      <formula1>"简单平均,加权平均"</formula1>
    </dataValidation>
    <dataValidation type="list" allowBlank="1" showInputMessage="1" showErrorMessage="1" sqref="F1" xr:uid="{00000000-0002-0000-1600-000006000000}">
      <formula1>"售价,租金"</formula1>
    </dataValidation>
    <dataValidation type="list" allowBlank="1" showInputMessage="1" showErrorMessage="1" sqref="F2" xr:uid="{00000000-0002-0000-1600-000007000000}">
      <formula1>估价方法</formula1>
    </dataValidation>
    <dataValidation type="list" allowBlank="1" showInputMessage="1" showErrorMessage="1" sqref="C8 E8 G8 I8" xr:uid="{00000000-0002-0000-1600-000008000000}">
      <formula1>住宅交易情况</formula1>
    </dataValidation>
    <dataValidation type="list" allowBlank="1" showInputMessage="1" showErrorMessage="1" sqref="C18 E18 G18 I18" xr:uid="{00000000-0002-0000-1600-000009000000}">
      <formula1>交通便捷度</formula1>
    </dataValidation>
    <dataValidation type="list" allowBlank="1" showInputMessage="1" showErrorMessage="1" sqref="C20 E20 G20 I20" xr:uid="{00000000-0002-0000-1600-00000A000000}">
      <formula1>公共配套设施</formula1>
    </dataValidation>
    <dataValidation type="list" allowBlank="1" showInputMessage="1" showErrorMessage="1" sqref="C22 E22 G22 I22" xr:uid="{00000000-0002-0000-1600-00000B000000}">
      <formula1>基础设施水平</formula1>
    </dataValidation>
    <dataValidation type="list" allowBlank="1" showInputMessage="1" showErrorMessage="1" sqref="C36 E36 G36 I36" xr:uid="{00000000-0002-0000-1600-00000C000000}">
      <formula1>住宅公共部分装修</formula1>
    </dataValidation>
    <dataValidation type="list" allowBlank="1" showInputMessage="1" showErrorMessage="1" sqref="C24 E24 G24 I24" xr:uid="{00000000-0002-0000-1600-00000D000000}">
      <formula1>环境</formula1>
    </dataValidation>
    <dataValidation type="list" allowBlank="1" showInputMessage="1" showErrorMessage="1" sqref="C25 E25 G25 I25" xr:uid="{00000000-0002-0000-1600-00000E000000}">
      <formula1>住宅楼层</formula1>
    </dataValidation>
    <dataValidation type="list" allowBlank="1" showInputMessage="1" showErrorMessage="1" sqref="C26 E26 G26 I26" xr:uid="{00000000-0002-0000-1600-00000F000000}">
      <formula1>住宅朝向</formula1>
    </dataValidation>
    <dataValidation type="list" allowBlank="1" showInputMessage="1" showErrorMessage="1" sqref="C32 E32 G32 I32" xr:uid="{00000000-0002-0000-1600-000010000000}">
      <formula1>住宅建筑类型</formula1>
    </dataValidation>
    <dataValidation type="list" allowBlank="1" showInputMessage="1" showErrorMessage="1" sqref="C34 E34 G34 I34" xr:uid="{00000000-0002-0000-1600-000011000000}">
      <formula1>住宅建筑结构</formula1>
    </dataValidation>
    <dataValidation type="list" allowBlank="1" showInputMessage="1" showErrorMessage="1" sqref="C35 E35 G35 I35" xr:uid="{00000000-0002-0000-1600-000012000000}">
      <formula1>住宅建筑品质</formula1>
    </dataValidation>
    <dataValidation type="list" allowBlank="1" showInputMessage="1" showErrorMessage="1" sqref="C38 E38 G38 I38" xr:uid="{00000000-0002-0000-1600-000013000000}">
      <formula1>住宅物业管理</formula1>
    </dataValidation>
    <dataValidation type="list" allowBlank="1" showInputMessage="1" showErrorMessage="1" sqref="C39 E39 G39 I39" xr:uid="{00000000-0002-0000-1600-000014000000}">
      <formula1>住宅基础设施水平</formula1>
    </dataValidation>
    <dataValidation type="list" allowBlank="1" showInputMessage="1" showErrorMessage="1" sqref="C40 E40 G40 I40" xr:uid="{00000000-0002-0000-1600-000015000000}">
      <formula1>住宅房型</formula1>
    </dataValidation>
    <dataValidation type="list" allowBlank="1" showInputMessage="1" showErrorMessage="1" sqref="C42 E42 G42 I42" xr:uid="{00000000-0002-0000-1600-000016000000}">
      <formula1>住宅内部装修</formula1>
    </dataValidation>
    <dataValidation type="list" allowBlank="1" showInputMessage="1" showErrorMessage="1" sqref="C43 E43 G43 I43" xr:uid="{00000000-0002-0000-16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tabSelected="1" view="pageBreakPreview" topLeftCell="A4" zoomScaleNormal="70" zoomScaleSheetLayoutView="100" workbookViewId="0">
      <selection activeCell="B40" sqref="B40"/>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5.125" style="1625" customWidth="1"/>
    <col min="12" max="12" width="16.375" style="137" customWidth="1"/>
    <col min="13" max="13" width="13" style="137"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7"/>
  </cols>
  <sheetData>
    <row r="1" spans="1:37" s="1623" customFormat="1" ht="21">
      <c r="A1" s="1626" t="s">
        <v>1083</v>
      </c>
      <c r="B1" s="1101"/>
      <c r="C1" s="1627" t="s">
        <v>465</v>
      </c>
      <c r="D1" s="1628" t="s">
        <v>2776</v>
      </c>
      <c r="E1" s="1629" t="s">
        <v>1084</v>
      </c>
      <c r="F1" s="1630">
        <f ca="1">J53</f>
        <v>38.33</v>
      </c>
      <c r="G1" s="1631">
        <f>MATCH(C1,'数据-取费表'!A6:A16,0)+5</f>
        <v>7</v>
      </c>
      <c r="H1" s="1632"/>
      <c r="I1" s="1795"/>
      <c r="J1" s="1795"/>
      <c r="K1" s="1796"/>
      <c r="L1" s="1795"/>
      <c r="M1" s="1795"/>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row>
    <row r="2" spans="1:37" ht="18" customHeight="1">
      <c r="A2" s="1633" t="s">
        <v>1085</v>
      </c>
      <c r="B2" s="1634">
        <f ca="1">C40+J29+L46</f>
        <v>3804</v>
      </c>
      <c r="C2" s="1635" t="s">
        <v>1086</v>
      </c>
      <c r="D2" s="1635"/>
      <c r="E2" s="1637"/>
      <c r="F2" s="1638"/>
      <c r="G2" s="1639"/>
      <c r="H2" s="1640"/>
      <c r="I2" s="1640"/>
      <c r="J2" s="1640"/>
      <c r="K2" s="1798"/>
      <c r="L2" s="1640"/>
      <c r="M2" s="1640"/>
    </row>
    <row r="3" spans="1:37" ht="18" customHeight="1">
      <c r="A3" s="1641" t="s">
        <v>1087</v>
      </c>
      <c r="B3" s="1642">
        <f ca="1">IF(ISERROR(B2*10000/F43),0,ROUND(B2*10000/F43,0))</f>
        <v>42764</v>
      </c>
      <c r="C3" s="1635" t="s">
        <v>1088</v>
      </c>
      <c r="D3" s="1635"/>
      <c r="E3" s="1637"/>
      <c r="F3" s="1638"/>
      <c r="G3" s="1639"/>
      <c r="H3" s="1643" t="s">
        <v>1089</v>
      </c>
      <c r="I3" s="1799"/>
      <c r="J3" s="1799"/>
      <c r="K3" s="1800"/>
      <c r="L3" s="1799"/>
      <c r="M3" s="1799"/>
    </row>
    <row r="4" spans="1:37" ht="18" customHeight="1">
      <c r="A4" s="1644" t="s">
        <v>1090</v>
      </c>
      <c r="B4" s="1645" t="s">
        <v>1091</v>
      </c>
      <c r="C4" s="1645" t="s">
        <v>1092</v>
      </c>
      <c r="D4" s="1645" t="s">
        <v>1093</v>
      </c>
      <c r="E4" s="1646" t="s">
        <v>1094</v>
      </c>
      <c r="F4" s="1647"/>
      <c r="G4" s="748"/>
      <c r="H4" s="1644" t="s">
        <v>1090</v>
      </c>
      <c r="I4" s="1645" t="s">
        <v>1091</v>
      </c>
      <c r="J4" s="1645" t="s">
        <v>1092</v>
      </c>
      <c r="K4" s="1645" t="s">
        <v>1093</v>
      </c>
      <c r="L4" s="1646" t="s">
        <v>1094</v>
      </c>
      <c r="M4" s="1647"/>
    </row>
    <row r="5" spans="1:37" ht="18" customHeight="1">
      <c r="A5" s="1648">
        <v>1</v>
      </c>
      <c r="B5" s="1649" t="s">
        <v>1095</v>
      </c>
      <c r="C5" s="1650">
        <f ca="1">C6+C10+C12</f>
        <v>234</v>
      </c>
      <c r="D5" s="1651" t="s">
        <v>1096</v>
      </c>
      <c r="E5" s="1652"/>
      <c r="F5" s="1653"/>
      <c r="G5" s="748"/>
      <c r="H5" s="1648">
        <v>1</v>
      </c>
      <c r="I5" s="1649" t="s">
        <v>1095</v>
      </c>
      <c r="J5" s="1650">
        <f ca="1">J6+J10+J12</f>
        <v>0</v>
      </c>
      <c r="K5" s="1651" t="s">
        <v>1096</v>
      </c>
      <c r="L5" s="1652"/>
      <c r="M5" s="1653"/>
    </row>
    <row r="6" spans="1:37" ht="18" customHeight="1">
      <c r="A6" s="1654" t="s">
        <v>836</v>
      </c>
      <c r="B6" s="3324" t="s">
        <v>1097</v>
      </c>
      <c r="C6" s="1655">
        <f ca="1">ROUND(F6*F8*F7*(1-F9)/10000,0)</f>
        <v>234</v>
      </c>
      <c r="D6" s="1656" t="s">
        <v>1098</v>
      </c>
      <c r="E6" s="1657" t="s">
        <v>1099</v>
      </c>
      <c r="F6" s="1658">
        <f ca="1">INDIRECT("'数据-取费表'!u"&amp;$G$1)</f>
        <v>8</v>
      </c>
      <c r="G6" s="748"/>
      <c r="H6" s="1654" t="s">
        <v>836</v>
      </c>
      <c r="I6" s="3324" t="s">
        <v>1097</v>
      </c>
      <c r="J6" s="1729">
        <f ca="1">ROUND(M6*M8*M7*(1-M9)/10000,0)</f>
        <v>0</v>
      </c>
      <c r="K6" s="1656" t="s">
        <v>1100</v>
      </c>
      <c r="L6" s="1657" t="s">
        <v>1099</v>
      </c>
      <c r="M6" s="1658">
        <f ca="1">INDIRECT("'数据-取费表'!z"&amp;$G$1)</f>
        <v>0</v>
      </c>
    </row>
    <row r="7" spans="1:37" ht="18" customHeight="1">
      <c r="A7" s="1659"/>
      <c r="B7" s="3325"/>
      <c r="C7" s="1660"/>
      <c r="D7" s="1661"/>
      <c r="E7" s="1662" t="s">
        <v>1101</v>
      </c>
      <c r="F7" s="1658">
        <f ca="1">IF(INDIRECT("'数据-取费表'!ah"&amp;$G$1)="",INDIRECT("'数据-取费表'!k"&amp;$G$1),INDIRECT("'数据-取费表'!ah"&amp;$G$1))</f>
        <v>889.53</v>
      </c>
      <c r="G7" s="748"/>
      <c r="H7" s="1663"/>
      <c r="I7" s="3325"/>
      <c r="J7" s="1664"/>
      <c r="K7" s="1661"/>
      <c r="L7" s="1657" t="s">
        <v>1101</v>
      </c>
      <c r="M7" s="1658">
        <f ca="1">F7</f>
        <v>889.53</v>
      </c>
    </row>
    <row r="8" spans="1:37" ht="18" customHeight="1">
      <c r="A8" s="1663"/>
      <c r="B8" s="3325"/>
      <c r="C8" s="1664"/>
      <c r="D8" s="1661"/>
      <c r="E8" s="1657" t="s">
        <v>1102</v>
      </c>
      <c r="F8" s="1658">
        <f ca="1">INDIRECT("'数据-取费表'!ai"&amp;$G$1)</f>
        <v>365</v>
      </c>
      <c r="G8" s="748"/>
      <c r="H8" s="1663"/>
      <c r="I8" s="3325"/>
      <c r="J8" s="1664"/>
      <c r="K8" s="1661"/>
      <c r="L8" s="1657" t="s">
        <v>1102</v>
      </c>
      <c r="M8" s="1658">
        <f ca="1">INDIRECT("'数据-取费表'!ai"&amp;$G$1)</f>
        <v>365</v>
      </c>
    </row>
    <row r="9" spans="1:37" ht="18" customHeight="1">
      <c r="A9" s="1663"/>
      <c r="B9" s="3326"/>
      <c r="C9" s="1664"/>
      <c r="D9" s="1661"/>
      <c r="E9" s="1657" t="s">
        <v>1103</v>
      </c>
      <c r="F9" s="1665">
        <f ca="1">INDIRECT("'数据-取费表'!w"&amp;$G$1)</f>
        <v>0.1</v>
      </c>
      <c r="G9" s="748"/>
      <c r="H9" s="1663"/>
      <c r="I9" s="3326"/>
      <c r="J9" s="1664"/>
      <c r="K9" s="1661"/>
      <c r="L9" s="1668" t="s">
        <v>1103</v>
      </c>
      <c r="M9" s="1673">
        <f ca="1">INDIRECT("'数据-取费表'!ab"&amp;$G$1)</f>
        <v>0</v>
      </c>
    </row>
    <row r="10" spans="1:37" ht="18" customHeight="1">
      <c r="A10" s="1654" t="s">
        <v>840</v>
      </c>
      <c r="B10" s="1666" t="s">
        <v>1104</v>
      </c>
      <c r="C10" s="287">
        <f ca="1">ROUND(IF(F10="押一",C6/12*F11,IF(F10="押二",C6/12*2*F11,IF(F10="押三",C6/12*3*F11,C11*F11))),0)</f>
        <v>0</v>
      </c>
      <c r="D10" s="1667" t="s">
        <v>1105</v>
      </c>
      <c r="E10" s="1668" t="s">
        <v>1106</v>
      </c>
      <c r="F10" s="1669" t="s">
        <v>2777</v>
      </c>
      <c r="G10" s="748"/>
      <c r="H10" s="1654" t="s">
        <v>840</v>
      </c>
      <c r="I10" s="1666" t="s">
        <v>1104</v>
      </c>
      <c r="J10" s="1729">
        <f ca="1">ROUND(IF(M10="押一",J6/12*M11,IF(M10="押二",J6/12*2*M11,IF(M10="押三",J6/12*3*M11,J11*M11))),0)</f>
        <v>0</v>
      </c>
      <c r="K10" s="1667" t="s">
        <v>1105</v>
      </c>
      <c r="L10" s="1668" t="s">
        <v>1106</v>
      </c>
      <c r="M10" s="1669" t="s">
        <v>1107</v>
      </c>
    </row>
    <row r="11" spans="1:37" ht="18" customHeight="1">
      <c r="A11" s="1670"/>
      <c r="B11" s="1671" t="s">
        <v>1108</v>
      </c>
      <c r="C11" s="1672"/>
      <c r="D11" s="1904"/>
      <c r="E11" s="1668" t="s">
        <v>1109</v>
      </c>
      <c r="F11" s="1673">
        <f ca="1">'数据-取费表'!B39</f>
        <v>1.4999999999999999E-2</v>
      </c>
      <c r="G11" s="748"/>
      <c r="H11" s="1674"/>
      <c r="I11" s="1671" t="s">
        <v>1108</v>
      </c>
      <c r="J11" s="1672"/>
      <c r="K11" s="1803"/>
      <c r="L11" s="1668" t="s">
        <v>1109</v>
      </c>
      <c r="M11" s="1804">
        <f ca="1">'数据-取费表'!B39</f>
        <v>1.4999999999999999E-2</v>
      </c>
    </row>
    <row r="12" spans="1:37" ht="18" customHeight="1">
      <c r="A12" s="1675" t="s">
        <v>885</v>
      </c>
      <c r="B12" s="1676" t="s">
        <v>1110</v>
      </c>
      <c r="C12" s="1677"/>
      <c r="D12" s="1678"/>
      <c r="E12" s="1679"/>
      <c r="F12" s="1680"/>
      <c r="G12" s="748"/>
      <c r="H12" s="1675" t="s">
        <v>885</v>
      </c>
      <c r="I12" s="1676" t="s">
        <v>1110</v>
      </c>
      <c r="J12" s="1677"/>
      <c r="K12" s="1805"/>
      <c r="L12" s="1679"/>
      <c r="M12" s="1806"/>
    </row>
    <row r="13" spans="1:37" ht="18" customHeight="1">
      <c r="A13" s="1681">
        <v>2</v>
      </c>
      <c r="B13" s="1682" t="s">
        <v>1111</v>
      </c>
      <c r="C13" s="1683">
        <f ca="1">ROUND(C29*F13,0)</f>
        <v>1079</v>
      </c>
      <c r="D13" s="1684" t="s">
        <v>1112</v>
      </c>
      <c r="E13" s="1684" t="s">
        <v>1113</v>
      </c>
      <c r="F13" s="1685">
        <f ca="1">INDIRECT("'数据-取费表'!y"&amp;$G$1)</f>
        <v>1</v>
      </c>
      <c r="G13" s="748"/>
      <c r="H13" s="1681">
        <v>2</v>
      </c>
      <c r="I13" s="1682" t="s">
        <v>1111</v>
      </c>
      <c r="J13" s="1807">
        <f ca="1">ROUND(J14*J15,0)</f>
        <v>0</v>
      </c>
      <c r="K13" s="1707" t="s">
        <v>1112</v>
      </c>
      <c r="L13" s="1808"/>
      <c r="M13" s="1809"/>
    </row>
    <row r="14" spans="1:37" ht="18" customHeight="1">
      <c r="A14" s="1686" t="s">
        <v>859</v>
      </c>
      <c r="B14" s="1657" t="s">
        <v>1114</v>
      </c>
      <c r="C14" s="1687">
        <f ca="1">INDIRECT("'数据-取费表'!m"&amp;$G$1)+INDIRECT("'数据-取费表'!t"&amp;$G$1)</f>
        <v>712</v>
      </c>
      <c r="D14" s="1688" t="s">
        <v>1115</v>
      </c>
      <c r="E14" s="1689"/>
      <c r="F14" s="1690"/>
      <c r="G14" s="748"/>
      <c r="H14" s="1686" t="s">
        <v>836</v>
      </c>
      <c r="I14" s="1657" t="s">
        <v>1116</v>
      </c>
      <c r="J14" s="288">
        <f ca="1">C29</f>
        <v>1079</v>
      </c>
      <c r="K14" s="1810"/>
      <c r="L14" s="1811"/>
      <c r="M14" s="1812"/>
    </row>
    <row r="15" spans="1:37" s="1624" customFormat="1" ht="18" customHeight="1">
      <c r="A15" s="1686" t="s">
        <v>863</v>
      </c>
      <c r="B15" s="1657" t="s">
        <v>1044</v>
      </c>
      <c r="C15" s="288">
        <f ca="1">ROUND(C14*F15,0)</f>
        <v>36</v>
      </c>
      <c r="D15" s="1691" t="s">
        <v>1117</v>
      </c>
      <c r="E15" s="1691" t="s">
        <v>1118</v>
      </c>
      <c r="F15" s="1692">
        <f>'数据-取费表'!B33</f>
        <v>0.05</v>
      </c>
      <c r="G15" s="1693"/>
      <c r="H15" s="1694" t="s">
        <v>840</v>
      </c>
      <c r="I15" s="1679" t="s">
        <v>1113</v>
      </c>
      <c r="J15" s="1806">
        <f ca="1">INDIRECT("'数据-取费表'!ad"&amp;$G$1)</f>
        <v>0</v>
      </c>
      <c r="K15" s="1813"/>
      <c r="L15" s="1814"/>
      <c r="M15" s="1815"/>
      <c r="N15" s="1693"/>
      <c r="O15" s="1693"/>
      <c r="P15" s="1693"/>
      <c r="Q15" s="1693"/>
      <c r="R15" s="1693"/>
      <c r="S15" s="1693"/>
      <c r="T15" s="1693"/>
      <c r="U15" s="1693"/>
      <c r="V15" s="1693"/>
      <c r="W15" s="1693"/>
      <c r="X15" s="1693"/>
      <c r="Y15" s="1693"/>
      <c r="Z15" s="1693"/>
      <c r="AA15" s="1693"/>
      <c r="AB15" s="1693"/>
      <c r="AC15" s="1693"/>
      <c r="AD15" s="1693"/>
      <c r="AE15" s="1693"/>
      <c r="AF15" s="1693"/>
      <c r="AG15" s="1693"/>
      <c r="AH15" s="1693"/>
      <c r="AI15" s="1693"/>
      <c r="AJ15" s="1693"/>
      <c r="AK15" s="1693"/>
    </row>
    <row r="16" spans="1:37" ht="18" customHeight="1">
      <c r="A16" s="1686" t="s">
        <v>866</v>
      </c>
      <c r="B16" s="1657" t="s">
        <v>1047</v>
      </c>
      <c r="C16" s="288">
        <f ca="1">ROUND(INDIRECT("'数据-取费表'!m"&amp;$G$1)*F16,0)</f>
        <v>0</v>
      </c>
      <c r="D16" s="1657" t="s">
        <v>1117</v>
      </c>
      <c r="E16" s="1657" t="s">
        <v>1118</v>
      </c>
      <c r="F16" s="1695">
        <f ca="1">IF(INDIRECT("'数据-取费表'!c"&amp;$G$1)="住宅",'数据-取费表'!B34,0)</f>
        <v>0</v>
      </c>
      <c r="G16" s="748"/>
      <c r="H16" s="1681" t="s">
        <v>1119</v>
      </c>
      <c r="I16" s="1682" t="s">
        <v>1120</v>
      </c>
      <c r="J16" s="1683">
        <f ca="1">ROUND(J17+J22+J23+J24,0)</f>
        <v>25</v>
      </c>
      <c r="K16" s="1707" t="s">
        <v>1121</v>
      </c>
      <c r="L16" s="1708"/>
      <c r="M16" s="1653"/>
    </row>
    <row r="17" spans="1:37" s="1624" customFormat="1" ht="18" customHeight="1">
      <c r="A17" s="1686" t="s">
        <v>1122</v>
      </c>
      <c r="B17" s="1657" t="s">
        <v>1123</v>
      </c>
      <c r="C17" s="288">
        <f ca="1">ROUND(F17*(F43+INDIRECT("'数据-取费表'!S"&amp;$G$1))/10000,0)</f>
        <v>18</v>
      </c>
      <c r="D17" s="1657" t="s">
        <v>1124</v>
      </c>
      <c r="E17" s="1657" t="s">
        <v>1125</v>
      </c>
      <c r="F17" s="1696">
        <f>'数据-取费表'!B35</f>
        <v>200</v>
      </c>
      <c r="G17" s="1693"/>
      <c r="H17" s="1686" t="s">
        <v>836</v>
      </c>
      <c r="I17" s="1657" t="s">
        <v>1126</v>
      </c>
      <c r="J17" s="1710">
        <f ca="1">ROUND(IF(AND(项目基本情况!B11="自然人",项目基本情况!B10="北京市"),J6*M17/(1+'数据-取费表'!C42),J18+J19+J20),0)</f>
        <v>9</v>
      </c>
      <c r="K17" s="1688" t="s">
        <v>1127</v>
      </c>
      <c r="L17" s="1711" t="s">
        <v>1128</v>
      </c>
      <c r="M17" s="1712" t="str">
        <f>IF(项目基本情况!B11="企业","",IF('数据-取费表'!B10="住宅",IF(M6*M7*M8/12/(1+'数据-取费表'!F30)&gt;100000,4%,2.5%),IF(M6*M7*M8/12/(1+'数据-取费表'!F30)&gt;100000,12%,7%)))</f>
        <v/>
      </c>
      <c r="N17" s="1693"/>
      <c r="O17" s="1693"/>
      <c r="P17" s="1693"/>
      <c r="Q17" s="1693"/>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pans="1:37" s="1624" customFormat="1" ht="18" customHeight="1">
      <c r="A18" s="1686" t="s">
        <v>1129</v>
      </c>
      <c r="B18" s="1657" t="s">
        <v>1053</v>
      </c>
      <c r="C18" s="288">
        <f ca="1">ROUND(C14*F18,0)</f>
        <v>11</v>
      </c>
      <c r="D18" s="1657" t="s">
        <v>1117</v>
      </c>
      <c r="E18" s="1657" t="s">
        <v>1118</v>
      </c>
      <c r="F18" s="1695">
        <f>'数据-取费表'!B36</f>
        <v>1.4999999999999999E-2</v>
      </c>
      <c r="G18" s="1693"/>
      <c r="H18" s="1686" t="s">
        <v>859</v>
      </c>
      <c r="I18" s="1657" t="s">
        <v>1130</v>
      </c>
      <c r="J18" s="288">
        <f ca="1">ROUND(J6*M18/(1+'数据-取费表'!C42),2)</f>
        <v>0</v>
      </c>
      <c r="K18" s="1711" t="s">
        <v>1131</v>
      </c>
      <c r="L18" s="1657" t="s">
        <v>1118</v>
      </c>
      <c r="M18" s="1695">
        <f>'数据-取费表'!B41</f>
        <v>5.6000000000000001E-2</v>
      </c>
      <c r="N18" s="1693"/>
      <c r="O18" s="1693"/>
      <c r="P18" s="1693"/>
      <c r="Q18" s="1693"/>
      <c r="R18" s="1693"/>
      <c r="S18" s="1693"/>
      <c r="T18" s="1693"/>
      <c r="U18" s="1693"/>
      <c r="V18" s="1693"/>
      <c r="W18" s="1693"/>
      <c r="X18" s="1693"/>
      <c r="Y18" s="1693"/>
      <c r="Z18" s="1693"/>
      <c r="AA18" s="1693"/>
      <c r="AB18" s="1693"/>
      <c r="AC18" s="1693"/>
      <c r="AD18" s="1693"/>
      <c r="AE18" s="1693"/>
      <c r="AF18" s="1693"/>
      <c r="AG18" s="1693"/>
      <c r="AH18" s="1693"/>
      <c r="AI18" s="1693"/>
      <c r="AJ18" s="1693"/>
      <c r="AK18" s="1693"/>
    </row>
    <row r="19" spans="1:37" ht="18" customHeight="1">
      <c r="A19" s="1686" t="s">
        <v>836</v>
      </c>
      <c r="B19" s="1657" t="s">
        <v>1132</v>
      </c>
      <c r="C19" s="288">
        <f ca="1">SUM(C14:C18)</f>
        <v>777</v>
      </c>
      <c r="D19" s="1697" t="s">
        <v>1133</v>
      </c>
      <c r="E19" s="290"/>
      <c r="F19" s="1696"/>
      <c r="G19" s="748"/>
      <c r="H19" s="1686" t="s">
        <v>863</v>
      </c>
      <c r="I19" s="1657" t="s">
        <v>1134</v>
      </c>
      <c r="J19" s="288">
        <f ca="1">IF(K19="按租金收入计税",ROUND(J6*M19/(1+'数据-取费表'!C42),2),ROUND(C29*M19*0.7,2))</f>
        <v>9.06</v>
      </c>
      <c r="K19" s="1714" t="s">
        <v>1135</v>
      </c>
      <c r="L19" s="1657" t="s">
        <v>1118</v>
      </c>
      <c r="M19" s="1695">
        <f>IF(K19="按租金收入计税",'数据-取费表'!B51,'数据-取费表'!B50)</f>
        <v>1.2E-2</v>
      </c>
    </row>
    <row r="20" spans="1:37" s="1624" customFormat="1" ht="18" customHeight="1">
      <c r="A20" s="1686" t="s">
        <v>840</v>
      </c>
      <c r="B20" s="1657" t="s">
        <v>1136</v>
      </c>
      <c r="C20" s="288">
        <f ca="1">ROUND(C19*F20,0)</f>
        <v>23</v>
      </c>
      <c r="D20" s="1698" t="s">
        <v>1137</v>
      </c>
      <c r="E20" s="1657" t="s">
        <v>1118</v>
      </c>
      <c r="F20" s="1695">
        <f>'数据-取费表'!B37</f>
        <v>0.03</v>
      </c>
      <c r="G20" s="1693"/>
      <c r="H20" s="1686" t="s">
        <v>866</v>
      </c>
      <c r="I20" s="1656" t="s">
        <v>1138</v>
      </c>
      <c r="J20" s="1716">
        <f ca="1">ROUND(M20*M21/10000,2)</f>
        <v>0.32</v>
      </c>
      <c r="K20" s="1717" t="s">
        <v>1139</v>
      </c>
      <c r="L20" s="1657" t="s">
        <v>1140</v>
      </c>
      <c r="M20" s="1701">
        <f>'数据-取费表'!B52</f>
        <v>12</v>
      </c>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pans="1:37" s="1624" customFormat="1" ht="18" customHeight="1">
      <c r="A21" s="1686" t="s">
        <v>885</v>
      </c>
      <c r="B21" s="1657" t="s">
        <v>1141</v>
      </c>
      <c r="C21" s="288" t="s">
        <v>124</v>
      </c>
      <c r="D21" s="1698" t="s">
        <v>1142</v>
      </c>
      <c r="E21" s="1657" t="s">
        <v>1143</v>
      </c>
      <c r="F21" s="1695">
        <f>'数据-取费表'!B38</f>
        <v>0.02</v>
      </c>
      <c r="G21" s="1693"/>
      <c r="H21" s="1699"/>
      <c r="I21" s="1816"/>
      <c r="J21" s="1720"/>
      <c r="K21" s="1721"/>
      <c r="L21" s="1657" t="s">
        <v>1144</v>
      </c>
      <c r="M21" s="1658">
        <f ca="1">INDIRECT("'数据-取费表'!r"&amp;$G$1)</f>
        <v>264.45</v>
      </c>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row>
    <row r="22" spans="1:37" ht="18" customHeight="1">
      <c r="A22" s="1686" t="s">
        <v>888</v>
      </c>
      <c r="B22" s="1657" t="s">
        <v>1145</v>
      </c>
      <c r="C22" s="288"/>
      <c r="D22" s="1697" t="str">
        <f>IF(F23&lt;=1,"单利计息。","复利计息。")&amp;"建造成本、管理费用、销售费用产生的利息。"</f>
        <v>复利计息。建造成本、管理费用、销售费用产生的利息。</v>
      </c>
      <c r="E22" s="290"/>
      <c r="F22" s="1696"/>
      <c r="G22" s="748"/>
      <c r="H22" s="1686" t="s">
        <v>840</v>
      </c>
      <c r="I22" s="1657" t="s">
        <v>1146</v>
      </c>
      <c r="J22" s="288">
        <f ca="1">ROUND(J14*M22,1)</f>
        <v>16.2</v>
      </c>
      <c r="K22" s="1711" t="s">
        <v>1147</v>
      </c>
      <c r="L22" s="1657" t="s">
        <v>1118</v>
      </c>
      <c r="M22" s="1723">
        <f ca="1">INDIRECT("'数据-取费表'!Ak"&amp;$G$1)</f>
        <v>1.4999999999999999E-2</v>
      </c>
    </row>
    <row r="23" spans="1:37" s="1624" customFormat="1" ht="18" customHeight="1">
      <c r="A23" s="1686" t="s">
        <v>859</v>
      </c>
      <c r="B23" s="1657" t="s">
        <v>1148</v>
      </c>
      <c r="C23" s="288">
        <f ca="1">IF('数据-取费表'!B22&lt;=1,ROUND(C19*F24*F23/2,0)+ROUND(C20*F24*F23/2,0),ROUND(C19*(POWER((1+F24),F23/2)-1),0)+ROUND(C20*(POWER((1+F24),F23/2)-1),0))</f>
        <v>35</v>
      </c>
      <c r="D23" s="1700" t="str">
        <f>IF(F23&lt;=1,"(建造成本+管理费用)×利率×(建设周期÷2)","(建造成本+管理费用)×((1+利率)^(建设周期÷2)-1)")</f>
        <v>(建造成本+管理费用)×((1+利率)^(建设周期÷2)-1)</v>
      </c>
      <c r="E23" s="1657" t="s">
        <v>1149</v>
      </c>
      <c r="F23" s="1701">
        <f>'数据-取费表'!B20</f>
        <v>2</v>
      </c>
      <c r="G23" s="1693"/>
      <c r="H23" s="1686" t="s">
        <v>885</v>
      </c>
      <c r="I23" s="1657" t="s">
        <v>1150</v>
      </c>
      <c r="J23" s="288">
        <f ca="1">ROUND(J13*M23,1)</f>
        <v>0</v>
      </c>
      <c r="K23" s="1711" t="s">
        <v>1151</v>
      </c>
      <c r="L23" s="1657" t="s">
        <v>1118</v>
      </c>
      <c r="M23" s="1724">
        <f ca="1">INDIRECT("'数据-取费表'!Al"&amp;$G$1)</f>
        <v>2E-3</v>
      </c>
      <c r="N23" s="1693"/>
      <c r="O23" s="1693"/>
      <c r="P23" s="1693"/>
      <c r="Q23" s="1693"/>
      <c r="R23" s="1693"/>
      <c r="S23" s="1693"/>
      <c r="T23" s="1693"/>
      <c r="U23" s="1693"/>
      <c r="V23" s="1693"/>
      <c r="W23" s="1693"/>
      <c r="X23" s="1693"/>
      <c r="Y23" s="1693"/>
      <c r="Z23" s="1693"/>
      <c r="AA23" s="1693"/>
      <c r="AB23" s="1693"/>
      <c r="AC23" s="1693"/>
      <c r="AD23" s="1693"/>
      <c r="AE23" s="1693"/>
      <c r="AF23" s="1693"/>
      <c r="AG23" s="1693"/>
      <c r="AH23" s="1693"/>
      <c r="AI23" s="1693"/>
      <c r="AJ23" s="1693"/>
      <c r="AK23" s="1693"/>
    </row>
    <row r="24" spans="1:37" s="1624" customFormat="1" ht="18" customHeight="1">
      <c r="A24" s="1686" t="s">
        <v>863</v>
      </c>
      <c r="B24" s="1657" t="s">
        <v>1152</v>
      </c>
      <c r="C24" s="288">
        <f ca="1">ROUND(IF('数据-取费表'!B22&lt;=1,F21*F24*F23/2,F21*(POWER((1+F24),F23/2)-1)),4)</f>
        <v>8.9999999999999998E-4</v>
      </c>
      <c r="D24" s="1700" t="str">
        <f>IF(F23&lt;=1,"销售费用×利率×(建设周期÷2)","销售费用×((1+利率)^(建设周期÷2)-1)")</f>
        <v>销售费用×((1+利率)^(建设周期÷2)-1)</v>
      </c>
      <c r="E24" s="1657" t="s">
        <v>1153</v>
      </c>
      <c r="F24" s="1702">
        <f ca="1">'数据-取费表'!B40</f>
        <v>4.3499999999999997E-2</v>
      </c>
      <c r="G24" s="1693"/>
      <c r="H24" s="1694" t="s">
        <v>888</v>
      </c>
      <c r="I24" s="1679" t="s">
        <v>1136</v>
      </c>
      <c r="J24" s="1703">
        <f ca="1">ROUND(J5*M24,1)</f>
        <v>0</v>
      </c>
      <c r="K24" s="1704" t="s">
        <v>1154</v>
      </c>
      <c r="L24" s="1679" t="s">
        <v>1118</v>
      </c>
      <c r="M24" s="1680">
        <f ca="1">INDIRECT("'数据-取费表'!Am"&amp;$G$1)</f>
        <v>0.02</v>
      </c>
      <c r="N24" s="1693"/>
      <c r="O24" s="1693"/>
      <c r="P24" s="1693"/>
      <c r="Q24" s="1693"/>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spans="1:37" ht="24" customHeight="1">
      <c r="A25" s="1686" t="s">
        <v>892</v>
      </c>
      <c r="B25" s="1657" t="s">
        <v>1155</v>
      </c>
      <c r="C25" s="288"/>
      <c r="D25" s="1697" t="s">
        <v>1156</v>
      </c>
      <c r="E25" s="290"/>
      <c r="F25" s="1696"/>
      <c r="G25" s="748"/>
      <c r="H25" s="1681" t="s">
        <v>1157</v>
      </c>
      <c r="I25" s="1725" t="s">
        <v>1158</v>
      </c>
      <c r="J25" s="1683">
        <f ca="1">J5-J16</f>
        <v>-25</v>
      </c>
      <c r="K25" s="1726" t="s">
        <v>1159</v>
      </c>
      <c r="L25" s="1727"/>
      <c r="M25" s="1728"/>
    </row>
    <row r="26" spans="1:37">
      <c r="A26" s="1686" t="s">
        <v>859</v>
      </c>
      <c r="B26" s="1657" t="s">
        <v>1160</v>
      </c>
      <c r="C26" s="288">
        <f ca="1">ROUND((C19+C20)*F26,0)</f>
        <v>160</v>
      </c>
      <c r="D26" s="1698" t="s">
        <v>1161</v>
      </c>
      <c r="E26" s="1668" t="s">
        <v>1162</v>
      </c>
      <c r="F26" s="1665">
        <f ca="1">INDIRECT("'数据-取费表'!q"&amp;$G$1)</f>
        <v>0.2</v>
      </c>
      <c r="G26" s="748"/>
      <c r="H26" s="1648" t="s">
        <v>1163</v>
      </c>
      <c r="I26" s="1649" t="s">
        <v>1164</v>
      </c>
      <c r="J26" s="1729">
        <f ca="1">IF(J5&lt;&gt;0,ROUND(J25*(1-((1+M28)/(1+M26))^M27)/(M26-M28),0),0)</f>
        <v>0</v>
      </c>
      <c r="K26" s="1717" t="s">
        <v>1165</v>
      </c>
      <c r="L26" s="1657" t="s">
        <v>1166</v>
      </c>
      <c r="M26" s="1665">
        <f ca="1">INDIRECT("'数据-取费表'!I"&amp;$G$1)</f>
        <v>0.06</v>
      </c>
    </row>
    <row r="27" spans="1:37" ht="18" customHeight="1">
      <c r="A27" s="1686" t="s">
        <v>863</v>
      </c>
      <c r="B27" s="1657" t="s">
        <v>1167</v>
      </c>
      <c r="C27" s="288">
        <f ca="1">ROUND(F21*F26,4)</f>
        <v>4.0000000000000001E-3</v>
      </c>
      <c r="D27" s="1698" t="s">
        <v>1168</v>
      </c>
      <c r="E27" s="1691"/>
      <c r="F27" s="1692"/>
      <c r="G27" s="748"/>
      <c r="H27" s="1663"/>
      <c r="I27" s="1731"/>
      <c r="J27" s="1664"/>
      <c r="K27" s="1732" t="s">
        <v>1169</v>
      </c>
      <c r="L27" s="1657" t="s">
        <v>1170</v>
      </c>
      <c r="M27" s="1733">
        <f ca="1">INDIRECT("'数据-取费表'!ag"&amp;$G$1)</f>
        <v>0</v>
      </c>
    </row>
    <row r="28" spans="1:37" s="1624" customFormat="1" ht="18" customHeight="1">
      <c r="A28" s="1686" t="s">
        <v>893</v>
      </c>
      <c r="B28" s="1657" t="s">
        <v>1171</v>
      </c>
      <c r="C28" s="288">
        <f>ROUND(F28/(1+'数据-取费表'!C42),4)</f>
        <v>5.33E-2</v>
      </c>
      <c r="D28" s="1698" t="s">
        <v>1172</v>
      </c>
      <c r="E28" s="1657" t="s">
        <v>1118</v>
      </c>
      <c r="F28" s="1695">
        <f>'数据-取费表'!B41</f>
        <v>5.6000000000000001E-2</v>
      </c>
      <c r="G28" s="1693"/>
      <c r="H28" s="1670"/>
      <c r="I28" s="1735"/>
      <c r="J28" s="1683"/>
      <c r="K28" s="1721"/>
      <c r="L28" s="1657" t="s">
        <v>1173</v>
      </c>
      <c r="M28" s="1665">
        <f ca="1">INDIRECT("'数据-取费表'!aa"&amp;$G$1)</f>
        <v>0</v>
      </c>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row>
    <row r="29" spans="1:37" s="1624" customFormat="1" ht="18" customHeight="1">
      <c r="A29" s="1694" t="s">
        <v>1078</v>
      </c>
      <c r="B29" s="1679" t="s">
        <v>1174</v>
      </c>
      <c r="C29" s="1703">
        <f ca="1">ROUND((C19+C20+C23+C26)/(1-F21-C24-C27-C28),0)</f>
        <v>1079</v>
      </c>
      <c r="D29" s="1704"/>
      <c r="E29" s="1679"/>
      <c r="F29" s="1705"/>
      <c r="G29" s="1693"/>
      <c r="H29" s="1706" t="s">
        <v>1175</v>
      </c>
      <c r="I29" s="1736" t="s">
        <v>1176</v>
      </c>
      <c r="J29" s="1737">
        <f ca="1">ROUND(J26/(1+F40)^F41,0)</f>
        <v>0</v>
      </c>
      <c r="K29" s="1738" t="s">
        <v>1177</v>
      </c>
      <c r="L29" s="1739"/>
      <c r="M29" s="1740">
        <f ca="1">INDIRECT("'数据-取费表'!k"&amp;$G$1)</f>
        <v>889.53</v>
      </c>
      <c r="N29" s="1693"/>
      <c r="O29" s="1693"/>
      <c r="P29" s="1693"/>
      <c r="Q29" s="1693"/>
      <c r="R29" s="1693"/>
      <c r="S29" s="1693"/>
      <c r="T29" s="1693"/>
      <c r="U29" s="1693"/>
      <c r="V29" s="1693"/>
      <c r="W29" s="1693"/>
      <c r="X29" s="1693"/>
      <c r="Y29" s="1693"/>
      <c r="Z29" s="1693"/>
      <c r="AA29" s="1693"/>
      <c r="AB29" s="1693"/>
      <c r="AC29" s="1693"/>
      <c r="AD29" s="1693"/>
      <c r="AE29" s="1693"/>
      <c r="AF29" s="1693"/>
      <c r="AG29" s="1693"/>
      <c r="AH29" s="1693"/>
      <c r="AI29" s="1693"/>
      <c r="AJ29" s="1693"/>
      <c r="AK29" s="1693"/>
    </row>
    <row r="30" spans="1:37" ht="18" customHeight="1">
      <c r="A30" s="1681" t="s">
        <v>1119</v>
      </c>
      <c r="B30" s="1682" t="s">
        <v>1120</v>
      </c>
      <c r="C30" s="1683">
        <f ca="1">ROUND(C31+C36+C37+C38,0)</f>
        <v>63</v>
      </c>
      <c r="D30" s="1707" t="s">
        <v>1121</v>
      </c>
      <c r="E30" s="1708"/>
      <c r="F30" s="1653"/>
      <c r="G30" s="748"/>
      <c r="H30" s="1709"/>
      <c r="I30" s="1817"/>
      <c r="J30" s="1818"/>
      <c r="K30" s="1819"/>
      <c r="L30" s="1820"/>
      <c r="M30" s="1821"/>
    </row>
    <row r="31" spans="1:37" ht="18" customHeight="1">
      <c r="A31" s="1686" t="s">
        <v>836</v>
      </c>
      <c r="B31" s="1657" t="s">
        <v>1126</v>
      </c>
      <c r="C31" s="1710">
        <f ca="1">ROUND(IF(AND(项目基本情况!B11="自然人",项目基本情况!B10="北京市"),C6*F31/(1+'数据-取费表'!C42),C32+C33+C34),0)</f>
        <v>40</v>
      </c>
      <c r="D31" s="1688" t="s">
        <v>1127</v>
      </c>
      <c r="E31" s="1711" t="s">
        <v>1128</v>
      </c>
      <c r="F31" s="1712" t="str">
        <f>IF(项目基本情况!B11="企业","——",IF('数据-取费表'!B10="住宅",IF(F6*F7*F8/12/(1+'数据-取费表'!F30)&gt;100000,4%,2.5%),IF(F6*F7*F8/12/(1+'数据-取费表'!F30)&gt;100000,12%,7%)))</f>
        <v>——</v>
      </c>
      <c r="G31" s="748"/>
      <c r="H31" s="1713" t="s">
        <v>1178</v>
      </c>
      <c r="I31" s="1817"/>
      <c r="J31" s="1818"/>
      <c r="K31" s="1819"/>
      <c r="L31" s="1820"/>
      <c r="M31" s="1821"/>
    </row>
    <row r="32" spans="1:37" ht="18" customHeight="1">
      <c r="A32" s="1686" t="s">
        <v>859</v>
      </c>
      <c r="B32" s="1657" t="s">
        <v>1130</v>
      </c>
      <c r="C32" s="288">
        <f ca="1">IF(项目基本情况!B11="自然人","——",ROUND(C6*F32/(1+'数据-取费表'!C42),2))</f>
        <v>12.48</v>
      </c>
      <c r="D32" s="1711" t="s">
        <v>1131</v>
      </c>
      <c r="E32" s="1657" t="s">
        <v>1118</v>
      </c>
      <c r="F32" s="1702">
        <f>'数据-取费表'!B41</f>
        <v>5.6000000000000001E-2</v>
      </c>
      <c r="G32" s="748"/>
      <c r="H32" s="1709"/>
      <c r="I32" s="1817"/>
      <c r="J32" s="1818"/>
      <c r="K32" s="1819"/>
      <c r="L32" s="1820"/>
      <c r="M32" s="1821"/>
    </row>
    <row r="33" spans="1:18" ht="18" customHeight="1">
      <c r="A33" s="1686" t="s">
        <v>863</v>
      </c>
      <c r="B33" s="1657" t="s">
        <v>1134</v>
      </c>
      <c r="C33" s="288">
        <f ca="1">IF(项目基本情况!B11="自然人","——",IF(D33="按租金收入计税",ROUND(C6*F33/(1+'数据-取费表'!C42),2),IF(D33="按房产原值计税",ROUND(C29*F33*0.7,2),INDIRECT("'数据-取费表'!Aj"&amp;$G$1))))</f>
        <v>26.74</v>
      </c>
      <c r="D33" s="1714" t="s">
        <v>2778</v>
      </c>
      <c r="E33" s="1657" t="s">
        <v>1118</v>
      </c>
      <c r="F33" s="1695">
        <f>IF(D33="按票据","——",IF(D33="按租金收入计税",'数据-取费表'!B51,'数据-取费表'!B50))</f>
        <v>0.12</v>
      </c>
      <c r="G33" s="748"/>
      <c r="H33" s="1715"/>
      <c r="I33" s="1817"/>
      <c r="J33" s="1818"/>
      <c r="K33" s="1822"/>
      <c r="L33" s="1715"/>
      <c r="M33" s="1715"/>
    </row>
    <row r="34" spans="1:18" ht="18" customHeight="1">
      <c r="A34" s="1654" t="s">
        <v>866</v>
      </c>
      <c r="B34" s="1656" t="s">
        <v>1138</v>
      </c>
      <c r="C34" s="1716">
        <f ca="1">IF(项目基本情况!B11="自然人","——",ROUND(F34*F35/10000,2))</f>
        <v>0.32</v>
      </c>
      <c r="D34" s="1717" t="s">
        <v>1139</v>
      </c>
      <c r="E34" s="1657" t="s">
        <v>1140</v>
      </c>
      <c r="F34" s="1701">
        <f>'数据-取费表'!B52</f>
        <v>12</v>
      </c>
      <c r="G34" s="748"/>
      <c r="H34" s="1709"/>
      <c r="I34" s="1817"/>
      <c r="J34" s="1818"/>
      <c r="K34" s="1823"/>
      <c r="L34" s="1824"/>
      <c r="M34" s="1824"/>
    </row>
    <row r="35" spans="1:18" ht="18" customHeight="1">
      <c r="A35" s="1718"/>
      <c r="B35" s="1719"/>
      <c r="C35" s="1720"/>
      <c r="D35" s="1721"/>
      <c r="E35" s="1657" t="s">
        <v>1144</v>
      </c>
      <c r="F35" s="1658">
        <f ca="1">INDIRECT("'数据-取费表'!r"&amp;$G$1)</f>
        <v>264.45</v>
      </c>
      <c r="G35" s="748"/>
      <c r="H35" s="1709"/>
      <c r="I35" s="1817"/>
      <c r="J35" s="1818"/>
      <c r="K35" s="1822"/>
      <c r="L35" s="1715"/>
      <c r="M35" s="1715"/>
    </row>
    <row r="36" spans="1:18" ht="18" customHeight="1">
      <c r="A36" s="1722" t="s">
        <v>840</v>
      </c>
      <c r="B36" s="1657" t="s">
        <v>1146</v>
      </c>
      <c r="C36" s="288">
        <f ca="1">ROUND(C29*F36,1)</f>
        <v>16.2</v>
      </c>
      <c r="D36" s="1711" t="s">
        <v>1179</v>
      </c>
      <c r="E36" s="1657" t="s">
        <v>1118</v>
      </c>
      <c r="F36" s="1723">
        <f ca="1">INDIRECT("'数据-取费表'!Ak"&amp;$G$1)</f>
        <v>1.4999999999999999E-2</v>
      </c>
      <c r="G36" s="748"/>
      <c r="H36" s="1715"/>
      <c r="I36" s="1817"/>
      <c r="J36" s="1818"/>
      <c r="K36" s="1825"/>
      <c r="L36" s="1715"/>
      <c r="M36" s="1715"/>
    </row>
    <row r="37" spans="1:18" ht="18" customHeight="1">
      <c r="A37" s="1686" t="s">
        <v>885</v>
      </c>
      <c r="B37" s="1657" t="s">
        <v>1150</v>
      </c>
      <c r="C37" s="288">
        <f ca="1">ROUND(C13*F37,1)</f>
        <v>2.2000000000000002</v>
      </c>
      <c r="D37" s="1711" t="s">
        <v>1151</v>
      </c>
      <c r="E37" s="1657" t="s">
        <v>1118</v>
      </c>
      <c r="F37" s="1724">
        <f ca="1">INDIRECT("'数据-取费表'!Al"&amp;$G$1)</f>
        <v>2E-3</v>
      </c>
      <c r="G37" s="748"/>
      <c r="H37" s="1715"/>
      <c r="I37" s="1817"/>
      <c r="J37" s="1818"/>
      <c r="K37" s="1825"/>
      <c r="L37" s="1715"/>
      <c r="M37" s="1715"/>
    </row>
    <row r="38" spans="1:18" ht="18" customHeight="1">
      <c r="A38" s="1694" t="s">
        <v>888</v>
      </c>
      <c r="B38" s="1679" t="s">
        <v>1136</v>
      </c>
      <c r="C38" s="1703">
        <f ca="1">ROUND(C5*F38,1)</f>
        <v>4.7</v>
      </c>
      <c r="D38" s="1704" t="s">
        <v>1154</v>
      </c>
      <c r="E38" s="1679" t="s">
        <v>1118</v>
      </c>
      <c r="F38" s="1680">
        <f ca="1">INDIRECT("'数据-取费表'!Am"&amp;$G$1)</f>
        <v>0.02</v>
      </c>
      <c r="G38" s="748"/>
      <c r="H38" s="1715"/>
      <c r="I38" s="1817"/>
      <c r="J38" s="1818"/>
      <c r="K38" s="1826"/>
      <c r="L38" s="1715"/>
      <c r="M38" s="1715"/>
    </row>
    <row r="39" spans="1:18" ht="24.6" customHeight="1">
      <c r="A39" s="1681" t="s">
        <v>1157</v>
      </c>
      <c r="B39" s="1725" t="s">
        <v>1158</v>
      </c>
      <c r="C39" s="1683">
        <f ca="1">C5-C30</f>
        <v>171</v>
      </c>
      <c r="D39" s="1726" t="s">
        <v>1159</v>
      </c>
      <c r="E39" s="1727"/>
      <c r="F39" s="1728"/>
      <c r="G39" s="748"/>
      <c r="H39" s="1715"/>
      <c r="I39" s="1817"/>
      <c r="J39" s="1818"/>
      <c r="K39" s="1826"/>
      <c r="L39" s="1715"/>
      <c r="M39" s="1715"/>
    </row>
    <row r="40" spans="1:18" ht="18" customHeight="1">
      <c r="A40" s="1648" t="s">
        <v>1163</v>
      </c>
      <c r="B40" s="1649" t="s">
        <v>1180</v>
      </c>
      <c r="C40" s="1729">
        <f ca="1">ROUND(C39*(1-((1+F42)/(1+F40))^F41)/(F40-F42),0)</f>
        <v>3804</v>
      </c>
      <c r="D40" s="1717" t="s">
        <v>1165</v>
      </c>
      <c r="E40" s="1657" t="s">
        <v>1166</v>
      </c>
      <c r="F40" s="1665">
        <f ca="1">INDIRECT("'数据-取费表'!I"&amp;$G$1)</f>
        <v>0.06</v>
      </c>
      <c r="G40" s="748"/>
      <c r="H40" s="1730"/>
      <c r="I40" s="1817"/>
      <c r="J40" s="1818"/>
      <c r="K40" s="1826"/>
      <c r="L40" s="1730"/>
      <c r="M40" s="1730"/>
    </row>
    <row r="41" spans="1:18" ht="18" customHeight="1">
      <c r="A41" s="1663"/>
      <c r="B41" s="1731"/>
      <c r="C41" s="1664"/>
      <c r="D41" s="1732" t="s">
        <v>1169</v>
      </c>
      <c r="E41" s="1657" t="s">
        <v>1170</v>
      </c>
      <c r="F41" s="1733">
        <f ca="1">IF(INDIRECT("'数据-取费表'!af"&amp;$G$1)=0,INDIRECT("'数据-取费表'!ae"&amp;$G$1),INDIRECT("'数据-取费表'!af"&amp;$G$1))</f>
        <v>38.33</v>
      </c>
      <c r="G41" s="748"/>
      <c r="H41" s="1734"/>
      <c r="I41" s="1817"/>
      <c r="J41" s="1818"/>
      <c r="K41" s="1825"/>
      <c r="L41" s="1734"/>
      <c r="M41" s="1734"/>
    </row>
    <row r="42" spans="1:18" ht="18" customHeight="1">
      <c r="A42" s="1670"/>
      <c r="B42" s="1735"/>
      <c r="C42" s="1683"/>
      <c r="D42" s="1721"/>
      <c r="E42" s="1657" t="s">
        <v>1173</v>
      </c>
      <c r="F42" s="1665">
        <f ca="1">INDIRECT("'数据-取费表'!v"&amp;$G$1)</f>
        <v>0.03</v>
      </c>
      <c r="G42" s="748"/>
      <c r="H42" s="1734"/>
      <c r="I42" s="1817"/>
      <c r="J42" s="1818"/>
      <c r="K42" s="1825"/>
      <c r="L42" s="1734"/>
      <c r="M42" s="1734"/>
    </row>
    <row r="43" spans="1:18" ht="18" customHeight="1">
      <c r="A43" s="1706" t="s">
        <v>1175</v>
      </c>
      <c r="B43" s="1736" t="s">
        <v>1181</v>
      </c>
      <c r="C43" s="1737">
        <f ca="1">ROUND(C40*10000/F43,0)</f>
        <v>42764</v>
      </c>
      <c r="D43" s="1738" t="s">
        <v>1182</v>
      </c>
      <c r="E43" s="1739" t="s">
        <v>1183</v>
      </c>
      <c r="F43" s="1740">
        <f ca="1">INDIRECT("'数据-取费表'!k"&amp;$G$1)</f>
        <v>889.53</v>
      </c>
      <c r="G43" s="748"/>
      <c r="H43" s="1734"/>
      <c r="I43" s="1734"/>
      <c r="J43" s="1734"/>
      <c r="K43" s="1825"/>
      <c r="L43" s="1734"/>
      <c r="M43" s="1734"/>
    </row>
    <row r="44" spans="1:18" s="748" customFormat="1" ht="18" customHeight="1">
      <c r="A44" s="1741"/>
      <c r="B44" s="1741"/>
      <c r="C44" s="1742"/>
      <c r="D44" s="1741"/>
      <c r="E44" s="1741"/>
      <c r="F44" s="1741"/>
      <c r="K44" s="1827"/>
    </row>
    <row r="45" spans="1:18" s="748" customFormat="1" ht="18" customHeight="1">
      <c r="A45" s="1741"/>
      <c r="B45" s="1741"/>
      <c r="C45" s="1742"/>
      <c r="D45" s="1741"/>
      <c r="E45" s="1741"/>
      <c r="F45" s="1741"/>
      <c r="J45" s="322"/>
      <c r="O45" s="1910" t="s">
        <v>1184</v>
      </c>
      <c r="P45" s="1730"/>
      <c r="Q45" s="1730"/>
      <c r="R45" s="1730"/>
    </row>
    <row r="46" spans="1:18" s="748" customFormat="1">
      <c r="A46" s="1745" t="s">
        <v>1185</v>
      </c>
      <c r="C46" s="1746">
        <f ca="1">C68-C40</f>
        <v>-5426</v>
      </c>
      <c r="D46" s="1747" t="str">
        <f>C2</f>
        <v>万元</v>
      </c>
      <c r="E46" s="1741"/>
      <c r="F46" s="1741"/>
      <c r="I46" s="1829" t="s">
        <v>1186</v>
      </c>
      <c r="J46" s="1830"/>
      <c r="K46" s="1831"/>
      <c r="L46" s="1832" t="str">
        <f ca="1">IF(M47="住宅",0,IF(L48&gt;J51,L60,J60))</f>
        <v>0</v>
      </c>
      <c r="O46" s="1833" t="s">
        <v>1187</v>
      </c>
      <c r="P46" s="1834" t="s">
        <v>1188</v>
      </c>
      <c r="Q46" s="1878" t="s">
        <v>1189</v>
      </c>
      <c r="R46" s="1878" t="s">
        <v>1190</v>
      </c>
    </row>
    <row r="47" spans="1:18" s="748" customFormat="1">
      <c r="A47" s="1748" t="s">
        <v>1090</v>
      </c>
      <c r="B47" s="1749" t="s">
        <v>1091</v>
      </c>
      <c r="C47" s="1905" t="s">
        <v>1092</v>
      </c>
      <c r="D47" s="1749" t="s">
        <v>1093</v>
      </c>
      <c r="E47" s="1750" t="s">
        <v>1094</v>
      </c>
      <c r="F47" s="281"/>
      <c r="G47" s="1751"/>
      <c r="I47" s="1835" t="s">
        <v>1191</v>
      </c>
      <c r="J47" s="1836" t="s">
        <v>2779</v>
      </c>
      <c r="K47" s="1837" t="s">
        <v>1192</v>
      </c>
      <c r="L47" s="1838">
        <f ca="1">INDIRECT("'数据-取费表'!d"&amp;$G$1)</f>
        <v>40</v>
      </c>
      <c r="M47" s="1839" t="str">
        <f>IF(ISNUMBER(FIND("住宅",C1)),"住宅","非住宅")</f>
        <v>非住宅</v>
      </c>
      <c r="O47" s="1840" t="s">
        <v>942</v>
      </c>
      <c r="P47" s="1841" t="s">
        <v>1193</v>
      </c>
      <c r="Q47" s="1879">
        <f ca="1">C40+J29</f>
        <v>3804</v>
      </c>
      <c r="R47" s="1879" t="s">
        <v>1194</v>
      </c>
    </row>
    <row r="48" spans="1:18" s="748" customFormat="1" ht="27.75">
      <c r="A48" s="1752" t="s">
        <v>1195</v>
      </c>
      <c r="B48" s="1649" t="s">
        <v>1095</v>
      </c>
      <c r="C48" s="289">
        <f ca="1">C49+C53+C55</f>
        <v>0</v>
      </c>
      <c r="D48" s="1753"/>
      <c r="E48" s="1754"/>
      <c r="F48" s="1755"/>
      <c r="G48" s="1751"/>
      <c r="H48" s="1756"/>
      <c r="I48" s="809" t="s">
        <v>1196</v>
      </c>
      <c r="J48" s="1842" t="s">
        <v>2780</v>
      </c>
      <c r="K48" s="1843" t="s">
        <v>1197</v>
      </c>
      <c r="L48" s="1844">
        <f ca="1">INDIRECT("'数据-取费表'!f"&amp;$G$1)</f>
        <v>39.729999999999997</v>
      </c>
      <c r="O48" s="1840" t="s">
        <v>945</v>
      </c>
      <c r="P48" s="1841" t="s">
        <v>1198</v>
      </c>
      <c r="Q48" s="1879" t="str">
        <f ca="1">J60</f>
        <v>0</v>
      </c>
      <c r="R48" s="1879" t="s">
        <v>1199</v>
      </c>
    </row>
    <row r="49" spans="1:18" s="748" customFormat="1">
      <c r="A49" s="1757" t="s">
        <v>1200</v>
      </c>
      <c r="B49" s="1758" t="s">
        <v>1201</v>
      </c>
      <c r="C49" s="1759">
        <f ca="1">ROUND(F49*F51*F50*(1-F52)/10000,0)</f>
        <v>0</v>
      </c>
      <c r="D49" s="1760" t="s">
        <v>1100</v>
      </c>
      <c r="E49" s="1761" t="s">
        <v>1202</v>
      </c>
      <c r="F49" s="1762"/>
      <c r="G49" s="1763"/>
      <c r="H49" s="1756"/>
      <c r="I49" s="809" t="s">
        <v>1203</v>
      </c>
      <c r="J49" s="1845">
        <v>2023</v>
      </c>
      <c r="K49" s="1843" t="s">
        <v>1204</v>
      </c>
      <c r="L49" s="1846"/>
      <c r="O49" s="1847" t="s">
        <v>1205</v>
      </c>
      <c r="P49" s="1841" t="s">
        <v>1206</v>
      </c>
      <c r="Q49" s="1879">
        <f ca="1">C29</f>
        <v>1079</v>
      </c>
      <c r="R49" s="1879" t="s">
        <v>1194</v>
      </c>
    </row>
    <row r="50" spans="1:18" s="748" customFormat="1">
      <c r="A50" s="1764"/>
      <c r="B50" s="1765"/>
      <c r="C50" s="1906"/>
      <c r="D50" s="1767"/>
      <c r="E50" s="1768" t="s">
        <v>1101</v>
      </c>
      <c r="F50" s="1769">
        <f ca="1">F7</f>
        <v>889.53</v>
      </c>
      <c r="H50" s="1756"/>
      <c r="I50" s="809" t="s">
        <v>1207</v>
      </c>
      <c r="J50" s="1848">
        <f>SUMPRODUCT((I63:I65=J47)*(J62:L62=J48)*(J63:L65))</f>
        <v>60</v>
      </c>
      <c r="K50" s="1843" t="s">
        <v>1208</v>
      </c>
      <c r="L50" s="1846"/>
      <c r="M50" s="1849"/>
      <c r="O50" s="1847" t="s">
        <v>1209</v>
      </c>
      <c r="P50" s="1841" t="s">
        <v>1210</v>
      </c>
      <c r="Q50" s="1880" t="e">
        <f ca="1">J58</f>
        <v>#VALUE!</v>
      </c>
      <c r="R50" s="1879"/>
    </row>
    <row r="51" spans="1:18" s="748" customFormat="1">
      <c r="A51" s="1770"/>
      <c r="B51" s="1765"/>
      <c r="C51" s="1766"/>
      <c r="D51" s="1767"/>
      <c r="E51" s="1771" t="s">
        <v>1102</v>
      </c>
      <c r="F51" s="1658">
        <f ca="1">F8</f>
        <v>365</v>
      </c>
      <c r="I51" s="1850" t="s">
        <v>1211</v>
      </c>
      <c r="J51" s="1851">
        <f>IF(J49="",J50,J49+J50-YEAR('数据-取费表'!B2))</f>
        <v>62</v>
      </c>
      <c r="K51" s="1852" t="s">
        <v>1212</v>
      </c>
      <c r="L51" s="1853">
        <f ca="1">ROUND(-PV(INDIRECT("'数据-取费表'!h"&amp;$G$1),J51,(C39-C13*C76),0),0)</f>
        <v>1484</v>
      </c>
      <c r="M51" s="1854"/>
      <c r="O51" s="1847" t="s">
        <v>1213</v>
      </c>
      <c r="P51" s="1841" t="s">
        <v>1214</v>
      </c>
      <c r="Q51" s="1880">
        <f>J52</f>
        <v>8.5000000000000006E-2</v>
      </c>
      <c r="R51" s="1879"/>
    </row>
    <row r="52" spans="1:18" s="748" customFormat="1">
      <c r="A52" s="1770"/>
      <c r="B52" s="1765"/>
      <c r="C52" s="1766"/>
      <c r="D52" s="1767"/>
      <c r="E52" s="1771" t="s">
        <v>1103</v>
      </c>
      <c r="F52" s="1772"/>
      <c r="I52" s="1855" t="s">
        <v>1215</v>
      </c>
      <c r="J52" s="1856">
        <v>8.5000000000000006E-2</v>
      </c>
      <c r="K52" s="1855" t="s">
        <v>1216</v>
      </c>
      <c r="L52" s="1856"/>
      <c r="O52" s="1847" t="s">
        <v>1217</v>
      </c>
      <c r="P52" s="1841" t="s">
        <v>1218</v>
      </c>
      <c r="Q52" s="1879">
        <f ca="1">J53</f>
        <v>38.33</v>
      </c>
      <c r="R52" s="1879" t="s">
        <v>1219</v>
      </c>
    </row>
    <row r="53" spans="1:18" s="748" customFormat="1" ht="24">
      <c r="A53" s="1907" t="s">
        <v>1220</v>
      </c>
      <c r="B53" s="1908" t="s">
        <v>1104</v>
      </c>
      <c r="C53" s="287">
        <f ca="1">ROUND(IF(F53="押一",C49/12*F11,IF(F53="押二",C49/12*2*F11,IF(F53="押三",C49/12*3*F11,C54*F11))),0)</f>
        <v>0</v>
      </c>
      <c r="D53" s="1667" t="s">
        <v>1105</v>
      </c>
      <c r="E53" s="1668" t="s">
        <v>1106</v>
      </c>
      <c r="F53" s="1669"/>
      <c r="I53" s="1857" t="s">
        <v>1221</v>
      </c>
      <c r="J53" s="1858">
        <f ca="1">IF(M47="住宅",IF(D1="——",MAX(J51,L48),MAX(J51,L48-'数据-取费表'!B24)),IF(D1="——",MIN(J51,L48),MIN(J51,L48-'数据-取费表'!B24)))</f>
        <v>38.33</v>
      </c>
      <c r="K53" s="3322" t="s">
        <v>1222</v>
      </c>
      <c r="L53" s="3323"/>
      <c r="O53" s="1840" t="s">
        <v>1046</v>
      </c>
      <c r="P53" s="1841" t="s">
        <v>1223</v>
      </c>
      <c r="Q53" s="1879">
        <f ca="1">Q47+Q48</f>
        <v>3804</v>
      </c>
      <c r="R53" s="1879" t="s">
        <v>1224</v>
      </c>
    </row>
    <row r="54" spans="1:18" s="748" customFormat="1">
      <c r="A54" s="1909"/>
      <c r="B54" s="1671" t="s">
        <v>1108</v>
      </c>
      <c r="C54" s="1672"/>
      <c r="D54" s="1667"/>
      <c r="E54" s="1775"/>
      <c r="F54" s="1776"/>
      <c r="I54" s="18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0"/>
      <c r="K54" s="1860"/>
      <c r="L54" s="1860"/>
      <c r="M54" s="1763"/>
      <c r="O54" s="1828" t="s">
        <v>1225</v>
      </c>
      <c r="P54" s="1861"/>
      <c r="Q54" s="1861"/>
      <c r="R54" s="1861"/>
    </row>
    <row r="55" spans="1:18" s="748" customFormat="1">
      <c r="A55" s="1675" t="s">
        <v>885</v>
      </c>
      <c r="B55" s="1676" t="s">
        <v>1110</v>
      </c>
      <c r="C55" s="1677"/>
      <c r="D55" s="1667"/>
      <c r="E55" s="1775"/>
      <c r="F55" s="1776"/>
      <c r="I55" s="1862" t="s">
        <v>1226</v>
      </c>
      <c r="J55" s="1863" t="e">
        <f ca="1">ROUND(IF(J47="钢混",J57/J50,1-(1-2%)*(J50-J57)/J50),3)</f>
        <v>#VALUE!</v>
      </c>
      <c r="K55" s="1864" t="s">
        <v>1227</v>
      </c>
      <c r="L55" s="1865" t="s">
        <v>1228</v>
      </c>
      <c r="O55" s="1833" t="s">
        <v>1187</v>
      </c>
      <c r="P55" s="1834" t="s">
        <v>1188</v>
      </c>
      <c r="Q55" s="1878" t="s">
        <v>1189</v>
      </c>
      <c r="R55" s="1878" t="s">
        <v>1190</v>
      </c>
    </row>
    <row r="56" spans="1:18" s="748" customFormat="1" ht="24">
      <c r="A56" s="1777">
        <v>2</v>
      </c>
      <c r="B56" s="1778" t="s">
        <v>1111</v>
      </c>
      <c r="C56" s="181">
        <f ca="1">C13</f>
        <v>1079</v>
      </c>
      <c r="D56" s="1779"/>
      <c r="E56" s="1780"/>
      <c r="F56" s="1776"/>
      <c r="I56" s="1866" t="s">
        <v>1229</v>
      </c>
      <c r="J56" s="1867" t="s">
        <v>475</v>
      </c>
      <c r="K56" s="809" t="s">
        <v>1230</v>
      </c>
      <c r="L56" s="1844" t="str">
        <f ca="1">IF(L48&lt;J51,"——",L48-J53)</f>
        <v>——</v>
      </c>
      <c r="O56" s="1840" t="s">
        <v>942</v>
      </c>
      <c r="P56" s="1841" t="s">
        <v>1193</v>
      </c>
      <c r="Q56" s="1879">
        <f ca="1">C40+J29</f>
        <v>3804</v>
      </c>
      <c r="R56" s="1879" t="s">
        <v>1194</v>
      </c>
    </row>
    <row r="57" spans="1:18" s="748" customFormat="1" ht="24">
      <c r="A57" s="1781"/>
      <c r="B57" s="1782" t="s">
        <v>1174</v>
      </c>
      <c r="C57" s="191">
        <f ca="1">C29</f>
        <v>1079</v>
      </c>
      <c r="D57" s="1783"/>
      <c r="E57" s="1784"/>
      <c r="F57" s="1785"/>
      <c r="I57" s="1868" t="s">
        <v>1231</v>
      </c>
      <c r="J57" s="1869" t="str">
        <f ca="1">IF(OR(M47="住宅",J51&lt;L48,J56="是"),"——",J51-L48)</f>
        <v>——</v>
      </c>
      <c r="K57" s="809" t="s">
        <v>1232</v>
      </c>
      <c r="L57" s="1844" t="str">
        <f ca="1">IF(L48&lt;J51,"——",IF(L55="比较法",L49,IF(L55="基准地价",L50,L51)))</f>
        <v>——</v>
      </c>
      <c r="O57" s="1840" t="s">
        <v>945</v>
      </c>
      <c r="P57" s="1841" t="s">
        <v>1233</v>
      </c>
      <c r="Q57" s="1879">
        <f ca="1">L60</f>
        <v>0</v>
      </c>
      <c r="R57" s="1879" t="s">
        <v>1234</v>
      </c>
    </row>
    <row r="58" spans="1:18" s="748" customFormat="1" ht="24">
      <c r="A58" s="1786" t="s">
        <v>1119</v>
      </c>
      <c r="B58" s="1778" t="s">
        <v>1120</v>
      </c>
      <c r="C58" s="287">
        <f ca="1">ROUND(C59+C64+C65+C66,0)</f>
        <v>109</v>
      </c>
      <c r="D58" s="1787" t="s">
        <v>1121</v>
      </c>
      <c r="E58" s="1788"/>
      <c r="F58" s="1755"/>
      <c r="I58" s="1868" t="s">
        <v>1235</v>
      </c>
      <c r="J58" s="1870" t="e">
        <f ca="1">IF(J55&lt;0.4,0.4,J55)</f>
        <v>#VALUE!</v>
      </c>
      <c r="K58" s="1852" t="s">
        <v>1236</v>
      </c>
      <c r="L58" s="1844" t="e">
        <f ca="1">ROUND(POWER(1+L52,L47-L48)*(POWER(1+L52,L48)-1)/(POWER(1+L52,L47)-1),4)</f>
        <v>#DIV/0!</v>
      </c>
      <c r="O58" s="1847" t="s">
        <v>1205</v>
      </c>
      <c r="P58" s="1841" t="s">
        <v>1237</v>
      </c>
      <c r="Q58" s="1879">
        <f>IF(L55="比较法",L49,IF(L55="基准地价",L50,0))</f>
        <v>0</v>
      </c>
      <c r="R58" s="1879" t="s">
        <v>1194</v>
      </c>
    </row>
    <row r="59" spans="1:18" s="748" customFormat="1" ht="24">
      <c r="A59" s="1686" t="s">
        <v>836</v>
      </c>
      <c r="B59" s="1782" t="s">
        <v>1126</v>
      </c>
      <c r="C59" s="1710">
        <f ca="1">ROUND(IF(AND(项目基本情况!B11="自然人",项目基本情况!B10="北京市"),C49*F59/(1+'数据-取费表'!C42),C60+C61+C62),0)</f>
        <v>91</v>
      </c>
      <c r="D59" s="1789" t="s">
        <v>1127</v>
      </c>
      <c r="E59" s="1790" t="s">
        <v>1128</v>
      </c>
      <c r="F59" s="1712" t="str">
        <f>IF(项目基本情况!B11="企业","——",IF('数据-取费表'!B10="住宅",IF(F49*F50*F51/12/(1+'数据-取费表'!F30)&gt;100000,4%,2.5%),IF(F49*F50*F51/12/(1+'数据-取费表'!F30)&gt;100000,12%,7%)))</f>
        <v>——</v>
      </c>
      <c r="I59" s="1868" t="s">
        <v>1238</v>
      </c>
      <c r="J59" s="1869" t="str">
        <f ca="1">IF(OR(M47="住宅",J51&lt;L48,J56="是"),"——",ROUND(C29*J58,0))</f>
        <v>——</v>
      </c>
      <c r="K59" s="80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44"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47" t="s">
        <v>1209</v>
      </c>
      <c r="P59" s="1841" t="s">
        <v>1239</v>
      </c>
      <c r="Q59" s="1880">
        <f>L52</f>
        <v>0</v>
      </c>
      <c r="R59" s="1879"/>
    </row>
    <row r="60" spans="1:18" s="748" customFormat="1" ht="15.75">
      <c r="A60" s="1686" t="s">
        <v>859</v>
      </c>
      <c r="B60" s="1782" t="s">
        <v>1130</v>
      </c>
      <c r="C60" s="288">
        <f ca="1">IF(项目基本情况!B11="自然人","——",ROUND(C48*F60/(1+'数据-取费表'!C42),2))</f>
        <v>0</v>
      </c>
      <c r="D60" s="1790" t="s">
        <v>1131</v>
      </c>
      <c r="E60" s="1782" t="s">
        <v>1118</v>
      </c>
      <c r="F60" s="1702">
        <f t="shared" ref="F60:F66" si="0">F32</f>
        <v>5.6000000000000001E-2</v>
      </c>
      <c r="I60" s="1871" t="s">
        <v>1240</v>
      </c>
      <c r="J60" s="1872" t="str">
        <f ca="1">IF(OR(M47="住宅",J51&lt;L48,J56="是"),"0",ROUND(J59/(1+J52)^J53,0))</f>
        <v>0</v>
      </c>
      <c r="K60" s="1873" t="s">
        <v>1241</v>
      </c>
      <c r="L60" s="1872">
        <f ca="1">IF(OR(M47="住宅",L48&lt;J51),0,ROUND(L57*(L58/L59-1),0))</f>
        <v>0</v>
      </c>
      <c r="O60" s="1847" t="s">
        <v>1213</v>
      </c>
      <c r="P60" s="1841" t="s">
        <v>1242</v>
      </c>
      <c r="Q60" s="1879" t="e">
        <f ca="1">L58</f>
        <v>#DIV/0!</v>
      </c>
      <c r="R60" s="1879" t="s">
        <v>1243</v>
      </c>
    </row>
    <row r="61" spans="1:18" s="748" customFormat="1">
      <c r="A61" s="1686" t="s">
        <v>863</v>
      </c>
      <c r="B61" s="1782" t="s">
        <v>1134</v>
      </c>
      <c r="C61" s="288">
        <f ca="1">IF(项目基本情况!B11="自然人","——",IF(D61="按租金收入计税",ROUND(C48*F61,2),IF(D61="按房产原值计税",ROUND(C57*F61*0.7,2),INDIRECT("'数据-取费表'!Aj"&amp;$G$1))))</f>
        <v>90.64</v>
      </c>
      <c r="D61" s="1714" t="s">
        <v>1135</v>
      </c>
      <c r="E61" s="1782" t="s">
        <v>1118</v>
      </c>
      <c r="F61" s="1695">
        <f t="shared" si="0"/>
        <v>0.12</v>
      </c>
      <c r="I61" s="1730"/>
      <c r="J61" s="1730"/>
      <c r="K61" s="1730"/>
      <c r="L61" s="1730"/>
      <c r="O61" s="1847" t="s">
        <v>1217</v>
      </c>
      <c r="P61" s="1841" t="str">
        <f>K59</f>
        <v>续建工期及建筑物耐用年限下的土地年期修正系数Kn</v>
      </c>
      <c r="Q61" s="1879" t="e">
        <f ca="1">L59</f>
        <v>#DIV/0!</v>
      </c>
      <c r="R61" s="1879" t="s">
        <v>1244</v>
      </c>
    </row>
    <row r="62" spans="1:18" s="748" customFormat="1">
      <c r="A62" s="1686" t="s">
        <v>866</v>
      </c>
      <c r="B62" s="1791" t="s">
        <v>1138</v>
      </c>
      <c r="C62" s="1716">
        <f ca="1">IF(项目基本情况!B11="自然人","——",ROUND(F62*F63/10000,2))</f>
        <v>0.32</v>
      </c>
      <c r="D62" s="1792" t="s">
        <v>1139</v>
      </c>
      <c r="E62" s="1782" t="s">
        <v>1140</v>
      </c>
      <c r="F62" s="1701">
        <f t="shared" si="0"/>
        <v>12</v>
      </c>
      <c r="I62" s="1874" t="s">
        <v>1245</v>
      </c>
      <c r="J62" s="1875" t="s">
        <v>1246</v>
      </c>
      <c r="K62" s="1875" t="s">
        <v>1247</v>
      </c>
      <c r="L62" s="1875" t="s">
        <v>1248</v>
      </c>
      <c r="M62" s="1876" t="s">
        <v>1249</v>
      </c>
      <c r="O62" s="1840" t="s">
        <v>1046</v>
      </c>
      <c r="P62" s="1841" t="s">
        <v>1223</v>
      </c>
      <c r="Q62" s="1879">
        <f ca="1">Q56+Q57</f>
        <v>3804</v>
      </c>
      <c r="R62" s="1879" t="s">
        <v>1224</v>
      </c>
    </row>
    <row r="63" spans="1:18" s="748" customFormat="1">
      <c r="A63" s="1699"/>
      <c r="B63" s="1793"/>
      <c r="C63" s="1720"/>
      <c r="D63" s="1794"/>
      <c r="E63" s="1782" t="s">
        <v>1144</v>
      </c>
      <c r="F63" s="1658">
        <f t="shared" ca="1" si="0"/>
        <v>264.45</v>
      </c>
      <c r="I63" s="1874" t="s">
        <v>1250</v>
      </c>
      <c r="J63" s="1875">
        <v>70</v>
      </c>
      <c r="K63" s="1875">
        <v>50</v>
      </c>
      <c r="L63" s="1875">
        <v>80</v>
      </c>
      <c r="M63" s="1877">
        <v>0.02</v>
      </c>
      <c r="O63" s="1828" t="s">
        <v>1251</v>
      </c>
      <c r="P63" s="1861"/>
      <c r="Q63" s="1861"/>
      <c r="R63" s="1861"/>
    </row>
    <row r="64" spans="1:18" s="748" customFormat="1">
      <c r="A64" s="1686" t="s">
        <v>840</v>
      </c>
      <c r="B64" s="1782" t="s">
        <v>1146</v>
      </c>
      <c r="C64" s="288">
        <f ca="1">ROUND(C57*F64,1)</f>
        <v>16.2</v>
      </c>
      <c r="D64" s="1790" t="s">
        <v>1179</v>
      </c>
      <c r="E64" s="1782" t="s">
        <v>1118</v>
      </c>
      <c r="F64" s="1723">
        <f t="shared" ca="1" si="0"/>
        <v>1.4999999999999999E-2</v>
      </c>
      <c r="I64" s="1874" t="s">
        <v>1252</v>
      </c>
      <c r="J64" s="1875">
        <v>50</v>
      </c>
      <c r="K64" s="1875">
        <v>35</v>
      </c>
      <c r="L64" s="1875">
        <v>60</v>
      </c>
      <c r="M64" s="1876">
        <v>0</v>
      </c>
      <c r="O64" s="1833" t="s">
        <v>1187</v>
      </c>
      <c r="P64" s="1834" t="s">
        <v>1188</v>
      </c>
      <c r="Q64" s="1878" t="s">
        <v>1189</v>
      </c>
      <c r="R64" s="1878" t="s">
        <v>1190</v>
      </c>
    </row>
    <row r="65" spans="1:18" s="748" customFormat="1">
      <c r="A65" s="1686" t="s">
        <v>885</v>
      </c>
      <c r="B65" s="1782" t="s">
        <v>1150</v>
      </c>
      <c r="C65" s="288">
        <f ca="1">ROUND(C56*F65,1)</f>
        <v>2.2000000000000002</v>
      </c>
      <c r="D65" s="1790" t="s">
        <v>1151</v>
      </c>
      <c r="E65" s="1782" t="s">
        <v>1118</v>
      </c>
      <c r="F65" s="1724">
        <f t="shared" ca="1" si="0"/>
        <v>2E-3</v>
      </c>
      <c r="I65" s="1874" t="s">
        <v>1253</v>
      </c>
      <c r="J65" s="1875">
        <v>40</v>
      </c>
      <c r="K65" s="1875">
        <v>30</v>
      </c>
      <c r="L65" s="1875">
        <v>50</v>
      </c>
      <c r="M65" s="1877">
        <v>0.02</v>
      </c>
      <c r="O65" s="1840" t="s">
        <v>942</v>
      </c>
      <c r="P65" s="1841" t="s">
        <v>1193</v>
      </c>
      <c r="Q65" s="1879">
        <f ca="1">C40+J29</f>
        <v>3804</v>
      </c>
      <c r="R65" s="1879" t="s">
        <v>1194</v>
      </c>
    </row>
    <row r="66" spans="1:18" s="748" customFormat="1" ht="15.75">
      <c r="A66" s="1686" t="s">
        <v>888</v>
      </c>
      <c r="B66" s="1782" t="s">
        <v>1136</v>
      </c>
      <c r="C66" s="288">
        <f ca="1">ROUND(C48*F66,1)</f>
        <v>0</v>
      </c>
      <c r="D66" s="1790" t="s">
        <v>1154</v>
      </c>
      <c r="E66" s="1782" t="s">
        <v>1118</v>
      </c>
      <c r="F66" s="1665">
        <f t="shared" ca="1" si="0"/>
        <v>0.02</v>
      </c>
      <c r="O66" s="1840" t="s">
        <v>945</v>
      </c>
      <c r="P66" s="1841" t="s">
        <v>1233</v>
      </c>
      <c r="Q66" s="1879">
        <f ca="1">L60</f>
        <v>0</v>
      </c>
      <c r="R66" s="1879" t="s">
        <v>1234</v>
      </c>
    </row>
    <row r="67" spans="1:18" s="748" customFormat="1" ht="15.75">
      <c r="A67" s="1777" t="s">
        <v>1157</v>
      </c>
      <c r="B67" s="1881" t="s">
        <v>1158</v>
      </c>
      <c r="C67" s="287">
        <f ca="1">C48-C58</f>
        <v>-109</v>
      </c>
      <c r="D67" s="1789" t="s">
        <v>1159</v>
      </c>
      <c r="E67" s="1882"/>
      <c r="F67" s="1883"/>
      <c r="O67" s="1847" t="s">
        <v>1205</v>
      </c>
      <c r="P67" s="1841" t="s">
        <v>1237</v>
      </c>
      <c r="Q67" s="1903">
        <f ca="1">L51</f>
        <v>1484</v>
      </c>
      <c r="R67" s="1879" t="s">
        <v>1254</v>
      </c>
    </row>
    <row r="68" spans="1:18" s="748" customFormat="1" ht="15.75">
      <c r="A68" s="1884" t="s">
        <v>1163</v>
      </c>
      <c r="B68" s="1885" t="s">
        <v>1180</v>
      </c>
      <c r="C68" s="1729">
        <f ca="1">ROUND(C67*(1-((1+F70)/(1+F68))^F69)/(F68-F70),0)</f>
        <v>-1622</v>
      </c>
      <c r="D68" s="1792" t="s">
        <v>1165</v>
      </c>
      <c r="E68" s="1782" t="s">
        <v>1166</v>
      </c>
      <c r="F68" s="1665">
        <f ca="1">F40</f>
        <v>0.06</v>
      </c>
      <c r="O68" s="1847" t="s">
        <v>1209</v>
      </c>
      <c r="P68" s="1902" t="s">
        <v>1255</v>
      </c>
      <c r="Q68" s="1879">
        <f ca="1">ROUND(Q69-Q70*Q71,0)</f>
        <v>85</v>
      </c>
      <c r="R68" s="1879" t="s">
        <v>1256</v>
      </c>
    </row>
    <row r="69" spans="1:18" s="748" customFormat="1">
      <c r="A69" s="1886"/>
      <c r="B69" s="1887"/>
      <c r="C69" s="1664"/>
      <c r="D69" s="1888" t="s">
        <v>1169</v>
      </c>
      <c r="E69" s="1782" t="s">
        <v>1170</v>
      </c>
      <c r="F69" s="1733">
        <f ca="1">F41</f>
        <v>38.33</v>
      </c>
      <c r="O69" s="1847" t="s">
        <v>1257</v>
      </c>
      <c r="P69" s="1902" t="s">
        <v>1258</v>
      </c>
      <c r="Q69" s="1879">
        <f ca="1">C39</f>
        <v>171</v>
      </c>
      <c r="R69" s="1879" t="s">
        <v>1194</v>
      </c>
    </row>
    <row r="70" spans="1:18" s="748" customFormat="1">
      <c r="A70" s="1889"/>
      <c r="B70" s="1890"/>
      <c r="C70" s="1683"/>
      <c r="D70" s="1794"/>
      <c r="E70" s="1782" t="s">
        <v>1173</v>
      </c>
      <c r="F70" s="1772"/>
      <c r="O70" s="1847" t="s">
        <v>1259</v>
      </c>
      <c r="P70" s="1902" t="s">
        <v>1260</v>
      </c>
      <c r="Q70" s="1879">
        <f ca="1">C13</f>
        <v>1079</v>
      </c>
      <c r="R70" s="1879" t="s">
        <v>1194</v>
      </c>
    </row>
    <row r="71" spans="1:18" s="748" customFormat="1">
      <c r="A71" s="1891" t="s">
        <v>1175</v>
      </c>
      <c r="B71" s="1892" t="s">
        <v>1181</v>
      </c>
      <c r="C71" s="1737">
        <f ca="1">ROUND(C68*10000/F71,0)</f>
        <v>-18234</v>
      </c>
      <c r="D71" s="1893" t="s">
        <v>1182</v>
      </c>
      <c r="E71" s="1894" t="s">
        <v>1183</v>
      </c>
      <c r="F71" s="1740">
        <f ca="1">F43</f>
        <v>889.53</v>
      </c>
      <c r="O71" s="1847" t="s">
        <v>1261</v>
      </c>
      <c r="P71" s="1902" t="s">
        <v>1262</v>
      </c>
      <c r="Q71" s="1880">
        <f ca="1">C76</f>
        <v>0.08</v>
      </c>
      <c r="R71" s="1879"/>
    </row>
    <row r="72" spans="1:18" s="748" customFormat="1">
      <c r="B72" s="322"/>
      <c r="C72" s="322"/>
      <c r="O72" s="1847" t="s">
        <v>1213</v>
      </c>
      <c r="P72" s="1841" t="s">
        <v>1239</v>
      </c>
      <c r="Q72" s="1880">
        <f>L52</f>
        <v>0</v>
      </c>
      <c r="R72" s="1879"/>
    </row>
    <row r="73" spans="1:18" ht="15.75">
      <c r="A73" s="748"/>
      <c r="B73" s="322"/>
      <c r="C73" s="322"/>
      <c r="D73" s="748"/>
      <c r="E73" s="748"/>
      <c r="F73" s="748"/>
      <c r="O73" s="1847" t="s">
        <v>1217</v>
      </c>
      <c r="P73" s="1841" t="s">
        <v>1242</v>
      </c>
      <c r="Q73" s="1879" t="e">
        <f ca="1">L58</f>
        <v>#DIV/0!</v>
      </c>
      <c r="R73" s="1879" t="s">
        <v>1243</v>
      </c>
    </row>
    <row r="74" spans="1:18">
      <c r="A74" s="748"/>
      <c r="B74" s="223" t="s">
        <v>1263</v>
      </c>
      <c r="C74" s="1895"/>
      <c r="D74" s="748"/>
      <c r="E74" s="748"/>
      <c r="F74" s="748"/>
      <c r="O74" s="1847" t="s">
        <v>1264</v>
      </c>
      <c r="P74" s="1841" t="str">
        <f>K59</f>
        <v>续建工期及建筑物耐用年限下的土地年期修正系数Kn</v>
      </c>
      <c r="Q74" s="1879" t="e">
        <f ca="1">L59</f>
        <v>#DIV/0!</v>
      </c>
      <c r="R74" s="1879" t="s">
        <v>1244</v>
      </c>
    </row>
    <row r="75" spans="1:18">
      <c r="A75" s="748"/>
      <c r="B75" s="1896" t="s">
        <v>1265</v>
      </c>
      <c r="C75" s="1897">
        <f ca="1">ROUND(C13*C76,0)</f>
        <v>86</v>
      </c>
      <c r="D75" s="748"/>
      <c r="E75" s="748"/>
      <c r="F75" s="748"/>
      <c r="K75" s="1827"/>
      <c r="L75" s="748"/>
      <c r="O75" s="1840" t="s">
        <v>1046</v>
      </c>
      <c r="P75" s="1841" t="s">
        <v>1223</v>
      </c>
      <c r="Q75" s="1879">
        <f ca="1">Q65+Q66</f>
        <v>3804</v>
      </c>
      <c r="R75" s="1879" t="s">
        <v>1224</v>
      </c>
    </row>
    <row r="76" spans="1:18">
      <c r="B76" s="567" t="s">
        <v>1266</v>
      </c>
      <c r="C76" s="1898">
        <f ca="1">INDIRECT("'数据-取费表'!j"&amp;$G$1)</f>
        <v>0.08</v>
      </c>
      <c r="I76" s="748"/>
      <c r="J76" s="748"/>
      <c r="K76" s="1827"/>
      <c r="L76" s="748"/>
    </row>
    <row r="77" spans="1:18">
      <c r="B77" s="1899" t="s">
        <v>1267</v>
      </c>
      <c r="C77" s="1900"/>
      <c r="I77" s="748"/>
      <c r="J77" s="748"/>
      <c r="K77" s="1827"/>
      <c r="L77" s="748"/>
    </row>
    <row r="78" spans="1:18">
      <c r="B78" s="221" t="s">
        <v>1268</v>
      </c>
      <c r="C78" s="1901"/>
    </row>
    <row r="79" spans="1:18">
      <c r="B79" s="1896" t="s">
        <v>1269</v>
      </c>
      <c r="C79" s="224">
        <f ca="1">1-C80</f>
        <v>0.497</v>
      </c>
    </row>
    <row r="80" spans="1:18">
      <c r="B80" s="1896" t="s">
        <v>1270</v>
      </c>
      <c r="C80" s="224">
        <f ca="1">ROUND(C75/C39,3)</f>
        <v>0.503</v>
      </c>
    </row>
    <row r="81" spans="2:3">
      <c r="B81" s="221" t="s">
        <v>1271</v>
      </c>
      <c r="C81" s="191"/>
    </row>
    <row r="82" spans="2:3">
      <c r="B82" s="223" t="s">
        <v>1022</v>
      </c>
      <c r="C82" s="225">
        <f ca="1">1-C83</f>
        <v>0.71599999999999997</v>
      </c>
    </row>
    <row r="83" spans="2:3">
      <c r="B83" s="223" t="s">
        <v>1023</v>
      </c>
      <c r="C83" s="224">
        <f ca="1">ROUND(C13/C40,3)</f>
        <v>0.28399999999999997</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J47" xr:uid="{00000000-0002-0000-1700-000001000000}">
      <formula1>"钢,钢混,砖混"</formula1>
    </dataValidation>
    <dataValidation type="list" allowBlank="1" showInputMessage="1" showErrorMessage="1" sqref="K19" xr:uid="{00000000-0002-0000-1700-000002000000}">
      <formula1>"按租金收入计税,按房产原值计税"</formula1>
    </dataValidation>
    <dataValidation type="list" allowBlank="1" showInputMessage="1" showErrorMessage="1" sqref="D1" xr:uid="{00000000-0002-0000-1700-000003000000}">
      <formula1>"在建（套用方法）,土地（套用方法）,——"</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J48" xr:uid="{00000000-0002-0000-1700-000007000000}">
      <formula1>"非生产用房,生产用房,受腐蚀的生产用房"</formula1>
    </dataValidation>
    <dataValidation type="list" allowBlank="1" showInputMessage="1" showErrorMessage="1" sqref="J56" xr:uid="{00000000-0002-0000-17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0.125" style="1625" customWidth="1"/>
    <col min="12" max="12" width="16.375" style="137" customWidth="1"/>
    <col min="13" max="13" width="13" style="137"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7"/>
  </cols>
  <sheetData>
    <row r="1" spans="1:37" s="1623" customFormat="1" ht="21">
      <c r="A1" s="1626" t="s">
        <v>1083</v>
      </c>
      <c r="B1" s="1101"/>
      <c r="C1" s="1627"/>
      <c r="D1" s="1628"/>
      <c r="E1" s="1629" t="s">
        <v>1084</v>
      </c>
      <c r="F1" s="1630">
        <f ca="1">J53</f>
        <v>-1.4</v>
      </c>
      <c r="G1" s="1631">
        <f>MATCH(C1,'数据-取费表'!A6:A16,0)+5</f>
        <v>10</v>
      </c>
      <c r="H1" s="1632"/>
      <c r="I1" s="1795"/>
      <c r="J1" s="1795"/>
      <c r="K1" s="1796"/>
      <c r="L1" s="1795"/>
      <c r="M1" s="1795"/>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row>
    <row r="2" spans="1:37" ht="18" customHeight="1">
      <c r="A2" s="1633" t="s">
        <v>1085</v>
      </c>
      <c r="B2" s="1634" t="e">
        <f ca="1">ROUND(D2/10000,0)</f>
        <v>#DIV/0!</v>
      </c>
      <c r="C2" s="1635" t="s">
        <v>1086</v>
      </c>
      <c r="D2" s="1636" t="e">
        <f ca="1">C40+J29+L46</f>
        <v>#DIV/0!</v>
      </c>
      <c r="E2" s="1637" t="s">
        <v>1272</v>
      </c>
      <c r="F2" s="1638"/>
      <c r="G2" s="1639"/>
      <c r="H2" s="1640"/>
      <c r="I2" s="1640"/>
      <c r="J2" s="1640"/>
      <c r="K2" s="1798"/>
      <c r="L2" s="1640"/>
      <c r="M2" s="1640"/>
    </row>
    <row r="3" spans="1:37" ht="18" customHeight="1">
      <c r="A3" s="1641" t="s">
        <v>1087</v>
      </c>
      <c r="B3" s="1642">
        <f ca="1">IF(ISERROR(D2/F43),0,ROUND(D2/F43,0))</f>
        <v>0</v>
      </c>
      <c r="C3" s="1635" t="s">
        <v>1088</v>
      </c>
      <c r="D3" s="1635"/>
      <c r="E3" s="1637"/>
      <c r="F3" s="1638"/>
      <c r="G3" s="1639"/>
      <c r="H3" s="1643" t="s">
        <v>1089</v>
      </c>
      <c r="I3" s="1799"/>
      <c r="J3" s="1799"/>
      <c r="K3" s="1800"/>
      <c r="L3" s="1799"/>
      <c r="M3" s="1799"/>
    </row>
    <row r="4" spans="1:37" ht="18" customHeight="1">
      <c r="A4" s="1644" t="s">
        <v>1090</v>
      </c>
      <c r="B4" s="1645" t="s">
        <v>1091</v>
      </c>
      <c r="C4" s="1645" t="s">
        <v>1092</v>
      </c>
      <c r="D4" s="1645" t="s">
        <v>1093</v>
      </c>
      <c r="E4" s="1646" t="s">
        <v>1094</v>
      </c>
      <c r="F4" s="1647"/>
      <c r="G4" s="748"/>
      <c r="H4" s="1644" t="s">
        <v>1090</v>
      </c>
      <c r="I4" s="1645" t="s">
        <v>1091</v>
      </c>
      <c r="J4" s="1645" t="s">
        <v>1092</v>
      </c>
      <c r="K4" s="1645" t="s">
        <v>1093</v>
      </c>
      <c r="L4" s="1646" t="s">
        <v>1094</v>
      </c>
      <c r="M4" s="1647"/>
    </row>
    <row r="5" spans="1:37" ht="18" customHeight="1">
      <c r="A5" s="1648">
        <v>1</v>
      </c>
      <c r="B5" s="1649" t="s">
        <v>1095</v>
      </c>
      <c r="C5" s="1650">
        <f ca="1">C6+C10+C12</f>
        <v>0</v>
      </c>
      <c r="D5" s="1651" t="s">
        <v>1096</v>
      </c>
      <c r="E5" s="1652"/>
      <c r="F5" s="1653"/>
      <c r="G5" s="748"/>
      <c r="H5" s="1648">
        <v>1</v>
      </c>
      <c r="I5" s="1649" t="s">
        <v>1095</v>
      </c>
      <c r="J5" s="1650">
        <f ca="1">J6+J10+J12</f>
        <v>0</v>
      </c>
      <c r="K5" s="1651" t="s">
        <v>1096</v>
      </c>
      <c r="L5" s="1652"/>
      <c r="M5" s="1653"/>
    </row>
    <row r="6" spans="1:37" ht="18" customHeight="1">
      <c r="A6" s="1654" t="s">
        <v>836</v>
      </c>
      <c r="B6" s="3324" t="s">
        <v>1097</v>
      </c>
      <c r="C6" s="1655">
        <f ca="1">ROUND(F6*F8*F7*(1-F9),0)</f>
        <v>0</v>
      </c>
      <c r="D6" s="1656" t="s">
        <v>1273</v>
      </c>
      <c r="E6" s="1657" t="s">
        <v>1099</v>
      </c>
      <c r="F6" s="1658">
        <f ca="1">INDIRECT("'数据-取费表'!u"&amp;$G$1)</f>
        <v>0</v>
      </c>
      <c r="G6" s="748"/>
      <c r="H6" s="1654" t="s">
        <v>836</v>
      </c>
      <c r="I6" s="3324" t="s">
        <v>1097</v>
      </c>
      <c r="J6" s="1729">
        <f ca="1">ROUND(M6*M8*M7*(1-M9),0)</f>
        <v>0</v>
      </c>
      <c r="K6" s="1801" t="s">
        <v>1274</v>
      </c>
      <c r="L6" s="1657" t="s">
        <v>1099</v>
      </c>
      <c r="M6" s="1658">
        <f ca="1">INDIRECT("'数据-取费表'!z"&amp;$G$1)</f>
        <v>0</v>
      </c>
    </row>
    <row r="7" spans="1:37" ht="18" customHeight="1">
      <c r="A7" s="1659"/>
      <c r="B7" s="3325"/>
      <c r="C7" s="1660"/>
      <c r="D7" s="1661"/>
      <c r="E7" s="1662" t="s">
        <v>1101</v>
      </c>
      <c r="F7" s="1658">
        <f ca="1">IF(INDIRECT("'数据-取费表'!ah"&amp;$G$1)="",INDIRECT("'数据-取费表'!k"&amp;$G$1),INDIRECT("'数据-取费表'!ah"&amp;$G$1))</f>
        <v>0</v>
      </c>
      <c r="G7" s="748"/>
      <c r="H7" s="1663"/>
      <c r="I7" s="3325"/>
      <c r="J7" s="1664"/>
      <c r="K7" s="1661"/>
      <c r="L7" s="1657" t="s">
        <v>1101</v>
      </c>
      <c r="M7" s="1658">
        <f ca="1">F7</f>
        <v>0</v>
      </c>
    </row>
    <row r="8" spans="1:37" ht="18" customHeight="1">
      <c r="A8" s="1663"/>
      <c r="B8" s="3325"/>
      <c r="C8" s="1664"/>
      <c r="D8" s="1661"/>
      <c r="E8" s="1657" t="s">
        <v>1102</v>
      </c>
      <c r="F8" s="1658">
        <f ca="1">INDIRECT("'数据-取费表'!ai"&amp;$G$1)</f>
        <v>0</v>
      </c>
      <c r="G8" s="748"/>
      <c r="H8" s="1663"/>
      <c r="I8" s="3325"/>
      <c r="J8" s="1664"/>
      <c r="K8" s="1661"/>
      <c r="L8" s="1657" t="s">
        <v>1102</v>
      </c>
      <c r="M8" s="1658">
        <f ca="1">INDIRECT("'数据-取费表'!ai"&amp;$G$1)</f>
        <v>0</v>
      </c>
    </row>
    <row r="9" spans="1:37" ht="18" customHeight="1">
      <c r="A9" s="1663"/>
      <c r="B9" s="3326"/>
      <c r="C9" s="1664"/>
      <c r="D9" s="1661"/>
      <c r="E9" s="1657" t="s">
        <v>1103</v>
      </c>
      <c r="F9" s="1665">
        <f ca="1">INDIRECT("'数据-取费表'!w"&amp;$G$1)</f>
        <v>0</v>
      </c>
      <c r="G9" s="748"/>
      <c r="H9" s="1663"/>
      <c r="I9" s="3326"/>
      <c r="J9" s="1664"/>
      <c r="K9" s="1661"/>
      <c r="L9" s="1668" t="s">
        <v>1103</v>
      </c>
      <c r="M9" s="1673">
        <f ca="1">INDIRECT("'数据-取费表'!ab"&amp;$G$1)</f>
        <v>0</v>
      </c>
    </row>
    <row r="10" spans="1:37" ht="18" customHeight="1">
      <c r="A10" s="1654" t="s">
        <v>840</v>
      </c>
      <c r="B10" s="1666" t="s">
        <v>1104</v>
      </c>
      <c r="C10" s="287">
        <f ca="1">ROUND(IF(F10="押一",C6/12*F11,IF(F10="押二",C6/12*2*F11,IF(F10="押三",C6/12*3*F11,C11*F11))),0)</f>
        <v>0</v>
      </c>
      <c r="D10" s="1667" t="s">
        <v>1105</v>
      </c>
      <c r="E10" s="1668" t="s">
        <v>1106</v>
      </c>
      <c r="F10" s="1669"/>
      <c r="G10" s="748"/>
      <c r="H10" s="1654" t="s">
        <v>840</v>
      </c>
      <c r="I10" s="1666" t="s">
        <v>1104</v>
      </c>
      <c r="J10" s="1729">
        <f ca="1">ROUND(IF(M10="押一",J6/12*M11,IF(M10="押二",J6/12*2*M11,IF(M10="押三",J6/12*3*M11,J11*M11))),0)</f>
        <v>0</v>
      </c>
      <c r="K10" s="1802" t="s">
        <v>1275</v>
      </c>
      <c r="L10" s="1668" t="s">
        <v>1106</v>
      </c>
      <c r="M10" s="1669"/>
    </row>
    <row r="11" spans="1:37" ht="18" customHeight="1">
      <c r="A11" s="1670"/>
      <c r="B11" s="1671" t="s">
        <v>1276</v>
      </c>
      <c r="C11" s="1672"/>
      <c r="D11" s="1661"/>
      <c r="E11" s="1668" t="s">
        <v>1109</v>
      </c>
      <c r="F11" s="1673">
        <f ca="1">'数据-取费表'!B39</f>
        <v>1.4999999999999999E-2</v>
      </c>
      <c r="G11" s="748"/>
      <c r="H11" s="1674"/>
      <c r="I11" s="1671" t="s">
        <v>1277</v>
      </c>
      <c r="J11" s="1672"/>
      <c r="K11" s="1803"/>
      <c r="L11" s="1668" t="s">
        <v>1109</v>
      </c>
      <c r="M11" s="1804">
        <f ca="1">'数据-取费表'!B39</f>
        <v>1.4999999999999999E-2</v>
      </c>
    </row>
    <row r="12" spans="1:37" ht="18" customHeight="1">
      <c r="A12" s="1675" t="s">
        <v>885</v>
      </c>
      <c r="B12" s="1676" t="s">
        <v>1110</v>
      </c>
      <c r="C12" s="1677"/>
      <c r="D12" s="1678"/>
      <c r="E12" s="1679"/>
      <c r="F12" s="1680"/>
      <c r="G12" s="748"/>
      <c r="H12" s="1675" t="s">
        <v>885</v>
      </c>
      <c r="I12" s="1676" t="s">
        <v>1110</v>
      </c>
      <c r="J12" s="1677"/>
      <c r="K12" s="1805"/>
      <c r="L12" s="1679"/>
      <c r="M12" s="1806"/>
    </row>
    <row r="13" spans="1:37" ht="18" customHeight="1">
      <c r="A13" s="1681">
        <v>2</v>
      </c>
      <c r="B13" s="1682" t="s">
        <v>1111</v>
      </c>
      <c r="C13" s="1683">
        <f ca="1">ROUND(C29*F13,0)</f>
        <v>0</v>
      </c>
      <c r="D13" s="1684" t="s">
        <v>1112</v>
      </c>
      <c r="E13" s="1684" t="s">
        <v>1113</v>
      </c>
      <c r="F13" s="1685">
        <f ca="1">INDIRECT("'数据-取费表'!y"&amp;$G$1)</f>
        <v>0</v>
      </c>
      <c r="G13" s="748"/>
      <c r="H13" s="1681">
        <v>2</v>
      </c>
      <c r="I13" s="1682" t="s">
        <v>1111</v>
      </c>
      <c r="J13" s="1807">
        <f ca="1">ROUND(J14*J15,0)</f>
        <v>0</v>
      </c>
      <c r="K13" s="1707" t="s">
        <v>1112</v>
      </c>
      <c r="L13" s="1808"/>
      <c r="M13" s="1809"/>
    </row>
    <row r="14" spans="1:37" ht="18" customHeight="1">
      <c r="A14" s="1686" t="s">
        <v>859</v>
      </c>
      <c r="B14" s="1657" t="s">
        <v>1114</v>
      </c>
      <c r="C14" s="1687">
        <f ca="1">ROUND(INDIRECT("'数据-取费表'!l"&amp;$G$1)*F43+'数据-取费表'!L14*INDIRECT("'数据-取费表'!S"&amp;$G$1),0)</f>
        <v>0</v>
      </c>
      <c r="D14" s="1688" t="s">
        <v>1115</v>
      </c>
      <c r="E14" s="1689"/>
      <c r="F14" s="1690"/>
      <c r="G14" s="748"/>
      <c r="H14" s="1686" t="s">
        <v>836</v>
      </c>
      <c r="I14" s="1657" t="s">
        <v>1116</v>
      </c>
      <c r="J14" s="288">
        <f ca="1">C29</f>
        <v>0</v>
      </c>
      <c r="K14" s="1810"/>
      <c r="L14" s="1811"/>
      <c r="M14" s="1812"/>
    </row>
    <row r="15" spans="1:37" s="1624" customFormat="1" ht="18" customHeight="1">
      <c r="A15" s="1686" t="s">
        <v>863</v>
      </c>
      <c r="B15" s="1657" t="s">
        <v>1044</v>
      </c>
      <c r="C15" s="288">
        <f ca="1">ROUND(C14*F15,0)</f>
        <v>0</v>
      </c>
      <c r="D15" s="1691" t="s">
        <v>1117</v>
      </c>
      <c r="E15" s="1691" t="s">
        <v>1118</v>
      </c>
      <c r="F15" s="1692">
        <f>'数据-取费表'!B33</f>
        <v>0.05</v>
      </c>
      <c r="G15" s="1693"/>
      <c r="H15" s="1694" t="s">
        <v>840</v>
      </c>
      <c r="I15" s="1679" t="s">
        <v>1113</v>
      </c>
      <c r="J15" s="1806">
        <f ca="1">INDIRECT("'数据-取费表'!ad"&amp;$G$1)</f>
        <v>0</v>
      </c>
      <c r="K15" s="1813"/>
      <c r="L15" s="1814"/>
      <c r="M15" s="1815"/>
      <c r="N15" s="1693"/>
      <c r="O15" s="1693"/>
      <c r="P15" s="1693"/>
      <c r="Q15" s="1693"/>
      <c r="R15" s="1693"/>
      <c r="S15" s="1693"/>
      <c r="T15" s="1693"/>
      <c r="U15" s="1693"/>
      <c r="V15" s="1693"/>
      <c r="W15" s="1693"/>
      <c r="X15" s="1693"/>
      <c r="Y15" s="1693"/>
      <c r="Z15" s="1693"/>
      <c r="AA15" s="1693"/>
      <c r="AB15" s="1693"/>
      <c r="AC15" s="1693"/>
      <c r="AD15" s="1693"/>
      <c r="AE15" s="1693"/>
      <c r="AF15" s="1693"/>
      <c r="AG15" s="1693"/>
      <c r="AH15" s="1693"/>
      <c r="AI15" s="1693"/>
      <c r="AJ15" s="1693"/>
      <c r="AK15" s="1693"/>
    </row>
    <row r="16" spans="1:37" ht="18" customHeight="1">
      <c r="A16" s="1686" t="s">
        <v>866</v>
      </c>
      <c r="B16" s="1657" t="s">
        <v>1047</v>
      </c>
      <c r="C16" s="288">
        <f ca="1">ROUND(INDIRECT("'数据-取费表'!l"&amp;$G$1)*F43*F16,0)</f>
        <v>0</v>
      </c>
      <c r="D16" s="1657" t="s">
        <v>1117</v>
      </c>
      <c r="E16" s="1657" t="s">
        <v>1118</v>
      </c>
      <c r="F16" s="1695">
        <f ca="1">IF(INDIRECT("'数据-取费表'!c"&amp;$G$1)="住宅",'数据-取费表'!B34,0)</f>
        <v>0</v>
      </c>
      <c r="G16" s="748"/>
      <c r="H16" s="1681" t="s">
        <v>1119</v>
      </c>
      <c r="I16" s="1682" t="s">
        <v>1120</v>
      </c>
      <c r="J16" s="1683">
        <f ca="1">ROUND(J17+J22+J23+J24,0)</f>
        <v>0</v>
      </c>
      <c r="K16" s="1707" t="s">
        <v>1121</v>
      </c>
      <c r="L16" s="1708"/>
      <c r="M16" s="1653"/>
    </row>
    <row r="17" spans="1:37" s="1624" customFormat="1" ht="18" customHeight="1">
      <c r="A17" s="1686" t="s">
        <v>1122</v>
      </c>
      <c r="B17" s="1657" t="s">
        <v>1123</v>
      </c>
      <c r="C17" s="288">
        <f ca="1">ROUND(F17*(F43+INDIRECT("'数据-取费表'!S"&amp;$G$1)),0)</f>
        <v>0</v>
      </c>
      <c r="D17" s="1657" t="s">
        <v>1124</v>
      </c>
      <c r="E17" s="1657" t="s">
        <v>1125</v>
      </c>
      <c r="F17" s="1696">
        <f>'数据-取费表'!B35</f>
        <v>200</v>
      </c>
      <c r="G17" s="1693"/>
      <c r="H17" s="1686" t="s">
        <v>836</v>
      </c>
      <c r="I17" s="1657" t="s">
        <v>1126</v>
      </c>
      <c r="J17" s="1710">
        <f ca="1">ROUND(IF(AND(项目基本情况!B11="自然人",项目基本情况!B10="北京市"),J6*M17/(1+'数据-取费表'!C42),J18+J19+J20),0)</f>
        <v>0</v>
      </c>
      <c r="K17" s="1688" t="s">
        <v>1127</v>
      </c>
      <c r="L17" s="1711" t="s">
        <v>1128</v>
      </c>
      <c r="M17" s="1712" t="str">
        <f>IF(项目基本情况!B11="企业","",IF('数据-取费表'!B10="住宅",IF(M6*M7*M8/12/(1+'数据-取费表'!F30)&gt;100000,4%,2.5%),IF(M6*M7*M8/12/(1+'数据-取费表'!F30)&gt;100000,12%,7%)))</f>
        <v/>
      </c>
      <c r="N17" s="1693"/>
      <c r="O17" s="1693"/>
      <c r="P17" s="1693"/>
      <c r="Q17" s="1693"/>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pans="1:37" s="1624" customFormat="1" ht="18" customHeight="1">
      <c r="A18" s="1686" t="s">
        <v>1129</v>
      </c>
      <c r="B18" s="1657" t="s">
        <v>1053</v>
      </c>
      <c r="C18" s="288">
        <f ca="1">ROUND(C14*F18,0)</f>
        <v>0</v>
      </c>
      <c r="D18" s="1657" t="s">
        <v>1117</v>
      </c>
      <c r="E18" s="1657" t="s">
        <v>1118</v>
      </c>
      <c r="F18" s="1695">
        <f>'数据-取费表'!B36</f>
        <v>1.4999999999999999E-2</v>
      </c>
      <c r="G18" s="1693"/>
      <c r="H18" s="1686" t="s">
        <v>859</v>
      </c>
      <c r="I18" s="1657" t="s">
        <v>1130</v>
      </c>
      <c r="J18" s="288">
        <f ca="1">ROUND(J6*M18/(1+'数据-取费表'!C42),0)</f>
        <v>0</v>
      </c>
      <c r="K18" s="1711" t="s">
        <v>1131</v>
      </c>
      <c r="L18" s="1657" t="s">
        <v>1118</v>
      </c>
      <c r="M18" s="1695">
        <f>'数据-取费表'!B41</f>
        <v>5.6000000000000001E-2</v>
      </c>
      <c r="N18" s="1693"/>
      <c r="O18" s="1693"/>
      <c r="P18" s="1693"/>
      <c r="Q18" s="1693"/>
      <c r="R18" s="1693"/>
      <c r="S18" s="1693"/>
      <c r="T18" s="1693"/>
      <c r="U18" s="1693"/>
      <c r="V18" s="1693"/>
      <c r="W18" s="1693"/>
      <c r="X18" s="1693"/>
      <c r="Y18" s="1693"/>
      <c r="Z18" s="1693"/>
      <c r="AA18" s="1693"/>
      <c r="AB18" s="1693"/>
      <c r="AC18" s="1693"/>
      <c r="AD18" s="1693"/>
      <c r="AE18" s="1693"/>
      <c r="AF18" s="1693"/>
      <c r="AG18" s="1693"/>
      <c r="AH18" s="1693"/>
      <c r="AI18" s="1693"/>
      <c r="AJ18" s="1693"/>
      <c r="AK18" s="1693"/>
    </row>
    <row r="19" spans="1:37" ht="18" customHeight="1">
      <c r="A19" s="1686" t="s">
        <v>836</v>
      </c>
      <c r="B19" s="1657" t="s">
        <v>1132</v>
      </c>
      <c r="C19" s="288">
        <f ca="1">SUM(C14:C18)</f>
        <v>0</v>
      </c>
      <c r="D19" s="1697" t="s">
        <v>1133</v>
      </c>
      <c r="E19" s="290"/>
      <c r="F19" s="1696"/>
      <c r="G19" s="748"/>
      <c r="H19" s="1686" t="s">
        <v>863</v>
      </c>
      <c r="I19" s="1657" t="s">
        <v>1134</v>
      </c>
      <c r="J19" s="288">
        <f ca="1">IF(K19="按租金收入计税",ROUND(J6*M19/(1+'数据-取费表'!C42),0),ROUND(C29*M19*0.7,0))</f>
        <v>0</v>
      </c>
      <c r="K19" s="1714" t="s">
        <v>1135</v>
      </c>
      <c r="L19" s="1657" t="s">
        <v>1118</v>
      </c>
      <c r="M19" s="1695">
        <f>IF(K19="按租金收入计税",'数据-取费表'!B51,'数据-取费表'!B50)</f>
        <v>1.2E-2</v>
      </c>
    </row>
    <row r="20" spans="1:37" s="1624" customFormat="1" ht="18" customHeight="1">
      <c r="A20" s="1686" t="s">
        <v>840</v>
      </c>
      <c r="B20" s="1657" t="s">
        <v>1136</v>
      </c>
      <c r="C20" s="288">
        <f ca="1">ROUND(C19*F20,0)</f>
        <v>0</v>
      </c>
      <c r="D20" s="1698" t="s">
        <v>1137</v>
      </c>
      <c r="E20" s="1657" t="s">
        <v>1118</v>
      </c>
      <c r="F20" s="1695">
        <f>'数据-取费表'!B37</f>
        <v>0.03</v>
      </c>
      <c r="G20" s="1693"/>
      <c r="H20" s="1686" t="s">
        <v>866</v>
      </c>
      <c r="I20" s="1656" t="s">
        <v>1138</v>
      </c>
      <c r="J20" s="1716">
        <f ca="1">ROUND(M20*M21,0)</f>
        <v>0</v>
      </c>
      <c r="K20" s="1717" t="s">
        <v>1139</v>
      </c>
      <c r="L20" s="1657" t="s">
        <v>1140</v>
      </c>
      <c r="M20" s="1701">
        <f>'数据-取费表'!B52</f>
        <v>12</v>
      </c>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pans="1:37" s="1624" customFormat="1" ht="18" customHeight="1">
      <c r="A21" s="1686" t="s">
        <v>885</v>
      </c>
      <c r="B21" s="1657" t="s">
        <v>1141</v>
      </c>
      <c r="C21" s="288" t="s">
        <v>124</v>
      </c>
      <c r="D21" s="1698" t="s">
        <v>1142</v>
      </c>
      <c r="E21" s="1657" t="s">
        <v>1143</v>
      </c>
      <c r="F21" s="1695">
        <f>'数据-取费表'!B38</f>
        <v>0.02</v>
      </c>
      <c r="G21" s="1693"/>
      <c r="H21" s="1699"/>
      <c r="I21" s="1816"/>
      <c r="J21" s="1720"/>
      <c r="K21" s="1721"/>
      <c r="L21" s="1657" t="s">
        <v>1144</v>
      </c>
      <c r="M21" s="1658">
        <f ca="1">INDIRECT("'数据-取费表'!r"&amp;$G$1)</f>
        <v>0</v>
      </c>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row>
    <row r="22" spans="1:37" ht="18" customHeight="1">
      <c r="A22" s="1686" t="s">
        <v>888</v>
      </c>
      <c r="B22" s="1657" t="s">
        <v>1145</v>
      </c>
      <c r="C22" s="288"/>
      <c r="D22" s="1697" t="str">
        <f>IF(F23&lt;=1,"单利计息。","复利计息。")&amp;"建造成本、管理费用、销售费用产生的利息。"</f>
        <v>复利计息。建造成本、管理费用、销售费用产生的利息。</v>
      </c>
      <c r="E22" s="290"/>
      <c r="F22" s="1696"/>
      <c r="G22" s="748"/>
      <c r="H22" s="1686" t="s">
        <v>840</v>
      </c>
      <c r="I22" s="1657" t="s">
        <v>1146</v>
      </c>
      <c r="J22" s="288">
        <f ca="1">ROUND(J14*M22,0)</f>
        <v>0</v>
      </c>
      <c r="K22" s="1711" t="s">
        <v>1147</v>
      </c>
      <c r="L22" s="1657" t="s">
        <v>1118</v>
      </c>
      <c r="M22" s="1723">
        <f ca="1">INDIRECT("'数据-取费表'!Ak"&amp;$G$1)</f>
        <v>0</v>
      </c>
    </row>
    <row r="23" spans="1:37" s="1624" customFormat="1" ht="18" customHeight="1">
      <c r="A23" s="1686" t="s">
        <v>859</v>
      </c>
      <c r="B23" s="1657" t="s">
        <v>1148</v>
      </c>
      <c r="C23" s="288">
        <f ca="1">IF('数据-取费表'!B22&lt;=1,ROUND(C19*F24*F23/2,0)+ROUND(C20*F24*F23/2,0),ROUND(C19*(POWER((1+F24),F23/2)-1),0)+ROUND(C20*(POWER((1+F24),F23/2)-1),0))</f>
        <v>0</v>
      </c>
      <c r="D23" s="1700" t="str">
        <f>IF(F23&lt;=1,"(建造成本+管理费用)×利率×(建设周期÷2)","(建造成本+管理费用)×((1+利率)^(建设周期÷2)-1)")</f>
        <v>(建造成本+管理费用)×((1+利率)^(建设周期÷2)-1)</v>
      </c>
      <c r="E23" s="1657" t="s">
        <v>1149</v>
      </c>
      <c r="F23" s="1701">
        <f>'数据-取费表'!B20</f>
        <v>2</v>
      </c>
      <c r="G23" s="1693"/>
      <c r="H23" s="1686" t="s">
        <v>885</v>
      </c>
      <c r="I23" s="1657" t="s">
        <v>1150</v>
      </c>
      <c r="J23" s="288">
        <f ca="1">ROUND(J13*M23,0)</f>
        <v>0</v>
      </c>
      <c r="K23" s="1711" t="s">
        <v>1151</v>
      </c>
      <c r="L23" s="1657" t="s">
        <v>1118</v>
      </c>
      <c r="M23" s="1724">
        <f ca="1">INDIRECT("'数据-取费表'!Al"&amp;$G$1)</f>
        <v>0</v>
      </c>
      <c r="N23" s="1693"/>
      <c r="O23" s="1693"/>
      <c r="P23" s="1693"/>
      <c r="Q23" s="1693"/>
      <c r="R23" s="1693"/>
      <c r="S23" s="1693"/>
      <c r="T23" s="1693"/>
      <c r="U23" s="1693"/>
      <c r="V23" s="1693"/>
      <c r="W23" s="1693"/>
      <c r="X23" s="1693"/>
      <c r="Y23" s="1693"/>
      <c r="Z23" s="1693"/>
      <c r="AA23" s="1693"/>
      <c r="AB23" s="1693"/>
      <c r="AC23" s="1693"/>
      <c r="AD23" s="1693"/>
      <c r="AE23" s="1693"/>
      <c r="AF23" s="1693"/>
      <c r="AG23" s="1693"/>
      <c r="AH23" s="1693"/>
      <c r="AI23" s="1693"/>
      <c r="AJ23" s="1693"/>
      <c r="AK23" s="1693"/>
    </row>
    <row r="24" spans="1:37" s="1624" customFormat="1" ht="18" customHeight="1">
      <c r="A24" s="1686" t="s">
        <v>863</v>
      </c>
      <c r="B24" s="1657" t="s">
        <v>1152</v>
      </c>
      <c r="C24" s="288">
        <f ca="1">ROUND(IF('数据-取费表'!B22&lt;=1,F21*F24*F23/2,F21*(POWER((1+F24),F23/2)-1)),4)</f>
        <v>8.9999999999999998E-4</v>
      </c>
      <c r="D24" s="1700" t="str">
        <f>IF(F23&lt;=1,"销售费用×利率×(建设周期÷2)","销售费用×((1+利率)^(建设周期÷2)-1)")</f>
        <v>销售费用×((1+利率)^(建设周期÷2)-1)</v>
      </c>
      <c r="E24" s="1657" t="s">
        <v>1153</v>
      </c>
      <c r="F24" s="1702">
        <f ca="1">'数据-取费表'!B40</f>
        <v>4.3499999999999997E-2</v>
      </c>
      <c r="G24" s="1693"/>
      <c r="H24" s="1694" t="s">
        <v>888</v>
      </c>
      <c r="I24" s="1679" t="s">
        <v>1136</v>
      </c>
      <c r="J24" s="1703">
        <f ca="1">ROUND(J5*M24,0)</f>
        <v>0</v>
      </c>
      <c r="K24" s="1704" t="s">
        <v>1154</v>
      </c>
      <c r="L24" s="1679" t="s">
        <v>1118</v>
      </c>
      <c r="M24" s="1680">
        <f ca="1">INDIRECT("'数据-取费表'!Am"&amp;$G$1)</f>
        <v>0</v>
      </c>
      <c r="N24" s="1693"/>
      <c r="O24" s="1693"/>
      <c r="P24" s="1693"/>
      <c r="Q24" s="1693"/>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spans="1:37" ht="18" customHeight="1">
      <c r="A25" s="1686" t="s">
        <v>892</v>
      </c>
      <c r="B25" s="1657" t="s">
        <v>1155</v>
      </c>
      <c r="C25" s="288"/>
      <c r="D25" s="1697" t="s">
        <v>1156</v>
      </c>
      <c r="E25" s="290"/>
      <c r="F25" s="1696"/>
      <c r="G25" s="748"/>
      <c r="H25" s="1681" t="s">
        <v>1157</v>
      </c>
      <c r="I25" s="1725" t="s">
        <v>1158</v>
      </c>
      <c r="J25" s="1683">
        <f ca="1">J5-J16</f>
        <v>0</v>
      </c>
      <c r="K25" s="1726" t="s">
        <v>1159</v>
      </c>
      <c r="L25" s="1727"/>
      <c r="M25" s="1728"/>
    </row>
    <row r="26" spans="1:37" ht="18" customHeight="1">
      <c r="A26" s="1686" t="s">
        <v>859</v>
      </c>
      <c r="B26" s="1657" t="s">
        <v>1160</v>
      </c>
      <c r="C26" s="288">
        <f ca="1">ROUND((C19+C20)*F26,0)</f>
        <v>0</v>
      </c>
      <c r="D26" s="1698" t="s">
        <v>1161</v>
      </c>
      <c r="E26" s="1668" t="s">
        <v>1162</v>
      </c>
      <c r="F26" s="1665">
        <f ca="1">INDIRECT("'数据-取费表'!q"&amp;$G$1)</f>
        <v>0</v>
      </c>
      <c r="G26" s="748"/>
      <c r="H26" s="1648" t="s">
        <v>1163</v>
      </c>
      <c r="I26" s="1649" t="s">
        <v>1164</v>
      </c>
      <c r="J26" s="1729">
        <f ca="1">IF(J5&lt;&gt;0,ROUND(J25*(1-((1+M28)/(1+M26))^M27)/(M26-M28),0),0)</f>
        <v>0</v>
      </c>
      <c r="K26" s="1717" t="s">
        <v>1165</v>
      </c>
      <c r="L26" s="1657" t="s">
        <v>1166</v>
      </c>
      <c r="M26" s="1665">
        <f ca="1">INDIRECT("'数据-取费表'!I"&amp;$G$1)</f>
        <v>0</v>
      </c>
    </row>
    <row r="27" spans="1:37" ht="18" customHeight="1">
      <c r="A27" s="1686" t="s">
        <v>863</v>
      </c>
      <c r="B27" s="1657" t="s">
        <v>1167</v>
      </c>
      <c r="C27" s="288">
        <f ca="1">ROUND(F21*F26,4)</f>
        <v>0</v>
      </c>
      <c r="D27" s="1698" t="s">
        <v>1168</v>
      </c>
      <c r="E27" s="1691"/>
      <c r="F27" s="1692"/>
      <c r="G27" s="748"/>
      <c r="H27" s="1663"/>
      <c r="I27" s="1731"/>
      <c r="J27" s="1664"/>
      <c r="K27" s="1732" t="s">
        <v>1169</v>
      </c>
      <c r="L27" s="1657" t="s">
        <v>1170</v>
      </c>
      <c r="M27" s="1733">
        <f ca="1">INDIRECT("'数据-取费表'!ag"&amp;$G$1)</f>
        <v>0</v>
      </c>
    </row>
    <row r="28" spans="1:37" s="1624" customFormat="1" ht="18" customHeight="1">
      <c r="A28" s="1686" t="s">
        <v>893</v>
      </c>
      <c r="B28" s="1657" t="s">
        <v>1171</v>
      </c>
      <c r="C28" s="288">
        <f>ROUND(F28/(1+'数据-取费表'!C42),4)</f>
        <v>5.33E-2</v>
      </c>
      <c r="D28" s="1698" t="s">
        <v>1172</v>
      </c>
      <c r="E28" s="1657" t="s">
        <v>1118</v>
      </c>
      <c r="F28" s="1695">
        <f>'数据-取费表'!B41</f>
        <v>5.6000000000000001E-2</v>
      </c>
      <c r="G28" s="1693"/>
      <c r="H28" s="1670"/>
      <c r="I28" s="1735"/>
      <c r="J28" s="1683"/>
      <c r="K28" s="1721"/>
      <c r="L28" s="1657" t="s">
        <v>1173</v>
      </c>
      <c r="M28" s="1665">
        <f ca="1">INDIRECT("'数据-取费表'!aa"&amp;$G$1)</f>
        <v>0</v>
      </c>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row>
    <row r="29" spans="1:37" s="1624" customFormat="1" ht="18" customHeight="1">
      <c r="A29" s="1694" t="s">
        <v>1078</v>
      </c>
      <c r="B29" s="1679" t="s">
        <v>1174</v>
      </c>
      <c r="C29" s="1703">
        <f ca="1">ROUND((C19+C20+C23+C26)/(1-F21-C24-C27-C28),0)</f>
        <v>0</v>
      </c>
      <c r="D29" s="1704"/>
      <c r="E29" s="1679"/>
      <c r="F29" s="1705"/>
      <c r="G29" s="1693"/>
      <c r="H29" s="1706" t="s">
        <v>1175</v>
      </c>
      <c r="I29" s="1736" t="s">
        <v>1176</v>
      </c>
      <c r="J29" s="1737">
        <f ca="1">ROUND(J26/(1+F40)^F41,0)</f>
        <v>0</v>
      </c>
      <c r="K29" s="1738" t="s">
        <v>1177</v>
      </c>
      <c r="L29" s="1739"/>
      <c r="M29" s="1740">
        <f ca="1">INDIRECT("'数据-取费表'!k"&amp;$G$1)</f>
        <v>0</v>
      </c>
      <c r="N29" s="1693"/>
      <c r="O29" s="1693"/>
      <c r="P29" s="1693"/>
      <c r="Q29" s="1693"/>
      <c r="R29" s="1693"/>
      <c r="S29" s="1693"/>
      <c r="T29" s="1693"/>
      <c r="U29" s="1693"/>
      <c r="V29" s="1693"/>
      <c r="W29" s="1693"/>
      <c r="X29" s="1693"/>
      <c r="Y29" s="1693"/>
      <c r="Z29" s="1693"/>
      <c r="AA29" s="1693"/>
      <c r="AB29" s="1693"/>
      <c r="AC29" s="1693"/>
      <c r="AD29" s="1693"/>
      <c r="AE29" s="1693"/>
      <c r="AF29" s="1693"/>
      <c r="AG29" s="1693"/>
      <c r="AH29" s="1693"/>
      <c r="AI29" s="1693"/>
      <c r="AJ29" s="1693"/>
      <c r="AK29" s="1693"/>
    </row>
    <row r="30" spans="1:37" ht="18" customHeight="1">
      <c r="A30" s="1681" t="s">
        <v>1119</v>
      </c>
      <c r="B30" s="1682" t="s">
        <v>1120</v>
      </c>
      <c r="C30" s="1683">
        <f ca="1">ROUND(C31+C36+C37+C38,0)</f>
        <v>0</v>
      </c>
      <c r="D30" s="1707" t="s">
        <v>1121</v>
      </c>
      <c r="E30" s="1708"/>
      <c r="F30" s="1653"/>
      <c r="G30" s="748"/>
      <c r="H30" s="1709"/>
      <c r="I30" s="1817"/>
      <c r="J30" s="1818"/>
      <c r="K30" s="1819"/>
      <c r="L30" s="1820"/>
      <c r="M30" s="1821"/>
    </row>
    <row r="31" spans="1:37" ht="18" customHeight="1">
      <c r="A31" s="1686" t="s">
        <v>836</v>
      </c>
      <c r="B31" s="1657" t="s">
        <v>1126</v>
      </c>
      <c r="C31" s="1710">
        <f ca="1">ROUND(IF(AND(项目基本情况!B11="自然人",项目基本情况!B10="北京市"),C6*F31/(1+'数据-取费表'!C42),C32+C33+C34),0)</f>
        <v>0</v>
      </c>
      <c r="D31" s="1688" t="s">
        <v>1127</v>
      </c>
      <c r="E31" s="1711" t="s">
        <v>1128</v>
      </c>
      <c r="F31" s="1712" t="str">
        <f>IF(项目基本情况!B11="企业","——",IF('数据-取费表'!B10="住宅",IF(F6*F7*F8/12/(1+'数据-取费表'!F30)&gt;100000,4%,2.5%),IF(F6*F7*F8/12/(1+'数据-取费表'!F30)&gt;100000,12%,7%)))</f>
        <v>——</v>
      </c>
      <c r="G31" s="748"/>
      <c r="H31" s="1713" t="s">
        <v>1178</v>
      </c>
      <c r="I31" s="1817"/>
      <c r="J31" s="1818"/>
      <c r="K31" s="1819"/>
      <c r="L31" s="1820"/>
      <c r="M31" s="1821"/>
    </row>
    <row r="32" spans="1:37" ht="18" customHeight="1">
      <c r="A32" s="1686" t="s">
        <v>859</v>
      </c>
      <c r="B32" s="1657" t="s">
        <v>1130</v>
      </c>
      <c r="C32" s="288">
        <f ca="1">IF(项目基本情况!B11="自然人","——",ROUND(C6*F32/(1+'数据-取费表'!C42),0))</f>
        <v>0</v>
      </c>
      <c r="D32" s="1711" t="s">
        <v>1131</v>
      </c>
      <c r="E32" s="1657" t="s">
        <v>1118</v>
      </c>
      <c r="F32" s="1702">
        <f>'数据-取费表'!B41</f>
        <v>5.6000000000000001E-2</v>
      </c>
      <c r="G32" s="748"/>
      <c r="H32" s="1709"/>
      <c r="I32" s="1817"/>
      <c r="J32" s="1818"/>
      <c r="K32" s="1819"/>
      <c r="L32" s="1820"/>
      <c r="M32" s="1821"/>
    </row>
    <row r="33" spans="1:18" ht="18" customHeight="1">
      <c r="A33" s="1686" t="s">
        <v>863</v>
      </c>
      <c r="B33" s="1657" t="s">
        <v>1134</v>
      </c>
      <c r="C33" s="288">
        <f ca="1">IF(项目基本情况!B11="自然人","——",IF(D33="按租金收入计税",ROUND(C6*F33/(1+'数据-取费表'!C42),0),IF(D33="按房产原值计税",ROUND(C29*F33*0.7,0),INDIRECT("'数据-取费表'!Aj"&amp;$G$1))))</f>
        <v>0</v>
      </c>
      <c r="D33" s="1714" t="s">
        <v>1135</v>
      </c>
      <c r="E33" s="1657" t="s">
        <v>1118</v>
      </c>
      <c r="F33" s="1695">
        <f>IF(D33="按票据","——",IF(D33="按租金收入计税",'数据-取费表'!B51,'数据-取费表'!B50))</f>
        <v>1.2E-2</v>
      </c>
      <c r="G33" s="748"/>
      <c r="H33" s="1715"/>
      <c r="I33" s="1817"/>
      <c r="J33" s="1818"/>
      <c r="K33" s="1822"/>
      <c r="L33" s="1715"/>
      <c r="M33" s="1715"/>
    </row>
    <row r="34" spans="1:18" ht="18" customHeight="1">
      <c r="A34" s="1654" t="s">
        <v>866</v>
      </c>
      <c r="B34" s="1656" t="s">
        <v>1138</v>
      </c>
      <c r="C34" s="1716">
        <f ca="1">IF(项目基本情况!B11="自然人","——",ROUND(F34*F35,))</f>
        <v>0</v>
      </c>
      <c r="D34" s="1717" t="s">
        <v>1139</v>
      </c>
      <c r="E34" s="1657" t="s">
        <v>1140</v>
      </c>
      <c r="F34" s="1701">
        <f>'数据-取费表'!B52</f>
        <v>12</v>
      </c>
      <c r="G34" s="748"/>
      <c r="H34" s="1709"/>
      <c r="I34" s="1817"/>
      <c r="J34" s="1818"/>
      <c r="K34" s="1823"/>
      <c r="L34" s="1824"/>
      <c r="M34" s="1824"/>
    </row>
    <row r="35" spans="1:18" ht="18" customHeight="1">
      <c r="A35" s="1718"/>
      <c r="B35" s="1719"/>
      <c r="C35" s="1720"/>
      <c r="D35" s="1721"/>
      <c r="E35" s="1657" t="s">
        <v>1144</v>
      </c>
      <c r="F35" s="1658">
        <f ca="1">INDIRECT("'数据-取费表'!r"&amp;$G$1)</f>
        <v>0</v>
      </c>
      <c r="G35" s="748"/>
      <c r="H35" s="1709"/>
      <c r="I35" s="1817"/>
      <c r="J35" s="1818"/>
      <c r="K35" s="1822"/>
      <c r="L35" s="1715"/>
      <c r="M35" s="1715"/>
    </row>
    <row r="36" spans="1:18" ht="18" customHeight="1">
      <c r="A36" s="1722" t="s">
        <v>840</v>
      </c>
      <c r="B36" s="1657" t="s">
        <v>1146</v>
      </c>
      <c r="C36" s="288">
        <f ca="1">ROUND(C29*F36,0)</f>
        <v>0</v>
      </c>
      <c r="D36" s="1711" t="s">
        <v>1179</v>
      </c>
      <c r="E36" s="1657" t="s">
        <v>1118</v>
      </c>
      <c r="F36" s="1723">
        <f ca="1">INDIRECT("'数据-取费表'!Ak"&amp;$G$1)</f>
        <v>0</v>
      </c>
      <c r="G36" s="748"/>
      <c r="H36" s="1715"/>
      <c r="I36" s="1817"/>
      <c r="J36" s="1818"/>
      <c r="K36" s="1825"/>
      <c r="L36" s="1715"/>
      <c r="M36" s="1715"/>
    </row>
    <row r="37" spans="1:18" ht="18" customHeight="1">
      <c r="A37" s="1686" t="s">
        <v>885</v>
      </c>
      <c r="B37" s="1657" t="s">
        <v>1150</v>
      </c>
      <c r="C37" s="288">
        <f ca="1">ROUND(C13*F37,0)</f>
        <v>0</v>
      </c>
      <c r="D37" s="1711" t="s">
        <v>1151</v>
      </c>
      <c r="E37" s="1657" t="s">
        <v>1118</v>
      </c>
      <c r="F37" s="1724">
        <f ca="1">INDIRECT("'数据-取费表'!Al"&amp;$G$1)</f>
        <v>0</v>
      </c>
      <c r="G37" s="748"/>
      <c r="H37" s="1715"/>
      <c r="I37" s="1817"/>
      <c r="J37" s="1818"/>
      <c r="K37" s="1825"/>
      <c r="L37" s="1715"/>
      <c r="M37" s="1715"/>
    </row>
    <row r="38" spans="1:18" ht="18" customHeight="1">
      <c r="A38" s="1694" t="s">
        <v>888</v>
      </c>
      <c r="B38" s="1679" t="s">
        <v>1136</v>
      </c>
      <c r="C38" s="1703">
        <f ca="1">ROUND(C5*F38,1)</f>
        <v>0</v>
      </c>
      <c r="D38" s="1704" t="s">
        <v>1154</v>
      </c>
      <c r="E38" s="1679" t="s">
        <v>1118</v>
      </c>
      <c r="F38" s="1680">
        <f ca="1">INDIRECT("'数据-取费表'!Am"&amp;$G$1)</f>
        <v>0</v>
      </c>
      <c r="G38" s="748"/>
      <c r="H38" s="1715"/>
      <c r="I38" s="1817"/>
      <c r="J38" s="1818"/>
      <c r="K38" s="1826"/>
      <c r="L38" s="1715"/>
      <c r="M38" s="1715"/>
    </row>
    <row r="39" spans="1:18" ht="24.6" customHeight="1">
      <c r="A39" s="1681" t="s">
        <v>1157</v>
      </c>
      <c r="B39" s="1725" t="s">
        <v>1158</v>
      </c>
      <c r="C39" s="1683">
        <f ca="1">C5-C30</f>
        <v>0</v>
      </c>
      <c r="D39" s="1726" t="s">
        <v>1159</v>
      </c>
      <c r="E39" s="1727"/>
      <c r="F39" s="1728"/>
      <c r="G39" s="748"/>
      <c r="H39" s="1715"/>
      <c r="I39" s="1817"/>
      <c r="J39" s="1818"/>
      <c r="K39" s="1826"/>
      <c r="L39" s="1715"/>
      <c r="M39" s="1715"/>
    </row>
    <row r="40" spans="1:18" ht="18" customHeight="1">
      <c r="A40" s="1648" t="s">
        <v>1163</v>
      </c>
      <c r="B40" s="1649" t="s">
        <v>1180</v>
      </c>
      <c r="C40" s="1729" t="e">
        <f ca="1">ROUND(C39*(1-((1+F42)/(1+F40))^F41)/(F40-F42),0)</f>
        <v>#DIV/0!</v>
      </c>
      <c r="D40" s="1717" t="s">
        <v>1165</v>
      </c>
      <c r="E40" s="1657" t="s">
        <v>1166</v>
      </c>
      <c r="F40" s="1665">
        <f ca="1">INDIRECT("'数据-取费表'!I"&amp;$G$1)</f>
        <v>0</v>
      </c>
      <c r="G40" s="748"/>
      <c r="H40" s="1730"/>
      <c r="I40" s="1817"/>
      <c r="J40" s="1818"/>
      <c r="K40" s="1826"/>
      <c r="L40" s="1730"/>
      <c r="M40" s="1730"/>
    </row>
    <row r="41" spans="1:18" ht="18" customHeight="1">
      <c r="A41" s="1663"/>
      <c r="B41" s="1731"/>
      <c r="C41" s="1664"/>
      <c r="D41" s="1732" t="s">
        <v>1169</v>
      </c>
      <c r="E41" s="1657" t="s">
        <v>1170</v>
      </c>
      <c r="F41" s="1733">
        <f ca="1">IF(INDIRECT("'数据-取费表'!af"&amp;$G$1)=0,INDIRECT("'数据-取费表'!ae"&amp;$G$1),INDIRECT("'数据-取费表'!af"&amp;$G$1))</f>
        <v>0</v>
      </c>
      <c r="G41" s="748"/>
      <c r="H41" s="1734"/>
      <c r="I41" s="1817"/>
      <c r="J41" s="1818"/>
      <c r="K41" s="1825"/>
      <c r="L41" s="1734"/>
      <c r="M41" s="1734"/>
    </row>
    <row r="42" spans="1:18" ht="18" customHeight="1">
      <c r="A42" s="1670"/>
      <c r="B42" s="1735"/>
      <c r="C42" s="1683"/>
      <c r="D42" s="1721"/>
      <c r="E42" s="1657" t="s">
        <v>1173</v>
      </c>
      <c r="F42" s="1665">
        <f ca="1">INDIRECT("'数据-取费表'!v"&amp;$G$1)</f>
        <v>0</v>
      </c>
      <c r="G42" s="748"/>
      <c r="H42" s="1734"/>
      <c r="I42" s="1817"/>
      <c r="J42" s="1818"/>
      <c r="K42" s="1825"/>
      <c r="L42" s="1734"/>
      <c r="M42" s="1734"/>
    </row>
    <row r="43" spans="1:18" ht="18" customHeight="1">
      <c r="A43" s="1706" t="s">
        <v>1175</v>
      </c>
      <c r="B43" s="1736" t="s">
        <v>1181</v>
      </c>
      <c r="C43" s="1737" t="e">
        <f ca="1">ROUND(C40/F43,0)</f>
        <v>#DIV/0!</v>
      </c>
      <c r="D43" s="1738" t="s">
        <v>1182</v>
      </c>
      <c r="E43" s="1739" t="s">
        <v>1183</v>
      </c>
      <c r="F43" s="1740">
        <f ca="1">INDIRECT("'数据-取费表'!k"&amp;$G$1)</f>
        <v>0</v>
      </c>
      <c r="G43" s="748"/>
      <c r="H43" s="1734"/>
      <c r="I43" s="1734"/>
      <c r="J43" s="1734"/>
      <c r="K43" s="1825"/>
      <c r="L43" s="1734"/>
      <c r="M43" s="1734"/>
    </row>
    <row r="44" spans="1:18" s="748" customFormat="1" ht="18" customHeight="1">
      <c r="A44" s="1741"/>
      <c r="B44" s="1741"/>
      <c r="C44" s="1742"/>
      <c r="D44" s="1741"/>
      <c r="E44" s="1741"/>
      <c r="F44" s="1741"/>
      <c r="K44" s="1827"/>
    </row>
    <row r="45" spans="1:18" s="748" customFormat="1" ht="18" customHeight="1">
      <c r="A45" s="1741"/>
      <c r="B45" s="1741"/>
      <c r="C45" s="1743" t="e">
        <f ca="1">C68-C40</f>
        <v>#DIV/0!</v>
      </c>
      <c r="D45" s="1744" t="s">
        <v>1278</v>
      </c>
      <c r="E45" s="1741"/>
      <c r="F45" s="1741"/>
      <c r="O45" s="1828" t="s">
        <v>1184</v>
      </c>
      <c r="P45" s="1730"/>
      <c r="Q45" s="1730"/>
      <c r="R45" s="1730"/>
    </row>
    <row r="46" spans="1:18" s="748" customFormat="1">
      <c r="A46" s="1745" t="s">
        <v>1185</v>
      </c>
      <c r="C46" s="1746" t="e">
        <f ca="1">ROUND(C45/10000,0)</f>
        <v>#DIV/0!</v>
      </c>
      <c r="D46" s="1747" t="str">
        <f>C2</f>
        <v>万元</v>
      </c>
      <c r="I46" s="1829" t="s">
        <v>1186</v>
      </c>
      <c r="J46" s="1830"/>
      <c r="K46" s="1831"/>
      <c r="L46" s="1832" t="e">
        <f ca="1">IF(M47="住宅",0,IF(L48&gt;J51,L60,J60))</f>
        <v>#DIV/0!</v>
      </c>
      <c r="O46" s="1833" t="s">
        <v>1187</v>
      </c>
      <c r="P46" s="1834" t="s">
        <v>1188</v>
      </c>
      <c r="Q46" s="1878" t="s">
        <v>1189</v>
      </c>
      <c r="R46" s="1878" t="s">
        <v>1190</v>
      </c>
    </row>
    <row r="47" spans="1:18" s="748" customFormat="1">
      <c r="A47" s="1748" t="s">
        <v>1090</v>
      </c>
      <c r="B47" s="1749" t="s">
        <v>1091</v>
      </c>
      <c r="C47" s="1749" t="s">
        <v>1092</v>
      </c>
      <c r="D47" s="1749" t="s">
        <v>1093</v>
      </c>
      <c r="E47" s="1750" t="s">
        <v>1094</v>
      </c>
      <c r="F47" s="281"/>
      <c r="G47" s="1751"/>
      <c r="I47" s="1835" t="s">
        <v>1191</v>
      </c>
      <c r="J47" s="1836"/>
      <c r="K47" s="1837" t="s">
        <v>1192</v>
      </c>
      <c r="L47" s="1838">
        <f ca="1">INDIRECT("'数据-取费表'!d"&amp;$G$1)</f>
        <v>0</v>
      </c>
      <c r="M47" s="1839" t="str">
        <f>IF(ISNUMBER(FIND("住宅",C1)),"住宅","非住宅")</f>
        <v>非住宅</v>
      </c>
      <c r="O47" s="1840" t="s">
        <v>942</v>
      </c>
      <c r="P47" s="1841" t="s">
        <v>1193</v>
      </c>
      <c r="Q47" s="1879" t="e">
        <f ca="1">C40+J29</f>
        <v>#DIV/0!</v>
      </c>
      <c r="R47" s="1879" t="s">
        <v>1194</v>
      </c>
    </row>
    <row r="48" spans="1:18" s="748" customFormat="1" ht="27.75">
      <c r="A48" s="1752" t="s">
        <v>1195</v>
      </c>
      <c r="B48" s="1649" t="s">
        <v>1095</v>
      </c>
      <c r="C48" s="289">
        <f ca="1">C49+C53+C55</f>
        <v>0</v>
      </c>
      <c r="D48" s="1753"/>
      <c r="E48" s="1754"/>
      <c r="F48" s="1755"/>
      <c r="G48" s="1751"/>
      <c r="H48" s="1756"/>
      <c r="I48" s="809" t="s">
        <v>1196</v>
      </c>
      <c r="J48" s="1842"/>
      <c r="K48" s="1843" t="s">
        <v>1197</v>
      </c>
      <c r="L48" s="1844">
        <f ca="1">INDIRECT("'数据-取费表'!f"&amp;$G$1)</f>
        <v>0</v>
      </c>
      <c r="O48" s="1840" t="s">
        <v>945</v>
      </c>
      <c r="P48" s="1841" t="s">
        <v>1198</v>
      </c>
      <c r="Q48" s="1879" t="e">
        <f ca="1">J60</f>
        <v>#DIV/0!</v>
      </c>
      <c r="R48" s="1879" t="s">
        <v>1199</v>
      </c>
    </row>
    <row r="49" spans="1:18" s="748" customFormat="1">
      <c r="A49" s="1757" t="s">
        <v>1200</v>
      </c>
      <c r="B49" s="1758" t="s">
        <v>1201</v>
      </c>
      <c r="C49" s="1759">
        <f ca="1">ROUND(F49*F51*F50*(1-F52),0)</f>
        <v>0</v>
      </c>
      <c r="D49" s="1760" t="s">
        <v>1279</v>
      </c>
      <c r="E49" s="1761" t="s">
        <v>1202</v>
      </c>
      <c r="F49" s="1762"/>
      <c r="G49" s="1763"/>
      <c r="H49" s="1756"/>
      <c r="I49" s="809" t="s">
        <v>1203</v>
      </c>
      <c r="J49" s="1845"/>
      <c r="K49" s="1843" t="s">
        <v>1204</v>
      </c>
      <c r="L49" s="1846"/>
      <c r="O49" s="1847" t="s">
        <v>1205</v>
      </c>
      <c r="P49" s="1841" t="s">
        <v>1206</v>
      </c>
      <c r="Q49" s="1879">
        <f ca="1">C29</f>
        <v>0</v>
      </c>
      <c r="R49" s="1879" t="s">
        <v>1194</v>
      </c>
    </row>
    <row r="50" spans="1:18" s="748" customFormat="1">
      <c r="A50" s="1764"/>
      <c r="B50" s="1765"/>
      <c r="C50" s="1766"/>
      <c r="D50" s="1767"/>
      <c r="E50" s="1768" t="s">
        <v>1101</v>
      </c>
      <c r="F50" s="1769">
        <f ca="1">F7</f>
        <v>0</v>
      </c>
      <c r="H50" s="1756"/>
      <c r="I50" s="809" t="s">
        <v>1207</v>
      </c>
      <c r="J50" s="1848">
        <f>SUMPRODUCT((I63:I65=J47)*(J62:L62=J48)*(J63:L65))</f>
        <v>0</v>
      </c>
      <c r="K50" s="1843" t="s">
        <v>1208</v>
      </c>
      <c r="L50" s="1846"/>
      <c r="M50" s="1849"/>
      <c r="O50" s="1847" t="s">
        <v>1209</v>
      </c>
      <c r="P50" s="1841" t="s">
        <v>1210</v>
      </c>
      <c r="Q50" s="1880" t="e">
        <f ca="1">J58</f>
        <v>#DIV/0!</v>
      </c>
      <c r="R50" s="1879"/>
    </row>
    <row r="51" spans="1:18" s="748" customFormat="1">
      <c r="A51" s="1770"/>
      <c r="B51" s="1765"/>
      <c r="C51" s="1766"/>
      <c r="D51" s="1767"/>
      <c r="E51" s="1771" t="s">
        <v>1102</v>
      </c>
      <c r="F51" s="1658">
        <f ca="1">F8</f>
        <v>0</v>
      </c>
      <c r="I51" s="1850" t="s">
        <v>1211</v>
      </c>
      <c r="J51" s="1851">
        <f>IF(J49="",J50,J49+J50-YEAR('数据-取费表'!B2))</f>
        <v>0</v>
      </c>
      <c r="K51" s="1852" t="s">
        <v>1212</v>
      </c>
      <c r="L51" s="1853">
        <f ca="1">ROUND(-PV(INDIRECT("'数据-取费表'!h"&amp;$G$1),J51,(C39-C13*C76),0),0)</f>
        <v>0</v>
      </c>
      <c r="M51" s="1854"/>
      <c r="O51" s="1847" t="s">
        <v>1213</v>
      </c>
      <c r="P51" s="1841" t="s">
        <v>1214</v>
      </c>
      <c r="Q51" s="1880">
        <f>J52</f>
        <v>0</v>
      </c>
      <c r="R51" s="1879"/>
    </row>
    <row r="52" spans="1:18" s="748" customFormat="1">
      <c r="A52" s="1770"/>
      <c r="B52" s="1765"/>
      <c r="C52" s="1766"/>
      <c r="D52" s="1767"/>
      <c r="E52" s="1771" t="s">
        <v>1103</v>
      </c>
      <c r="F52" s="1772"/>
      <c r="I52" s="1855" t="s">
        <v>1215</v>
      </c>
      <c r="J52" s="1856"/>
      <c r="K52" s="1855" t="s">
        <v>1216</v>
      </c>
      <c r="L52" s="1856"/>
      <c r="O52" s="1847" t="s">
        <v>1217</v>
      </c>
      <c r="P52" s="1841" t="s">
        <v>1218</v>
      </c>
      <c r="Q52" s="1879">
        <f ca="1">J53</f>
        <v>-1.4</v>
      </c>
      <c r="R52" s="1879" t="s">
        <v>1219</v>
      </c>
    </row>
    <row r="53" spans="1:18" s="748" customFormat="1" ht="30.75" customHeight="1">
      <c r="A53" s="1773" t="s">
        <v>1220</v>
      </c>
      <c r="B53" s="1698" t="s">
        <v>1104</v>
      </c>
      <c r="C53" s="287">
        <f ca="1">ROUND(IF(F53="押一",C49/12*F11,IF(F53="押二",C49/12*2*F11,IF(F53="押三",C49/12*3*F11,C54*F11))),0)</f>
        <v>0</v>
      </c>
      <c r="D53" s="1667" t="s">
        <v>1280</v>
      </c>
      <c r="E53" s="1668" t="s">
        <v>1106</v>
      </c>
      <c r="F53" s="1669"/>
      <c r="I53" s="1857" t="s">
        <v>1221</v>
      </c>
      <c r="J53" s="1858">
        <f ca="1">IF(M47="住宅",IF(D1="——",MAX(J51,L48),MAX(J51,L48-'数据-取费表'!B24)),IF(D1="——",MIN(J51,L48),MIN(J51,L48-'数据-取费表'!B24)))</f>
        <v>-1.4</v>
      </c>
      <c r="K53" s="3322" t="s">
        <v>1222</v>
      </c>
      <c r="L53" s="3323"/>
      <c r="O53" s="1840" t="s">
        <v>1046</v>
      </c>
      <c r="P53" s="1841" t="s">
        <v>1223</v>
      </c>
      <c r="Q53" s="1879" t="e">
        <f ca="1">Q47+Q48</f>
        <v>#DIV/0!</v>
      </c>
      <c r="R53" s="1879" t="s">
        <v>1224</v>
      </c>
    </row>
    <row r="54" spans="1:18" s="748" customFormat="1">
      <c r="A54" s="1757"/>
      <c r="B54" s="1774" t="s">
        <v>1277</v>
      </c>
      <c r="C54" s="1672"/>
      <c r="D54" s="1667"/>
      <c r="E54" s="1775"/>
      <c r="F54" s="1776"/>
      <c r="I54" s="18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0"/>
      <c r="K54" s="1860"/>
      <c r="L54" s="1860"/>
      <c r="M54" s="1763"/>
      <c r="O54" s="1828" t="s">
        <v>1225</v>
      </c>
      <c r="P54" s="1861"/>
      <c r="Q54" s="1861"/>
      <c r="R54" s="1861"/>
    </row>
    <row r="55" spans="1:18" s="748" customFormat="1">
      <c r="A55" s="1675" t="s">
        <v>885</v>
      </c>
      <c r="B55" s="1676" t="s">
        <v>1110</v>
      </c>
      <c r="C55" s="1677"/>
      <c r="D55" s="1667"/>
      <c r="E55" s="1775"/>
      <c r="F55" s="1776"/>
      <c r="I55" s="1862" t="s">
        <v>1226</v>
      </c>
      <c r="J55" s="1863" t="e">
        <f ca="1">ROUND(IF(J47="钢混",J57/J50,1-(1-2%)*(J50-J57)/J50),3)</f>
        <v>#DIV/0!</v>
      </c>
      <c r="K55" s="1864" t="s">
        <v>1227</v>
      </c>
      <c r="L55" s="1865"/>
      <c r="O55" s="1833" t="s">
        <v>1187</v>
      </c>
      <c r="P55" s="1834" t="s">
        <v>1188</v>
      </c>
      <c r="Q55" s="1878" t="s">
        <v>1189</v>
      </c>
      <c r="R55" s="1878" t="s">
        <v>1190</v>
      </c>
    </row>
    <row r="56" spans="1:18" s="748" customFormat="1" ht="36" customHeight="1">
      <c r="A56" s="1777">
        <v>2</v>
      </c>
      <c r="B56" s="1778" t="s">
        <v>1111</v>
      </c>
      <c r="C56" s="181">
        <f ca="1">C13</f>
        <v>0</v>
      </c>
      <c r="D56" s="1779"/>
      <c r="E56" s="1780"/>
      <c r="F56" s="1776"/>
      <c r="I56" s="1866" t="s">
        <v>1229</v>
      </c>
      <c r="J56" s="1867"/>
      <c r="K56" s="809" t="s">
        <v>1230</v>
      </c>
      <c r="L56" s="1844">
        <f ca="1">IF(L48&lt;J51,"——",L48-J51)</f>
        <v>0</v>
      </c>
      <c r="O56" s="1840" t="s">
        <v>942</v>
      </c>
      <c r="P56" s="1841" t="s">
        <v>1193</v>
      </c>
      <c r="Q56" s="1879" t="e">
        <f ca="1">C40+J29</f>
        <v>#DIV/0!</v>
      </c>
      <c r="R56" s="1879" t="s">
        <v>1194</v>
      </c>
    </row>
    <row r="57" spans="1:18" s="748" customFormat="1" ht="24">
      <c r="A57" s="1781"/>
      <c r="B57" s="1782" t="s">
        <v>1174</v>
      </c>
      <c r="C57" s="191">
        <f ca="1">C29</f>
        <v>0</v>
      </c>
      <c r="D57" s="1783"/>
      <c r="E57" s="1784"/>
      <c r="F57" s="1785"/>
      <c r="I57" s="1868" t="s">
        <v>1231</v>
      </c>
      <c r="J57" s="1869">
        <f ca="1">IF(OR(M47="住宅",J51&lt;L48,J56="是"),"——",J51-L48)</f>
        <v>0</v>
      </c>
      <c r="K57" s="809" t="s">
        <v>1281</v>
      </c>
      <c r="L57" s="1844">
        <f ca="1">IF(L48&lt;J51,"——",IF(L55="比较法",L49,IF(L55="基准地价",L50,L51)))</f>
        <v>0</v>
      </c>
      <c r="O57" s="1840" t="s">
        <v>945</v>
      </c>
      <c r="P57" s="1841" t="s">
        <v>1233</v>
      </c>
      <c r="Q57" s="1879" t="e">
        <f ca="1">L60</f>
        <v>#DIV/0!</v>
      </c>
      <c r="R57" s="1879" t="s">
        <v>1234</v>
      </c>
    </row>
    <row r="58" spans="1:18" s="748" customFormat="1" ht="24">
      <c r="A58" s="1786" t="s">
        <v>1119</v>
      </c>
      <c r="B58" s="1778" t="s">
        <v>1120</v>
      </c>
      <c r="C58" s="287">
        <f ca="1">ROUND(C59+C64+C65+C66,0)</f>
        <v>0</v>
      </c>
      <c r="D58" s="1787" t="s">
        <v>1121</v>
      </c>
      <c r="E58" s="1788"/>
      <c r="F58" s="1755"/>
      <c r="I58" s="1868" t="s">
        <v>1235</v>
      </c>
      <c r="J58" s="1870" t="e">
        <f ca="1">IF(J55&lt;0.4,0.4,J55)</f>
        <v>#DIV/0!</v>
      </c>
      <c r="K58" s="1852" t="s">
        <v>1282</v>
      </c>
      <c r="L58" s="1844" t="e">
        <f ca="1">ROUND(POWER(1+L52,L47-L48)*(POWER(1+L52,L48)-1)/(POWER(1+L52,L47)-1),4)</f>
        <v>#DIV/0!</v>
      </c>
      <c r="O58" s="1847" t="s">
        <v>1205</v>
      </c>
      <c r="P58" s="1841" t="s">
        <v>1237</v>
      </c>
      <c r="Q58" s="1879">
        <f>IF(L55="比较法",L49,IF(L55="基准地价",L50,0))</f>
        <v>0</v>
      </c>
      <c r="R58" s="1879" t="s">
        <v>1194</v>
      </c>
    </row>
    <row r="59" spans="1:18" s="748" customFormat="1" ht="24">
      <c r="A59" s="1686" t="s">
        <v>836</v>
      </c>
      <c r="B59" s="1782" t="s">
        <v>1126</v>
      </c>
      <c r="C59" s="1710">
        <f ca="1">ROUND(IF(AND(项目基本情况!B11="自然人",项目基本情况!B10="北京市"),C49*F59/(1+'数据-取费表'!C42),C60+C61+C62),0)</f>
        <v>0</v>
      </c>
      <c r="D59" s="1789" t="s">
        <v>1127</v>
      </c>
      <c r="E59" s="1790" t="s">
        <v>1128</v>
      </c>
      <c r="F59" s="1712" t="str">
        <f>IF(项目基本情况!B11="企业","——",IF('数据-取费表'!B10="住宅",IF(F49*F50*F51/12/(1+'数据-取费表'!F30)&gt;100000,4%,2.5%),IF(F49*F50*F51/12/(1+'数据-取费表'!F30)&gt;100000,12%,7%)))</f>
        <v>——</v>
      </c>
      <c r="I59" s="1868" t="s">
        <v>1238</v>
      </c>
      <c r="J59" s="1869" t="e">
        <f ca="1">IF(OR(M47="住宅",J51&lt;L48,J56="是"),"——",ROUND(C29*J58,0))</f>
        <v>#DIV/0!</v>
      </c>
      <c r="K59" s="8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4" t="e">
        <f ca="1">ROUND(IF(D1="在建（套用方法）",M59,IF(D1="土地（套用方法）",N59,POWER(1+L52,L47-J51)*(POWER(1+L52,J51)-1)/(POWER(1+L52,L47)-1))),4)</f>
        <v>#DIV/0!</v>
      </c>
      <c r="M59" s="1861" t="e">
        <f ca="1">ROUND(POWER(1+L52,L47-(J51+'数据-取费表'!B24))*(POWER(1+L52,(J51+'数据-取费表'!B24))-1)/(POWER(1+L52,L47)-1),4)</f>
        <v>#DIV/0!</v>
      </c>
      <c r="N59" s="1861" t="e">
        <f ca="1">ROUND(POWER(1+L52,L47-(J51+'数据-取费表'!B20))*(POWER(1+L52,(J51+'数据-取费表'!B20))-1)/(POWER(1+L52,L47)-1),4)</f>
        <v>#DIV/0!</v>
      </c>
      <c r="O59" s="1847" t="s">
        <v>1209</v>
      </c>
      <c r="P59" s="1841" t="s">
        <v>1239</v>
      </c>
      <c r="Q59" s="1880">
        <f>L52</f>
        <v>0</v>
      </c>
      <c r="R59" s="1879"/>
    </row>
    <row r="60" spans="1:18" s="748" customFormat="1" ht="15.75">
      <c r="A60" s="1686" t="s">
        <v>859</v>
      </c>
      <c r="B60" s="1782" t="s">
        <v>1130</v>
      </c>
      <c r="C60" s="288">
        <f ca="1">IF(项目基本情况!B11="自然人","——",ROUND(C48*F60/(1+'数据-取费表'!C42),0))</f>
        <v>0</v>
      </c>
      <c r="D60" s="1790" t="s">
        <v>1131</v>
      </c>
      <c r="E60" s="1782" t="s">
        <v>1118</v>
      </c>
      <c r="F60" s="1702">
        <f t="shared" ref="F60:F66" si="0">F32</f>
        <v>5.6000000000000001E-2</v>
      </c>
      <c r="I60" s="1871" t="s">
        <v>1240</v>
      </c>
      <c r="J60" s="1872" t="e">
        <f ca="1">IF(OR(M47="住宅",J51&lt;L48,J56="是"),"0",ROUND(J59/(1+J52)^J53,0))</f>
        <v>#DIV/0!</v>
      </c>
      <c r="K60" s="1873" t="s">
        <v>1241</v>
      </c>
      <c r="L60" s="1872" t="e">
        <f ca="1">IF(OR(M47="住宅",L48&lt;J51),0,ROUND(L57*(L58/L59-1),0))</f>
        <v>#DIV/0!</v>
      </c>
      <c r="O60" s="1847" t="s">
        <v>1213</v>
      </c>
      <c r="P60" s="1841" t="s">
        <v>1242</v>
      </c>
      <c r="Q60" s="1879" t="e">
        <f ca="1">L58</f>
        <v>#DIV/0!</v>
      </c>
      <c r="R60" s="1879" t="s">
        <v>1243</v>
      </c>
    </row>
    <row r="61" spans="1:18" s="748" customFormat="1">
      <c r="A61" s="1686" t="s">
        <v>863</v>
      </c>
      <c r="B61" s="1782" t="s">
        <v>1134</v>
      </c>
      <c r="C61" s="288">
        <f ca="1">IF(项目基本情况!B11="自然人","——",IF(D61="按租金收入计税",ROUND(C48*F61,0),IF(D61="按房产原值计税",ROUND(C57*F61*0.7,0),INDIRECT("'数据-取费表'!Aj"&amp;$G$1))))</f>
        <v>0</v>
      </c>
      <c r="D61" s="1714" t="s">
        <v>1135</v>
      </c>
      <c r="E61" s="1782" t="s">
        <v>1118</v>
      </c>
      <c r="F61" s="1695">
        <f t="shared" si="0"/>
        <v>1.2E-2</v>
      </c>
      <c r="I61" s="1730"/>
      <c r="J61" s="1730"/>
      <c r="K61" s="1730"/>
      <c r="L61" s="1730"/>
      <c r="O61" s="1847" t="s">
        <v>1217</v>
      </c>
      <c r="P61" s="1841" t="str">
        <f>K59</f>
        <v>建设期及建筑物耐用年限下的土地年期修正系数Kn</v>
      </c>
      <c r="Q61" s="1879" t="e">
        <f ca="1">L59</f>
        <v>#DIV/0!</v>
      </c>
      <c r="R61" s="1879" t="s">
        <v>1244</v>
      </c>
    </row>
    <row r="62" spans="1:18" s="748" customFormat="1">
      <c r="A62" s="1686" t="s">
        <v>866</v>
      </c>
      <c r="B62" s="1791" t="s">
        <v>1138</v>
      </c>
      <c r="C62" s="1716">
        <f ca="1">IF(项目基本情况!B11="自然人","——",ROUND(F62*F63,0))</f>
        <v>0</v>
      </c>
      <c r="D62" s="1792" t="s">
        <v>1139</v>
      </c>
      <c r="E62" s="1782" t="s">
        <v>1140</v>
      </c>
      <c r="F62" s="1701">
        <f t="shared" si="0"/>
        <v>12</v>
      </c>
      <c r="I62" s="1874" t="s">
        <v>1245</v>
      </c>
      <c r="J62" s="1875" t="s">
        <v>1246</v>
      </c>
      <c r="K62" s="1875" t="s">
        <v>1247</v>
      </c>
      <c r="L62" s="1875" t="s">
        <v>1248</v>
      </c>
      <c r="M62" s="1876" t="s">
        <v>1249</v>
      </c>
      <c r="O62" s="1840" t="s">
        <v>1046</v>
      </c>
      <c r="P62" s="1841" t="s">
        <v>1223</v>
      </c>
      <c r="Q62" s="1879" t="e">
        <f ca="1">Q56+Q57</f>
        <v>#DIV/0!</v>
      </c>
      <c r="R62" s="1879" t="s">
        <v>1224</v>
      </c>
    </row>
    <row r="63" spans="1:18" s="748" customFormat="1">
      <c r="A63" s="1699"/>
      <c r="B63" s="1793"/>
      <c r="C63" s="1720"/>
      <c r="D63" s="1794"/>
      <c r="E63" s="1782" t="s">
        <v>1144</v>
      </c>
      <c r="F63" s="1658">
        <f t="shared" ca="1" si="0"/>
        <v>0</v>
      </c>
      <c r="I63" s="1874" t="s">
        <v>1250</v>
      </c>
      <c r="J63" s="1875">
        <v>70</v>
      </c>
      <c r="K63" s="1875">
        <v>50</v>
      </c>
      <c r="L63" s="1875">
        <v>80</v>
      </c>
      <c r="M63" s="1877">
        <v>0.02</v>
      </c>
      <c r="O63" s="1828" t="s">
        <v>1251</v>
      </c>
      <c r="P63" s="1861"/>
      <c r="Q63" s="1861"/>
      <c r="R63" s="1861"/>
    </row>
    <row r="64" spans="1:18" s="748" customFormat="1">
      <c r="A64" s="1686" t="s">
        <v>840</v>
      </c>
      <c r="B64" s="1782" t="s">
        <v>1146</v>
      </c>
      <c r="C64" s="288">
        <f ca="1">ROUND(C57*F64,0)</f>
        <v>0</v>
      </c>
      <c r="D64" s="1790" t="s">
        <v>1179</v>
      </c>
      <c r="E64" s="1782" t="s">
        <v>1118</v>
      </c>
      <c r="F64" s="1723">
        <f t="shared" ca="1" si="0"/>
        <v>0</v>
      </c>
      <c r="I64" s="1874" t="s">
        <v>1252</v>
      </c>
      <c r="J64" s="1875">
        <v>50</v>
      </c>
      <c r="K64" s="1875">
        <v>35</v>
      </c>
      <c r="L64" s="1875">
        <v>60</v>
      </c>
      <c r="M64" s="1876">
        <v>0</v>
      </c>
      <c r="O64" s="1833" t="s">
        <v>1187</v>
      </c>
      <c r="P64" s="1834" t="s">
        <v>1188</v>
      </c>
      <c r="Q64" s="1878" t="s">
        <v>1189</v>
      </c>
      <c r="R64" s="1878" t="s">
        <v>1190</v>
      </c>
    </row>
    <row r="65" spans="1:18" s="748" customFormat="1">
      <c r="A65" s="1686" t="s">
        <v>885</v>
      </c>
      <c r="B65" s="1782" t="s">
        <v>1150</v>
      </c>
      <c r="C65" s="288">
        <f ca="1">ROUND(C56*F65,0)</f>
        <v>0</v>
      </c>
      <c r="D65" s="1790" t="s">
        <v>1151</v>
      </c>
      <c r="E65" s="1782" t="s">
        <v>1118</v>
      </c>
      <c r="F65" s="1724">
        <f t="shared" ca="1" si="0"/>
        <v>0</v>
      </c>
      <c r="I65" s="1874" t="s">
        <v>1253</v>
      </c>
      <c r="J65" s="1875">
        <v>40</v>
      </c>
      <c r="K65" s="1875">
        <v>30</v>
      </c>
      <c r="L65" s="1875">
        <v>50</v>
      </c>
      <c r="M65" s="1877">
        <v>0.02</v>
      </c>
      <c r="O65" s="1840" t="s">
        <v>942</v>
      </c>
      <c r="P65" s="1841" t="s">
        <v>1193</v>
      </c>
      <c r="Q65" s="1879" t="e">
        <f ca="1">C40+J29</f>
        <v>#DIV/0!</v>
      </c>
      <c r="R65" s="1879" t="s">
        <v>1194</v>
      </c>
    </row>
    <row r="66" spans="1:18" s="748" customFormat="1" ht="15.75">
      <c r="A66" s="1686" t="s">
        <v>888</v>
      </c>
      <c r="B66" s="1782" t="s">
        <v>1136</v>
      </c>
      <c r="C66" s="288">
        <f ca="1">ROUND(C48*F66,0)</f>
        <v>0</v>
      </c>
      <c r="D66" s="1790" t="s">
        <v>1154</v>
      </c>
      <c r="E66" s="1782" t="s">
        <v>1118</v>
      </c>
      <c r="F66" s="1665">
        <f t="shared" ca="1" si="0"/>
        <v>0</v>
      </c>
      <c r="O66" s="1840" t="s">
        <v>945</v>
      </c>
      <c r="P66" s="1841" t="s">
        <v>1233</v>
      </c>
      <c r="Q66" s="1879" t="e">
        <f ca="1">L60</f>
        <v>#DIV/0!</v>
      </c>
      <c r="R66" s="1879" t="s">
        <v>1234</v>
      </c>
    </row>
    <row r="67" spans="1:18" s="748" customFormat="1" ht="15.75">
      <c r="A67" s="1777" t="s">
        <v>1157</v>
      </c>
      <c r="B67" s="1881" t="s">
        <v>1158</v>
      </c>
      <c r="C67" s="287">
        <f ca="1">C48-C58</f>
        <v>0</v>
      </c>
      <c r="D67" s="1789" t="s">
        <v>1159</v>
      </c>
      <c r="E67" s="1882"/>
      <c r="F67" s="1883"/>
      <c r="O67" s="1847" t="s">
        <v>1205</v>
      </c>
      <c r="P67" s="1841" t="s">
        <v>1237</v>
      </c>
      <c r="Q67" s="1903">
        <f ca="1">L51</f>
        <v>0</v>
      </c>
      <c r="R67" s="1879" t="s">
        <v>1254</v>
      </c>
    </row>
    <row r="68" spans="1:18" s="748" customFormat="1" ht="15.75">
      <c r="A68" s="1884" t="s">
        <v>1163</v>
      </c>
      <c r="B68" s="1885" t="s">
        <v>1180</v>
      </c>
      <c r="C68" s="1729" t="e">
        <f ca="1">ROUND(C67*(1-((1+F70)/(1+F68))^F69)/(F68-F70),0)</f>
        <v>#DIV/0!</v>
      </c>
      <c r="D68" s="1792" t="s">
        <v>1165</v>
      </c>
      <c r="E68" s="1782" t="s">
        <v>1166</v>
      </c>
      <c r="F68" s="1665">
        <f ca="1">F40</f>
        <v>0</v>
      </c>
      <c r="O68" s="1847" t="s">
        <v>1209</v>
      </c>
      <c r="P68" s="1902" t="s">
        <v>1255</v>
      </c>
      <c r="Q68" s="1879">
        <f ca="1">ROUND(Q69-Q70*Q71,0)</f>
        <v>0</v>
      </c>
      <c r="R68" s="1879" t="s">
        <v>1256</v>
      </c>
    </row>
    <row r="69" spans="1:18" s="748" customFormat="1">
      <c r="A69" s="1886"/>
      <c r="B69" s="1887"/>
      <c r="C69" s="1664"/>
      <c r="D69" s="1888" t="s">
        <v>1169</v>
      </c>
      <c r="E69" s="1782" t="s">
        <v>1170</v>
      </c>
      <c r="F69" s="1733">
        <f ca="1">F41</f>
        <v>0</v>
      </c>
      <c r="O69" s="1847" t="s">
        <v>1257</v>
      </c>
      <c r="P69" s="1902" t="s">
        <v>1258</v>
      </c>
      <c r="Q69" s="1879">
        <f ca="1">C39</f>
        <v>0</v>
      </c>
      <c r="R69" s="1879" t="s">
        <v>1194</v>
      </c>
    </row>
    <row r="70" spans="1:18" s="748" customFormat="1">
      <c r="A70" s="1889"/>
      <c r="B70" s="1890"/>
      <c r="C70" s="1683"/>
      <c r="D70" s="1794"/>
      <c r="E70" s="1782" t="s">
        <v>1173</v>
      </c>
      <c r="F70" s="1772">
        <f ca="1">F42</f>
        <v>0</v>
      </c>
      <c r="O70" s="1847" t="s">
        <v>1259</v>
      </c>
      <c r="P70" s="1902" t="s">
        <v>1260</v>
      </c>
      <c r="Q70" s="1879">
        <f ca="1">C13</f>
        <v>0</v>
      </c>
      <c r="R70" s="1879" t="s">
        <v>1194</v>
      </c>
    </row>
    <row r="71" spans="1:18" s="748" customFormat="1">
      <c r="A71" s="1891" t="s">
        <v>1175</v>
      </c>
      <c r="B71" s="1892" t="s">
        <v>1181</v>
      </c>
      <c r="C71" s="1737" t="e">
        <f ca="1">ROUND(C68/F71,0)</f>
        <v>#DIV/0!</v>
      </c>
      <c r="D71" s="1893" t="s">
        <v>1182</v>
      </c>
      <c r="E71" s="1894" t="s">
        <v>1183</v>
      </c>
      <c r="F71" s="1740">
        <f ca="1">F43</f>
        <v>0</v>
      </c>
      <c r="O71" s="1847" t="s">
        <v>1261</v>
      </c>
      <c r="P71" s="1902" t="s">
        <v>1262</v>
      </c>
      <c r="Q71" s="1880">
        <f ca="1">C76</f>
        <v>0</v>
      </c>
      <c r="R71" s="1879"/>
    </row>
    <row r="72" spans="1:18" s="748" customFormat="1">
      <c r="B72" s="322"/>
      <c r="C72" s="322"/>
      <c r="O72" s="1847" t="s">
        <v>1213</v>
      </c>
      <c r="P72" s="1841" t="s">
        <v>1239</v>
      </c>
      <c r="Q72" s="1880">
        <f>L52</f>
        <v>0</v>
      </c>
      <c r="R72" s="1879"/>
    </row>
    <row r="73" spans="1:18" ht="15.75">
      <c r="A73" s="748"/>
      <c r="B73" s="322"/>
      <c r="C73" s="322"/>
      <c r="D73" s="748"/>
      <c r="E73" s="748"/>
      <c r="F73" s="748"/>
      <c r="O73" s="1847" t="s">
        <v>1217</v>
      </c>
      <c r="P73" s="1841" t="s">
        <v>1242</v>
      </c>
      <c r="Q73" s="1879" t="e">
        <f ca="1">L58</f>
        <v>#DIV/0!</v>
      </c>
      <c r="R73" s="1879" t="s">
        <v>1243</v>
      </c>
    </row>
    <row r="74" spans="1:18">
      <c r="A74" s="748"/>
      <c r="B74" s="223" t="s">
        <v>1263</v>
      </c>
      <c r="C74" s="1895"/>
      <c r="D74" s="748"/>
      <c r="E74" s="748"/>
      <c r="F74" s="748"/>
      <c r="O74" s="1847" t="s">
        <v>1264</v>
      </c>
      <c r="P74" s="1841" t="str">
        <f>K59</f>
        <v>建设期及建筑物耐用年限下的土地年期修正系数Kn</v>
      </c>
      <c r="Q74" s="1879" t="e">
        <f ca="1">L59</f>
        <v>#DIV/0!</v>
      </c>
      <c r="R74" s="1879" t="s">
        <v>1244</v>
      </c>
    </row>
    <row r="75" spans="1:18">
      <c r="A75" s="748"/>
      <c r="B75" s="1896" t="s">
        <v>1265</v>
      </c>
      <c r="C75" s="1897">
        <f ca="1">ROUND(C13*C76,0)</f>
        <v>0</v>
      </c>
      <c r="D75" s="748"/>
      <c r="E75" s="748"/>
      <c r="F75" s="748"/>
      <c r="K75" s="1827"/>
      <c r="L75" s="748"/>
      <c r="O75" s="1840" t="s">
        <v>1046</v>
      </c>
      <c r="P75" s="1841" t="s">
        <v>1223</v>
      </c>
      <c r="Q75" s="1879" t="e">
        <f ca="1">Q65+Q66</f>
        <v>#DIV/0!</v>
      </c>
      <c r="R75" s="1879" t="s">
        <v>1224</v>
      </c>
    </row>
    <row r="76" spans="1:18">
      <c r="B76" s="567" t="s">
        <v>1266</v>
      </c>
      <c r="C76" s="1898">
        <f ca="1">INDIRECT("'数据-取费表'!j"&amp;$G$1)</f>
        <v>0</v>
      </c>
      <c r="I76" s="748"/>
      <c r="J76" s="748"/>
      <c r="K76" s="1827"/>
      <c r="L76" s="748"/>
    </row>
    <row r="77" spans="1:18">
      <c r="B77" s="1899" t="s">
        <v>1267</v>
      </c>
      <c r="C77" s="1900"/>
      <c r="I77" s="748"/>
      <c r="J77" s="748"/>
      <c r="K77" s="1827"/>
      <c r="L77" s="748"/>
    </row>
    <row r="78" spans="1:18">
      <c r="B78" s="221" t="s">
        <v>1268</v>
      </c>
      <c r="C78" s="1901"/>
    </row>
    <row r="79" spans="1:18">
      <c r="B79" s="1896" t="s">
        <v>1269</v>
      </c>
      <c r="C79" s="224" t="e">
        <f ca="1">1-C80</f>
        <v>#DIV/0!</v>
      </c>
    </row>
    <row r="80" spans="1:18">
      <c r="B80" s="1896" t="s">
        <v>1270</v>
      </c>
      <c r="C80" s="224" t="e">
        <f ca="1">ROUND(C75/C39,3)</f>
        <v>#DIV/0!</v>
      </c>
    </row>
    <row r="81" spans="2:3">
      <c r="B81" s="221" t="s">
        <v>1271</v>
      </c>
      <c r="C81" s="191"/>
    </row>
    <row r="82" spans="2:3">
      <c r="B82" s="223" t="s">
        <v>1022</v>
      </c>
      <c r="C82" s="225" t="e">
        <f ca="1">1-C83</f>
        <v>#DIV/0!</v>
      </c>
    </row>
    <row r="83" spans="2:3">
      <c r="B83" s="223" t="s">
        <v>1023</v>
      </c>
      <c r="C83" s="224"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J47" xr:uid="{00000000-0002-0000-1800-000001000000}">
      <formula1>"钢,钢混,砖混"</formula1>
    </dataValidation>
    <dataValidation type="list" allowBlank="1" showInputMessage="1" showErrorMessage="1" sqref="K19" xr:uid="{00000000-0002-0000-1800-000002000000}">
      <formula1>"按租金收入计税,按房产原值计税"</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J48" xr:uid="{00000000-0002-0000-1800-000007000000}">
      <formula1>"非生产用房,生产用房,受腐蚀的生产用房"</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88" customWidth="1"/>
    <col min="2" max="2" width="12" style="488" customWidth="1"/>
    <col min="3" max="3" width="9" style="488"/>
    <col min="4" max="4" width="14.125" style="488" customWidth="1"/>
    <col min="5" max="5" width="9" style="488"/>
    <col min="6" max="6" width="12.875" style="488" customWidth="1"/>
    <col min="7" max="16384" width="9" style="488"/>
  </cols>
  <sheetData>
    <row r="1" spans="1:22" ht="21">
      <c r="A1" s="489" t="s">
        <v>1283</v>
      </c>
      <c r="B1" s="1600"/>
      <c r="C1" s="1600"/>
      <c r="D1" s="1600"/>
      <c r="E1" s="1601"/>
      <c r="F1" s="1602"/>
      <c r="G1" s="1603"/>
      <c r="H1" s="1603"/>
      <c r="I1" s="1603"/>
      <c r="J1" s="1603"/>
      <c r="K1" s="1603"/>
      <c r="L1" s="1603"/>
      <c r="M1" s="1603"/>
      <c r="N1" s="1603"/>
      <c r="O1" s="1603"/>
      <c r="P1" s="1603"/>
      <c r="Q1" s="1603"/>
      <c r="R1" s="1603"/>
      <c r="S1" s="1603"/>
    </row>
    <row r="2" spans="1:22" ht="15.75">
      <c r="A2" s="1604" t="s">
        <v>926</v>
      </c>
      <c r="B2" s="1605">
        <f ca="1">SUMIF(B6:B13,"&lt;&gt;#ref!",B6:B13)</f>
        <v>3804</v>
      </c>
      <c r="C2" s="1606" t="s">
        <v>1284</v>
      </c>
      <c r="D2" s="1607" t="s">
        <v>1285</v>
      </c>
      <c r="E2" s="1608">
        <f>SUM(E6:E13)</f>
        <v>889.53</v>
      </c>
      <c r="F2" s="1602"/>
      <c r="G2" s="1603"/>
      <c r="H2" s="1603"/>
      <c r="I2" s="1603"/>
      <c r="J2" s="1603"/>
      <c r="K2" s="1603"/>
      <c r="L2" s="1603"/>
      <c r="M2" s="1603"/>
      <c r="N2" s="1603"/>
      <c r="O2" s="1603"/>
      <c r="P2" s="1603"/>
      <c r="Q2" s="1603"/>
      <c r="R2" s="1603"/>
      <c r="S2" s="1603"/>
    </row>
    <row r="3" spans="1:22" ht="15.75">
      <c r="A3" s="1604" t="s">
        <v>928</v>
      </c>
      <c r="B3" s="1609">
        <f ca="1">ROUND(B2*10000/E2,0)</f>
        <v>42764</v>
      </c>
      <c r="C3" s="1606" t="s">
        <v>1286</v>
      </c>
      <c r="D3" s="1610"/>
      <c r="E3" s="1611"/>
      <c r="F3" s="1602"/>
      <c r="G3" s="1603"/>
      <c r="H3" s="1603"/>
      <c r="I3" s="1603"/>
      <c r="J3" s="1603"/>
      <c r="K3" s="1603"/>
      <c r="L3" s="1603"/>
      <c r="M3" s="1603"/>
      <c r="N3" s="1603"/>
      <c r="O3" s="1603"/>
      <c r="P3" s="1603"/>
      <c r="Q3" s="1603"/>
      <c r="R3" s="1603"/>
      <c r="S3" s="1603"/>
    </row>
    <row r="4" spans="1:22" ht="15.75">
      <c r="A4" s="1612"/>
      <c r="B4" s="1610"/>
      <c r="C4" s="1610"/>
      <c r="D4" s="1610"/>
      <c r="E4" s="1611"/>
      <c r="F4" s="1602"/>
      <c r="G4" s="1603"/>
      <c r="H4" s="1603"/>
      <c r="I4" s="1603"/>
      <c r="J4" s="1603"/>
      <c r="K4" s="1603"/>
      <c r="L4" s="1603"/>
      <c r="M4" s="1603"/>
      <c r="N4" s="1603"/>
      <c r="O4" s="1603"/>
      <c r="P4" s="1603"/>
      <c r="Q4" s="1603"/>
      <c r="R4" s="1603"/>
      <c r="S4" s="1603"/>
    </row>
    <row r="5" spans="1:22" ht="15">
      <c r="A5" s="1613" t="s">
        <v>1287</v>
      </c>
      <c r="B5" s="3327" t="s">
        <v>1288</v>
      </c>
      <c r="C5" s="3328"/>
      <c r="D5" s="1614"/>
      <c r="E5" s="1615" t="s">
        <v>1289</v>
      </c>
      <c r="F5" s="1616" t="s">
        <v>1290</v>
      </c>
      <c r="G5" s="1603"/>
      <c r="H5" s="1603"/>
      <c r="I5" s="1603"/>
      <c r="J5" s="1603"/>
      <c r="K5" s="1603"/>
      <c r="L5" s="1603"/>
      <c r="M5" s="1603"/>
      <c r="N5" s="1603"/>
      <c r="O5" s="1603"/>
      <c r="P5" s="1603"/>
      <c r="Q5" s="1603"/>
      <c r="R5" s="1603"/>
      <c r="S5" s="1603"/>
    </row>
    <row r="6" spans="1:22">
      <c r="A6" s="1617">
        <f>'数据-取费表'!AN6</f>
        <v>0</v>
      </c>
      <c r="B6" s="493" t="e">
        <f ca="1">IF(F6="是",'数据-取费表'!AO6,0)</f>
        <v>#REF!</v>
      </c>
      <c r="C6" s="1606" t="s">
        <v>1284</v>
      </c>
      <c r="D6" s="1610"/>
      <c r="E6" s="1618">
        <f>IF(OR(A6=0,F6="否"),0,'数据-取费表'!K6+'数据-取费表'!S6)</f>
        <v>0</v>
      </c>
      <c r="F6" s="1619" t="s">
        <v>1291</v>
      </c>
      <c r="G6" s="1603"/>
      <c r="H6" s="1603"/>
      <c r="I6" s="1603"/>
      <c r="J6" s="1603"/>
      <c r="K6" s="1603"/>
      <c r="L6" s="1603"/>
      <c r="M6" s="1603"/>
      <c r="N6" s="1603"/>
      <c r="O6" s="1603"/>
      <c r="P6" s="1603"/>
      <c r="Q6" s="1603"/>
      <c r="R6" s="1603"/>
      <c r="S6" s="1603"/>
    </row>
    <row r="7" spans="1:22">
      <c r="A7" s="1617" t="str">
        <f>'数据-取费表'!AN7</f>
        <v>收益法</v>
      </c>
      <c r="B7" s="493">
        <f ca="1">IF(F7="是",'数据-取费表'!AO7,0)</f>
        <v>3804</v>
      </c>
      <c r="C7" s="1606" t="s">
        <v>1284</v>
      </c>
      <c r="D7" s="1610"/>
      <c r="E7" s="1618">
        <f>IF(OR(A7=0,F7="否"),0,'数据-取费表'!K7+'数据-取费表'!S7)</f>
        <v>889.53</v>
      </c>
      <c r="F7" s="1619" t="s">
        <v>1291</v>
      </c>
      <c r="G7" s="1603"/>
      <c r="H7" s="1603"/>
      <c r="I7" s="1603"/>
      <c r="J7" s="1603"/>
      <c r="K7" s="1603"/>
      <c r="L7" s="1603"/>
      <c r="M7" s="1603"/>
      <c r="N7" s="1603"/>
      <c r="O7" s="1603"/>
      <c r="P7" s="1603"/>
      <c r="Q7" s="1603"/>
      <c r="R7" s="1603"/>
      <c r="S7" s="1603"/>
    </row>
    <row r="8" spans="1:22">
      <c r="A8" s="1617">
        <f>'数据-取费表'!AN8</f>
        <v>0</v>
      </c>
      <c r="B8" s="493" t="e">
        <f ca="1">IF(F8="是",'数据-取费表'!AO8,0)</f>
        <v>#REF!</v>
      </c>
      <c r="C8" s="1606" t="s">
        <v>1284</v>
      </c>
      <c r="D8" s="1610"/>
      <c r="E8" s="1618">
        <f>IF(OR(A8=0,F8="否"),0,'数据-取费表'!K8+'数据-取费表'!S8)</f>
        <v>0</v>
      </c>
      <c r="F8" s="1619" t="s">
        <v>1291</v>
      </c>
      <c r="G8" s="1603"/>
      <c r="H8" s="1603"/>
      <c r="I8" s="1603"/>
      <c r="J8" s="1603"/>
      <c r="K8" s="1603"/>
      <c r="L8" s="1603"/>
      <c r="M8" s="1603"/>
      <c r="N8" s="1603"/>
      <c r="O8" s="1603"/>
      <c r="P8" s="1603"/>
      <c r="Q8" s="1603"/>
      <c r="R8" s="1603"/>
      <c r="S8" s="1603"/>
    </row>
    <row r="9" spans="1:22">
      <c r="A9" s="1617">
        <f>'数据-取费表'!AN9</f>
        <v>0</v>
      </c>
      <c r="B9" s="493" t="e">
        <f ca="1">IF(F9="是",'数据-取费表'!AO9,0)</f>
        <v>#REF!</v>
      </c>
      <c r="C9" s="1606" t="s">
        <v>1284</v>
      </c>
      <c r="D9" s="1610"/>
      <c r="E9" s="1618">
        <f>IF(OR(A9=0,F9="否"),0,'数据-取费表'!K9+'数据-取费表'!S9)</f>
        <v>0</v>
      </c>
      <c r="F9" s="1619" t="s">
        <v>1291</v>
      </c>
      <c r="G9" s="1603"/>
      <c r="H9" s="1603"/>
      <c r="I9" s="1603"/>
      <c r="J9" s="1603"/>
      <c r="K9" s="1603"/>
      <c r="L9" s="1603"/>
      <c r="M9" s="1603"/>
      <c r="N9" s="1603"/>
      <c r="O9" s="1603"/>
      <c r="P9" s="1603"/>
      <c r="Q9" s="1603"/>
      <c r="R9" s="1603"/>
      <c r="S9" s="1603"/>
    </row>
    <row r="10" spans="1:22">
      <c r="A10" s="1617">
        <f>'数据-取费表'!AN10</f>
        <v>0</v>
      </c>
      <c r="B10" s="493" t="e">
        <f ca="1">IF(F10="是",'数据-取费表'!AO10,0)</f>
        <v>#REF!</v>
      </c>
      <c r="C10" s="1606" t="s">
        <v>1284</v>
      </c>
      <c r="D10" s="1610"/>
      <c r="E10" s="1618">
        <f>IF(OR(A10=0,F10="否"),0,'数据-取费表'!K10+'数据-取费表'!S10)</f>
        <v>0</v>
      </c>
      <c r="F10" s="1619" t="s">
        <v>1291</v>
      </c>
      <c r="G10" s="1603"/>
      <c r="H10" s="1603"/>
      <c r="I10" s="1603"/>
      <c r="J10" s="1603"/>
      <c r="K10" s="1603"/>
      <c r="L10" s="1603"/>
      <c r="M10" s="1603"/>
      <c r="N10" s="1603"/>
      <c r="O10" s="1603"/>
      <c r="P10" s="1603"/>
      <c r="Q10" s="1603"/>
      <c r="R10" s="1603"/>
      <c r="S10" s="1603"/>
    </row>
    <row r="11" spans="1:22">
      <c r="A11" s="1617">
        <f>'数据-取费表'!AN11</f>
        <v>0</v>
      </c>
      <c r="B11" s="493" t="e">
        <f ca="1">IF(F11="是",'数据-取费表'!AO11,0)</f>
        <v>#REF!</v>
      </c>
      <c r="C11" s="1606" t="s">
        <v>1284</v>
      </c>
      <c r="D11" s="1610"/>
      <c r="E11" s="1618">
        <f>IF(OR(A11=0,F11="否"),0,'数据-取费表'!K11+'数据-取费表'!S11)</f>
        <v>0</v>
      </c>
      <c r="F11" s="1619" t="s">
        <v>1291</v>
      </c>
      <c r="G11" s="1603"/>
      <c r="H11" s="1603"/>
      <c r="I11" s="1603"/>
      <c r="J11" s="1603"/>
      <c r="K11" s="1603"/>
      <c r="L11" s="1603"/>
      <c r="M11" s="1603"/>
      <c r="N11" s="1603"/>
      <c r="O11" s="1603"/>
      <c r="P11" s="1603"/>
      <c r="Q11" s="1603"/>
      <c r="R11" s="1603"/>
      <c r="S11" s="1603"/>
    </row>
    <row r="12" spans="1:22">
      <c r="A12" s="1617">
        <f>'数据-取费表'!AN12</f>
        <v>0</v>
      </c>
      <c r="B12" s="493" t="e">
        <f ca="1">IF(F12="是",'数据-取费表'!AO12,0)</f>
        <v>#REF!</v>
      </c>
      <c r="C12" s="1606" t="s">
        <v>1284</v>
      </c>
      <c r="D12" s="1610"/>
      <c r="E12" s="1618">
        <f>IF(OR(A12=0,F12="否"),0,'数据-取费表'!K12+'数据-取费表'!S12)</f>
        <v>0</v>
      </c>
      <c r="F12" s="1619" t="s">
        <v>1291</v>
      </c>
      <c r="G12" s="1603"/>
      <c r="H12" s="1603"/>
      <c r="I12" s="1603"/>
      <c r="J12" s="1603"/>
      <c r="K12" s="1603"/>
      <c r="L12" s="1603"/>
      <c r="M12" s="1603"/>
      <c r="N12" s="1603"/>
      <c r="O12" s="1603"/>
      <c r="P12" s="1603"/>
      <c r="Q12" s="1603"/>
      <c r="R12" s="1603"/>
      <c r="S12" s="1603"/>
    </row>
    <row r="13" spans="1:22">
      <c r="A13" s="1620">
        <f>'数据-取费表'!AN13</f>
        <v>0</v>
      </c>
      <c r="B13" s="493" t="e">
        <f ca="1">IF(F13="是",'数据-取费表'!AO13,0)</f>
        <v>#REF!</v>
      </c>
      <c r="C13" s="1621" t="s">
        <v>1284</v>
      </c>
      <c r="D13" s="1622"/>
      <c r="E13" s="1618">
        <f>IF(OR(A13=0,F13="否"),0,'数据-取费表'!K13+'数据-取费表'!S13)</f>
        <v>0</v>
      </c>
      <c r="F13" s="1619" t="s">
        <v>1291</v>
      </c>
      <c r="G13" s="1603"/>
      <c r="H13" s="1603"/>
      <c r="I13" s="1603"/>
      <c r="J13" s="1603"/>
      <c r="K13" s="1603"/>
      <c r="L13" s="1603"/>
      <c r="M13" s="1603"/>
      <c r="N13" s="1603"/>
      <c r="O13" s="1603"/>
      <c r="P13" s="1603"/>
      <c r="Q13" s="1603"/>
      <c r="R13" s="1603"/>
      <c r="S13" s="1603"/>
    </row>
    <row r="14" spans="1:22">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row>
    <row r="15" spans="1:22">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row>
    <row r="16" spans="1:22">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row>
    <row r="17" spans="1:22">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row>
    <row r="18" spans="1:22">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row>
    <row r="19" spans="1:22">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row>
    <row r="20" spans="1:22">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row>
    <row r="21" spans="1:22">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row>
    <row r="22" spans="1:22">
      <c r="A22" s="1603"/>
      <c r="B22" s="1603"/>
      <c r="C22" s="1603"/>
      <c r="D22" s="1603"/>
      <c r="E22" s="1603"/>
      <c r="F22" s="1603"/>
      <c r="G22" s="1603"/>
      <c r="H22" s="1603"/>
      <c r="I22" s="1603"/>
      <c r="J22" s="1603"/>
      <c r="K22" s="1603"/>
      <c r="L22" s="1603"/>
      <c r="M22" s="1603"/>
      <c r="N22" s="1603"/>
      <c r="O22" s="1603"/>
      <c r="P22" s="1603"/>
      <c r="Q22" s="1603"/>
      <c r="R22" s="1603"/>
      <c r="S22" s="1603"/>
      <c r="T22" s="1603"/>
      <c r="U22" s="1603"/>
      <c r="V22" s="1603"/>
    </row>
    <row r="23" spans="1:22">
      <c r="A23" s="1603"/>
      <c r="B23" s="1603"/>
      <c r="C23" s="1603"/>
      <c r="D23" s="1603"/>
      <c r="E23" s="1603"/>
      <c r="F23" s="1603"/>
      <c r="G23" s="1603"/>
      <c r="H23" s="1603"/>
      <c r="I23" s="1603"/>
      <c r="J23" s="1603"/>
      <c r="K23" s="1603"/>
      <c r="L23" s="1603"/>
      <c r="M23" s="1603"/>
      <c r="N23" s="1603"/>
      <c r="O23" s="1603"/>
      <c r="P23" s="1603"/>
      <c r="Q23" s="1603"/>
      <c r="R23" s="1603"/>
      <c r="S23" s="1603"/>
      <c r="T23" s="1603"/>
      <c r="U23" s="1603"/>
      <c r="V23" s="1603"/>
    </row>
    <row r="24" spans="1:22">
      <c r="A24" s="1603"/>
      <c r="B24" s="1603"/>
      <c r="C24" s="1603"/>
      <c r="D24" s="1603"/>
      <c r="E24" s="1603"/>
      <c r="F24" s="1603"/>
      <c r="G24" s="1603"/>
      <c r="H24" s="1603"/>
      <c r="I24" s="1603"/>
      <c r="J24" s="1603"/>
      <c r="K24" s="1603"/>
      <c r="L24" s="1603"/>
      <c r="M24" s="1603"/>
      <c r="N24" s="1603"/>
      <c r="O24" s="1603"/>
      <c r="P24" s="1603"/>
      <c r="Q24" s="1603"/>
      <c r="R24" s="1603"/>
      <c r="S24" s="1603"/>
      <c r="T24" s="1603"/>
      <c r="U24" s="1603"/>
      <c r="V24" s="1603"/>
    </row>
    <row r="25" spans="1:22">
      <c r="A25" s="1603"/>
      <c r="B25" s="1603"/>
      <c r="C25" s="1603"/>
      <c r="D25" s="1603"/>
      <c r="E25" s="1603"/>
      <c r="F25" s="1603"/>
      <c r="G25" s="1603"/>
      <c r="H25" s="1603"/>
      <c r="I25" s="1603"/>
      <c r="J25" s="1603"/>
      <c r="K25" s="1603"/>
      <c r="L25" s="1603"/>
      <c r="M25" s="1603"/>
      <c r="N25" s="1603"/>
      <c r="O25" s="1603"/>
      <c r="P25" s="1603"/>
      <c r="Q25" s="1603"/>
      <c r="R25" s="1603"/>
      <c r="S25" s="1603"/>
      <c r="T25" s="1603"/>
      <c r="U25" s="1603"/>
      <c r="V25" s="1603"/>
    </row>
    <row r="26" spans="1:22">
      <c r="A26" s="1603"/>
      <c r="B26" s="1603"/>
      <c r="C26" s="1603"/>
      <c r="D26" s="1603"/>
      <c r="E26" s="1603"/>
      <c r="F26" s="1603"/>
      <c r="G26" s="1603"/>
      <c r="H26" s="1603"/>
      <c r="I26" s="1603"/>
      <c r="J26" s="1603"/>
      <c r="K26" s="1603"/>
      <c r="L26" s="1603"/>
      <c r="M26" s="1603"/>
      <c r="N26" s="1603"/>
      <c r="O26" s="1603"/>
      <c r="P26" s="1603"/>
      <c r="Q26" s="1603"/>
      <c r="R26" s="1603"/>
      <c r="S26" s="1603"/>
      <c r="T26" s="1603"/>
      <c r="U26" s="1603"/>
      <c r="V26" s="1603"/>
    </row>
    <row r="27" spans="1:22">
      <c r="A27" s="1603"/>
      <c r="B27" s="1603"/>
      <c r="C27" s="1603"/>
      <c r="D27" s="1603"/>
      <c r="E27" s="1603"/>
      <c r="F27" s="1603"/>
      <c r="G27" s="1603"/>
      <c r="H27" s="1603"/>
      <c r="I27" s="1603"/>
      <c r="J27" s="1603"/>
      <c r="K27" s="1603"/>
      <c r="L27" s="1603"/>
      <c r="M27" s="1603"/>
      <c r="N27" s="1603"/>
      <c r="O27" s="1603"/>
      <c r="P27" s="1603"/>
      <c r="Q27" s="1603"/>
      <c r="R27" s="1603"/>
      <c r="S27" s="1603"/>
      <c r="T27" s="1603"/>
      <c r="U27" s="1603"/>
      <c r="V27" s="1603"/>
    </row>
    <row r="28" spans="1:22">
      <c r="A28" s="1603"/>
      <c r="B28" s="1603"/>
      <c r="C28" s="1603"/>
      <c r="D28" s="1603"/>
      <c r="E28" s="1603"/>
      <c r="F28" s="1603"/>
      <c r="G28" s="1603"/>
      <c r="H28" s="1603"/>
      <c r="I28" s="1603"/>
      <c r="J28" s="1603"/>
      <c r="K28" s="1603"/>
      <c r="L28" s="1603"/>
      <c r="M28" s="1603"/>
      <c r="N28" s="1603"/>
      <c r="O28" s="1603"/>
      <c r="P28" s="1603"/>
      <c r="Q28" s="1603"/>
      <c r="R28" s="1603"/>
      <c r="S28" s="1603"/>
      <c r="T28" s="1603"/>
      <c r="U28" s="1603"/>
      <c r="V28" s="1603"/>
    </row>
    <row r="29" spans="1:22">
      <c r="A29" s="1603"/>
      <c r="B29" s="1603"/>
      <c r="C29" s="1603"/>
      <c r="D29" s="1603"/>
      <c r="E29" s="1603"/>
      <c r="F29" s="1603"/>
      <c r="G29" s="1603"/>
      <c r="H29" s="1603"/>
      <c r="I29" s="1603"/>
      <c r="J29" s="1603"/>
      <c r="K29" s="1603"/>
      <c r="L29" s="1603"/>
      <c r="M29" s="1603"/>
      <c r="N29" s="1603"/>
      <c r="O29" s="1603"/>
      <c r="P29" s="1603"/>
      <c r="Q29" s="1603"/>
      <c r="R29" s="1603"/>
      <c r="S29" s="1603"/>
      <c r="T29" s="1603"/>
      <c r="U29" s="1603"/>
      <c r="V29" s="1603"/>
    </row>
    <row r="30" spans="1:22">
      <c r="A30" s="1603"/>
      <c r="B30" s="1603"/>
      <c r="C30" s="1603"/>
      <c r="D30" s="1603"/>
      <c r="E30" s="1603"/>
      <c r="F30" s="1603"/>
      <c r="G30" s="1603"/>
      <c r="H30" s="1603"/>
      <c r="I30" s="1603"/>
      <c r="J30" s="1603"/>
      <c r="K30" s="1603"/>
      <c r="L30" s="1603"/>
      <c r="M30" s="1603"/>
      <c r="N30" s="1603"/>
      <c r="O30" s="1603"/>
      <c r="P30" s="1603"/>
      <c r="Q30" s="1603"/>
      <c r="R30" s="1603"/>
      <c r="S30" s="1603"/>
      <c r="T30" s="1603"/>
      <c r="U30" s="1603"/>
      <c r="V30" s="1603"/>
    </row>
    <row r="31" spans="1:22">
      <c r="A31" s="1603"/>
      <c r="B31" s="1603"/>
      <c r="C31" s="1603"/>
      <c r="D31" s="1603"/>
      <c r="E31" s="1603"/>
      <c r="F31" s="1603"/>
      <c r="G31" s="1603"/>
      <c r="H31" s="1603"/>
      <c r="I31" s="1603"/>
      <c r="J31" s="1603"/>
      <c r="K31" s="1603"/>
      <c r="L31" s="1603"/>
      <c r="M31" s="1603"/>
      <c r="N31" s="1603"/>
      <c r="O31" s="1603"/>
      <c r="P31" s="1603"/>
      <c r="Q31" s="1603"/>
      <c r="R31" s="1603"/>
      <c r="S31" s="1603"/>
      <c r="T31" s="1603"/>
      <c r="U31" s="1603"/>
      <c r="V31" s="1603"/>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H5" sqref="H5"/>
    </sheetView>
  </sheetViews>
  <sheetFormatPr defaultColWidth="9" defaultRowHeight="13.5"/>
  <cols>
    <col min="1" max="1" width="10.5" customWidth="1"/>
    <col min="2" max="2" width="12.875" customWidth="1"/>
    <col min="3" max="3" width="8.75" customWidth="1"/>
  </cols>
  <sheetData>
    <row r="1" spans="1:9" ht="14.25">
      <c r="A1" s="3345" t="s">
        <v>1292</v>
      </c>
      <c r="B1" s="3346"/>
      <c r="C1" s="3347"/>
      <c r="D1" s="3348">
        <f>SUM(I10,I15,I20,I21,I23)</f>
        <v>0</v>
      </c>
      <c r="E1" s="3348"/>
      <c r="F1" s="3348"/>
      <c r="G1" s="3348"/>
      <c r="H1" s="3348"/>
      <c r="I1" s="3349"/>
    </row>
    <row r="2" spans="1:9">
      <c r="A2" s="3334" t="s">
        <v>1293</v>
      </c>
      <c r="B2" s="3344" t="s">
        <v>1294</v>
      </c>
      <c r="C2" s="3344"/>
      <c r="D2" s="1570" t="s">
        <v>1295</v>
      </c>
      <c r="E2" s="1570" t="s">
        <v>1296</v>
      </c>
      <c r="F2" s="1570" t="s">
        <v>1297</v>
      </c>
      <c r="G2" s="1570" t="s">
        <v>1298</v>
      </c>
      <c r="H2" s="1570" t="s">
        <v>1299</v>
      </c>
      <c r="I2" s="1594" t="s">
        <v>1300</v>
      </c>
    </row>
    <row r="3" spans="1:9">
      <c r="A3" s="3334"/>
      <c r="B3" s="3344" t="s">
        <v>1301</v>
      </c>
      <c r="C3" s="3344"/>
      <c r="D3" s="1571"/>
      <c r="E3" s="1570"/>
      <c r="F3" s="1572"/>
      <c r="G3" s="1572"/>
      <c r="H3" s="1573"/>
      <c r="I3" s="1595">
        <f>ROUND(D3*E3*F3*G3*H3/10000,0)</f>
        <v>0</v>
      </c>
    </row>
    <row r="4" spans="1:9">
      <c r="A4" s="3334"/>
      <c r="B4" s="3344" t="s">
        <v>1302</v>
      </c>
      <c r="C4" s="3344"/>
      <c r="D4" s="1571"/>
      <c r="E4" s="1570"/>
      <c r="F4" s="1572"/>
      <c r="G4" s="1572"/>
      <c r="H4" s="1573"/>
      <c r="I4" s="1595">
        <f t="shared" ref="I4:I9" si="0">ROUND(D4*E4*F4*G4*H4/10000,0)</f>
        <v>0</v>
      </c>
    </row>
    <row r="5" spans="1:9">
      <c r="A5" s="3334"/>
      <c r="B5" s="3344" t="s">
        <v>1303</v>
      </c>
      <c r="C5" s="3344"/>
      <c r="D5" s="1571"/>
      <c r="E5" s="1570"/>
      <c r="F5" s="1572"/>
      <c r="G5" s="1572"/>
      <c r="H5" s="1573"/>
      <c r="I5" s="1595">
        <f t="shared" si="0"/>
        <v>0</v>
      </c>
    </row>
    <row r="6" spans="1:9">
      <c r="A6" s="3334"/>
      <c r="B6" s="3344" t="s">
        <v>1304</v>
      </c>
      <c r="C6" s="3344"/>
      <c r="D6" s="1571"/>
      <c r="E6" s="1570"/>
      <c r="F6" s="1572"/>
      <c r="G6" s="1572"/>
      <c r="H6" s="1573"/>
      <c r="I6" s="1595">
        <f t="shared" si="0"/>
        <v>0</v>
      </c>
    </row>
    <row r="7" spans="1:9">
      <c r="A7" s="3334"/>
      <c r="B7" s="3344" t="s">
        <v>1305</v>
      </c>
      <c r="C7" s="3344"/>
      <c r="D7" s="1571"/>
      <c r="E7" s="1570"/>
      <c r="F7" s="1572"/>
      <c r="G7" s="1572"/>
      <c r="H7" s="1573"/>
      <c r="I7" s="1595">
        <f t="shared" si="0"/>
        <v>0</v>
      </c>
    </row>
    <row r="8" spans="1:9">
      <c r="A8" s="3334"/>
      <c r="B8" s="3344" t="s">
        <v>1306</v>
      </c>
      <c r="C8" s="3344"/>
      <c r="D8" s="1571"/>
      <c r="E8" s="1570"/>
      <c r="F8" s="1572"/>
      <c r="G8" s="1572"/>
      <c r="H8" s="1573"/>
      <c r="I8" s="1595">
        <f t="shared" si="0"/>
        <v>0</v>
      </c>
    </row>
    <row r="9" spans="1:9">
      <c r="A9" s="3334"/>
      <c r="B9" s="3344" t="s">
        <v>1307</v>
      </c>
      <c r="C9" s="3344"/>
      <c r="D9" s="1571"/>
      <c r="E9" s="1570"/>
      <c r="F9" s="1572"/>
      <c r="G9" s="1572"/>
      <c r="H9" s="1573"/>
      <c r="I9" s="1595">
        <f t="shared" si="0"/>
        <v>0</v>
      </c>
    </row>
    <row r="10" spans="1:9">
      <c r="A10" s="3334"/>
      <c r="B10" s="3342" t="s">
        <v>484</v>
      </c>
      <c r="C10" s="3342"/>
      <c r="D10" s="1574"/>
      <c r="E10" s="1574" t="e">
        <f>ROUND(D1*10000/D10/H9,0)</f>
        <v>#DIV/0!</v>
      </c>
      <c r="F10" s="1575"/>
      <c r="G10" s="1575"/>
      <c r="H10" s="1576"/>
      <c r="I10" s="1596">
        <f>SUM(I3:I9)</f>
        <v>0</v>
      </c>
    </row>
    <row r="11" spans="1:9" ht="14.25">
      <c r="A11" s="3334" t="s">
        <v>1308</v>
      </c>
      <c r="B11" s="3344" t="s">
        <v>1309</v>
      </c>
      <c r="C11" s="3344"/>
      <c r="D11" s="1571" t="s">
        <v>1310</v>
      </c>
      <c r="E11" s="1571" t="s">
        <v>1311</v>
      </c>
      <c r="F11" s="1572" t="s">
        <v>1312</v>
      </c>
      <c r="G11" s="1572" t="s">
        <v>1299</v>
      </c>
      <c r="H11" s="1577" t="s">
        <v>124</v>
      </c>
      <c r="I11" s="1594" t="s">
        <v>1300</v>
      </c>
    </row>
    <row r="12" spans="1:9">
      <c r="A12" s="3334"/>
      <c r="B12" s="3344" t="s">
        <v>1313</v>
      </c>
      <c r="C12" s="3344"/>
      <c r="D12" s="1571"/>
      <c r="E12" s="1571"/>
      <c r="F12" s="1572"/>
      <c r="G12" s="1573"/>
      <c r="H12" s="1578"/>
      <c r="I12" s="1594">
        <f>ROUND(D12*E12*F12*G12/10000,0)</f>
        <v>0</v>
      </c>
    </row>
    <row r="13" spans="1:9">
      <c r="A13" s="3334"/>
      <c r="B13" s="3344" t="s">
        <v>1314</v>
      </c>
      <c r="C13" s="3344"/>
      <c r="D13" s="1571"/>
      <c r="E13" s="1571"/>
      <c r="F13" s="1572"/>
      <c r="G13" s="1573"/>
      <c r="H13" s="1578"/>
      <c r="I13" s="1594">
        <f>ROUND(D13*E13*F13*G13/10000,0)</f>
        <v>0</v>
      </c>
    </row>
    <row r="14" spans="1:9">
      <c r="A14" s="3334"/>
      <c r="B14" s="3344" t="s">
        <v>1315</v>
      </c>
      <c r="C14" s="3344"/>
      <c r="D14" s="1571"/>
      <c r="E14" s="1571"/>
      <c r="F14" s="1572"/>
      <c r="G14" s="1573"/>
      <c r="H14" s="1578"/>
      <c r="I14" s="1594">
        <f>ROUND(D14*E14*F14*G14/10000,0)</f>
        <v>0</v>
      </c>
    </row>
    <row r="15" spans="1:9">
      <c r="A15" s="3334"/>
      <c r="B15" s="3342" t="s">
        <v>484</v>
      </c>
      <c r="C15" s="3342"/>
      <c r="D15" s="1574"/>
      <c r="E15" s="1574">
        <f>SUM(E12:E14)</f>
        <v>0</v>
      </c>
      <c r="F15" s="1575"/>
      <c r="G15" s="1573"/>
      <c r="H15" s="1578"/>
      <c r="I15" s="1597">
        <f>SUM(I12:I14)</f>
        <v>0</v>
      </c>
    </row>
    <row r="16" spans="1:9" ht="24">
      <c r="A16" s="3334" t="s">
        <v>1316</v>
      </c>
      <c r="B16" s="3344" t="s">
        <v>1317</v>
      </c>
      <c r="C16" s="3344"/>
      <c r="D16" s="1571" t="s">
        <v>1295</v>
      </c>
      <c r="E16" s="1579" t="s">
        <v>1318</v>
      </c>
      <c r="F16" s="1572" t="s">
        <v>1319</v>
      </c>
      <c r="G16" s="1573" t="s">
        <v>1299</v>
      </c>
      <c r="H16" s="1577" t="s">
        <v>124</v>
      </c>
      <c r="I16" s="1594" t="s">
        <v>1300</v>
      </c>
    </row>
    <row r="17" spans="1:9" ht="14.25">
      <c r="A17" s="3334"/>
      <c r="B17" s="3344" t="s">
        <v>1320</v>
      </c>
      <c r="C17" s="3344"/>
      <c r="D17" s="1571"/>
      <c r="E17" s="1571"/>
      <c r="F17" s="1572"/>
      <c r="G17" s="1573"/>
      <c r="H17" s="1580"/>
      <c r="I17" s="1598">
        <f>ROUND(D17*E17*F17*G17/10000,0)</f>
        <v>0</v>
      </c>
    </row>
    <row r="18" spans="1:9" ht="14.25">
      <c r="A18" s="3334"/>
      <c r="B18" s="3344" t="s">
        <v>1321</v>
      </c>
      <c r="C18" s="3344"/>
      <c r="D18" s="1571"/>
      <c r="E18" s="1571"/>
      <c r="F18" s="1572"/>
      <c r="G18" s="1573"/>
      <c r="H18" s="1580"/>
      <c r="I18" s="1598">
        <f>ROUND(D18*E18*F18*G18/10000,0)</f>
        <v>0</v>
      </c>
    </row>
    <row r="19" spans="1:9" ht="14.25">
      <c r="A19" s="3334"/>
      <c r="B19" s="3344" t="s">
        <v>1322</v>
      </c>
      <c r="C19" s="3344"/>
      <c r="D19" s="1571"/>
      <c r="E19" s="1571"/>
      <c r="F19" s="1572"/>
      <c r="G19" s="1573"/>
      <c r="H19" s="1580"/>
      <c r="I19" s="1598">
        <f>ROUND(D19*E19*F19*G19/10000,0)</f>
        <v>0</v>
      </c>
    </row>
    <row r="20" spans="1:9">
      <c r="A20" s="3334"/>
      <c r="B20" s="3342" t="s">
        <v>484</v>
      </c>
      <c r="C20" s="3342"/>
      <c r="D20" s="1574">
        <f>SUM(D17:D19)</f>
        <v>0</v>
      </c>
      <c r="E20" s="1574"/>
      <c r="F20" s="1575"/>
      <c r="G20" s="1573"/>
      <c r="H20" s="1578"/>
      <c r="I20" s="1597">
        <f>SUM(I17:I19)</f>
        <v>0</v>
      </c>
    </row>
    <row r="21" spans="1:9">
      <c r="A21" s="3334" t="s">
        <v>1323</v>
      </c>
      <c r="B21" s="3343"/>
      <c r="C21" s="3343"/>
      <c r="D21" s="3343"/>
      <c r="E21" s="3343"/>
      <c r="F21" s="3343"/>
      <c r="G21" s="3343"/>
      <c r="H21" s="1581">
        <v>0.1</v>
      </c>
      <c r="I21" s="1596">
        <f>ROUND(I10*H21,0)</f>
        <v>0</v>
      </c>
    </row>
    <row r="22" spans="1:9" ht="14.25">
      <c r="A22" s="3335" t="s">
        <v>1324</v>
      </c>
      <c r="B22" s="3336"/>
      <c r="C22" s="3337"/>
      <c r="D22" s="1582" t="s">
        <v>480</v>
      </c>
      <c r="E22" s="1582" t="s">
        <v>1325</v>
      </c>
      <c r="F22" s="1583" t="s">
        <v>1299</v>
      </c>
      <c r="G22" s="1583" t="s">
        <v>1326</v>
      </c>
      <c r="H22" s="1577" t="s">
        <v>124</v>
      </c>
      <c r="I22" s="1594" t="s">
        <v>1300</v>
      </c>
    </row>
    <row r="23" spans="1:9">
      <c r="A23" s="3338"/>
      <c r="B23" s="3339"/>
      <c r="C23" s="3340"/>
      <c r="D23" s="1584"/>
      <c r="E23" s="1584"/>
      <c r="F23" s="1584"/>
      <c r="G23" s="1585"/>
      <c r="H23" s="1586"/>
      <c r="I23" s="1599">
        <f>ROUND(E23*D23*F23*(1-G23)/10000,0)</f>
        <v>0</v>
      </c>
    </row>
    <row r="26" spans="1:9">
      <c r="A26" s="1587" t="s">
        <v>1327</v>
      </c>
      <c r="B26" s="1587"/>
      <c r="C26" s="1587"/>
      <c r="D26" s="1587"/>
      <c r="E26" s="3333">
        <f>C27-C30-C31-C32</f>
        <v>0</v>
      </c>
      <c r="F26" s="3333"/>
      <c r="G26" s="3333"/>
      <c r="H26" s="1588" t="s">
        <v>1328</v>
      </c>
    </row>
    <row r="27" spans="1:9">
      <c r="A27" s="1589">
        <v>1</v>
      </c>
      <c r="B27" s="1590" t="s">
        <v>1329</v>
      </c>
      <c r="C27" s="1590">
        <f>C28+C29</f>
        <v>0</v>
      </c>
      <c r="D27" s="1590"/>
      <c r="E27" s="3329"/>
      <c r="F27" s="3329"/>
      <c r="G27" s="3329"/>
    </row>
    <row r="28" spans="1:9">
      <c r="A28" s="1591" t="s">
        <v>1330</v>
      </c>
      <c r="B28" s="1590" t="s">
        <v>1331</v>
      </c>
      <c r="C28" s="1590"/>
      <c r="D28" s="1590"/>
      <c r="E28" s="3329"/>
      <c r="F28" s="3329"/>
      <c r="G28" s="3329"/>
    </row>
    <row r="29" spans="1:9">
      <c r="A29" s="1591" t="s">
        <v>1332</v>
      </c>
      <c r="B29" s="1590" t="s">
        <v>1333</v>
      </c>
      <c r="C29" s="1590"/>
      <c r="D29" s="1590"/>
      <c r="E29" s="1590" t="s">
        <v>1334</v>
      </c>
      <c r="F29" s="1590"/>
      <c r="G29" s="1590"/>
    </row>
    <row r="30" spans="1:9">
      <c r="A30" s="1589">
        <v>2</v>
      </c>
      <c r="B30" s="1590" t="s">
        <v>1335</v>
      </c>
      <c r="C30" s="1590">
        <f>C27*D30</f>
        <v>0</v>
      </c>
      <c r="D30" s="1592">
        <v>0.2</v>
      </c>
      <c r="E30" s="1590" t="s">
        <v>1336</v>
      </c>
      <c r="F30" s="1590"/>
      <c r="G30" s="1590"/>
    </row>
    <row r="31" spans="1:9">
      <c r="A31" s="1589">
        <v>3</v>
      </c>
      <c r="B31" s="1590" t="s">
        <v>1337</v>
      </c>
      <c r="C31" s="1590">
        <f>C27*D31</f>
        <v>0</v>
      </c>
      <c r="D31" s="1592">
        <v>0.15</v>
      </c>
      <c r="E31" s="1590" t="s">
        <v>1338</v>
      </c>
      <c r="F31" s="1590"/>
      <c r="G31" s="1590"/>
    </row>
    <row r="32" spans="1:9">
      <c r="A32" s="1589">
        <v>4</v>
      </c>
      <c r="B32" s="1590" t="s">
        <v>1339</v>
      </c>
      <c r="C32" s="1590">
        <f>C27*D32</f>
        <v>0</v>
      </c>
      <c r="D32" s="1592">
        <v>0.05</v>
      </c>
      <c r="E32" s="3341"/>
      <c r="F32" s="3341"/>
      <c r="G32" s="3341"/>
    </row>
    <row r="33" spans="1:7" hidden="1">
      <c r="A33" s="3330" t="s">
        <v>1340</v>
      </c>
      <c r="B33" s="3331"/>
      <c r="C33" s="3331"/>
      <c r="D33" s="3332"/>
      <c r="E33" s="3333"/>
      <c r="F33" s="3333"/>
      <c r="G33" s="3333"/>
    </row>
    <row r="34" spans="1:7" hidden="1">
      <c r="A34" s="1593">
        <v>1</v>
      </c>
      <c r="B34" s="1590" t="s">
        <v>1341</v>
      </c>
      <c r="C34" s="1590"/>
      <c r="D34" s="1590"/>
      <c r="E34" s="3329"/>
      <c r="F34" s="3329"/>
      <c r="G34" s="3329"/>
    </row>
    <row r="35" spans="1:7" hidden="1">
      <c r="A35" s="1593">
        <v>2</v>
      </c>
      <c r="B35" s="1590" t="s">
        <v>1342</v>
      </c>
      <c r="C35" s="1590"/>
      <c r="D35" s="1590"/>
      <c r="E35" s="3329"/>
      <c r="F35" s="3329"/>
      <c r="G35" s="3329"/>
    </row>
    <row r="36" spans="1:7" hidden="1">
      <c r="A36" s="1593">
        <v>3</v>
      </c>
      <c r="B36" s="1590" t="s">
        <v>1343</v>
      </c>
      <c r="C36" s="1590"/>
      <c r="D36" s="1590"/>
      <c r="E36" s="3329"/>
      <c r="F36" s="3329"/>
      <c r="G36" s="3329"/>
    </row>
    <row r="37" spans="1:7" hidden="1">
      <c r="A37" s="1593">
        <v>4</v>
      </c>
      <c r="B37" s="1590" t="s">
        <v>1344</v>
      </c>
      <c r="C37" s="1590"/>
      <c r="D37" s="1590"/>
      <c r="E37" s="3329"/>
      <c r="F37" s="3329"/>
      <c r="G37" s="3329"/>
    </row>
    <row r="38" spans="1:7" hidden="1">
      <c r="A38" s="3330" t="s">
        <v>1345</v>
      </c>
      <c r="B38" s="3331"/>
      <c r="C38" s="3331"/>
      <c r="D38" s="3332"/>
      <c r="E38" s="3333"/>
      <c r="F38" s="3333"/>
      <c r="G38" s="333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19" zoomScale="85" zoomScaleNormal="70" zoomScaleSheetLayoutView="85" workbookViewId="0">
      <selection activeCell="F7" sqref="F7:F46"/>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65"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67" customFormat="1" ht="28.5" customHeight="1">
      <c r="A1" s="1268" t="s">
        <v>1346</v>
      </c>
      <c r="B1" s="1466" t="s">
        <v>1446</v>
      </c>
      <c r="C1" s="1327" t="s">
        <v>1348</v>
      </c>
      <c r="D1" s="1271"/>
      <c r="E1" s="1467"/>
      <c r="F1" s="1273"/>
      <c r="G1" s="1274" t="s">
        <v>1350</v>
      </c>
      <c r="H1" s="1272"/>
      <c r="I1" s="1272"/>
      <c r="J1" s="1272"/>
      <c r="K1" s="1325"/>
      <c r="L1" s="1326"/>
      <c r="M1" s="1327"/>
      <c r="N1" s="1327"/>
      <c r="O1" s="1327"/>
      <c r="P1" s="1472"/>
      <c r="Q1" s="1481"/>
      <c r="R1" s="1481"/>
      <c r="S1" s="1481"/>
      <c r="T1" s="1481"/>
      <c r="U1" s="1481"/>
      <c r="V1" s="1481"/>
      <c r="W1" s="1481"/>
      <c r="X1" s="1481"/>
      <c r="Y1" s="1481"/>
      <c r="Z1" s="1481"/>
      <c r="AA1" s="1481"/>
      <c r="AB1" s="1481"/>
      <c r="AC1" s="1482"/>
    </row>
    <row r="2" spans="1:29" s="879" customFormat="1" ht="28.5" customHeight="1">
      <c r="A2" s="1275" t="s">
        <v>926</v>
      </c>
      <c r="B2" s="1276" t="e">
        <f ca="1">IF(C2="——",ROUND(C49*D3/10000,0),ROUND(C49*D3/10000,0)-D2)</f>
        <v>#DIV/0!</v>
      </c>
      <c r="C2" s="1277"/>
      <c r="D2" s="1445" t="e">
        <f ca="1">SUMIF(INDIRECT("'"&amp;F2&amp;"'"&amp;"!A:A"),"承租人权益价值",INDIRECT("'"&amp;F2&amp;"'"&amp;"!c:c"))</f>
        <v>#REF!</v>
      </c>
      <c r="E2" s="1278" t="s">
        <v>927</v>
      </c>
      <c r="F2" s="1279"/>
      <c r="G2" s="895"/>
      <c r="H2" s="895"/>
      <c r="I2" s="895"/>
      <c r="J2" s="895"/>
      <c r="K2" s="895"/>
      <c r="L2" s="1041"/>
      <c r="M2" s="1042"/>
      <c r="N2" s="1042"/>
      <c r="O2" s="1042"/>
      <c r="P2" s="1473"/>
      <c r="Q2" s="1408"/>
      <c r="R2" s="1408"/>
      <c r="S2" s="1408"/>
      <c r="T2" s="1408"/>
      <c r="U2" s="1408"/>
      <c r="V2" s="1408"/>
      <c r="W2" s="1408"/>
      <c r="X2" s="1408"/>
      <c r="Y2" s="1408"/>
      <c r="Z2" s="1408"/>
      <c r="AA2" s="1408"/>
      <c r="AB2" s="1408"/>
      <c r="AC2" s="1483"/>
    </row>
    <row r="3" spans="1:29" s="879" customFormat="1" ht="28.5" customHeight="1">
      <c r="A3" s="148" t="s">
        <v>928</v>
      </c>
      <c r="B3" s="897" t="e">
        <f ca="1">IF(C2="——",C49,ROUND(B2*10000/D3,0))</f>
        <v>#DIV/0!</v>
      </c>
      <c r="C3" s="1280" t="s">
        <v>1351</v>
      </c>
      <c r="D3" s="1281">
        <f>IF(D1="",'数据-汇总表'!E3,SUMIF('数据-汇总表'!$C19:$C33,D1,'数据-汇总表'!$E19:$E33))</f>
        <v>39222.729999999996</v>
      </c>
      <c r="E3" s="1446"/>
      <c r="F3" s="896"/>
      <c r="G3" s="895"/>
      <c r="H3" s="895"/>
      <c r="I3" s="895"/>
      <c r="J3" s="895"/>
      <c r="K3" s="1040"/>
      <c r="L3" s="1041"/>
      <c r="M3" s="1042"/>
      <c r="N3" s="1042"/>
      <c r="O3" s="1042"/>
      <c r="P3" s="1473"/>
      <c r="Q3" s="1408"/>
      <c r="R3" s="1408"/>
      <c r="S3" s="1408"/>
      <c r="T3" s="1408"/>
      <c r="U3" s="1408"/>
      <c r="V3" s="1408"/>
      <c r="W3" s="1408"/>
      <c r="X3" s="1408"/>
      <c r="Y3" s="1408"/>
      <c r="Z3" s="1408"/>
      <c r="AA3" s="1408"/>
      <c r="AB3" s="1408"/>
      <c r="AC3" s="1446"/>
    </row>
    <row r="4" spans="1:29" ht="15">
      <c r="A4" s="899" t="s">
        <v>1352</v>
      </c>
      <c r="B4" s="900"/>
      <c r="C4" s="3273" t="s">
        <v>1353</v>
      </c>
      <c r="D4" s="3306"/>
      <c r="E4" s="3307" t="s">
        <v>1354</v>
      </c>
      <c r="F4" s="3308"/>
      <c r="G4" s="3273" t="s">
        <v>1355</v>
      </c>
      <c r="H4" s="3306"/>
      <c r="I4" s="3273" t="s">
        <v>1356</v>
      </c>
      <c r="J4" s="3306"/>
      <c r="K4" s="1043" t="s">
        <v>1357</v>
      </c>
      <c r="L4" s="1044"/>
      <c r="M4" s="1045"/>
      <c r="N4" s="1045"/>
      <c r="O4" s="1045"/>
      <c r="P4" s="3277" t="s">
        <v>1358</v>
      </c>
      <c r="Q4" s="3278"/>
      <c r="R4" s="3283" t="s">
        <v>1354</v>
      </c>
      <c r="S4" s="3284"/>
      <c r="T4" s="3283" t="s">
        <v>1355</v>
      </c>
      <c r="U4" s="3284"/>
      <c r="V4" s="3289" t="s">
        <v>1356</v>
      </c>
      <c r="W4" s="3289"/>
      <c r="X4" s="1087"/>
      <c r="Y4" s="3283" t="s">
        <v>1358</v>
      </c>
      <c r="Z4" s="3284"/>
      <c r="AA4" s="3270" t="s">
        <v>1354</v>
      </c>
      <c r="AB4" s="3289" t="s">
        <v>1355</v>
      </c>
      <c r="AC4" s="3270" t="s">
        <v>1356</v>
      </c>
    </row>
    <row r="5" spans="1:29" ht="15">
      <c r="A5" s="901"/>
      <c r="B5" s="902"/>
      <c r="C5" s="3309" t="s">
        <v>1359</v>
      </c>
      <c r="D5" s="3310"/>
      <c r="E5" s="3311" t="s">
        <v>1360</v>
      </c>
      <c r="F5" s="3312"/>
      <c r="G5" s="3309" t="s">
        <v>1361</v>
      </c>
      <c r="H5" s="3310"/>
      <c r="I5" s="3309" t="s">
        <v>1362</v>
      </c>
      <c r="J5" s="3310"/>
      <c r="K5" s="1043"/>
      <c r="L5" s="1044"/>
      <c r="M5" s="1045"/>
      <c r="N5" s="1045"/>
      <c r="O5" s="1045"/>
      <c r="P5" s="3279"/>
      <c r="Q5" s="3280"/>
      <c r="R5" s="3285"/>
      <c r="S5" s="3286"/>
      <c r="T5" s="3285"/>
      <c r="U5" s="3286"/>
      <c r="V5" s="3289"/>
      <c r="W5" s="3289"/>
      <c r="X5" s="1087"/>
      <c r="Y5" s="3285"/>
      <c r="Z5" s="3286"/>
      <c r="AA5" s="3271"/>
      <c r="AB5" s="3289"/>
      <c r="AC5" s="3271"/>
    </row>
    <row r="6" spans="1:29" ht="15">
      <c r="A6" s="903"/>
      <c r="B6" s="904"/>
      <c r="C6" s="3301" t="s">
        <v>1363</v>
      </c>
      <c r="D6" s="3302"/>
      <c r="E6" s="3303" t="s">
        <v>1363</v>
      </c>
      <c r="F6" s="3304"/>
      <c r="G6" s="3301" t="s">
        <v>1363</v>
      </c>
      <c r="H6" s="3302"/>
      <c r="I6" s="3301" t="s">
        <v>1363</v>
      </c>
      <c r="J6" s="3302"/>
      <c r="K6" s="1043" t="s">
        <v>1364</v>
      </c>
      <c r="L6" s="1044"/>
      <c r="M6" s="1045"/>
      <c r="N6" s="1045"/>
      <c r="O6" s="1045"/>
      <c r="P6" s="3281"/>
      <c r="Q6" s="3282"/>
      <c r="R6" s="3285"/>
      <c r="S6" s="3286"/>
      <c r="T6" s="3287"/>
      <c r="U6" s="3288"/>
      <c r="V6" s="3289"/>
      <c r="W6" s="3289"/>
      <c r="X6" s="1087"/>
      <c r="Y6" s="3287"/>
      <c r="Z6" s="3288"/>
      <c r="AA6" s="3272"/>
      <c r="AB6" s="3289"/>
      <c r="AC6" s="3272"/>
    </row>
    <row r="7" spans="1:29" s="880" customFormat="1" ht="15">
      <c r="A7" s="905" t="s">
        <v>1365</v>
      </c>
      <c r="B7" s="906"/>
      <c r="C7" s="907">
        <f>'数据-取费表'!B2</f>
        <v>44288</v>
      </c>
      <c r="D7" s="908">
        <v>100</v>
      </c>
      <c r="E7" s="909"/>
      <c r="F7" s="910">
        <f>SUMIF(58:58,YEAR(E7)&amp;"-"&amp;MONTH(E7),59:59)</f>
        <v>0</v>
      </c>
      <c r="G7" s="909"/>
      <c r="H7" s="908">
        <f>SUMIF(58:58,YEAR(G7)&amp;"-"&amp;MONTH(G7),59:59)</f>
        <v>0</v>
      </c>
      <c r="I7" s="909"/>
      <c r="J7" s="908">
        <f>SUMIF(58:58,YEAR(I7)&amp;"-"&amp;MONTH(I7),59:59)</f>
        <v>0</v>
      </c>
      <c r="K7" s="1046"/>
      <c r="L7" s="1047"/>
      <c r="M7" s="1048"/>
      <c r="N7" s="1048"/>
      <c r="O7" s="1048"/>
      <c r="P7" s="3290" t="s">
        <v>1366</v>
      </c>
      <c r="Q7" s="3305"/>
      <c r="R7" s="1088" t="s">
        <v>1367</v>
      </c>
      <c r="S7" s="1089">
        <f t="shared" ref="S7:S15" si="0">F7</f>
        <v>0</v>
      </c>
      <c r="T7" s="1088" t="s">
        <v>1367</v>
      </c>
      <c r="U7" s="1089">
        <f t="shared" ref="U7:U15" si="1">H7</f>
        <v>0</v>
      </c>
      <c r="V7" s="1088" t="s">
        <v>1367</v>
      </c>
      <c r="W7" s="1089">
        <f t="shared" ref="W7:W15" si="2">J7</f>
        <v>0</v>
      </c>
      <c r="X7" s="1090"/>
      <c r="Y7" s="3290" t="s">
        <v>1366</v>
      </c>
      <c r="Z7" s="3291"/>
      <c r="AA7" s="1102" t="e">
        <f>D7/F7</f>
        <v>#DIV/0!</v>
      </c>
      <c r="AB7" s="1102" t="e">
        <f>D7/H7</f>
        <v>#DIV/0!</v>
      </c>
      <c r="AC7" s="1102" t="e">
        <f>D7/J7</f>
        <v>#DIV/0!</v>
      </c>
    </row>
    <row r="8" spans="1:29" s="880" customFormat="1" ht="15">
      <c r="A8" s="905" t="s">
        <v>1368</v>
      </c>
      <c r="B8" s="906"/>
      <c r="C8" s="912" t="s">
        <v>1369</v>
      </c>
      <c r="D8" s="908">
        <v>100</v>
      </c>
      <c r="E8" s="912"/>
      <c r="F8" s="910">
        <f>SUMIF(61:61,E8,62:62)-SUMIF(61:61,C8,62:62)+100</f>
        <v>0</v>
      </c>
      <c r="G8" s="912"/>
      <c r="H8" s="908">
        <f>SUMIF(61:61,G8,62:62)-SUMIF(61:61,C8,62:62)+100</f>
        <v>0</v>
      </c>
      <c r="I8" s="912"/>
      <c r="J8" s="908">
        <f>SUMIF(61:61,I8,62:62)-SUMIF(61:61,C8,62:62)+100</f>
        <v>0</v>
      </c>
      <c r="K8" s="1046"/>
      <c r="L8" s="1047"/>
      <c r="M8" s="1048"/>
      <c r="N8" s="1048"/>
      <c r="O8" s="1048"/>
      <c r="P8" s="3290" t="s">
        <v>1370</v>
      </c>
      <c r="Q8" s="3291"/>
      <c r="R8" s="1088" t="s">
        <v>1367</v>
      </c>
      <c r="S8" s="1089">
        <f t="shared" si="0"/>
        <v>0</v>
      </c>
      <c r="T8" s="1088" t="s">
        <v>1367</v>
      </c>
      <c r="U8" s="1089">
        <f t="shared" si="1"/>
        <v>0</v>
      </c>
      <c r="V8" s="1088" t="s">
        <v>1367</v>
      </c>
      <c r="W8" s="1089">
        <f t="shared" si="2"/>
        <v>0</v>
      </c>
      <c r="X8" s="1090"/>
      <c r="Y8" s="3290" t="s">
        <v>1370</v>
      </c>
      <c r="Z8" s="3291"/>
      <c r="AA8" s="1102" t="e">
        <f t="shared" ref="AA8:AA46" si="3">D8/F8</f>
        <v>#DIV/0!</v>
      </c>
      <c r="AB8" s="1102" t="e">
        <f t="shared" ref="AB8:AB46" si="4">D8/H8</f>
        <v>#DIV/0!</v>
      </c>
      <c r="AC8" s="1102" t="e">
        <f t="shared" ref="AC8:AC46" si="5">D8/J8</f>
        <v>#DIV/0!</v>
      </c>
    </row>
    <row r="9" spans="1:29" s="880" customFormat="1">
      <c r="A9" s="913" t="s">
        <v>1371</v>
      </c>
      <c r="B9" s="914" t="s">
        <v>1372</v>
      </c>
      <c r="C9" s="1282"/>
      <c r="D9" s="916">
        <v>100</v>
      </c>
      <c r="E9" s="1351"/>
      <c r="F9" s="1284">
        <f>SUMIF(63:63,E9,64:64)-SUMIF(63:63,C9,64:64)+100</f>
        <v>100</v>
      </c>
      <c r="G9" s="1351"/>
      <c r="H9" s="916">
        <f>SUMIF(63:63,G9,64:64)-SUMIF(63:63,C9,64:64)+100</f>
        <v>100</v>
      </c>
      <c r="I9" s="1351"/>
      <c r="J9" s="916">
        <f>SUMIF(63:63,I9,64:64)-SUMIF(63:63,C9,64:64)+100</f>
        <v>100</v>
      </c>
      <c r="K9" s="1046"/>
      <c r="L9" s="1047"/>
      <c r="M9" s="1048"/>
      <c r="N9" s="1048"/>
      <c r="O9" s="1048"/>
      <c r="P9" s="3275" t="s">
        <v>1373</v>
      </c>
      <c r="Q9" s="1092" t="str">
        <f t="shared" ref="Q9:Q15" si="6">B9</f>
        <v>用途</v>
      </c>
      <c r="R9" s="1088" t="s">
        <v>1367</v>
      </c>
      <c r="S9" s="1089">
        <f t="shared" si="0"/>
        <v>100</v>
      </c>
      <c r="T9" s="1088" t="s">
        <v>1367</v>
      </c>
      <c r="U9" s="1089">
        <f t="shared" si="1"/>
        <v>100</v>
      </c>
      <c r="V9" s="1088" t="s">
        <v>1367</v>
      </c>
      <c r="W9" s="1089">
        <f t="shared" si="2"/>
        <v>100</v>
      </c>
      <c r="X9" s="1090"/>
      <c r="Y9" s="3179" t="s">
        <v>1374</v>
      </c>
      <c r="Z9" s="1103" t="str">
        <f t="shared" ref="Z9:Z15" si="7">Q9</f>
        <v>用途</v>
      </c>
      <c r="AA9" s="1102">
        <f t="shared" si="3"/>
        <v>1</v>
      </c>
      <c r="AB9" s="1102">
        <f t="shared" si="4"/>
        <v>1</v>
      </c>
      <c r="AC9" s="1102">
        <f t="shared" si="5"/>
        <v>1</v>
      </c>
    </row>
    <row r="10" spans="1:29" s="881" customFormat="1" ht="27">
      <c r="A10" s="917"/>
      <c r="B10" s="918" t="s">
        <v>1375</v>
      </c>
      <c r="C10" s="1285"/>
      <c r="D10" s="920">
        <v>100</v>
      </c>
      <c r="E10" s="1354"/>
      <c r="F10" s="1286">
        <f>SUMIF(65:65,E10,66:66)-SUMIF(65:65,C10,66:66)+100</f>
        <v>100</v>
      </c>
      <c r="G10" s="1285"/>
      <c r="H10" s="920">
        <f>SUMIF(65:65,G10,66:66)-SUMIF(65:65,C10,66:66)+100</f>
        <v>100</v>
      </c>
      <c r="I10" s="1285"/>
      <c r="J10" s="920">
        <f>SUMIF(65:65,I10,66:66)-SUMIF(65:65,C10,66:66)+100</f>
        <v>100</v>
      </c>
      <c r="K10" s="1063"/>
      <c r="L10" s="1051"/>
      <c r="M10" s="1052"/>
      <c r="N10" s="1052"/>
      <c r="O10" s="1052"/>
      <c r="P10" s="3275"/>
      <c r="Q10" s="1092" t="str">
        <f t="shared" si="6"/>
        <v>土地使用年限（年）</v>
      </c>
      <c r="R10" s="1088" t="s">
        <v>1367</v>
      </c>
      <c r="S10" s="1089">
        <f t="shared" si="0"/>
        <v>100</v>
      </c>
      <c r="T10" s="1088" t="s">
        <v>1367</v>
      </c>
      <c r="U10" s="1089">
        <f t="shared" si="1"/>
        <v>100</v>
      </c>
      <c r="V10" s="1088" t="s">
        <v>1367</v>
      </c>
      <c r="W10" s="1089">
        <f t="shared" si="2"/>
        <v>100</v>
      </c>
      <c r="X10" s="1090"/>
      <c r="Y10" s="3179"/>
      <c r="Z10" s="1103" t="str">
        <f t="shared" si="7"/>
        <v>土地使用年限（年）</v>
      </c>
      <c r="AA10" s="1102">
        <f t="shared" si="3"/>
        <v>1</v>
      </c>
      <c r="AB10" s="1102">
        <f t="shared" si="4"/>
        <v>1</v>
      </c>
      <c r="AC10" s="1102">
        <f t="shared" si="5"/>
        <v>1</v>
      </c>
    </row>
    <row r="11" spans="1:29" ht="15">
      <c r="A11" s="921"/>
      <c r="B11" s="918" t="s">
        <v>1376</v>
      </c>
      <c r="C11" s="922"/>
      <c r="D11" s="920">
        <v>100</v>
      </c>
      <c r="E11" s="923"/>
      <c r="F11" s="1286" t="e">
        <f>LOOKUP(E11,68:68,69:69)-LOOKUP(C11,68:68,69:69)+100</f>
        <v>#N/A</v>
      </c>
      <c r="G11" s="922"/>
      <c r="H11" s="920" t="e">
        <f>LOOKUP(G11,68:68,69:69)-LOOKUP(C11,68:68,69:69)+100</f>
        <v>#N/A</v>
      </c>
      <c r="I11" s="922"/>
      <c r="J11" s="920" t="e">
        <f>LOOKUP(I11,68:68,69:69)-LOOKUP(C11,68:68,69:69)+100</f>
        <v>#N/A</v>
      </c>
      <c r="K11" s="1063"/>
      <c r="L11" s="1055"/>
      <c r="M11" s="1045"/>
      <c r="N11" s="1045"/>
      <c r="O11" s="1045"/>
      <c r="P11" s="3275"/>
      <c r="Q11" s="1092" t="str">
        <f t="shared" si="6"/>
        <v>容积率</v>
      </c>
      <c r="R11" s="1088" t="s">
        <v>1367</v>
      </c>
      <c r="S11" s="1089" t="e">
        <f t="shared" si="0"/>
        <v>#N/A</v>
      </c>
      <c r="T11" s="1088" t="s">
        <v>1367</v>
      </c>
      <c r="U11" s="1089" t="e">
        <f t="shared" si="1"/>
        <v>#N/A</v>
      </c>
      <c r="V11" s="1088" t="s">
        <v>1367</v>
      </c>
      <c r="W11" s="1089" t="e">
        <f t="shared" si="2"/>
        <v>#N/A</v>
      </c>
      <c r="X11" s="1090"/>
      <c r="Y11" s="3179"/>
      <c r="Z11" s="1103" t="str">
        <f t="shared" si="7"/>
        <v>容积率</v>
      </c>
      <c r="AA11" s="1102" t="e">
        <f t="shared" si="3"/>
        <v>#N/A</v>
      </c>
      <c r="AB11" s="1102" t="e">
        <f t="shared" si="4"/>
        <v>#N/A</v>
      </c>
      <c r="AC11" s="1102" t="e">
        <f t="shared" si="5"/>
        <v>#N/A</v>
      </c>
    </row>
    <row r="12" spans="1:29" s="880" customFormat="1" ht="15">
      <c r="A12" s="924"/>
      <c r="B12" s="925">
        <v>111</v>
      </c>
      <c r="C12" s="919"/>
      <c r="D12" s="926">
        <v>100</v>
      </c>
      <c r="E12" s="929"/>
      <c r="F12" s="1286">
        <f>SUMIF(70:70,E12,71:71)-SUMIF(70:70,C12,71:71)+100</f>
        <v>100</v>
      </c>
      <c r="G12" s="929"/>
      <c r="H12" s="920">
        <f>SUMIF(70:70,G12,71:71)-SUMIF(70:70,C12,71:71)+100</f>
        <v>100</v>
      </c>
      <c r="I12" s="929"/>
      <c r="J12" s="920">
        <f>SUMIF(70:70,I12,71:71)-SUMIF(70:70,C12,71:71)+100</f>
        <v>100</v>
      </c>
      <c r="K12" s="1062"/>
      <c r="L12" s="1047"/>
      <c r="M12" s="1048"/>
      <c r="N12" s="1048"/>
      <c r="O12" s="1048"/>
      <c r="P12" s="3275"/>
      <c r="Q12" s="1092">
        <f t="shared" si="6"/>
        <v>111</v>
      </c>
      <c r="R12" s="1088" t="s">
        <v>1367</v>
      </c>
      <c r="S12" s="1089">
        <f t="shared" si="0"/>
        <v>100</v>
      </c>
      <c r="T12" s="1088" t="s">
        <v>1367</v>
      </c>
      <c r="U12" s="1089">
        <f t="shared" si="1"/>
        <v>100</v>
      </c>
      <c r="V12" s="1088" t="s">
        <v>1367</v>
      </c>
      <c r="W12" s="1089">
        <f t="shared" si="2"/>
        <v>100</v>
      </c>
      <c r="X12" s="1090"/>
      <c r="Y12" s="3179"/>
      <c r="Z12" s="1103">
        <f t="shared" si="7"/>
        <v>111</v>
      </c>
      <c r="AA12" s="1102">
        <f t="shared" si="3"/>
        <v>1</v>
      </c>
      <c r="AB12" s="1102">
        <f t="shared" si="4"/>
        <v>1</v>
      </c>
      <c r="AC12" s="1102">
        <f t="shared" si="5"/>
        <v>1</v>
      </c>
    </row>
    <row r="13" spans="1:29" ht="15">
      <c r="A13" s="921"/>
      <c r="B13" s="925">
        <v>111</v>
      </c>
      <c r="C13" s="929"/>
      <c r="D13" s="930">
        <v>100</v>
      </c>
      <c r="E13" s="929"/>
      <c r="F13" s="1286">
        <f>SUMIF(72:72,E13,73:73)-SUMIF(72:72,C13,73:73)+100</f>
        <v>100</v>
      </c>
      <c r="G13" s="929"/>
      <c r="H13" s="930">
        <f>SUMIF(72:72,G13,73:73)-SUMIF(72:72,C13,73:73)+100</f>
        <v>100</v>
      </c>
      <c r="I13" s="929"/>
      <c r="J13" s="930">
        <f>SUMIF(72:72,I13,73:73)-SUMIF(72:72,C13,73:73)+100</f>
        <v>100</v>
      </c>
      <c r="K13" s="1062"/>
      <c r="L13" s="1057"/>
      <c r="M13" s="1045"/>
      <c r="N13" s="1045"/>
      <c r="O13" s="1045"/>
      <c r="P13" s="3275"/>
      <c r="Q13" s="1092">
        <f t="shared" si="6"/>
        <v>111</v>
      </c>
      <c r="R13" s="1088" t="s">
        <v>1367</v>
      </c>
      <c r="S13" s="1089">
        <f t="shared" si="0"/>
        <v>100</v>
      </c>
      <c r="T13" s="1088" t="s">
        <v>1367</v>
      </c>
      <c r="U13" s="1089">
        <f t="shared" si="1"/>
        <v>100</v>
      </c>
      <c r="V13" s="1088" t="s">
        <v>1367</v>
      </c>
      <c r="W13" s="1089">
        <f t="shared" si="2"/>
        <v>100</v>
      </c>
      <c r="X13" s="1090"/>
      <c r="Y13" s="3179"/>
      <c r="Z13" s="1103">
        <f t="shared" si="7"/>
        <v>111</v>
      </c>
      <c r="AA13" s="1102">
        <f t="shared" si="3"/>
        <v>1</v>
      </c>
      <c r="AB13" s="1102">
        <f t="shared" si="4"/>
        <v>1</v>
      </c>
      <c r="AC13" s="1102">
        <f t="shared" si="5"/>
        <v>1</v>
      </c>
    </row>
    <row r="14" spans="1:29" ht="15">
      <c r="A14" s="931"/>
      <c r="B14" s="932">
        <v>111</v>
      </c>
      <c r="C14" s="933"/>
      <c r="D14" s="934">
        <v>100</v>
      </c>
      <c r="E14" s="929"/>
      <c r="F14" s="1306">
        <f>SUMIF(74:74,E14,75:75)-SUMIF(74:74,C14,75:75)+100</f>
        <v>100</v>
      </c>
      <c r="G14" s="929"/>
      <c r="H14" s="934">
        <f>SUMIF(74:74,G14,75:75)-SUMIF(74:74,C14,75:75)+100</f>
        <v>100</v>
      </c>
      <c r="I14" s="929"/>
      <c r="J14" s="934">
        <f>SUMIF(74:74,I14,75:75)-SUMIF(74:74,C14,75:75)+100</f>
        <v>100</v>
      </c>
      <c r="K14" s="1062"/>
      <c r="L14" s="1057"/>
      <c r="M14" s="1045"/>
      <c r="N14" s="1045"/>
      <c r="O14" s="1045"/>
      <c r="P14" s="3275"/>
      <c r="Q14" s="1092">
        <f t="shared" si="6"/>
        <v>111</v>
      </c>
      <c r="R14" s="1088" t="s">
        <v>1367</v>
      </c>
      <c r="S14" s="1089">
        <f t="shared" si="0"/>
        <v>100</v>
      </c>
      <c r="T14" s="1088" t="s">
        <v>1367</v>
      </c>
      <c r="U14" s="1089">
        <f t="shared" si="1"/>
        <v>100</v>
      </c>
      <c r="V14" s="1088" t="s">
        <v>1367</v>
      </c>
      <c r="W14" s="1089">
        <f t="shared" si="2"/>
        <v>100</v>
      </c>
      <c r="X14" s="1090"/>
      <c r="Y14" s="3179"/>
      <c r="Z14" s="1103">
        <f t="shared" si="7"/>
        <v>111</v>
      </c>
      <c r="AA14" s="1102">
        <f t="shared" si="3"/>
        <v>1</v>
      </c>
      <c r="AB14" s="1102">
        <f t="shared" si="4"/>
        <v>1</v>
      </c>
      <c r="AC14" s="1102">
        <f t="shared" si="5"/>
        <v>1</v>
      </c>
    </row>
    <row r="15" spans="1:29" ht="71.25">
      <c r="A15" s="935" t="s">
        <v>1377</v>
      </c>
      <c r="B15" s="1233" t="s">
        <v>1447</v>
      </c>
      <c r="C15" s="1234" t="str">
        <f>估价对象房地状况!C4</f>
        <v>估价对象位于XX商圈，周边商业氛围成熟，人流量大，商业繁华度好</v>
      </c>
      <c r="D15" s="938">
        <v>100</v>
      </c>
      <c r="E15" s="939"/>
      <c r="F15" s="1289">
        <f>SUMIF(76:76,E16,77:77)-SUMIF(76:76,C16,77:77)+100</f>
        <v>100</v>
      </c>
      <c r="G15" s="1058"/>
      <c r="H15" s="938">
        <f>SUMIF(76:76,G16,77:77)-SUMIF(76:76,C16,77:77)+100</f>
        <v>100</v>
      </c>
      <c r="I15" s="939"/>
      <c r="J15" s="938">
        <f>SUMIF(76:76,I16,77:77)-SUMIF(76:76,C16,77:77)+100</f>
        <v>100</v>
      </c>
      <c r="K15" s="1328"/>
      <c r="L15" s="1057"/>
      <c r="M15" s="1045"/>
      <c r="N15" s="1045"/>
      <c r="O15" s="1045"/>
      <c r="P15" s="3315" t="s">
        <v>1379</v>
      </c>
      <c r="Q15" s="656" t="str">
        <f t="shared" si="6"/>
        <v>商业繁华度</v>
      </c>
      <c r="R15" s="1093" t="s">
        <v>1367</v>
      </c>
      <c r="S15" s="1094">
        <f t="shared" si="0"/>
        <v>100</v>
      </c>
      <c r="T15" s="1093" t="s">
        <v>1367</v>
      </c>
      <c r="U15" s="1094">
        <f t="shared" si="1"/>
        <v>100</v>
      </c>
      <c r="V15" s="1093" t="s">
        <v>1367</v>
      </c>
      <c r="W15" s="1094">
        <f t="shared" si="2"/>
        <v>100</v>
      </c>
      <c r="X15" s="1087"/>
      <c r="Y15" s="3293" t="s">
        <v>1379</v>
      </c>
      <c r="Z15" s="1077" t="str">
        <f t="shared" si="7"/>
        <v>商业繁华度</v>
      </c>
      <c r="AA15" s="1104">
        <f t="shared" si="3"/>
        <v>1</v>
      </c>
      <c r="AB15" s="1104">
        <f t="shared" si="4"/>
        <v>1</v>
      </c>
      <c r="AC15" s="1104">
        <f t="shared" si="5"/>
        <v>1</v>
      </c>
    </row>
    <row r="16" spans="1:29" ht="15">
      <c r="A16" s="921"/>
      <c r="B16" s="1235"/>
      <c r="C16" s="941"/>
      <c r="D16" s="942"/>
      <c r="E16" s="941"/>
      <c r="F16" s="1290"/>
      <c r="G16" s="941"/>
      <c r="H16" s="944"/>
      <c r="I16" s="941"/>
      <c r="J16" s="942"/>
      <c r="K16" s="1329"/>
      <c r="L16" s="1057"/>
      <c r="M16" s="1045"/>
      <c r="N16" s="1045"/>
      <c r="O16" s="1045"/>
      <c r="P16" s="3316"/>
      <c r="Q16" s="656"/>
      <c r="R16" s="1093"/>
      <c r="S16" s="1094"/>
      <c r="T16" s="1093"/>
      <c r="U16" s="1094"/>
      <c r="V16" s="1093"/>
      <c r="W16" s="1094"/>
      <c r="X16" s="1087"/>
      <c r="Y16" s="3294"/>
      <c r="Z16" s="1077"/>
      <c r="AA16" s="1104">
        <v>1</v>
      </c>
      <c r="AB16" s="1104">
        <v>1</v>
      </c>
      <c r="AC16" s="1104">
        <v>1</v>
      </c>
    </row>
    <row r="17" spans="1:29" ht="85.5">
      <c r="A17" s="921"/>
      <c r="B17" s="1236" t="s">
        <v>1380</v>
      </c>
      <c r="C17" s="946" t="str">
        <f>估价对象房地状况!C6</f>
        <v>估价对象周边道路状况、公共交通通达情况、停车便捷程度，综合评价交通便捷度较好</v>
      </c>
      <c r="D17" s="944">
        <v>100</v>
      </c>
      <c r="E17" s="947"/>
      <c r="F17" s="1292">
        <f>SUMIF(78:78,E18,79:79)-SUMIF(78:78,C18,79:79)+100</f>
        <v>100</v>
      </c>
      <c r="G17" s="1059"/>
      <c r="H17" s="948">
        <f>SUMIF(78:78,G18,79:79)-SUMIF(78:78,C18,79:79)+100</f>
        <v>100</v>
      </c>
      <c r="I17" s="947"/>
      <c r="J17" s="948">
        <f>SUMIF(78:78,I18,79:79)-SUMIF(78:78,C18,79:79)+100</f>
        <v>100</v>
      </c>
      <c r="K17" s="1328"/>
      <c r="L17" s="1057"/>
      <c r="M17" s="1045"/>
      <c r="N17" s="1045"/>
      <c r="O17" s="1045"/>
      <c r="P17" s="3316"/>
      <c r="Q17" s="656" t="str">
        <f>B17</f>
        <v>交通便捷度</v>
      </c>
      <c r="R17" s="1093" t="s">
        <v>1367</v>
      </c>
      <c r="S17" s="1094">
        <f>F17</f>
        <v>100</v>
      </c>
      <c r="T17" s="1093" t="s">
        <v>1367</v>
      </c>
      <c r="U17" s="1094">
        <f>H17</f>
        <v>100</v>
      </c>
      <c r="V17" s="1093" t="s">
        <v>1367</v>
      </c>
      <c r="W17" s="1094">
        <f>J17</f>
        <v>100</v>
      </c>
      <c r="X17" s="1087"/>
      <c r="Y17" s="3294"/>
      <c r="Z17" s="1077" t="str">
        <f>Q17</f>
        <v>交通便捷度</v>
      </c>
      <c r="AA17" s="1104">
        <f t="shared" si="3"/>
        <v>1</v>
      </c>
      <c r="AB17" s="1104">
        <f t="shared" si="4"/>
        <v>1</v>
      </c>
      <c r="AC17" s="1104">
        <f t="shared" si="5"/>
        <v>1</v>
      </c>
    </row>
    <row r="18" spans="1:29" ht="15">
      <c r="A18" s="921"/>
      <c r="B18" s="969"/>
      <c r="C18" s="1237"/>
      <c r="D18" s="944"/>
      <c r="E18" s="1238"/>
      <c r="F18" s="1292"/>
      <c r="G18" s="1247"/>
      <c r="H18" s="942"/>
      <c r="I18" s="1238"/>
      <c r="J18" s="942"/>
      <c r="K18" s="1329"/>
      <c r="L18" s="1057"/>
      <c r="M18" s="1045"/>
      <c r="N18" s="1045"/>
      <c r="O18" s="1045"/>
      <c r="P18" s="3316"/>
      <c r="Q18" s="656"/>
      <c r="R18" s="1093"/>
      <c r="S18" s="1094"/>
      <c r="T18" s="1093"/>
      <c r="U18" s="1094"/>
      <c r="V18" s="1093"/>
      <c r="W18" s="1094"/>
      <c r="X18" s="1087"/>
      <c r="Y18" s="3294"/>
      <c r="Z18" s="1077"/>
      <c r="AA18" s="1104">
        <v>1</v>
      </c>
      <c r="AB18" s="1104">
        <v>1</v>
      </c>
      <c r="AC18" s="1104">
        <v>1</v>
      </c>
    </row>
    <row r="19" spans="1:29" ht="42.75">
      <c r="A19" s="921"/>
      <c r="B19" s="1236" t="s">
        <v>1381</v>
      </c>
      <c r="C19" s="946" t="str">
        <f>估价对象房地状况!C7</f>
        <v>估价对象所在区域公共配套设施齐备情况</v>
      </c>
      <c r="D19" s="948">
        <v>100</v>
      </c>
      <c r="E19" s="1239"/>
      <c r="F19" s="1291">
        <f>SUMIF(80:80,E20,81:81)-SUMIF(80:80,C20,81:81)+100</f>
        <v>100</v>
      </c>
      <c r="G19" s="1248"/>
      <c r="H19" s="944">
        <f>SUMIF(80:80,G20,81:81)-SUMIF(80:80,C20,81:81)+100</f>
        <v>100</v>
      </c>
      <c r="I19" s="1239"/>
      <c r="J19" s="944">
        <f>SUMIF(80:80,I20,81:81)-SUMIF(80:80,C20,81:81)+100</f>
        <v>100</v>
      </c>
      <c r="K19" s="1328"/>
      <c r="L19" s="1057"/>
      <c r="M19" s="1045"/>
      <c r="N19" s="1045"/>
      <c r="O19" s="1045"/>
      <c r="P19" s="3316"/>
      <c r="Q19" s="656" t="str">
        <f>B19</f>
        <v>公共配套设施</v>
      </c>
      <c r="R19" s="1093" t="s">
        <v>1367</v>
      </c>
      <c r="S19" s="1094">
        <f>F19</f>
        <v>100</v>
      </c>
      <c r="T19" s="1093" t="s">
        <v>1367</v>
      </c>
      <c r="U19" s="1094">
        <f>H19</f>
        <v>100</v>
      </c>
      <c r="V19" s="1093" t="s">
        <v>1367</v>
      </c>
      <c r="W19" s="1094">
        <f>J19</f>
        <v>100</v>
      </c>
      <c r="X19" s="1087"/>
      <c r="Y19" s="3294"/>
      <c r="Z19" s="1077" t="str">
        <f>Q19</f>
        <v>公共配套设施</v>
      </c>
      <c r="AA19" s="1104">
        <f t="shared" si="3"/>
        <v>1</v>
      </c>
      <c r="AB19" s="1104">
        <f t="shared" si="4"/>
        <v>1</v>
      </c>
      <c r="AC19" s="1104">
        <f t="shared" si="5"/>
        <v>1</v>
      </c>
    </row>
    <row r="20" spans="1:29" ht="15">
      <c r="A20" s="921"/>
      <c r="B20" s="969"/>
      <c r="C20" s="941"/>
      <c r="D20" s="942"/>
      <c r="E20" s="950"/>
      <c r="F20" s="1290"/>
      <c r="G20" s="1060"/>
      <c r="H20" s="942"/>
      <c r="I20" s="950"/>
      <c r="J20" s="942"/>
      <c r="K20" s="1329"/>
      <c r="L20" s="1057"/>
      <c r="M20" s="1045"/>
      <c r="N20" s="1045"/>
      <c r="O20" s="1045"/>
      <c r="P20" s="3316"/>
      <c r="Q20" s="656"/>
      <c r="R20" s="1093"/>
      <c r="S20" s="1094"/>
      <c r="T20" s="1093"/>
      <c r="U20" s="1094"/>
      <c r="V20" s="1093"/>
      <c r="W20" s="1094"/>
      <c r="X20" s="1087"/>
      <c r="Y20" s="3294"/>
      <c r="Z20" s="1077"/>
      <c r="AA20" s="1104">
        <v>1</v>
      </c>
      <c r="AB20" s="1104">
        <v>1</v>
      </c>
      <c r="AC20" s="1104">
        <v>1</v>
      </c>
    </row>
    <row r="21" spans="1:29" ht="28.5">
      <c r="A21" s="921"/>
      <c r="B21" s="1240" t="s">
        <v>1382</v>
      </c>
      <c r="C21" s="946" t="str">
        <f>估价对象房地状况!C8</f>
        <v>估价对象所在区域基础设施水平</v>
      </c>
      <c r="D21" s="948">
        <v>100</v>
      </c>
      <c r="E21" s="1239"/>
      <c r="F21" s="1291">
        <f>SUMIF(82:82,E22,83:83)-SUMIF(82:82,C22,83:83)+100</f>
        <v>100</v>
      </c>
      <c r="G21" s="1248"/>
      <c r="H21" s="944">
        <f>SUMIF(82:82,G22,83:83)-SUMIF(82:82,C22,83:83)+100</f>
        <v>100</v>
      </c>
      <c r="I21" s="1239"/>
      <c r="J21" s="944">
        <f>SUMIF(82:82,I22,83:83)-SUMIF(82:82,C22,83:83)+100</f>
        <v>100</v>
      </c>
      <c r="K21" s="1328"/>
      <c r="L21" s="1057"/>
      <c r="M21" s="1045"/>
      <c r="N21" s="1045"/>
      <c r="O21" s="1045"/>
      <c r="P21" s="3316"/>
      <c r="Q21" s="656" t="str">
        <f>B21</f>
        <v>基础设施水平</v>
      </c>
      <c r="R21" s="1093" t="s">
        <v>1367</v>
      </c>
      <c r="S21" s="1094">
        <f>F21</f>
        <v>100</v>
      </c>
      <c r="T21" s="1093" t="s">
        <v>1367</v>
      </c>
      <c r="U21" s="1094">
        <f>H21</f>
        <v>100</v>
      </c>
      <c r="V21" s="1093" t="s">
        <v>1367</v>
      </c>
      <c r="W21" s="1094">
        <f>J21</f>
        <v>100</v>
      </c>
      <c r="X21" s="1087"/>
      <c r="Y21" s="3294"/>
      <c r="Z21" s="1077" t="str">
        <f>Q21</f>
        <v>基础设施水平</v>
      </c>
      <c r="AA21" s="1104">
        <f>D21/F21</f>
        <v>1</v>
      </c>
      <c r="AB21" s="1104">
        <f>D21/H21</f>
        <v>1</v>
      </c>
      <c r="AC21" s="1104">
        <f>D21/J21</f>
        <v>1</v>
      </c>
    </row>
    <row r="22" spans="1:29" ht="15">
      <c r="A22" s="921"/>
      <c r="B22" s="1240"/>
      <c r="C22" s="1237"/>
      <c r="D22" s="942"/>
      <c r="E22" s="941"/>
      <c r="F22" s="1290"/>
      <c r="G22" s="941"/>
      <c r="H22" s="942"/>
      <c r="I22" s="941"/>
      <c r="J22" s="942"/>
      <c r="K22" s="1330"/>
      <c r="L22" s="1057"/>
      <c r="M22" s="1045"/>
      <c r="N22" s="1045"/>
      <c r="O22" s="1045"/>
      <c r="P22" s="3316"/>
      <c r="Q22" s="656"/>
      <c r="R22" s="1093"/>
      <c r="S22" s="1094"/>
      <c r="T22" s="1093"/>
      <c r="U22" s="1094"/>
      <c r="V22" s="1093"/>
      <c r="W22" s="1094"/>
      <c r="X22" s="1087"/>
      <c r="Y22" s="3294"/>
      <c r="Z22" s="1077"/>
      <c r="AA22" s="1104">
        <v>1</v>
      </c>
      <c r="AB22" s="1104">
        <v>1</v>
      </c>
      <c r="AC22" s="1104">
        <v>1</v>
      </c>
    </row>
    <row r="23" spans="1:29" ht="57">
      <c r="A23" s="921"/>
      <c r="B23" s="1236" t="s">
        <v>1383</v>
      </c>
      <c r="C23" s="654" t="str">
        <f>估价对象房地状况!C9</f>
        <v>区域自然环境：；人文环境；综合评价环境状况一般</v>
      </c>
      <c r="D23" s="944">
        <v>100</v>
      </c>
      <c r="E23" s="947"/>
      <c r="F23" s="1292">
        <f>SUMIF(84:84,E24,85:85)-SUMIF(84:84,C24,85:85)+100</f>
        <v>100</v>
      </c>
      <c r="G23" s="1059"/>
      <c r="H23" s="944">
        <f>SUMIF(84:84,G24,85:85)-SUMIF(84:84,C24,85:85)+100</f>
        <v>100</v>
      </c>
      <c r="I23" s="947"/>
      <c r="J23" s="944">
        <f>SUMIF(84:84,I24,85:85)-SUMIF(84:84,C24,85:85)+100</f>
        <v>100</v>
      </c>
      <c r="K23" s="1328"/>
      <c r="L23" s="1057"/>
      <c r="M23" s="1045"/>
      <c r="N23" s="1045"/>
      <c r="O23" s="1045"/>
      <c r="P23" s="3316"/>
      <c r="Q23" s="656" t="str">
        <f>B23</f>
        <v>自然及人文环境</v>
      </c>
      <c r="R23" s="1093" t="s">
        <v>1367</v>
      </c>
      <c r="S23" s="1094">
        <f>F23</f>
        <v>100</v>
      </c>
      <c r="T23" s="1093" t="s">
        <v>1367</v>
      </c>
      <c r="U23" s="1094">
        <f>H23</f>
        <v>100</v>
      </c>
      <c r="V23" s="1093" t="s">
        <v>1367</v>
      </c>
      <c r="W23" s="1094">
        <f>J23</f>
        <v>100</v>
      </c>
      <c r="X23" s="1087"/>
      <c r="Y23" s="3294"/>
      <c r="Z23" s="1077" t="str">
        <f>Q23</f>
        <v>自然及人文环境</v>
      </c>
      <c r="AA23" s="1104">
        <f t="shared" si="3"/>
        <v>1</v>
      </c>
      <c r="AB23" s="1104">
        <f t="shared" si="4"/>
        <v>1</v>
      </c>
      <c r="AC23" s="1104">
        <f t="shared" si="5"/>
        <v>1</v>
      </c>
    </row>
    <row r="24" spans="1:29" ht="15">
      <c r="A24" s="921"/>
      <c r="B24" s="969"/>
      <c r="C24" s="941"/>
      <c r="D24" s="942"/>
      <c r="E24" s="950"/>
      <c r="F24" s="1290"/>
      <c r="G24" s="1060"/>
      <c r="H24" s="942"/>
      <c r="I24" s="950"/>
      <c r="J24" s="942"/>
      <c r="K24" s="1329"/>
      <c r="L24" s="1057"/>
      <c r="M24" s="1045"/>
      <c r="N24" s="1045"/>
      <c r="O24" s="1045"/>
      <c r="P24" s="3316"/>
      <c r="Q24" s="656"/>
      <c r="R24" s="1093"/>
      <c r="S24" s="1094"/>
      <c r="T24" s="1093"/>
      <c r="U24" s="1094"/>
      <c r="V24" s="1093"/>
      <c r="W24" s="1094"/>
      <c r="X24" s="1087"/>
      <c r="Y24" s="3294"/>
      <c r="Z24" s="1077"/>
      <c r="AA24" s="1104">
        <v>1</v>
      </c>
      <c r="AB24" s="1104">
        <v>1</v>
      </c>
      <c r="AC24" s="1104">
        <v>1</v>
      </c>
    </row>
    <row r="25" spans="1:29" ht="15">
      <c r="A25" s="921"/>
      <c r="B25" s="918" t="s">
        <v>1448</v>
      </c>
      <c r="C25" s="955"/>
      <c r="D25" s="930">
        <v>100</v>
      </c>
      <c r="E25" s="955"/>
      <c r="F25" s="1293">
        <f>SUMIF(86:86,E25,87:87)-SUMIF(86:86,C25,87:87)+100</f>
        <v>100</v>
      </c>
      <c r="G25" s="955"/>
      <c r="H25" s="930">
        <f>SUMIF(86:86,G25,87:87)-SUMIF(86:86,C25,87:87)+100</f>
        <v>100</v>
      </c>
      <c r="I25" s="955"/>
      <c r="J25" s="930">
        <f>SUMIF(86:86,I25,87:87)-SUMIF(86:86,C25,87:87)+100</f>
        <v>100</v>
      </c>
      <c r="K25" s="1063"/>
      <c r="L25" s="1057"/>
      <c r="M25" s="1045"/>
      <c r="N25" s="1045"/>
      <c r="O25" s="1045"/>
      <c r="P25" s="3316"/>
      <c r="Q25" s="656" t="str">
        <f t="shared" ref="Q25:Q46" si="8">B25</f>
        <v>临街状况</v>
      </c>
      <c r="R25" s="1093" t="s">
        <v>1367</v>
      </c>
      <c r="S25" s="1094">
        <f>F25</f>
        <v>100</v>
      </c>
      <c r="T25" s="1093" t="s">
        <v>1367</v>
      </c>
      <c r="U25" s="1094">
        <f>H25</f>
        <v>100</v>
      </c>
      <c r="V25" s="1093" t="s">
        <v>1367</v>
      </c>
      <c r="W25" s="1094">
        <f>J25</f>
        <v>100</v>
      </c>
      <c r="X25" s="1087"/>
      <c r="Y25" s="3294"/>
      <c r="Z25" s="1077" t="str">
        <f>Q25</f>
        <v>临街状况</v>
      </c>
      <c r="AA25" s="1104">
        <f t="shared" si="3"/>
        <v>1</v>
      </c>
      <c r="AB25" s="1104">
        <f t="shared" si="4"/>
        <v>1</v>
      </c>
      <c r="AC25" s="1104">
        <f t="shared" si="5"/>
        <v>1</v>
      </c>
    </row>
    <row r="26" spans="1:29" ht="15">
      <c r="A26" s="921"/>
      <c r="B26" s="1241" t="s">
        <v>1449</v>
      </c>
      <c r="C26" s="929"/>
      <c r="D26" s="930">
        <v>100</v>
      </c>
      <c r="E26" s="929"/>
      <c r="F26" s="1293">
        <f>SUMIF(88:88,E26,89:89)-SUMIF(88:88,C26,89:89)+100</f>
        <v>100</v>
      </c>
      <c r="G26" s="929"/>
      <c r="H26" s="930">
        <f>SUMIF(88:88,G26,89:89)-SUMIF(88:88,C26,89:89)+100</f>
        <v>100</v>
      </c>
      <c r="I26" s="929"/>
      <c r="J26" s="930">
        <f>SUMIF(88:88,I26,89:89)-SUMIF(88:88,C26,89:89)+100</f>
        <v>100</v>
      </c>
      <c r="K26" s="1062"/>
      <c r="L26" s="1057"/>
      <c r="M26" s="1045"/>
      <c r="N26" s="1045"/>
      <c r="O26" s="1045"/>
      <c r="P26" s="3316"/>
      <c r="Q26" s="656" t="str">
        <f t="shared" si="8"/>
        <v>平面位置/可视性</v>
      </c>
      <c r="R26" s="1093" t="s">
        <v>1367</v>
      </c>
      <c r="S26" s="1094">
        <f>F26</f>
        <v>100</v>
      </c>
      <c r="T26" s="1093" t="s">
        <v>1367</v>
      </c>
      <c r="U26" s="1094">
        <f>H26</f>
        <v>100</v>
      </c>
      <c r="V26" s="1093" t="s">
        <v>1367</v>
      </c>
      <c r="W26" s="1094">
        <f>J26</f>
        <v>100</v>
      </c>
      <c r="X26" s="1087"/>
      <c r="Y26" s="3294"/>
      <c r="Z26" s="1077" t="str">
        <f>Q26</f>
        <v>平面位置/可视性</v>
      </c>
      <c r="AA26" s="1104">
        <f t="shared" si="3"/>
        <v>1</v>
      </c>
      <c r="AB26" s="1104">
        <f t="shared" si="4"/>
        <v>1</v>
      </c>
      <c r="AC26" s="1104">
        <f t="shared" si="5"/>
        <v>1</v>
      </c>
    </row>
    <row r="27" spans="1:29" s="880" customFormat="1" ht="15">
      <c r="A27" s="924"/>
      <c r="B27" s="1236" t="s">
        <v>1450</v>
      </c>
      <c r="C27" s="1453"/>
      <c r="D27" s="1405">
        <v>100</v>
      </c>
      <c r="E27" s="1453"/>
      <c r="F27" s="1406">
        <f>SUMIF(90:90,E27,91:91)-SUMIF(90:90,C27,91:91)+100</f>
        <v>100</v>
      </c>
      <c r="G27" s="1453"/>
      <c r="H27" s="1405">
        <f>SUMIF(90:90,G27,91:91)-SUMIF(90:90,C27,91:91)+100</f>
        <v>100</v>
      </c>
      <c r="I27" s="1453"/>
      <c r="J27" s="1405">
        <f>SUMIF(90:90,I27,91:91)-SUMIF(90:90,C27,91:91)+100</f>
        <v>100</v>
      </c>
      <c r="K27" s="1063"/>
      <c r="L27" s="1047"/>
      <c r="M27" s="1048"/>
      <c r="N27" s="1048"/>
      <c r="O27" s="1048"/>
      <c r="P27" s="3316"/>
      <c r="Q27" s="1092" t="str">
        <f t="shared" si="8"/>
        <v>人流量</v>
      </c>
      <c r="R27" s="1088" t="s">
        <v>1367</v>
      </c>
      <c r="S27" s="1089">
        <f>F27</f>
        <v>100</v>
      </c>
      <c r="T27" s="1088" t="s">
        <v>1367</v>
      </c>
      <c r="U27" s="1089">
        <f>H27</f>
        <v>100</v>
      </c>
      <c r="V27" s="1088" t="s">
        <v>1367</v>
      </c>
      <c r="W27" s="1089">
        <f>J27</f>
        <v>100</v>
      </c>
      <c r="X27" s="1090"/>
      <c r="Y27" s="3294"/>
      <c r="Z27" s="1103" t="str">
        <f>Q27</f>
        <v>人流量</v>
      </c>
      <c r="AA27" s="1104">
        <f t="shared" si="3"/>
        <v>1</v>
      </c>
      <c r="AB27" s="1104">
        <f t="shared" si="4"/>
        <v>1</v>
      </c>
      <c r="AC27" s="1104">
        <f t="shared" si="5"/>
        <v>1</v>
      </c>
    </row>
    <row r="28" spans="1:29" ht="15">
      <c r="A28" s="921"/>
      <c r="B28" s="918" t="s">
        <v>1451</v>
      </c>
      <c r="C28" s="955"/>
      <c r="D28" s="930">
        <v>100</v>
      </c>
      <c r="E28" s="955"/>
      <c r="F28" s="1293">
        <f>SUMIF(92:92,E28,93:93)-SUMIF(92:92,C28,93:93)+100</f>
        <v>100</v>
      </c>
      <c r="G28" s="955"/>
      <c r="H28" s="930">
        <f>SUMIF(92:92,G28,93:93)-SUMIF(92:92,C28,93:93)+100</f>
        <v>100</v>
      </c>
      <c r="I28" s="955"/>
      <c r="J28" s="930">
        <f>SUMIF(92:92,I28,93:93)-SUMIF(92:92,C28,93:93)+100</f>
        <v>100</v>
      </c>
      <c r="K28" s="1062"/>
      <c r="L28" s="1057"/>
      <c r="M28" s="1045"/>
      <c r="N28" s="1045"/>
      <c r="O28" s="1045"/>
      <c r="P28" s="3316"/>
      <c r="Q28" s="656" t="str">
        <f t="shared" si="8"/>
        <v>楼层</v>
      </c>
      <c r="R28" s="1093" t="s">
        <v>1367</v>
      </c>
      <c r="S28" s="1094">
        <f t="shared" ref="S28:S46" si="9">F28</f>
        <v>100</v>
      </c>
      <c r="T28" s="1093" t="s">
        <v>1367</v>
      </c>
      <c r="U28" s="1094">
        <f t="shared" ref="U28:U46" si="10">H28</f>
        <v>100</v>
      </c>
      <c r="V28" s="1093" t="s">
        <v>1367</v>
      </c>
      <c r="W28" s="1094">
        <f t="shared" ref="W28:W46" si="11">J28</f>
        <v>100</v>
      </c>
      <c r="X28" s="1087"/>
      <c r="Y28" s="3294"/>
      <c r="Z28" s="1077" t="str">
        <f t="shared" ref="Z28:Z46" si="12">Q28</f>
        <v>楼层</v>
      </c>
      <c r="AA28" s="1104">
        <f t="shared" si="3"/>
        <v>1</v>
      </c>
      <c r="AB28" s="1104">
        <f t="shared" si="4"/>
        <v>1</v>
      </c>
      <c r="AC28" s="1104">
        <f t="shared" si="5"/>
        <v>1</v>
      </c>
    </row>
    <row r="29" spans="1:29" ht="15">
      <c r="A29" s="921"/>
      <c r="B29" s="1241">
        <v>111</v>
      </c>
      <c r="C29" s="929"/>
      <c r="D29" s="930">
        <v>100</v>
      </c>
      <c r="E29" s="929"/>
      <c r="F29" s="1293">
        <f>SUMIF(94:94,E29,95:95)-SUMIF(94:94,C29,95:95)+100</f>
        <v>100</v>
      </c>
      <c r="G29" s="929"/>
      <c r="H29" s="930">
        <f>SUMIF(94:94,G29,95:95)-SUMIF(94:94,C29,95:95)+100</f>
        <v>100</v>
      </c>
      <c r="I29" s="929"/>
      <c r="J29" s="930">
        <f>SUMIF(94:94,I29,95:95)-SUMIF(94:94,C29,95:95)+100</f>
        <v>100</v>
      </c>
      <c r="K29" s="1062"/>
      <c r="L29" s="1057"/>
      <c r="M29" s="1045"/>
      <c r="N29" s="1045"/>
      <c r="O29" s="1045"/>
      <c r="P29" s="3316"/>
      <c r="Q29" s="656">
        <f t="shared" si="8"/>
        <v>111</v>
      </c>
      <c r="R29" s="1093" t="s">
        <v>1367</v>
      </c>
      <c r="S29" s="1094">
        <f t="shared" si="9"/>
        <v>100</v>
      </c>
      <c r="T29" s="1093" t="s">
        <v>1367</v>
      </c>
      <c r="U29" s="1094">
        <f t="shared" si="10"/>
        <v>100</v>
      </c>
      <c r="V29" s="1093" t="s">
        <v>1367</v>
      </c>
      <c r="W29" s="1094">
        <f t="shared" si="11"/>
        <v>100</v>
      </c>
      <c r="X29" s="1087"/>
      <c r="Y29" s="3294"/>
      <c r="Z29" s="1077">
        <f t="shared" si="12"/>
        <v>111</v>
      </c>
      <c r="AA29" s="1104">
        <f t="shared" si="3"/>
        <v>1</v>
      </c>
      <c r="AB29" s="1104">
        <f t="shared" si="4"/>
        <v>1</v>
      </c>
      <c r="AC29" s="1104">
        <f t="shared" si="5"/>
        <v>1</v>
      </c>
    </row>
    <row r="30" spans="1:29" ht="15">
      <c r="A30" s="921"/>
      <c r="B30" s="1241">
        <v>111</v>
      </c>
      <c r="C30" s="929"/>
      <c r="D30" s="930">
        <v>100</v>
      </c>
      <c r="E30" s="929"/>
      <c r="F30" s="1293">
        <f>SUMIF(96:96,E30,97:97)-SUMIF(96:96,C30,97:97)+100</f>
        <v>100</v>
      </c>
      <c r="G30" s="929"/>
      <c r="H30" s="930">
        <f>SUMIF(96:96,G30,97:97)-SUMIF(96:96,C30,97:97)+100</f>
        <v>100</v>
      </c>
      <c r="I30" s="929"/>
      <c r="J30" s="930">
        <f>SUMIF(96:96,I30,97:97)-SUMIF(96:96,C30,97:97)+100</f>
        <v>100</v>
      </c>
      <c r="K30" s="1062"/>
      <c r="L30" s="1057"/>
      <c r="M30" s="1045"/>
      <c r="N30" s="1045"/>
      <c r="O30" s="1045"/>
      <c r="P30" s="3316"/>
      <c r="Q30" s="656">
        <f t="shared" si="8"/>
        <v>111</v>
      </c>
      <c r="R30" s="1093" t="s">
        <v>1367</v>
      </c>
      <c r="S30" s="1094">
        <f t="shared" si="9"/>
        <v>100</v>
      </c>
      <c r="T30" s="1093" t="s">
        <v>1367</v>
      </c>
      <c r="U30" s="1094">
        <f t="shared" si="10"/>
        <v>100</v>
      </c>
      <c r="V30" s="1093" t="s">
        <v>1367</v>
      </c>
      <c r="W30" s="1094">
        <f t="shared" si="11"/>
        <v>100</v>
      </c>
      <c r="X30" s="1087"/>
      <c r="Y30" s="3294"/>
      <c r="Z30" s="1077">
        <f t="shared" si="12"/>
        <v>111</v>
      </c>
      <c r="AA30" s="1104">
        <f t="shared" si="3"/>
        <v>1</v>
      </c>
      <c r="AB30" s="1104">
        <f t="shared" si="4"/>
        <v>1</v>
      </c>
      <c r="AC30" s="1104">
        <f t="shared" si="5"/>
        <v>1</v>
      </c>
    </row>
    <row r="31" spans="1:29" ht="15">
      <c r="A31" s="931"/>
      <c r="B31" s="1241">
        <v>111</v>
      </c>
      <c r="C31" s="933"/>
      <c r="D31" s="934">
        <v>100</v>
      </c>
      <c r="E31" s="929"/>
      <c r="F31" s="1306">
        <f>SUMIF(98:98,E31,99:99)-SUMIF(98:98,C31,99:99)+100</f>
        <v>100</v>
      </c>
      <c r="G31" s="929"/>
      <c r="H31" s="934">
        <f>SUMIF(98:98,G31,99:99)-SUMIF(98:98,C31,99:99)+100</f>
        <v>100</v>
      </c>
      <c r="I31" s="929"/>
      <c r="J31" s="934">
        <f>SUMIF(98:98,I31,99:99)-SUMIF(98:98,C31,99:99)+100</f>
        <v>100</v>
      </c>
      <c r="K31" s="1062"/>
      <c r="L31" s="1057"/>
      <c r="M31" s="1045"/>
      <c r="N31" s="1045"/>
      <c r="O31" s="1045"/>
      <c r="P31" s="3316"/>
      <c r="Q31" s="656">
        <f t="shared" si="8"/>
        <v>111</v>
      </c>
      <c r="R31" s="1093" t="s">
        <v>1367</v>
      </c>
      <c r="S31" s="1094">
        <f t="shared" si="9"/>
        <v>100</v>
      </c>
      <c r="T31" s="1093" t="s">
        <v>1367</v>
      </c>
      <c r="U31" s="1094">
        <f t="shared" si="10"/>
        <v>100</v>
      </c>
      <c r="V31" s="1093" t="s">
        <v>1367</v>
      </c>
      <c r="W31" s="1094">
        <f t="shared" si="11"/>
        <v>100</v>
      </c>
      <c r="X31" s="1087"/>
      <c r="Y31" s="3294"/>
      <c r="Z31" s="1077">
        <f t="shared" si="12"/>
        <v>111</v>
      </c>
      <c r="AA31" s="1104">
        <f t="shared" si="3"/>
        <v>1</v>
      </c>
      <c r="AB31" s="1104">
        <f t="shared" si="4"/>
        <v>1</v>
      </c>
      <c r="AC31" s="1104">
        <f t="shared" si="5"/>
        <v>1</v>
      </c>
    </row>
    <row r="32" spans="1:29" ht="15">
      <c r="A32" s="935" t="s">
        <v>1386</v>
      </c>
      <c r="B32" s="914" t="s">
        <v>1452</v>
      </c>
      <c r="C32" s="1468"/>
      <c r="D32" s="971">
        <v>100</v>
      </c>
      <c r="E32" s="1468"/>
      <c r="F32" s="1293">
        <f>SUMIF(100:100,E32,101:101)-SUMIF(100:100,C32,101:101)+100</f>
        <v>100</v>
      </c>
      <c r="G32" s="1468"/>
      <c r="H32" s="930">
        <f>SUMIF(100:100,G32,101:101)-SUMIF(100:100,C32,101:101)+100</f>
        <v>100</v>
      </c>
      <c r="I32" s="1468"/>
      <c r="J32" s="971">
        <f>SUMIF(100:100,I32,101:101)-SUMIF(100:100,C32,101:101)+100</f>
        <v>100</v>
      </c>
      <c r="K32" s="1063"/>
      <c r="L32" s="1057"/>
      <c r="M32" s="1045"/>
      <c r="N32" s="1045"/>
      <c r="O32" s="1045"/>
      <c r="P32" s="3317" t="s">
        <v>1388</v>
      </c>
      <c r="Q32" s="656" t="str">
        <f t="shared" si="8"/>
        <v>商业类型</v>
      </c>
      <c r="R32" s="1093" t="s">
        <v>1367</v>
      </c>
      <c r="S32" s="1094">
        <f t="shared" si="9"/>
        <v>100</v>
      </c>
      <c r="T32" s="1093" t="s">
        <v>1367</v>
      </c>
      <c r="U32" s="1094">
        <f t="shared" si="10"/>
        <v>100</v>
      </c>
      <c r="V32" s="1093" t="s">
        <v>1367</v>
      </c>
      <c r="W32" s="1094">
        <f t="shared" si="11"/>
        <v>100</v>
      </c>
      <c r="X32" s="1087"/>
      <c r="Y32" s="3296" t="s">
        <v>1388</v>
      </c>
      <c r="Z32" s="1077" t="str">
        <f t="shared" si="12"/>
        <v>商业类型</v>
      </c>
      <c r="AA32" s="1104">
        <f t="shared" si="3"/>
        <v>1</v>
      </c>
      <c r="AB32" s="1104">
        <f t="shared" si="4"/>
        <v>1</v>
      </c>
      <c r="AC32" s="1104">
        <f t="shared" si="5"/>
        <v>1</v>
      </c>
    </row>
    <row r="33" spans="1:29" s="882" customFormat="1" ht="15">
      <c r="A33" s="977"/>
      <c r="B33" s="918" t="s">
        <v>1389</v>
      </c>
      <c r="C33" s="1287"/>
      <c r="D33" s="920">
        <v>100</v>
      </c>
      <c r="E33" s="923"/>
      <c r="F33" s="1286" t="e">
        <f>LOOKUP(E33,103:103,104:104)-LOOKUP(C33,103:103,104:104)+100</f>
        <v>#N/A</v>
      </c>
      <c r="G33" s="922"/>
      <c r="H33" s="920" t="e">
        <f>LOOKUP(G33,103:103,104:104)-LOOKUP(C33,103:103,104:104)+100</f>
        <v>#N/A</v>
      </c>
      <c r="I33" s="922"/>
      <c r="J33" s="920" t="e">
        <f>LOOKUP(I33,103:103,104:104)-LOOKUP(C33,103:103,104:104)+100</f>
        <v>#N/A</v>
      </c>
      <c r="K33" s="1062"/>
      <c r="L33" s="1055"/>
      <c r="M33" s="1064"/>
      <c r="N33" s="1064"/>
      <c r="O33" s="1064"/>
      <c r="P33" s="3318"/>
      <c r="Q33" s="1332" t="str">
        <f t="shared" si="8"/>
        <v>项目建筑规模</v>
      </c>
      <c r="R33" s="1095" t="s">
        <v>1367</v>
      </c>
      <c r="S33" s="1096" t="e">
        <f t="shared" si="9"/>
        <v>#N/A</v>
      </c>
      <c r="T33" s="1095" t="s">
        <v>1367</v>
      </c>
      <c r="U33" s="1096" t="e">
        <f t="shared" si="10"/>
        <v>#N/A</v>
      </c>
      <c r="V33" s="1095" t="s">
        <v>1367</v>
      </c>
      <c r="W33" s="1096" t="e">
        <f t="shared" si="11"/>
        <v>#N/A</v>
      </c>
      <c r="X33" s="1097"/>
      <c r="Y33" s="3296"/>
      <c r="Z33" s="1105" t="str">
        <f t="shared" si="12"/>
        <v>项目建筑规模</v>
      </c>
      <c r="AA33" s="1104" t="e">
        <f t="shared" si="3"/>
        <v>#N/A</v>
      </c>
      <c r="AB33" s="1104" t="e">
        <f t="shared" si="4"/>
        <v>#N/A</v>
      </c>
      <c r="AC33" s="1104" t="e">
        <f t="shared" si="5"/>
        <v>#N/A</v>
      </c>
    </row>
    <row r="34" spans="1:29" ht="15">
      <c r="A34" s="972"/>
      <c r="B34" s="918" t="s">
        <v>1390</v>
      </c>
      <c r="C34" s="1469"/>
      <c r="D34" s="930">
        <v>100</v>
      </c>
      <c r="E34" s="1469"/>
      <c r="F34" s="1293">
        <f>SUMIF(105:105,E34,106:106)-SUMIF(105:105,C34,106:106)+100</f>
        <v>100</v>
      </c>
      <c r="G34" s="1469"/>
      <c r="H34" s="930">
        <f>SUMIF(105:105,G34,106:106)-SUMIF(105:105,C34,106:106)+100</f>
        <v>100</v>
      </c>
      <c r="I34" s="1469"/>
      <c r="J34" s="930">
        <f>SUMIF(105:105,I34,106:106)-SUMIF(105:105,C34,106:106)+100</f>
        <v>100</v>
      </c>
      <c r="K34" s="1063"/>
      <c r="L34" s="1057"/>
      <c r="M34" s="1045"/>
      <c r="N34" s="1045"/>
      <c r="O34" s="1045"/>
      <c r="P34" s="3318"/>
      <c r="Q34" s="656" t="str">
        <f t="shared" si="8"/>
        <v>建筑结构</v>
      </c>
      <c r="R34" s="1093" t="s">
        <v>1367</v>
      </c>
      <c r="S34" s="1094">
        <f t="shared" si="9"/>
        <v>100</v>
      </c>
      <c r="T34" s="1093" t="s">
        <v>1367</v>
      </c>
      <c r="U34" s="1094">
        <f t="shared" si="10"/>
        <v>100</v>
      </c>
      <c r="V34" s="1093" t="s">
        <v>1367</v>
      </c>
      <c r="W34" s="1094">
        <f t="shared" si="11"/>
        <v>100</v>
      </c>
      <c r="X34" s="1087"/>
      <c r="Y34" s="3296"/>
      <c r="Z34" s="1077" t="str">
        <f t="shared" si="12"/>
        <v>建筑结构</v>
      </c>
      <c r="AA34" s="1104">
        <f t="shared" si="3"/>
        <v>1</v>
      </c>
      <c r="AB34" s="1104">
        <f t="shared" si="4"/>
        <v>1</v>
      </c>
      <c r="AC34" s="1104">
        <f t="shared" si="5"/>
        <v>1</v>
      </c>
    </row>
    <row r="35" spans="1:29" ht="15">
      <c r="A35" s="972"/>
      <c r="B35" s="918" t="s">
        <v>1392</v>
      </c>
      <c r="C35" s="973"/>
      <c r="D35" s="930">
        <v>100</v>
      </c>
      <c r="E35" s="973"/>
      <c r="F35" s="1293">
        <f>SUMIF(107:107,E35,108:108)-SUMIF(107:107,C35,108:108)+100</f>
        <v>100</v>
      </c>
      <c r="G35" s="973"/>
      <c r="H35" s="930">
        <f>SUMIF(107:107,G35,108:108)-SUMIF(107:107,C35,108:108)+100</f>
        <v>100</v>
      </c>
      <c r="I35" s="973"/>
      <c r="J35" s="930">
        <f>SUMIF(107:107,I35,108:108)-SUMIF(107:107,C35,108:108)+100</f>
        <v>100</v>
      </c>
      <c r="K35" s="1063"/>
      <c r="L35" s="1057"/>
      <c r="M35" s="1045"/>
      <c r="N35" s="1045"/>
      <c r="O35" s="1045"/>
      <c r="P35" s="3318"/>
      <c r="Q35" s="656" t="str">
        <f t="shared" si="8"/>
        <v>公共部分装修</v>
      </c>
      <c r="R35" s="1093" t="s">
        <v>1367</v>
      </c>
      <c r="S35" s="1094">
        <f t="shared" si="9"/>
        <v>100</v>
      </c>
      <c r="T35" s="1093" t="s">
        <v>1367</v>
      </c>
      <c r="U35" s="1094">
        <f t="shared" si="10"/>
        <v>100</v>
      </c>
      <c r="V35" s="1093" t="s">
        <v>1367</v>
      </c>
      <c r="W35" s="1094">
        <f t="shared" si="11"/>
        <v>100</v>
      </c>
      <c r="X35" s="1087"/>
      <c r="Y35" s="3296"/>
      <c r="Z35" s="1077" t="str">
        <f t="shared" si="12"/>
        <v>公共部分装修</v>
      </c>
      <c r="AA35" s="1104">
        <f t="shared" si="3"/>
        <v>1</v>
      </c>
      <c r="AB35" s="1104">
        <f t="shared" si="4"/>
        <v>1</v>
      </c>
      <c r="AC35" s="1104">
        <f t="shared" si="5"/>
        <v>1</v>
      </c>
    </row>
    <row r="36" spans="1:29" ht="15">
      <c r="A36" s="972"/>
      <c r="B36" s="918" t="s">
        <v>576</v>
      </c>
      <c r="C36" s="1300"/>
      <c r="D36" s="930">
        <v>100</v>
      </c>
      <c r="E36" s="1300"/>
      <c r="F36" s="1293" t="e">
        <f>LOOKUP(E36,110:110,111:111)-LOOKUP(C36,110:110,111:111)+100</f>
        <v>#N/A</v>
      </c>
      <c r="G36" s="1300"/>
      <c r="H36" s="1293" t="e">
        <f>LOOKUP(G36,110:110,111:111)-LOOKUP(C36,110:110,111:111)+100</f>
        <v>#N/A</v>
      </c>
      <c r="I36" s="1300"/>
      <c r="J36" s="930" t="e">
        <f>LOOKUP(I36,110:110,111:111)-LOOKUP(C36,110:110,111:111)+100</f>
        <v>#N/A</v>
      </c>
      <c r="K36" s="1063"/>
      <c r="L36" s="1057"/>
      <c r="M36" s="1045"/>
      <c r="N36" s="1045"/>
      <c r="O36" s="1045"/>
      <c r="P36" s="3318"/>
      <c r="Q36" s="656" t="str">
        <f t="shared" si="8"/>
        <v>成新度</v>
      </c>
      <c r="R36" s="1093" t="s">
        <v>1367</v>
      </c>
      <c r="S36" s="1094" t="e">
        <f t="shared" si="9"/>
        <v>#N/A</v>
      </c>
      <c r="T36" s="1093" t="s">
        <v>1367</v>
      </c>
      <c r="U36" s="1094" t="e">
        <f t="shared" si="10"/>
        <v>#N/A</v>
      </c>
      <c r="V36" s="1093" t="s">
        <v>1367</v>
      </c>
      <c r="W36" s="1094" t="e">
        <f t="shared" si="11"/>
        <v>#N/A</v>
      </c>
      <c r="X36" s="1087"/>
      <c r="Y36" s="3296"/>
      <c r="Z36" s="1077" t="str">
        <f t="shared" si="12"/>
        <v>成新度</v>
      </c>
      <c r="AA36" s="1104" t="e">
        <f t="shared" si="3"/>
        <v>#N/A</v>
      </c>
      <c r="AB36" s="1104" t="e">
        <f t="shared" si="4"/>
        <v>#N/A</v>
      </c>
      <c r="AC36" s="1104" t="e">
        <f t="shared" si="5"/>
        <v>#N/A</v>
      </c>
    </row>
    <row r="37" spans="1:29" s="880" customFormat="1" ht="15">
      <c r="A37" s="974"/>
      <c r="B37" s="918" t="s">
        <v>1394</v>
      </c>
      <c r="C37" s="973"/>
      <c r="D37" s="920">
        <v>100</v>
      </c>
      <c r="E37" s="973"/>
      <c r="F37" s="1293">
        <f>SUMIF(112:112,E37,113:113)-SUMIF(112:112,C37,113:113)+100</f>
        <v>100</v>
      </c>
      <c r="G37" s="973"/>
      <c r="H37" s="930">
        <f>SUMIF(112:112,G37,113:113)-SUMIF(112:112,C37,113:113)+100</f>
        <v>100</v>
      </c>
      <c r="I37" s="973"/>
      <c r="J37" s="930">
        <f>SUMIF(112:112,I37,113:113)-SUMIF(112:112,C37,113:113)+100</f>
        <v>100</v>
      </c>
      <c r="K37" s="1063"/>
      <c r="L37" s="1047"/>
      <c r="M37" s="1048"/>
      <c r="N37" s="1048"/>
      <c r="O37" s="1048"/>
      <c r="P37" s="3318"/>
      <c r="Q37" s="1092" t="str">
        <f t="shared" si="8"/>
        <v>市政基础设施</v>
      </c>
      <c r="R37" s="1088" t="s">
        <v>1367</v>
      </c>
      <c r="S37" s="1089">
        <f t="shared" si="9"/>
        <v>100</v>
      </c>
      <c r="T37" s="1088" t="s">
        <v>1367</v>
      </c>
      <c r="U37" s="1089">
        <f t="shared" si="10"/>
        <v>100</v>
      </c>
      <c r="V37" s="1088" t="s">
        <v>1367</v>
      </c>
      <c r="W37" s="1089">
        <f t="shared" si="11"/>
        <v>100</v>
      </c>
      <c r="X37" s="1090"/>
      <c r="Y37" s="3296"/>
      <c r="Z37" s="1103" t="str">
        <f t="shared" si="12"/>
        <v>市政基础设施</v>
      </c>
      <c r="AA37" s="1102">
        <f t="shared" si="3"/>
        <v>1</v>
      </c>
      <c r="AB37" s="1102">
        <f t="shared" si="4"/>
        <v>1</v>
      </c>
      <c r="AC37" s="1102">
        <f t="shared" si="5"/>
        <v>1</v>
      </c>
    </row>
    <row r="38" spans="1:29" ht="15">
      <c r="A38" s="972"/>
      <c r="B38" s="918" t="s">
        <v>1453</v>
      </c>
      <c r="C38" s="973"/>
      <c r="D38" s="930">
        <v>100</v>
      </c>
      <c r="E38" s="973"/>
      <c r="F38" s="1293">
        <f>SUMIF(114:114,E38,115:115)-SUMIF(114:114,C38,115:115)+100</f>
        <v>100</v>
      </c>
      <c r="G38" s="973"/>
      <c r="H38" s="930">
        <f>SUMIF(114:114,G38,115:115)-SUMIF(114:114,C38,115:115)+100</f>
        <v>100</v>
      </c>
      <c r="I38" s="973"/>
      <c r="J38" s="930">
        <f>SUMIF(114:114,I38,115:115)-SUMIF(114:114,C38,115:115)+100</f>
        <v>100</v>
      </c>
      <c r="K38" s="1063"/>
      <c r="L38" s="1057"/>
      <c r="M38" s="1045"/>
      <c r="N38" s="1045"/>
      <c r="O38" s="1045"/>
      <c r="P38" s="3318" t="s">
        <v>1388</v>
      </c>
      <c r="Q38" s="656" t="str">
        <f t="shared" si="8"/>
        <v>业态</v>
      </c>
      <c r="R38" s="1093" t="s">
        <v>1367</v>
      </c>
      <c r="S38" s="1094">
        <f t="shared" si="9"/>
        <v>100</v>
      </c>
      <c r="T38" s="1093" t="s">
        <v>1367</v>
      </c>
      <c r="U38" s="1094">
        <f t="shared" si="10"/>
        <v>100</v>
      </c>
      <c r="V38" s="1093" t="s">
        <v>1367</v>
      </c>
      <c r="W38" s="1094">
        <f t="shared" si="11"/>
        <v>100</v>
      </c>
      <c r="X38" s="1087"/>
      <c r="Y38" s="3296" t="s">
        <v>1388</v>
      </c>
      <c r="Z38" s="1077" t="str">
        <f t="shared" si="12"/>
        <v>业态</v>
      </c>
      <c r="AA38" s="1104">
        <f t="shared" si="3"/>
        <v>1</v>
      </c>
      <c r="AB38" s="1104">
        <f t="shared" si="4"/>
        <v>1</v>
      </c>
      <c r="AC38" s="1104">
        <f t="shared" si="5"/>
        <v>1</v>
      </c>
    </row>
    <row r="39" spans="1:29" ht="15">
      <c r="A39" s="972"/>
      <c r="B39" s="918" t="s">
        <v>1454</v>
      </c>
      <c r="C39" s="973"/>
      <c r="D39" s="930">
        <v>100</v>
      </c>
      <c r="E39" s="973"/>
      <c r="F39" s="1293">
        <f>SUMIF(116:116,E39,117:117)-SUMIF(116:116,C39,117:117)+100</f>
        <v>100</v>
      </c>
      <c r="G39" s="973"/>
      <c r="H39" s="930">
        <f>SUMIF(116:116,G39,117:117)-SUMIF(116:116,C39,117:117)+100</f>
        <v>100</v>
      </c>
      <c r="I39" s="973"/>
      <c r="J39" s="930">
        <f>SUMIF(116:116,I39,117:117)-SUMIF(116:116,C39,117:117)+100</f>
        <v>100</v>
      </c>
      <c r="K39" s="1063"/>
      <c r="L39" s="1057"/>
      <c r="M39" s="1045"/>
      <c r="N39" s="1045"/>
      <c r="O39" s="1045"/>
      <c r="P39" s="3318"/>
      <c r="Q39" s="656" t="str">
        <f t="shared" si="8"/>
        <v>层高</v>
      </c>
      <c r="R39" s="1093" t="s">
        <v>1367</v>
      </c>
      <c r="S39" s="1094">
        <f t="shared" si="9"/>
        <v>100</v>
      </c>
      <c r="T39" s="1093" t="s">
        <v>1367</v>
      </c>
      <c r="U39" s="1094">
        <f t="shared" si="10"/>
        <v>100</v>
      </c>
      <c r="V39" s="1093" t="s">
        <v>1367</v>
      </c>
      <c r="W39" s="1094">
        <f t="shared" si="11"/>
        <v>100</v>
      </c>
      <c r="X39" s="1087"/>
      <c r="Y39" s="3296"/>
      <c r="Z39" s="1077" t="str">
        <f t="shared" si="12"/>
        <v>层高</v>
      </c>
      <c r="AA39" s="1104">
        <f t="shared" si="3"/>
        <v>1</v>
      </c>
      <c r="AB39" s="1104">
        <f t="shared" si="4"/>
        <v>1</v>
      </c>
      <c r="AC39" s="1104">
        <f t="shared" si="5"/>
        <v>1</v>
      </c>
    </row>
    <row r="40" spans="1:29" ht="15">
      <c r="A40" s="972"/>
      <c r="B40" s="918" t="s">
        <v>1455</v>
      </c>
      <c r="C40" s="1470"/>
      <c r="D40" s="930">
        <v>100</v>
      </c>
      <c r="E40" s="1471"/>
      <c r="F40" s="1293">
        <f>SUMIF(118:118,E40,119:119)-SUMIF(118:118,C40,119:119)+100</f>
        <v>100</v>
      </c>
      <c r="G40" s="1471"/>
      <c r="H40" s="930">
        <f>SUMIF(118:118,G40,119:119)-SUMIF(118:118,C40,119:119)+100</f>
        <v>100</v>
      </c>
      <c r="I40" s="1471"/>
      <c r="J40" s="930">
        <f>SUMIF(118:118,I40,119:119)-SUMIF(118:118,C40,119:119)+100</f>
        <v>100</v>
      </c>
      <c r="K40" s="1062"/>
      <c r="L40" s="1057"/>
      <c r="M40" s="1045"/>
      <c r="N40" s="1045"/>
      <c r="O40" s="1045"/>
      <c r="P40" s="3318"/>
      <c r="Q40" s="656" t="str">
        <f t="shared" si="8"/>
        <v>单套建筑面积</v>
      </c>
      <c r="R40" s="1093" t="s">
        <v>1367</v>
      </c>
      <c r="S40" s="1094">
        <f t="shared" si="9"/>
        <v>100</v>
      </c>
      <c r="T40" s="1093" t="s">
        <v>1367</v>
      </c>
      <c r="U40" s="1094">
        <f t="shared" si="10"/>
        <v>100</v>
      </c>
      <c r="V40" s="1093" t="s">
        <v>1367</v>
      </c>
      <c r="W40" s="1094">
        <f t="shared" si="11"/>
        <v>100</v>
      </c>
      <c r="X40" s="1087"/>
      <c r="Y40" s="3296"/>
      <c r="Z40" s="1077" t="str">
        <f t="shared" si="12"/>
        <v>单套建筑面积</v>
      </c>
      <c r="AA40" s="1104">
        <f t="shared" si="3"/>
        <v>1</v>
      </c>
      <c r="AB40" s="1104">
        <f t="shared" si="4"/>
        <v>1</v>
      </c>
      <c r="AC40" s="1104">
        <f t="shared" si="5"/>
        <v>1</v>
      </c>
    </row>
    <row r="41" spans="1:29" s="882" customFormat="1" ht="15">
      <c r="A41" s="977"/>
      <c r="B41" s="1072" t="s">
        <v>1456</v>
      </c>
      <c r="C41" s="955"/>
      <c r="D41" s="930">
        <v>100</v>
      </c>
      <c r="E41" s="955"/>
      <c r="F41" s="1293">
        <f>SUMIF(120:120,E41,121:121)-SUMIF(120:120,C41,121:121)+100</f>
        <v>100</v>
      </c>
      <c r="G41" s="955"/>
      <c r="H41" s="930">
        <f>SUMIF(120:120,G41,121:121)-SUMIF(120:120,C41,121:121)+100</f>
        <v>100</v>
      </c>
      <c r="I41" s="955"/>
      <c r="J41" s="930">
        <f>SUMIF(120:120,I41,121:121)-SUMIF(120:120,C41,121:121)+100</f>
        <v>100</v>
      </c>
      <c r="K41" s="1063"/>
      <c r="L41" s="1055"/>
      <c r="M41" s="1064"/>
      <c r="N41" s="1064"/>
      <c r="O41" s="1064"/>
      <c r="P41" s="3318"/>
      <c r="Q41" s="1332" t="str">
        <f t="shared" si="8"/>
        <v>进深比</v>
      </c>
      <c r="R41" s="1095" t="s">
        <v>1367</v>
      </c>
      <c r="S41" s="1096">
        <f t="shared" si="9"/>
        <v>100</v>
      </c>
      <c r="T41" s="1095" t="s">
        <v>1367</v>
      </c>
      <c r="U41" s="1096">
        <f t="shared" si="10"/>
        <v>100</v>
      </c>
      <c r="V41" s="1095" t="s">
        <v>1367</v>
      </c>
      <c r="W41" s="1096">
        <f t="shared" si="11"/>
        <v>100</v>
      </c>
      <c r="X41" s="1097"/>
      <c r="Y41" s="3296"/>
      <c r="Z41" s="1105" t="str">
        <f t="shared" si="12"/>
        <v>进深比</v>
      </c>
      <c r="AA41" s="1104">
        <f t="shared" si="3"/>
        <v>1</v>
      </c>
      <c r="AB41" s="1104">
        <f t="shared" si="4"/>
        <v>1</v>
      </c>
      <c r="AC41" s="1104">
        <f t="shared" si="5"/>
        <v>1</v>
      </c>
    </row>
    <row r="42" spans="1:29" ht="15">
      <c r="A42" s="972"/>
      <c r="B42" s="918" t="s">
        <v>1397</v>
      </c>
      <c r="C42" s="973"/>
      <c r="D42" s="930">
        <v>100</v>
      </c>
      <c r="E42" s="973"/>
      <c r="F42" s="1293">
        <f>SUMIF(122:122,E42,123:123)-SUMIF(122:122,C42,123:123)+100</f>
        <v>100</v>
      </c>
      <c r="G42" s="973"/>
      <c r="H42" s="930">
        <f>SUMIF(122:122,G42,123:123)-SUMIF(122:122,C42,123:123)+100</f>
        <v>100</v>
      </c>
      <c r="I42" s="973"/>
      <c r="J42" s="930">
        <f>SUMIF(122:122,I42,123:123)-SUMIF(122:122,C42,123:123)+100</f>
        <v>100</v>
      </c>
      <c r="K42" s="1063"/>
      <c r="L42" s="1057"/>
      <c r="M42" s="1045"/>
      <c r="N42" s="1045"/>
      <c r="O42" s="1045"/>
      <c r="P42" s="3318"/>
      <c r="Q42" s="656" t="str">
        <f t="shared" si="8"/>
        <v>内部装修</v>
      </c>
      <c r="R42" s="1093" t="s">
        <v>1367</v>
      </c>
      <c r="S42" s="1094">
        <f t="shared" si="9"/>
        <v>100</v>
      </c>
      <c r="T42" s="1093" t="s">
        <v>1367</v>
      </c>
      <c r="U42" s="1094">
        <f t="shared" si="10"/>
        <v>100</v>
      </c>
      <c r="V42" s="1093" t="s">
        <v>1367</v>
      </c>
      <c r="W42" s="1094">
        <f t="shared" si="11"/>
        <v>100</v>
      </c>
      <c r="X42" s="1087"/>
      <c r="Y42" s="3296"/>
      <c r="Z42" s="1077" t="str">
        <f t="shared" si="12"/>
        <v>内部装修</v>
      </c>
      <c r="AA42" s="1104">
        <f t="shared" si="3"/>
        <v>1</v>
      </c>
      <c r="AB42" s="1104">
        <f t="shared" si="4"/>
        <v>1</v>
      </c>
      <c r="AC42" s="1104">
        <f t="shared" si="5"/>
        <v>1</v>
      </c>
    </row>
    <row r="43" spans="1:29" ht="15">
      <c r="A43" s="972"/>
      <c r="B43" s="918" t="s">
        <v>1398</v>
      </c>
      <c r="C43" s="973"/>
      <c r="D43" s="930">
        <v>100</v>
      </c>
      <c r="E43" s="973"/>
      <c r="F43" s="1293">
        <f>SUMIF(124:124,E43,125:125)-SUMIF(124:124,C43,125:125)+100</f>
        <v>100</v>
      </c>
      <c r="G43" s="973"/>
      <c r="H43" s="930">
        <f>SUMIF(124:124,G43,125:125)-SUMIF(124:124,C43,125:125)+100</f>
        <v>100</v>
      </c>
      <c r="I43" s="973"/>
      <c r="J43" s="930">
        <f>SUMIF(124:124,I43,125:125)-SUMIF(124:124,C43,125:125)+100</f>
        <v>100</v>
      </c>
      <c r="K43" s="1063"/>
      <c r="L43" s="1057"/>
      <c r="M43" s="1045"/>
      <c r="N43" s="1045"/>
      <c r="O43" s="1045"/>
      <c r="P43" s="3318"/>
      <c r="Q43" s="656" t="str">
        <f t="shared" si="8"/>
        <v>内部装修维护情况</v>
      </c>
      <c r="R43" s="1093" t="s">
        <v>1367</v>
      </c>
      <c r="S43" s="1094">
        <f t="shared" si="9"/>
        <v>100</v>
      </c>
      <c r="T43" s="1093" t="s">
        <v>1367</v>
      </c>
      <c r="U43" s="1094">
        <f t="shared" si="10"/>
        <v>100</v>
      </c>
      <c r="V43" s="1093" t="s">
        <v>1367</v>
      </c>
      <c r="W43" s="1094">
        <f t="shared" si="11"/>
        <v>100</v>
      </c>
      <c r="X43" s="1087"/>
      <c r="Y43" s="3296"/>
      <c r="Z43" s="1077" t="str">
        <f t="shared" si="12"/>
        <v>内部装修维护情况</v>
      </c>
      <c r="AA43" s="1104">
        <f t="shared" si="3"/>
        <v>1</v>
      </c>
      <c r="AB43" s="1104">
        <f t="shared" si="4"/>
        <v>1</v>
      </c>
      <c r="AC43" s="1104">
        <f t="shared" si="5"/>
        <v>1</v>
      </c>
    </row>
    <row r="44" spans="1:29" s="880" customFormat="1" ht="15">
      <c r="A44" s="974"/>
      <c r="B44" s="1241">
        <v>111</v>
      </c>
      <c r="C44" s="1287"/>
      <c r="D44" s="920">
        <v>100</v>
      </c>
      <c r="E44" s="929"/>
      <c r="F44" s="1286">
        <f>SUMIF(126:126,E44,127:127)-SUMIF(126:126,C44,127:127)+100</f>
        <v>100</v>
      </c>
      <c r="G44" s="929"/>
      <c r="H44" s="920">
        <f>SUMIF(126:126,G44,127:127)-SUMIF(126:126,C44,127:127)+100</f>
        <v>100</v>
      </c>
      <c r="I44" s="929"/>
      <c r="J44" s="920">
        <f>SUMIF(126:126,I44,127:127)-SUMIF(126:126,C44,127:127)+100</f>
        <v>100</v>
      </c>
      <c r="K44" s="1062"/>
      <c r="L44" s="1047"/>
      <c r="M44" s="1048"/>
      <c r="N44" s="1048"/>
      <c r="O44" s="1048"/>
      <c r="P44" s="3318"/>
      <c r="Q44" s="1092">
        <f t="shared" si="8"/>
        <v>111</v>
      </c>
      <c r="R44" s="1088" t="s">
        <v>1367</v>
      </c>
      <c r="S44" s="1089">
        <f t="shared" si="9"/>
        <v>100</v>
      </c>
      <c r="T44" s="1088" t="s">
        <v>1367</v>
      </c>
      <c r="U44" s="1089">
        <f t="shared" si="10"/>
        <v>100</v>
      </c>
      <c r="V44" s="1088" t="s">
        <v>1367</v>
      </c>
      <c r="W44" s="1089">
        <f t="shared" si="11"/>
        <v>100</v>
      </c>
      <c r="X44" s="1090"/>
      <c r="Y44" s="3296"/>
      <c r="Z44" s="1103">
        <f t="shared" si="12"/>
        <v>111</v>
      </c>
      <c r="AA44" s="1102">
        <f t="shared" si="3"/>
        <v>1</v>
      </c>
      <c r="AB44" s="1102">
        <f t="shared" si="4"/>
        <v>1</v>
      </c>
      <c r="AC44" s="1102">
        <f t="shared" si="5"/>
        <v>1</v>
      </c>
    </row>
    <row r="45" spans="1:29" ht="15">
      <c r="A45" s="972"/>
      <c r="B45" s="1241">
        <v>111</v>
      </c>
      <c r="C45" s="929"/>
      <c r="D45" s="930">
        <v>100</v>
      </c>
      <c r="E45" s="929"/>
      <c r="F45" s="1293">
        <f>SUMIF(128:128,E45,129:129)-SUMIF(128:128,C45,129:129)+100</f>
        <v>100</v>
      </c>
      <c r="G45" s="929"/>
      <c r="H45" s="930">
        <f>SUMIF(128:128,G45,129:129)-SUMIF(128:128,C45,129:129)+100</f>
        <v>100</v>
      </c>
      <c r="I45" s="929"/>
      <c r="J45" s="930">
        <f>SUMIF(128:128,I45,129:129)-SUMIF(128:128,C45,129:129)+100</f>
        <v>100</v>
      </c>
      <c r="K45" s="1062"/>
      <c r="L45" s="1057"/>
      <c r="M45" s="1045"/>
      <c r="N45" s="1045"/>
      <c r="O45" s="1045"/>
      <c r="P45" s="3318"/>
      <c r="Q45" s="656">
        <f t="shared" si="8"/>
        <v>111</v>
      </c>
      <c r="R45" s="1093" t="s">
        <v>1367</v>
      </c>
      <c r="S45" s="1094">
        <f t="shared" si="9"/>
        <v>100</v>
      </c>
      <c r="T45" s="1093" t="s">
        <v>1367</v>
      </c>
      <c r="U45" s="1094">
        <f t="shared" si="10"/>
        <v>100</v>
      </c>
      <c r="V45" s="1093" t="s">
        <v>1367</v>
      </c>
      <c r="W45" s="1094">
        <f t="shared" si="11"/>
        <v>100</v>
      </c>
      <c r="X45" s="1087"/>
      <c r="Y45" s="3296"/>
      <c r="Z45" s="1077">
        <f t="shared" si="12"/>
        <v>111</v>
      </c>
      <c r="AA45" s="1104">
        <f t="shared" si="3"/>
        <v>1</v>
      </c>
      <c r="AB45" s="1104">
        <f t="shared" si="4"/>
        <v>1</v>
      </c>
      <c r="AC45" s="1104">
        <f t="shared" si="5"/>
        <v>1</v>
      </c>
    </row>
    <row r="46" spans="1:29" ht="15">
      <c r="A46" s="1305"/>
      <c r="B46" s="932">
        <v>111</v>
      </c>
      <c r="C46" s="933"/>
      <c r="D46" s="934">
        <v>100</v>
      </c>
      <c r="E46" s="929"/>
      <c r="F46" s="1306">
        <f>SUMIF(130:130,E46,131:131)-SUMIF(130:130,C46,131:131)+100</f>
        <v>100</v>
      </c>
      <c r="G46" s="929"/>
      <c r="H46" s="934">
        <f>SUMIF(130:130,G46,131:131)-SUMIF(130:130,C46,131:131)+100</f>
        <v>100</v>
      </c>
      <c r="I46" s="929"/>
      <c r="J46" s="934">
        <f>SUMIF(130:130,I46,131:131)-SUMIF(130:130,C46,131:131)+100</f>
        <v>100</v>
      </c>
      <c r="K46" s="1062"/>
      <c r="L46" s="1057"/>
      <c r="M46" s="1045"/>
      <c r="N46" s="1045"/>
      <c r="O46" s="1045"/>
      <c r="P46" s="3319"/>
      <c r="Q46" s="656">
        <f t="shared" si="8"/>
        <v>111</v>
      </c>
      <c r="R46" s="1093" t="s">
        <v>1367</v>
      </c>
      <c r="S46" s="1094">
        <f t="shared" si="9"/>
        <v>100</v>
      </c>
      <c r="T46" s="1093" t="s">
        <v>1367</v>
      </c>
      <c r="U46" s="1094">
        <f t="shared" si="10"/>
        <v>100</v>
      </c>
      <c r="V46" s="1093" t="s">
        <v>1367</v>
      </c>
      <c r="W46" s="1094">
        <f t="shared" si="11"/>
        <v>100</v>
      </c>
      <c r="X46" s="1087"/>
      <c r="Y46" s="3320"/>
      <c r="Z46" s="1077">
        <f t="shared" si="12"/>
        <v>111</v>
      </c>
      <c r="AA46" s="1104">
        <f t="shared" si="3"/>
        <v>1</v>
      </c>
      <c r="AB46" s="1104">
        <f t="shared" si="4"/>
        <v>1</v>
      </c>
      <c r="AC46" s="1104">
        <f t="shared" si="5"/>
        <v>1</v>
      </c>
    </row>
    <row r="47" spans="1:29" ht="15">
      <c r="A47" s="979" t="s">
        <v>1399</v>
      </c>
      <c r="B47" s="1307"/>
      <c r="C47" s="1308" t="s">
        <v>124</v>
      </c>
      <c r="D47" s="1309"/>
      <c r="E47" s="1310"/>
      <c r="F47" s="1311"/>
      <c r="G47" s="1312"/>
      <c r="H47" s="1313"/>
      <c r="I47" s="1310"/>
      <c r="J47" s="1313"/>
      <c r="K47" s="1068"/>
      <c r="L47" s="1069"/>
      <c r="M47" s="996"/>
      <c r="N47" s="1045"/>
      <c r="O47" s="996"/>
      <c r="P47" s="3276" t="str">
        <f>A47</f>
        <v>成交单价（元/平方米）</v>
      </c>
      <c r="Q47" s="3276"/>
      <c r="R47" s="3289">
        <f>E47</f>
        <v>0</v>
      </c>
      <c r="S47" s="3289"/>
      <c r="T47" s="3289">
        <f>G47</f>
        <v>0</v>
      </c>
      <c r="U47" s="3289"/>
      <c r="V47" s="3289">
        <f>I47</f>
        <v>0</v>
      </c>
      <c r="W47" s="3289"/>
      <c r="X47" s="1033"/>
      <c r="Y47" s="1106"/>
      <c r="Z47" s="1033"/>
      <c r="AA47" s="1033"/>
      <c r="AB47" s="1033"/>
      <c r="AC47" s="1033"/>
    </row>
    <row r="48" spans="1:29" ht="15">
      <c r="A48" s="987" t="s">
        <v>1400</v>
      </c>
      <c r="B48" s="1314"/>
      <c r="C48" s="1315" t="e">
        <f>R49</f>
        <v>#DIV/0!</v>
      </c>
      <c r="D48" s="990" t="s">
        <v>1401</v>
      </c>
      <c r="E48" s="1316" t="e">
        <f>R48</f>
        <v>#DIV/0!</v>
      </c>
      <c r="F48" s="991"/>
      <c r="G48" s="1315" t="e">
        <f>T48</f>
        <v>#DIV/0!</v>
      </c>
      <c r="H48" s="991"/>
      <c r="I48" s="1316" t="e">
        <f>V48</f>
        <v>#DIV/0!</v>
      </c>
      <c r="J48" s="991"/>
      <c r="K48" s="1070">
        <f>F48+H48+J48</f>
        <v>0</v>
      </c>
      <c r="L48" s="1069"/>
      <c r="M48" s="996"/>
      <c r="N48" s="1045"/>
      <c r="O48" s="996"/>
      <c r="P48" s="3276" t="str">
        <f>A48</f>
        <v>比较价值（元/平方米）</v>
      </c>
      <c r="Q48" s="3276"/>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1033"/>
      <c r="Y48" s="1033"/>
      <c r="Z48" s="1033"/>
      <c r="AA48" s="1033"/>
      <c r="AB48" s="1033"/>
      <c r="AC48" s="1033"/>
    </row>
    <row r="49" spans="1:29" ht="15">
      <c r="A49" s="993" t="s">
        <v>1402</v>
      </c>
      <c r="B49" s="994"/>
      <c r="C49" s="1317" t="e">
        <f>R49</f>
        <v>#DIV/0!</v>
      </c>
      <c r="D49" s="1317"/>
      <c r="E49" s="1317"/>
      <c r="F49" s="1317"/>
      <c r="G49" s="1317"/>
      <c r="H49" s="1317"/>
      <c r="I49" s="1317"/>
      <c r="J49" s="1317"/>
      <c r="K49" s="1071"/>
      <c r="L49" s="1069"/>
      <c r="M49" s="996"/>
      <c r="N49" s="1045"/>
      <c r="O49" s="996"/>
      <c r="P49" s="3298" t="str">
        <f>A49</f>
        <v>估价对象XX用房的比较价值（楼面单价，元/平方米）</v>
      </c>
      <c r="Q49" s="3299"/>
      <c r="R49" s="3314" t="e">
        <f>IF(F1="售价",ROUND(IF(D48="简单平均",AVERAGE(R48:V48),R48*F48+T48*H48+V48*J48),0),ROUND(IF(D48="简单平均",AVERAGE(R48:V48),R48*F48+T48*H48+V48*J48),1))</f>
        <v>#DIV/0!</v>
      </c>
      <c r="S49" s="3314"/>
      <c r="T49" s="3314"/>
      <c r="U49" s="3314"/>
      <c r="V49" s="3314"/>
      <c r="W49" s="3314"/>
      <c r="X49" s="1033"/>
      <c r="Y49" s="1033"/>
      <c r="Z49" s="1033"/>
      <c r="AA49" s="1033"/>
      <c r="AB49" s="1033"/>
      <c r="AC49" s="1033"/>
    </row>
    <row r="50" spans="1:29">
      <c r="A50" s="996"/>
      <c r="B50" s="996"/>
      <c r="C50" s="996"/>
      <c r="D50" s="996"/>
      <c r="E50" s="996"/>
      <c r="F50" s="996"/>
      <c r="G50" s="997"/>
      <c r="H50" s="996"/>
      <c r="I50" s="996"/>
      <c r="J50" s="996"/>
      <c r="K50" s="1073"/>
      <c r="L50" s="1074"/>
      <c r="M50" s="996"/>
      <c r="N50" s="996"/>
      <c r="O50" s="996"/>
      <c r="P50" s="1474"/>
      <c r="Q50" s="996"/>
      <c r="R50" s="996"/>
      <c r="S50" s="996"/>
      <c r="T50" s="996"/>
      <c r="U50" s="996"/>
      <c r="V50" s="996"/>
      <c r="W50" s="996"/>
      <c r="X50" s="996"/>
      <c r="Y50" s="996"/>
      <c r="Z50" s="996"/>
      <c r="AA50" s="996"/>
      <c r="AB50" s="996"/>
      <c r="AC50" s="996"/>
    </row>
    <row r="51" spans="1:29">
      <c r="A51" s="996"/>
      <c r="B51" s="996"/>
      <c r="C51" s="996"/>
      <c r="D51" s="996"/>
      <c r="E51" s="996"/>
      <c r="F51" s="996"/>
      <c r="G51" s="996"/>
      <c r="H51" s="996"/>
      <c r="I51" s="996"/>
      <c r="J51" s="996"/>
      <c r="K51" s="1073"/>
      <c r="L51" s="1074"/>
      <c r="M51" s="996"/>
      <c r="N51" s="996"/>
      <c r="O51" s="996"/>
      <c r="P51" s="1474"/>
      <c r="Q51" s="996"/>
      <c r="R51" s="996"/>
      <c r="S51" s="996"/>
      <c r="T51" s="996"/>
      <c r="U51" s="996"/>
      <c r="V51" s="996"/>
      <c r="W51" s="996"/>
      <c r="X51" s="996"/>
      <c r="Y51" s="996"/>
      <c r="Z51" s="996"/>
      <c r="AA51" s="996"/>
      <c r="AB51" s="996"/>
      <c r="AC51" s="996"/>
    </row>
    <row r="52" spans="1:29" ht="13.5" customHeight="1">
      <c r="A52" s="996"/>
      <c r="B52" s="996"/>
      <c r="C52" s="998" t="s">
        <v>1403</v>
      </c>
      <c r="D52" s="698"/>
      <c r="E52" s="999" t="e">
        <f>IF(E47&lt;E48,E48/E47-1,E47/E48-1)</f>
        <v>#DIV/0!</v>
      </c>
      <c r="F52" s="1000" t="e">
        <f>IF(OR(E52&gt;=0.3,E52&lt;=-0.3),"超过30%","")</f>
        <v>#DIV/0!</v>
      </c>
      <c r="G52" s="999" t="e">
        <f>IF(G47&lt;G48,G48/G47-1,G47/G48-1)</f>
        <v>#DIV/0!</v>
      </c>
      <c r="H52" s="1000" t="e">
        <f>IF(OR(G52&gt;=0.3,G52&lt;=-0.3),"超过30%","")</f>
        <v>#DIV/0!</v>
      </c>
      <c r="I52" s="999" t="e">
        <f>IF(I47&lt;I48,I48/I47-1,I47/I48-1)</f>
        <v>#DIV/0!</v>
      </c>
      <c r="J52" s="1000" t="e">
        <f>IF(OR(I52&gt;=0.3,I52&lt;=-0.3),"超过30%","")</f>
        <v>#DIV/0!</v>
      </c>
      <c r="K52" s="1073"/>
      <c r="L52" s="1074"/>
      <c r="M52" s="996"/>
      <c r="N52" s="996"/>
      <c r="O52" s="996"/>
      <c r="P52" s="1474"/>
      <c r="Q52" s="996"/>
      <c r="R52" s="996"/>
      <c r="S52" s="996"/>
      <c r="T52" s="996"/>
      <c r="U52" s="996"/>
      <c r="V52" s="996"/>
      <c r="W52" s="996"/>
      <c r="X52" s="996"/>
      <c r="Y52" s="996"/>
      <c r="Z52" s="996"/>
      <c r="AA52" s="996"/>
      <c r="AB52" s="996"/>
      <c r="AC52" s="996"/>
    </row>
    <row r="53" spans="1:29" ht="13.5" customHeight="1">
      <c r="A53" s="996"/>
      <c r="B53" s="996"/>
      <c r="C53" s="998" t="s">
        <v>1404</v>
      </c>
      <c r="D53" s="697"/>
      <c r="E53" s="999" t="e">
        <f>IF(E48&lt;G48,G48/E48-1,E48/G48-1)</f>
        <v>#DIV/0!</v>
      </c>
      <c r="F53" s="1000" t="e">
        <f>IF(OR(E53&gt;=0.2,E53&lt;=-0.2),"超过20%","")</f>
        <v>#DIV/0!</v>
      </c>
      <c r="G53" s="999" t="e">
        <f>IF(G48&lt;I48,I48/G48-1,G48/I48-1)</f>
        <v>#DIV/0!</v>
      </c>
      <c r="H53" s="1000" t="e">
        <f>IF(OR(G53&gt;=0.2,G53&lt;=-0.2),"超过20%","")</f>
        <v>#DIV/0!</v>
      </c>
      <c r="I53" s="999" t="e">
        <f>IF(I48&lt;E48,E48/I48-1,I48/E48-1)</f>
        <v>#DIV/0!</v>
      </c>
      <c r="J53" s="1000" t="e">
        <f>IF(OR(I53&gt;=0.2,I53&lt;=-0.2),"超过20%","")</f>
        <v>#DIV/0!</v>
      </c>
      <c r="K53" s="1073"/>
      <c r="L53" s="1074"/>
      <c r="M53" s="996"/>
      <c r="N53" s="996"/>
      <c r="O53" s="996"/>
      <c r="P53" s="1474"/>
      <c r="Q53" s="996"/>
      <c r="R53" s="996"/>
      <c r="S53" s="996"/>
      <c r="T53" s="996"/>
      <c r="U53" s="996"/>
      <c r="V53" s="996"/>
      <c r="W53" s="996"/>
      <c r="X53" s="996"/>
      <c r="Y53" s="996"/>
      <c r="Z53" s="996"/>
      <c r="AA53" s="996"/>
      <c r="AB53" s="996"/>
      <c r="AC53" s="996"/>
    </row>
    <row r="54" spans="1:29" s="883" customFormat="1" ht="13.5" customHeight="1">
      <c r="A54" s="1001"/>
      <c r="B54" s="1001"/>
      <c r="C54" s="998" t="s">
        <v>1405</v>
      </c>
      <c r="D54" s="697"/>
      <c r="E54" s="999" t="e">
        <f>IF(E47&lt;G47,G47/E47-1,E47/G47-1)</f>
        <v>#DIV/0!</v>
      </c>
      <c r="F54" s="1000" t="e">
        <f>IF(OR(E54&gt;=0.3,E54&lt;=-0.3),"超过30%","")</f>
        <v>#DIV/0!</v>
      </c>
      <c r="G54" s="999" t="e">
        <f>IF(G47&lt;I47,I47/G47-1,G47/I47-1)</f>
        <v>#DIV/0!</v>
      </c>
      <c r="H54" s="1000" t="e">
        <f>IF(OR(G54&gt;=0.3,G54&lt;=-0.3),"超过30%","")</f>
        <v>#DIV/0!</v>
      </c>
      <c r="I54" s="999" t="e">
        <f>IF(I47&lt;E47,E47/I47-1,I47/E47-1)</f>
        <v>#DIV/0!</v>
      </c>
      <c r="J54" s="1000" t="e">
        <f>IF(OR(I54&gt;=0.3,I54&lt;=-0.3),"超过30%","")</f>
        <v>#DIV/0!</v>
      </c>
      <c r="K54" s="1075"/>
      <c r="L54" s="1076"/>
      <c r="M54" s="1001"/>
      <c r="N54" s="1001"/>
      <c r="O54" s="1001"/>
      <c r="P54" s="1475"/>
      <c r="Q54" s="1001"/>
      <c r="R54" s="1001"/>
      <c r="S54" s="1001"/>
      <c r="T54" s="1001"/>
      <c r="U54" s="1001"/>
      <c r="V54" s="1001"/>
      <c r="W54" s="1001"/>
      <c r="X54" s="1001"/>
      <c r="Y54" s="1001"/>
      <c r="Z54" s="1001"/>
      <c r="AA54" s="1001"/>
      <c r="AB54" s="1001"/>
      <c r="AC54" s="1001"/>
    </row>
    <row r="55" spans="1:29" s="883" customFormat="1">
      <c r="A55" s="1001"/>
      <c r="B55" s="1002"/>
      <c r="C55" s="1318"/>
      <c r="D55" s="1001"/>
      <c r="E55" s="1001"/>
      <c r="F55" s="1001"/>
      <c r="G55" s="1001"/>
      <c r="H55" s="1001"/>
      <c r="I55" s="1001"/>
      <c r="J55" s="1001"/>
      <c r="K55" s="1075"/>
      <c r="L55" s="1076"/>
      <c r="M55" s="1001"/>
      <c r="N55" s="1001"/>
      <c r="O55" s="1001"/>
      <c r="P55" s="1475"/>
      <c r="Q55" s="1001"/>
      <c r="R55" s="1001"/>
      <c r="S55" s="1001"/>
      <c r="T55" s="1001"/>
      <c r="U55" s="1001"/>
      <c r="V55" s="1001"/>
      <c r="W55" s="1001"/>
      <c r="X55" s="1001"/>
      <c r="Y55" s="1001"/>
      <c r="Z55" s="1001"/>
      <c r="AA55" s="1001"/>
      <c r="AB55" s="1001"/>
      <c r="AC55" s="1001"/>
    </row>
    <row r="56" spans="1:29">
      <c r="A56" s="996"/>
      <c r="B56" s="1002"/>
      <c r="C56" s="1318"/>
      <c r="D56" s="996"/>
      <c r="E56" s="996"/>
      <c r="F56" s="996"/>
      <c r="G56" s="996"/>
      <c r="H56" s="996"/>
      <c r="I56" s="996"/>
      <c r="J56" s="996"/>
      <c r="K56" s="1073"/>
      <c r="L56" s="1074"/>
      <c r="M56" s="996"/>
      <c r="N56" s="996"/>
      <c r="O56" s="996"/>
      <c r="P56" s="1474"/>
      <c r="Q56" s="996"/>
      <c r="R56" s="996"/>
      <c r="S56" s="996"/>
      <c r="T56" s="996"/>
      <c r="U56" s="996"/>
      <c r="V56" s="996"/>
      <c r="W56" s="996"/>
      <c r="X56" s="996"/>
      <c r="Y56" s="996"/>
      <c r="Z56" s="996"/>
      <c r="AA56" s="996"/>
      <c r="AB56" s="996"/>
      <c r="AC56" s="996"/>
    </row>
    <row r="57" spans="1:29" ht="21">
      <c r="A57" s="1032" t="s">
        <v>1406</v>
      </c>
      <c r="B57" s="1033"/>
      <c r="C57" s="1034"/>
      <c r="D57" s="1034"/>
      <c r="E57" s="1034"/>
      <c r="F57" s="1035"/>
      <c r="G57" s="1035"/>
      <c r="H57" s="1034"/>
      <c r="I57" s="1034"/>
      <c r="J57" s="1034"/>
      <c r="K57" s="1083"/>
      <c r="L57" s="1265"/>
      <c r="M57" s="1085"/>
      <c r="N57" s="1085"/>
      <c r="O57" s="1085"/>
      <c r="P57" s="1476"/>
      <c r="Q57" s="1098"/>
      <c r="R57" s="996"/>
      <c r="S57" s="996"/>
      <c r="T57" s="996"/>
      <c r="U57" s="996"/>
      <c r="V57" s="996"/>
      <c r="W57" s="996"/>
      <c r="X57" s="996"/>
      <c r="Y57" s="996"/>
      <c r="Z57" s="996"/>
      <c r="AA57" s="996"/>
      <c r="AB57" s="996"/>
      <c r="AC57" s="996"/>
    </row>
    <row r="58" spans="1:29" s="885" customFormat="1" ht="15">
      <c r="A58" s="1319" t="s">
        <v>1365</v>
      </c>
      <c r="B58" s="1320"/>
      <c r="C58" s="1321" t="str">
        <f>YEAR(C7)&amp;"-"&amp;MONTH(C7)</f>
        <v>2021-4</v>
      </c>
      <c r="D58" s="1322">
        <f>EDATE(C58,-1)</f>
        <v>44256</v>
      </c>
      <c r="E58" s="1322">
        <f t="shared" ref="E58:O58" si="13">EDATE(D58,-1)</f>
        <v>44228</v>
      </c>
      <c r="F58" s="1322">
        <f t="shared" si="13"/>
        <v>44197</v>
      </c>
      <c r="G58" s="1322">
        <f t="shared" si="13"/>
        <v>44166</v>
      </c>
      <c r="H58" s="1322">
        <f t="shared" si="13"/>
        <v>44136</v>
      </c>
      <c r="I58" s="1322">
        <f t="shared" si="13"/>
        <v>44105</v>
      </c>
      <c r="J58" s="1322">
        <f t="shared" si="13"/>
        <v>44075</v>
      </c>
      <c r="K58" s="1322">
        <f t="shared" si="13"/>
        <v>44044</v>
      </c>
      <c r="L58" s="1322">
        <f t="shared" si="13"/>
        <v>44013</v>
      </c>
      <c r="M58" s="1322">
        <f t="shared" si="13"/>
        <v>43983</v>
      </c>
      <c r="N58" s="1322">
        <f t="shared" si="13"/>
        <v>43952</v>
      </c>
      <c r="O58" s="1322">
        <f t="shared" si="13"/>
        <v>43922</v>
      </c>
      <c r="P58" s="1477"/>
      <c r="Q58" s="1217"/>
      <c r="R58" s="1217"/>
      <c r="S58" s="1217"/>
      <c r="T58" s="1217"/>
      <c r="U58" s="1217"/>
      <c r="V58" s="1217"/>
      <c r="W58" s="1217"/>
      <c r="X58" s="1217"/>
      <c r="Y58" s="1217"/>
      <c r="Z58" s="1217"/>
      <c r="AA58" s="1217"/>
      <c r="AB58" s="1217"/>
      <c r="AC58" s="1217"/>
    </row>
    <row r="59" spans="1:29" s="880" customFormat="1" ht="15">
      <c r="A59" s="1323"/>
      <c r="B59" s="1118"/>
      <c r="C59" s="1324">
        <v>100</v>
      </c>
      <c r="D59" s="1122"/>
      <c r="E59" s="1122"/>
      <c r="F59" s="1122"/>
      <c r="G59" s="1122"/>
      <c r="H59" s="1122"/>
      <c r="I59" s="1122"/>
      <c r="J59" s="1122"/>
      <c r="K59" s="1122"/>
      <c r="L59" s="1122"/>
      <c r="M59" s="1331"/>
      <c r="N59" s="1122"/>
      <c r="O59" s="1331"/>
      <c r="P59" s="1478"/>
      <c r="Q59" s="1218"/>
      <c r="R59" s="1218"/>
      <c r="S59" s="1218"/>
      <c r="T59" s="1218"/>
      <c r="U59" s="1218"/>
      <c r="V59" s="1218"/>
      <c r="W59" s="1218"/>
      <c r="X59" s="1218"/>
      <c r="Y59" s="1218"/>
      <c r="Z59" s="1218"/>
      <c r="AA59" s="1218"/>
      <c r="AB59" s="1218"/>
      <c r="AC59" s="1218"/>
    </row>
    <row r="60" spans="1:29" s="880" customFormat="1" ht="15">
      <c r="A60" s="1113" t="s">
        <v>1407</v>
      </c>
      <c r="B60" s="1114"/>
      <c r="C60" s="1115"/>
      <c r="D60" s="1116"/>
      <c r="E60" s="1116"/>
      <c r="F60" s="1116"/>
      <c r="G60" s="1116"/>
      <c r="H60" s="1116"/>
      <c r="I60" s="1116"/>
      <c r="J60" s="1116"/>
      <c r="K60" s="1116"/>
      <c r="L60" s="1116"/>
      <c r="M60" s="1164"/>
      <c r="N60" s="1116"/>
      <c r="O60" s="1164"/>
      <c r="P60" s="1478"/>
      <c r="Q60" s="1098"/>
      <c r="R60" s="1218"/>
      <c r="S60" s="1218"/>
      <c r="T60" s="1218"/>
      <c r="U60" s="1218"/>
      <c r="V60" s="1218"/>
      <c r="W60" s="1218"/>
      <c r="X60" s="1218"/>
      <c r="Y60" s="1218"/>
      <c r="Z60" s="1218"/>
      <c r="AA60" s="1218"/>
      <c r="AB60" s="1218"/>
      <c r="AC60" s="1218"/>
    </row>
    <row r="61" spans="1:29" s="880" customFormat="1" ht="15">
      <c r="A61" s="1117" t="s">
        <v>1368</v>
      </c>
      <c r="B61" s="1118"/>
      <c r="C61" s="1119" t="s">
        <v>1369</v>
      </c>
      <c r="D61" s="1120"/>
      <c r="E61" s="1120"/>
      <c r="F61" s="1120"/>
      <c r="G61" s="1120"/>
      <c r="H61" s="1120"/>
      <c r="I61" s="1120"/>
      <c r="J61" s="1120"/>
      <c r="K61" s="1120"/>
      <c r="L61" s="1166"/>
      <c r="M61" s="1167"/>
      <c r="N61" s="1168"/>
      <c r="O61" s="1168"/>
      <c r="P61" s="1479"/>
      <c r="Q61" s="1098"/>
      <c r="R61" s="1218"/>
      <c r="S61" s="1218"/>
      <c r="T61" s="1218"/>
      <c r="U61" s="1218"/>
      <c r="V61" s="1218"/>
      <c r="W61" s="1218"/>
      <c r="X61" s="1218"/>
      <c r="Y61" s="1218"/>
      <c r="Z61" s="1218"/>
      <c r="AA61" s="1218"/>
      <c r="AB61" s="1218"/>
      <c r="AC61" s="1218"/>
    </row>
    <row r="62" spans="1:29" s="880" customFormat="1" ht="15">
      <c r="A62" s="1117"/>
      <c r="B62" s="1118"/>
      <c r="C62" s="1455">
        <v>100</v>
      </c>
      <c r="D62" s="1122"/>
      <c r="E62" s="1122"/>
      <c r="F62" s="1122"/>
      <c r="G62" s="1122"/>
      <c r="H62" s="1122"/>
      <c r="I62" s="1122"/>
      <c r="J62" s="1122"/>
      <c r="K62" s="1122"/>
      <c r="L62" s="1122"/>
      <c r="M62" s="1170"/>
      <c r="N62" s="1168"/>
      <c r="O62" s="1168"/>
      <c r="P62" s="1478"/>
      <c r="Q62" s="1098"/>
      <c r="R62" s="1218"/>
      <c r="S62" s="1218"/>
      <c r="T62" s="1218"/>
      <c r="U62" s="1218"/>
      <c r="V62" s="1218"/>
      <c r="W62" s="1218"/>
      <c r="X62" s="1218"/>
      <c r="Y62" s="1218"/>
      <c r="Z62" s="1218"/>
      <c r="AA62" s="1218"/>
      <c r="AB62" s="1218"/>
      <c r="AC62" s="1218"/>
    </row>
    <row r="63" spans="1:29">
      <c r="A63" s="1123" t="s">
        <v>1408</v>
      </c>
      <c r="B63" s="1124" t="s">
        <v>1372</v>
      </c>
      <c r="C63" s="1146">
        <f>C9</f>
        <v>0</v>
      </c>
      <c r="D63" s="1066"/>
      <c r="E63" s="1066"/>
      <c r="F63" s="1066"/>
      <c r="G63" s="1066"/>
      <c r="H63" s="1066"/>
      <c r="I63" s="1066"/>
      <c r="J63" s="1066"/>
      <c r="K63" s="1171"/>
      <c r="L63" s="1172"/>
      <c r="M63" s="1173"/>
      <c r="N63" s="1174"/>
      <c r="O63" s="1174"/>
      <c r="P63" s="1480"/>
      <c r="Q63" s="1098"/>
      <c r="R63" s="996"/>
      <c r="S63" s="996"/>
      <c r="T63" s="996"/>
      <c r="U63" s="996"/>
      <c r="V63" s="996"/>
      <c r="W63" s="996"/>
      <c r="X63" s="996"/>
      <c r="Y63" s="996"/>
      <c r="Z63" s="996"/>
      <c r="AA63" s="996"/>
      <c r="AB63" s="996"/>
      <c r="AC63" s="996"/>
    </row>
    <row r="64" spans="1:29" ht="15">
      <c r="A64" s="1125"/>
      <c r="B64" s="1126"/>
      <c r="C64" s="1127">
        <v>100</v>
      </c>
      <c r="D64" s="1127"/>
      <c r="E64" s="1127"/>
      <c r="F64" s="1127"/>
      <c r="G64" s="1127"/>
      <c r="H64" s="1127"/>
      <c r="I64" s="1127"/>
      <c r="J64" s="1127"/>
      <c r="K64" s="1127"/>
      <c r="L64" s="1127"/>
      <c r="M64" s="1176"/>
      <c r="N64" s="1177"/>
      <c r="O64" s="1177"/>
      <c r="P64" s="1480"/>
      <c r="Q64" s="1098"/>
      <c r="R64" s="996"/>
      <c r="S64" s="996"/>
      <c r="T64" s="996"/>
      <c r="U64" s="996"/>
      <c r="V64" s="996"/>
      <c r="W64" s="996"/>
      <c r="X64" s="996"/>
      <c r="Y64" s="996"/>
      <c r="Z64" s="996"/>
      <c r="AA64" s="996"/>
      <c r="AB64" s="996"/>
      <c r="AC64" s="996"/>
    </row>
    <row r="65" spans="1:29" ht="27">
      <c r="A65" s="1125"/>
      <c r="B65" s="1128" t="s">
        <v>1375</v>
      </c>
      <c r="C65" s="1129" t="s">
        <v>1409</v>
      </c>
      <c r="D65" s="1129" t="s">
        <v>1410</v>
      </c>
      <c r="E65" s="1129" t="s">
        <v>1411</v>
      </c>
      <c r="F65" s="1129" t="s">
        <v>1412</v>
      </c>
      <c r="G65" s="1129" t="s">
        <v>1413</v>
      </c>
      <c r="H65" s="1129" t="s">
        <v>1414</v>
      </c>
      <c r="I65" s="1129" t="s">
        <v>1415</v>
      </c>
      <c r="J65" s="1129"/>
      <c r="K65" s="1178"/>
      <c r="L65" s="1179"/>
      <c r="M65" s="1180"/>
      <c r="N65" s="1174"/>
      <c r="O65" s="1174"/>
      <c r="P65" s="1480"/>
      <c r="Q65" s="1098"/>
      <c r="R65" s="996"/>
      <c r="S65" s="996"/>
      <c r="T65" s="996"/>
      <c r="U65" s="996"/>
      <c r="V65" s="996"/>
      <c r="W65" s="996"/>
      <c r="X65" s="996"/>
      <c r="Y65" s="996"/>
      <c r="Z65" s="996"/>
      <c r="AA65" s="996"/>
      <c r="AB65" s="996"/>
      <c r="AC65" s="996"/>
    </row>
    <row r="66" spans="1:29" ht="15">
      <c r="A66" s="1125"/>
      <c r="B66" s="1130"/>
      <c r="C66" s="1131" t="s">
        <v>1457</v>
      </c>
      <c r="D66" s="1131" t="s">
        <v>1457</v>
      </c>
      <c r="E66" s="1131" t="s">
        <v>1457</v>
      </c>
      <c r="F66" s="1131">
        <v>100</v>
      </c>
      <c r="G66" s="1131">
        <f>F66-$K10</f>
        <v>100</v>
      </c>
      <c r="H66" s="1131">
        <f>G66-$K10</f>
        <v>100</v>
      </c>
      <c r="I66" s="1131">
        <f>H66-$K10</f>
        <v>100</v>
      </c>
      <c r="J66" s="1131"/>
      <c r="K66" s="1131"/>
      <c r="L66" s="1131"/>
      <c r="M66" s="1181"/>
      <c r="N66" s="1177"/>
      <c r="O66" s="1177"/>
      <c r="P66" s="1480"/>
      <c r="Q66" s="1098"/>
      <c r="R66" s="996"/>
      <c r="S66" s="996"/>
      <c r="T66" s="996"/>
      <c r="U66" s="996"/>
      <c r="V66" s="996"/>
      <c r="W66" s="996"/>
      <c r="X66" s="996"/>
      <c r="Y66" s="996"/>
      <c r="Z66" s="996"/>
      <c r="AA66" s="996"/>
      <c r="AB66" s="996"/>
      <c r="AC66" s="996"/>
    </row>
    <row r="67" spans="1:29" ht="15">
      <c r="A67" s="1125"/>
      <c r="B67" s="1132" t="s">
        <v>1376</v>
      </c>
      <c r="C67" s="1133" t="str">
        <f>C68&amp;"（含）"&amp;"-"&amp;D68</f>
        <v>（含）-</v>
      </c>
      <c r="D67" s="1133" t="str">
        <f t="shared" ref="D67:L67" si="14">D68&amp;"（含）"&amp;"-"&amp;E68</f>
        <v>（含）-</v>
      </c>
      <c r="E67" s="1133" t="str">
        <f t="shared" si="14"/>
        <v>（含）-</v>
      </c>
      <c r="F67" s="1133" t="str">
        <f t="shared" si="14"/>
        <v>（含）-</v>
      </c>
      <c r="G67" s="1133" t="str">
        <f t="shared" si="14"/>
        <v>（含）-</v>
      </c>
      <c r="H67" s="1133" t="str">
        <f t="shared" si="14"/>
        <v>（含）-</v>
      </c>
      <c r="I67" s="1133" t="str">
        <f t="shared" si="14"/>
        <v>（含）-</v>
      </c>
      <c r="J67" s="1133" t="str">
        <f t="shared" si="14"/>
        <v>（含）-</v>
      </c>
      <c r="K67" s="1133" t="str">
        <f t="shared" si="14"/>
        <v>（含）-</v>
      </c>
      <c r="L67" s="1133" t="str">
        <f t="shared" si="14"/>
        <v>（含）-</v>
      </c>
      <c r="M67" s="942" t="str">
        <f>M68&amp;"（含）"&amp;"-"&amp;P68</f>
        <v>（含）-</v>
      </c>
      <c r="N67" s="1177"/>
      <c r="O67" s="1177"/>
      <c r="P67" s="1480"/>
      <c r="Q67" s="1098"/>
      <c r="R67" s="996"/>
      <c r="S67" s="996"/>
      <c r="T67" s="996"/>
      <c r="U67" s="996"/>
      <c r="V67" s="996"/>
      <c r="W67" s="996"/>
      <c r="X67" s="996"/>
      <c r="Y67" s="996"/>
      <c r="Z67" s="996"/>
      <c r="AA67" s="996"/>
      <c r="AB67" s="996"/>
      <c r="AC67" s="996"/>
    </row>
    <row r="68" spans="1:29" ht="15">
      <c r="A68" s="1125"/>
      <c r="B68" s="1134"/>
      <c r="C68" s="927"/>
      <c r="D68" s="927"/>
      <c r="E68" s="927"/>
      <c r="F68" s="927"/>
      <c r="G68" s="927"/>
      <c r="H68" s="927"/>
      <c r="I68" s="927"/>
      <c r="J68" s="927"/>
      <c r="K68" s="1182"/>
      <c r="L68" s="1183"/>
      <c r="M68" s="1184"/>
      <c r="N68" s="1174"/>
      <c r="O68" s="1174"/>
      <c r="P68" s="1480"/>
      <c r="Q68" s="1098"/>
      <c r="R68" s="996"/>
      <c r="S68" s="996"/>
      <c r="T68" s="996"/>
      <c r="U68" s="996"/>
      <c r="V68" s="996"/>
      <c r="W68" s="996"/>
      <c r="X68" s="996"/>
      <c r="Y68" s="996"/>
      <c r="Z68" s="996"/>
      <c r="AA68" s="996"/>
      <c r="AB68" s="996"/>
      <c r="AC68" s="996"/>
    </row>
    <row r="69" spans="1:29" ht="15">
      <c r="A69" s="1125"/>
      <c r="B69" s="1126"/>
      <c r="C69" s="1131">
        <v>100</v>
      </c>
      <c r="D69" s="1131">
        <f t="shared" ref="D69:M69" si="15">C69-$K11</f>
        <v>100</v>
      </c>
      <c r="E69" s="1131">
        <f t="shared" si="15"/>
        <v>100</v>
      </c>
      <c r="F69" s="1131">
        <f t="shared" si="15"/>
        <v>100</v>
      </c>
      <c r="G69" s="1131">
        <f t="shared" si="15"/>
        <v>100</v>
      </c>
      <c r="H69" s="1131">
        <f t="shared" si="15"/>
        <v>100</v>
      </c>
      <c r="I69" s="1131">
        <f t="shared" si="15"/>
        <v>100</v>
      </c>
      <c r="J69" s="1131">
        <f t="shared" si="15"/>
        <v>100</v>
      </c>
      <c r="K69" s="1131">
        <f t="shared" si="15"/>
        <v>100</v>
      </c>
      <c r="L69" s="1131">
        <f t="shared" si="15"/>
        <v>100</v>
      </c>
      <c r="M69" s="1181">
        <f t="shared" si="15"/>
        <v>100</v>
      </c>
      <c r="N69" s="1177"/>
      <c r="O69" s="1177"/>
      <c r="P69" s="1480"/>
      <c r="Q69" s="1098"/>
      <c r="R69" s="996"/>
      <c r="S69" s="996"/>
      <c r="T69" s="996"/>
      <c r="U69" s="996"/>
      <c r="V69" s="996"/>
      <c r="W69" s="996"/>
      <c r="X69" s="996"/>
      <c r="Y69" s="996"/>
      <c r="Z69" s="996"/>
      <c r="AA69" s="996"/>
      <c r="AB69" s="996"/>
      <c r="AC69" s="996"/>
    </row>
    <row r="70" spans="1:29" s="882" customFormat="1" ht="15">
      <c r="A70" s="1135"/>
      <c r="B70" s="1128">
        <f>B12</f>
        <v>111</v>
      </c>
      <c r="C70" s="1136"/>
      <c r="D70" s="1136"/>
      <c r="E70" s="1136"/>
      <c r="F70" s="1136"/>
      <c r="G70" s="1136"/>
      <c r="H70" s="1137"/>
      <c r="I70" s="1137"/>
      <c r="J70" s="1137"/>
      <c r="K70" s="1137"/>
      <c r="L70" s="1185"/>
      <c r="M70" s="1186"/>
      <c r="N70" s="1187"/>
      <c r="O70" s="1187"/>
      <c r="P70" s="1485"/>
      <c r="Q70" s="1219"/>
      <c r="R70" s="1220"/>
      <c r="S70" s="1220"/>
      <c r="T70" s="1220"/>
      <c r="U70" s="1220"/>
      <c r="V70" s="1220"/>
      <c r="W70" s="1220"/>
      <c r="X70" s="1220"/>
      <c r="Y70" s="1220"/>
      <c r="Z70" s="1220"/>
      <c r="AA70" s="1220"/>
      <c r="AB70" s="1220"/>
      <c r="AC70" s="1220"/>
    </row>
    <row r="71" spans="1:29" s="882" customFormat="1" ht="15">
      <c r="A71" s="1135"/>
      <c r="B71" s="1130"/>
      <c r="C71" s="1138"/>
      <c r="D71" s="1127"/>
      <c r="E71" s="1127"/>
      <c r="F71" s="1127"/>
      <c r="G71" s="1127"/>
      <c r="H71" s="1127"/>
      <c r="I71" s="1127"/>
      <c r="J71" s="1127"/>
      <c r="K71" s="1127"/>
      <c r="L71" s="1127"/>
      <c r="M71" s="1176"/>
      <c r="N71" s="1177"/>
      <c r="O71" s="1177"/>
      <c r="P71" s="1485"/>
      <c r="Q71" s="1219"/>
      <c r="R71" s="1220"/>
      <c r="S71" s="1220"/>
      <c r="T71" s="1220"/>
      <c r="U71" s="1220"/>
      <c r="V71" s="1220"/>
      <c r="W71" s="1220"/>
      <c r="X71" s="1220"/>
      <c r="Y71" s="1220"/>
      <c r="Z71" s="1220"/>
      <c r="AA71" s="1220"/>
      <c r="AB71" s="1220"/>
      <c r="AC71" s="1220"/>
    </row>
    <row r="72" spans="1:29" s="882" customFormat="1" ht="15">
      <c r="A72" s="1135"/>
      <c r="B72" s="1128">
        <f>B13</f>
        <v>111</v>
      </c>
      <c r="C72" s="1136"/>
      <c r="D72" s="1136"/>
      <c r="E72" s="1136"/>
      <c r="F72" s="1136"/>
      <c r="G72" s="1136"/>
      <c r="H72" s="1137"/>
      <c r="I72" s="1137"/>
      <c r="J72" s="1137"/>
      <c r="K72" s="1137"/>
      <c r="L72" s="1185"/>
      <c r="M72" s="1186"/>
      <c r="N72" s="1187"/>
      <c r="O72" s="1187"/>
      <c r="P72" s="1486"/>
      <c r="Q72" s="1221"/>
      <c r="R72" s="1220"/>
      <c r="S72" s="1220"/>
      <c r="T72" s="1220"/>
      <c r="U72" s="1220"/>
      <c r="V72" s="1220"/>
      <c r="W72" s="1220"/>
      <c r="X72" s="1220"/>
      <c r="Y72" s="1220"/>
      <c r="Z72" s="1220"/>
      <c r="AA72" s="1220"/>
      <c r="AB72" s="1220"/>
      <c r="AC72" s="1220"/>
    </row>
    <row r="73" spans="1:29" s="882" customFormat="1" ht="15">
      <c r="A73" s="1135"/>
      <c r="B73" s="1130"/>
      <c r="C73" s="1138"/>
      <c r="D73" s="1127"/>
      <c r="E73" s="1127"/>
      <c r="F73" s="1127"/>
      <c r="G73" s="1138"/>
      <c r="H73" s="1139"/>
      <c r="I73" s="1139"/>
      <c r="J73" s="1139"/>
      <c r="K73" s="1139"/>
      <c r="L73" s="1139"/>
      <c r="M73" s="1189"/>
      <c r="N73" s="1187"/>
      <c r="O73" s="1187"/>
      <c r="P73" s="1485"/>
      <c r="Q73" s="1219"/>
      <c r="R73" s="1220"/>
      <c r="S73" s="1220"/>
      <c r="T73" s="1220"/>
      <c r="U73" s="1220"/>
      <c r="V73" s="1220"/>
      <c r="W73" s="1220"/>
      <c r="X73" s="1220"/>
      <c r="Y73" s="1220"/>
      <c r="Z73" s="1220"/>
      <c r="AA73" s="1220"/>
      <c r="AB73" s="1220"/>
      <c r="AC73" s="1220"/>
    </row>
    <row r="74" spans="1:29" s="882" customFormat="1" ht="15">
      <c r="A74" s="1135"/>
      <c r="B74" s="1132">
        <f>B14</f>
        <v>111</v>
      </c>
      <c r="C74" s="1136"/>
      <c r="D74" s="1136"/>
      <c r="E74" s="1136"/>
      <c r="F74" s="1136"/>
      <c r="G74" s="1120"/>
      <c r="H74" s="1140"/>
      <c r="I74" s="1140"/>
      <c r="J74" s="1140"/>
      <c r="K74" s="1140"/>
      <c r="L74" s="1190"/>
      <c r="M74" s="1191"/>
      <c r="N74" s="1187"/>
      <c r="O74" s="1187"/>
      <c r="P74" s="1487"/>
      <c r="Q74" s="1219"/>
      <c r="R74" s="1220"/>
      <c r="S74" s="1220"/>
      <c r="T74" s="1220"/>
      <c r="U74" s="1220"/>
      <c r="V74" s="1220"/>
      <c r="W74" s="1220"/>
      <c r="X74" s="1220"/>
      <c r="Y74" s="1220"/>
      <c r="Z74" s="1220"/>
      <c r="AA74" s="1220"/>
      <c r="AB74" s="1220"/>
      <c r="AC74" s="1220"/>
    </row>
    <row r="75" spans="1:29" s="882" customFormat="1" ht="15">
      <c r="A75" s="1141"/>
      <c r="B75" s="1142"/>
      <c r="C75" s="1143"/>
      <c r="D75" s="1143"/>
      <c r="E75" s="1143"/>
      <c r="F75" s="1143"/>
      <c r="G75" s="1143"/>
      <c r="H75" s="1144"/>
      <c r="I75" s="1144"/>
      <c r="J75" s="1144"/>
      <c r="K75" s="1144"/>
      <c r="L75" s="1144"/>
      <c r="M75" s="1193"/>
      <c r="N75" s="1187"/>
      <c r="O75" s="1187"/>
      <c r="P75" s="1485"/>
      <c r="Q75" s="1219"/>
      <c r="R75" s="1220"/>
      <c r="S75" s="1220"/>
      <c r="T75" s="1220"/>
      <c r="U75" s="1220"/>
      <c r="V75" s="1220"/>
      <c r="W75" s="1220"/>
      <c r="X75" s="1220"/>
      <c r="Y75" s="1220"/>
      <c r="Z75" s="1220"/>
      <c r="AA75" s="1220"/>
      <c r="AB75" s="1220"/>
      <c r="AC75" s="1220"/>
    </row>
    <row r="76" spans="1:29">
      <c r="A76" s="1123" t="s">
        <v>1377</v>
      </c>
      <c r="B76" s="1124" t="s">
        <v>1378</v>
      </c>
      <c r="C76" s="1145" t="s">
        <v>1416</v>
      </c>
      <c r="D76" s="1145" t="s">
        <v>1417</v>
      </c>
      <c r="E76" s="1145" t="s">
        <v>1418</v>
      </c>
      <c r="F76" s="1145" t="s">
        <v>1419</v>
      </c>
      <c r="G76" s="1145" t="s">
        <v>1420</v>
      </c>
      <c r="H76" s="1146"/>
      <c r="I76" s="1146"/>
      <c r="J76" s="1146"/>
      <c r="K76" s="1194"/>
      <c r="L76" s="1195"/>
      <c r="M76" s="1196"/>
      <c r="N76" s="1174"/>
      <c r="O76" s="1174"/>
      <c r="P76" s="1488"/>
      <c r="Q76" s="1098"/>
      <c r="R76" s="996"/>
      <c r="S76" s="996"/>
      <c r="T76" s="996"/>
      <c r="U76" s="996"/>
      <c r="V76" s="996"/>
      <c r="W76" s="996"/>
      <c r="X76" s="996"/>
      <c r="Y76" s="996"/>
      <c r="Z76" s="996"/>
      <c r="AA76" s="996"/>
      <c r="AB76" s="996"/>
      <c r="AC76" s="996"/>
    </row>
    <row r="77" spans="1:29" ht="15">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80"/>
      <c r="Q77" s="1098"/>
      <c r="R77" s="996"/>
      <c r="S77" s="996"/>
      <c r="T77" s="996"/>
      <c r="U77" s="996"/>
      <c r="V77" s="996"/>
      <c r="W77" s="996"/>
      <c r="X77" s="996"/>
      <c r="Y77" s="996"/>
      <c r="Z77" s="996"/>
      <c r="AA77" s="996"/>
      <c r="AB77" s="996"/>
      <c r="AC77" s="996"/>
    </row>
    <row r="78" spans="1:29" ht="15">
      <c r="A78" s="1125"/>
      <c r="B78" s="1128" t="s">
        <v>1380</v>
      </c>
      <c r="C78" s="1147" t="s">
        <v>1416</v>
      </c>
      <c r="D78" s="1147" t="s">
        <v>1417</v>
      </c>
      <c r="E78" s="1147" t="s">
        <v>1418</v>
      </c>
      <c r="F78" s="1147" t="s">
        <v>1419</v>
      </c>
      <c r="G78" s="1147" t="s">
        <v>1420</v>
      </c>
      <c r="H78" s="1129"/>
      <c r="I78" s="1129"/>
      <c r="J78" s="1129"/>
      <c r="K78" s="1178"/>
      <c r="L78" s="1179"/>
      <c r="M78" s="1180"/>
      <c r="N78" s="1174"/>
      <c r="O78" s="1174"/>
      <c r="P78" s="1480"/>
      <c r="Q78" s="1098"/>
      <c r="R78" s="996"/>
      <c r="S78" s="996"/>
      <c r="T78" s="996"/>
      <c r="U78" s="996"/>
      <c r="V78" s="996"/>
      <c r="W78" s="996"/>
      <c r="X78" s="996"/>
      <c r="Y78" s="996"/>
      <c r="Z78" s="996"/>
      <c r="AA78" s="996"/>
      <c r="AB78" s="996"/>
      <c r="AC78" s="996"/>
    </row>
    <row r="79" spans="1:29" ht="15">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80"/>
      <c r="Q79" s="1098"/>
      <c r="R79" s="996"/>
      <c r="S79" s="996"/>
      <c r="T79" s="996"/>
      <c r="U79" s="996"/>
      <c r="V79" s="996"/>
      <c r="W79" s="996"/>
      <c r="X79" s="996"/>
      <c r="Y79" s="996"/>
      <c r="Z79" s="996"/>
      <c r="AA79" s="996"/>
      <c r="AB79" s="996"/>
      <c r="AC79" s="996"/>
    </row>
    <row r="80" spans="1:29" ht="15">
      <c r="A80" s="1125"/>
      <c r="B80" s="1128" t="s">
        <v>1381</v>
      </c>
      <c r="C80" s="1147" t="s">
        <v>1416</v>
      </c>
      <c r="D80" s="1147" t="s">
        <v>1417</v>
      </c>
      <c r="E80" s="1147" t="s">
        <v>1418</v>
      </c>
      <c r="F80" s="1147" t="s">
        <v>1419</v>
      </c>
      <c r="G80" s="1147" t="s">
        <v>1420</v>
      </c>
      <c r="H80" s="1129"/>
      <c r="I80" s="1129"/>
      <c r="J80" s="1129"/>
      <c r="K80" s="1178"/>
      <c r="L80" s="1179"/>
      <c r="M80" s="1180"/>
      <c r="N80" s="1174"/>
      <c r="O80" s="1174"/>
      <c r="P80" s="1480"/>
      <c r="Q80" s="1098"/>
      <c r="R80" s="996"/>
      <c r="S80" s="996"/>
      <c r="T80" s="996"/>
      <c r="U80" s="996"/>
      <c r="V80" s="996"/>
      <c r="W80" s="996"/>
      <c r="X80" s="996"/>
      <c r="Y80" s="996"/>
      <c r="Z80" s="996"/>
      <c r="AA80" s="996"/>
      <c r="AB80" s="996"/>
      <c r="AC80" s="996"/>
    </row>
    <row r="81" spans="1:29" ht="15">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80"/>
      <c r="Q81" s="1098"/>
      <c r="R81" s="996"/>
      <c r="S81" s="996"/>
      <c r="T81" s="996"/>
      <c r="U81" s="996"/>
      <c r="V81" s="996"/>
      <c r="W81" s="996"/>
      <c r="X81" s="996"/>
      <c r="Y81" s="996"/>
      <c r="Z81" s="996"/>
      <c r="AA81" s="996"/>
      <c r="AB81" s="996"/>
      <c r="AC81" s="996"/>
    </row>
    <row r="82" spans="1:29" ht="15">
      <c r="A82" s="1125"/>
      <c r="B82" s="1132" t="s">
        <v>1382</v>
      </c>
      <c r="C82" s="1152" t="s">
        <v>1421</v>
      </c>
      <c r="D82" s="1152" t="s">
        <v>1422</v>
      </c>
      <c r="E82" s="1152" t="s">
        <v>1423</v>
      </c>
      <c r="F82" s="1152" t="s">
        <v>1424</v>
      </c>
      <c r="G82" s="1152" t="s">
        <v>1425</v>
      </c>
      <c r="H82" s="1129"/>
      <c r="I82" s="1129"/>
      <c r="J82" s="1129"/>
      <c r="K82" s="1129"/>
      <c r="L82" s="1129"/>
      <c r="M82" s="1336"/>
      <c r="N82" s="1177"/>
      <c r="O82" s="1177"/>
      <c r="P82" s="1480"/>
      <c r="Q82" s="1098"/>
      <c r="R82" s="996"/>
      <c r="S82" s="996"/>
      <c r="T82" s="996"/>
      <c r="U82" s="996"/>
      <c r="V82" s="996"/>
      <c r="W82" s="996"/>
      <c r="X82" s="996"/>
      <c r="Y82" s="996"/>
      <c r="Z82" s="996"/>
      <c r="AA82" s="996"/>
      <c r="AB82" s="996"/>
      <c r="AC82" s="996"/>
    </row>
    <row r="83" spans="1:29" ht="15">
      <c r="A83" s="1125"/>
      <c r="B83" s="1132"/>
      <c r="C83" s="1131">
        <v>100</v>
      </c>
      <c r="D83" s="1131">
        <f>C83-$K21</f>
        <v>100</v>
      </c>
      <c r="E83" s="1131">
        <f>D83-$K21</f>
        <v>100</v>
      </c>
      <c r="F83" s="1131">
        <f>E83-$K21</f>
        <v>100</v>
      </c>
      <c r="G83" s="1131">
        <f>F83-$K21</f>
        <v>100</v>
      </c>
      <c r="H83" s="1152"/>
      <c r="I83" s="1152"/>
      <c r="J83" s="1152"/>
      <c r="K83" s="1152"/>
      <c r="L83" s="1152"/>
      <c r="M83" s="944"/>
      <c r="N83" s="1177"/>
      <c r="O83" s="1177"/>
      <c r="P83" s="1480"/>
      <c r="Q83" s="1098"/>
      <c r="R83" s="996"/>
      <c r="S83" s="996"/>
      <c r="T83" s="996"/>
      <c r="U83" s="996"/>
      <c r="V83" s="996"/>
      <c r="W83" s="996"/>
      <c r="X83" s="996"/>
      <c r="Y83" s="996"/>
      <c r="Z83" s="996"/>
      <c r="AA83" s="996"/>
      <c r="AB83" s="996"/>
      <c r="AC83" s="996"/>
    </row>
    <row r="84" spans="1:29" ht="15">
      <c r="A84" s="1125"/>
      <c r="B84" s="1128" t="s">
        <v>1383</v>
      </c>
      <c r="C84" s="1147" t="s">
        <v>1416</v>
      </c>
      <c r="D84" s="1147" t="s">
        <v>1417</v>
      </c>
      <c r="E84" s="1147" t="s">
        <v>1418</v>
      </c>
      <c r="F84" s="1147" t="s">
        <v>1419</v>
      </c>
      <c r="G84" s="1147" t="s">
        <v>1420</v>
      </c>
      <c r="H84" s="1129"/>
      <c r="I84" s="1129"/>
      <c r="J84" s="1129"/>
      <c r="K84" s="1178"/>
      <c r="L84" s="1179"/>
      <c r="M84" s="1180"/>
      <c r="N84" s="1174"/>
      <c r="O84" s="1174"/>
      <c r="P84" s="1480"/>
      <c r="Q84" s="1098"/>
      <c r="R84" s="996"/>
      <c r="S84" s="996"/>
      <c r="T84" s="996"/>
      <c r="U84" s="996"/>
      <c r="V84" s="996"/>
      <c r="W84" s="996"/>
      <c r="X84" s="996"/>
      <c r="Y84" s="996"/>
      <c r="Z84" s="996"/>
      <c r="AA84" s="996"/>
      <c r="AB84" s="996"/>
      <c r="AC84" s="996"/>
    </row>
    <row r="85" spans="1:29" ht="15">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80"/>
      <c r="Q85" s="1098"/>
      <c r="R85" s="996"/>
      <c r="S85" s="996"/>
      <c r="T85" s="996"/>
      <c r="U85" s="996"/>
      <c r="V85" s="996"/>
      <c r="W85" s="996"/>
      <c r="X85" s="996"/>
      <c r="Y85" s="996"/>
      <c r="Z85" s="996"/>
      <c r="AA85" s="996"/>
      <c r="AB85" s="996"/>
      <c r="AC85" s="996"/>
    </row>
    <row r="86" spans="1:29" s="880" customFormat="1" ht="15">
      <c r="A86" s="1148"/>
      <c r="B86" s="1128" t="s">
        <v>1448</v>
      </c>
      <c r="C86" s="1136"/>
      <c r="D86" s="1136"/>
      <c r="E86" s="1136"/>
      <c r="F86" s="1136"/>
      <c r="G86" s="1136"/>
      <c r="H86" s="1136"/>
      <c r="I86" s="1136"/>
      <c r="J86" s="1136"/>
      <c r="K86" s="1136"/>
      <c r="L86" s="1337"/>
      <c r="M86" s="1338"/>
      <c r="N86" s="1168"/>
      <c r="O86" s="1168"/>
      <c r="P86" s="1480"/>
      <c r="Q86" s="1098"/>
      <c r="R86" s="1218"/>
      <c r="S86" s="1218"/>
      <c r="T86" s="1218"/>
      <c r="U86" s="1218"/>
      <c r="V86" s="1218"/>
      <c r="W86" s="1218"/>
      <c r="X86" s="1218"/>
      <c r="Y86" s="1218"/>
      <c r="Z86" s="1218"/>
      <c r="AA86" s="1218"/>
      <c r="AB86" s="1218"/>
      <c r="AC86" s="1218"/>
    </row>
    <row r="87" spans="1:29" s="880" customFormat="1" ht="15">
      <c r="A87" s="1148"/>
      <c r="B87" s="1130"/>
      <c r="C87" s="1149">
        <v>100</v>
      </c>
      <c r="D87" s="1131">
        <f t="shared" ref="D87:M87" si="16">C87-$K25</f>
        <v>100</v>
      </c>
      <c r="E87" s="1131">
        <f t="shared" si="16"/>
        <v>100</v>
      </c>
      <c r="F87" s="1131">
        <f t="shared" si="16"/>
        <v>100</v>
      </c>
      <c r="G87" s="1131">
        <f t="shared" si="16"/>
        <v>100</v>
      </c>
      <c r="H87" s="1131">
        <f t="shared" si="16"/>
        <v>100</v>
      </c>
      <c r="I87" s="1131">
        <f t="shared" si="16"/>
        <v>100</v>
      </c>
      <c r="J87" s="1131">
        <f t="shared" si="16"/>
        <v>100</v>
      </c>
      <c r="K87" s="1131">
        <f t="shared" si="16"/>
        <v>100</v>
      </c>
      <c r="L87" s="1131">
        <f t="shared" si="16"/>
        <v>100</v>
      </c>
      <c r="M87" s="1131">
        <f t="shared" si="16"/>
        <v>100</v>
      </c>
      <c r="N87" s="1177"/>
      <c r="O87" s="1177"/>
      <c r="P87" s="1480"/>
      <c r="Q87" s="1098"/>
      <c r="R87" s="1218"/>
      <c r="S87" s="1218"/>
      <c r="T87" s="1218"/>
      <c r="U87" s="1218"/>
      <c r="V87" s="1218"/>
      <c r="W87" s="1218"/>
      <c r="X87" s="1218"/>
      <c r="Y87" s="1218"/>
      <c r="Z87" s="1218"/>
      <c r="AA87" s="1218"/>
      <c r="AB87" s="1218"/>
      <c r="AC87" s="1218"/>
    </row>
    <row r="88" spans="1:29" s="880" customFormat="1" ht="15">
      <c r="A88" s="1148"/>
      <c r="B88" s="1128" t="str">
        <f>B26</f>
        <v>平面位置/可视性</v>
      </c>
      <c r="C88" s="1136"/>
      <c r="D88" s="1136"/>
      <c r="E88" s="1136"/>
      <c r="F88" s="1461"/>
      <c r="G88" s="1136"/>
      <c r="H88" s="1136"/>
      <c r="I88" s="1136"/>
      <c r="J88" s="1136"/>
      <c r="K88" s="1136"/>
      <c r="L88" s="1136"/>
      <c r="M88" s="1338"/>
      <c r="N88" s="1168"/>
      <c r="O88" s="1168"/>
      <c r="P88" s="1480"/>
      <c r="Q88" s="1098"/>
      <c r="R88" s="1218"/>
      <c r="S88" s="1218"/>
      <c r="T88" s="1218"/>
      <c r="U88" s="1218"/>
      <c r="V88" s="1218"/>
      <c r="W88" s="1218"/>
      <c r="X88" s="1218"/>
      <c r="Y88" s="1218"/>
      <c r="Z88" s="1218"/>
      <c r="AA88" s="1218"/>
      <c r="AB88" s="1218"/>
      <c r="AC88" s="1218"/>
    </row>
    <row r="89" spans="1:29" s="880" customFormat="1" ht="15">
      <c r="A89" s="1148"/>
      <c r="B89" s="1130"/>
      <c r="C89" s="1138"/>
      <c r="D89" s="1127"/>
      <c r="E89" s="1127"/>
      <c r="F89" s="1127"/>
      <c r="G89" s="1127"/>
      <c r="H89" s="1127"/>
      <c r="I89" s="1127"/>
      <c r="J89" s="1127"/>
      <c r="K89" s="1127"/>
      <c r="L89" s="1127"/>
      <c r="M89" s="1127"/>
      <c r="N89" s="1177"/>
      <c r="O89" s="1177"/>
      <c r="P89" s="1480"/>
      <c r="Q89" s="1098"/>
      <c r="R89" s="1218"/>
      <c r="S89" s="1218"/>
      <c r="T89" s="1218"/>
      <c r="U89" s="1218"/>
      <c r="V89" s="1218"/>
      <c r="W89" s="1218"/>
      <c r="X89" s="1218"/>
      <c r="Y89" s="1218"/>
      <c r="Z89" s="1218"/>
      <c r="AA89" s="1218"/>
      <c r="AB89" s="1218"/>
      <c r="AC89" s="1218"/>
    </row>
    <row r="90" spans="1:29" s="882" customFormat="1" ht="15">
      <c r="A90" s="1135"/>
      <c r="B90" s="1128" t="str">
        <f>B27</f>
        <v>人流量</v>
      </c>
      <c r="C90" s="1136"/>
      <c r="D90" s="1136"/>
      <c r="E90" s="1136"/>
      <c r="F90" s="1136"/>
      <c r="G90" s="1136"/>
      <c r="H90" s="1137"/>
      <c r="I90" s="1137"/>
      <c r="J90" s="1137"/>
      <c r="K90" s="1137"/>
      <c r="L90" s="1185"/>
      <c r="M90" s="1186"/>
      <c r="N90" s="1187"/>
      <c r="O90" s="1187"/>
      <c r="P90" s="1485"/>
      <c r="Q90" s="1219"/>
      <c r="R90" s="1220"/>
      <c r="S90" s="1220"/>
      <c r="T90" s="1220"/>
      <c r="U90" s="1220"/>
      <c r="V90" s="1220"/>
      <c r="W90" s="1220"/>
      <c r="X90" s="1220"/>
      <c r="Y90" s="1220"/>
      <c r="Z90" s="1220"/>
      <c r="AA90" s="1220"/>
      <c r="AB90" s="1220"/>
      <c r="AC90" s="1220"/>
    </row>
    <row r="91" spans="1:29" s="882" customFormat="1" ht="15">
      <c r="A91" s="1135"/>
      <c r="B91" s="1130"/>
      <c r="C91" s="1149">
        <v>100</v>
      </c>
      <c r="D91" s="1131">
        <f>C91-$K27</f>
        <v>100</v>
      </c>
      <c r="E91" s="1131">
        <f t="shared" ref="E91:M91" si="17">D91-$K27</f>
        <v>100</v>
      </c>
      <c r="F91" s="1131">
        <f t="shared" si="17"/>
        <v>100</v>
      </c>
      <c r="G91" s="1131">
        <f t="shared" si="17"/>
        <v>100</v>
      </c>
      <c r="H91" s="1131">
        <f t="shared" si="17"/>
        <v>100</v>
      </c>
      <c r="I91" s="1131">
        <f t="shared" si="17"/>
        <v>100</v>
      </c>
      <c r="J91" s="1131">
        <f t="shared" si="17"/>
        <v>100</v>
      </c>
      <c r="K91" s="1131">
        <f t="shared" si="17"/>
        <v>100</v>
      </c>
      <c r="L91" s="1131">
        <f t="shared" si="17"/>
        <v>100</v>
      </c>
      <c r="M91" s="1131">
        <f t="shared" si="17"/>
        <v>100</v>
      </c>
      <c r="N91" s="1187"/>
      <c r="O91" s="1187"/>
      <c r="P91" s="1485"/>
      <c r="Q91" s="1219"/>
      <c r="R91" s="1220"/>
      <c r="S91" s="1220"/>
      <c r="T91" s="1220"/>
      <c r="U91" s="1220"/>
      <c r="V91" s="1220"/>
      <c r="W91" s="1220"/>
      <c r="X91" s="1220"/>
      <c r="Y91" s="1220"/>
      <c r="Z91" s="1220"/>
      <c r="AA91" s="1220"/>
      <c r="AB91" s="1220"/>
      <c r="AC91" s="1220"/>
    </row>
    <row r="92" spans="1:29" ht="15">
      <c r="A92" s="1125"/>
      <c r="B92" s="1128" t="str">
        <f>B28</f>
        <v>楼层</v>
      </c>
      <c r="C92" s="1136"/>
      <c r="D92" s="1136"/>
      <c r="E92" s="1136"/>
      <c r="F92" s="1136"/>
      <c r="G92" s="1136"/>
      <c r="H92" s="1136"/>
      <c r="I92" s="1136"/>
      <c r="J92" s="1136"/>
      <c r="K92" s="1136"/>
      <c r="L92" s="1337"/>
      <c r="M92" s="1338"/>
      <c r="N92" s="1174"/>
      <c r="O92" s="1174"/>
      <c r="P92" s="1480"/>
      <c r="Q92" s="1098"/>
      <c r="R92" s="996"/>
      <c r="S92" s="996"/>
      <c r="T92" s="996"/>
      <c r="U92" s="996"/>
      <c r="V92" s="996"/>
      <c r="W92" s="996"/>
      <c r="X92" s="996"/>
      <c r="Y92" s="996"/>
      <c r="Z92" s="996"/>
      <c r="AA92" s="996"/>
      <c r="AB92" s="996"/>
      <c r="AC92" s="996"/>
    </row>
    <row r="93" spans="1:29" ht="15">
      <c r="A93" s="1125"/>
      <c r="B93" s="1130"/>
      <c r="C93" s="1127"/>
      <c r="D93" s="1127"/>
      <c r="E93" s="1127"/>
      <c r="F93" s="1127"/>
      <c r="G93" s="1127"/>
      <c r="H93" s="1127"/>
      <c r="I93" s="1127"/>
      <c r="J93" s="1127"/>
      <c r="K93" s="1127"/>
      <c r="L93" s="1127"/>
      <c r="M93" s="1176"/>
      <c r="N93" s="1177"/>
      <c r="O93" s="1177"/>
      <c r="P93" s="1480"/>
      <c r="Q93" s="1098"/>
      <c r="R93" s="996"/>
      <c r="S93" s="996"/>
      <c r="T93" s="996"/>
      <c r="U93" s="996"/>
      <c r="V93" s="996"/>
      <c r="W93" s="996"/>
      <c r="X93" s="996"/>
      <c r="Y93" s="996"/>
      <c r="Z93" s="996"/>
      <c r="AA93" s="996"/>
      <c r="AB93" s="996"/>
      <c r="AC93" s="996"/>
    </row>
    <row r="94" spans="1:29" ht="15">
      <c r="A94" s="1125"/>
      <c r="B94" s="1128">
        <f>B29</f>
        <v>111</v>
      </c>
      <c r="C94" s="1136"/>
      <c r="D94" s="1136"/>
      <c r="E94" s="1136"/>
      <c r="F94" s="1136"/>
      <c r="G94" s="1153"/>
      <c r="H94" s="1153"/>
      <c r="I94" s="1153"/>
      <c r="J94" s="1153"/>
      <c r="K94" s="1204"/>
      <c r="L94" s="1205"/>
      <c r="M94" s="1206"/>
      <c r="N94" s="1174"/>
      <c r="O94" s="1174"/>
      <c r="P94" s="1480"/>
      <c r="Q94" s="1098"/>
      <c r="R94" s="996"/>
      <c r="S94" s="996"/>
      <c r="T94" s="996"/>
      <c r="U94" s="996"/>
      <c r="V94" s="996"/>
      <c r="W94" s="996"/>
      <c r="X94" s="996"/>
      <c r="Y94" s="996"/>
      <c r="Z94" s="996"/>
      <c r="AA94" s="996"/>
      <c r="AB94" s="996"/>
      <c r="AC94" s="996"/>
    </row>
    <row r="95" spans="1:29" ht="15">
      <c r="A95" s="1125"/>
      <c r="B95" s="1130"/>
      <c r="C95" s="1138"/>
      <c r="D95" s="1127"/>
      <c r="E95" s="1127"/>
      <c r="F95" s="1127"/>
      <c r="G95" s="1127"/>
      <c r="H95" s="1127"/>
      <c r="I95" s="1127"/>
      <c r="J95" s="1127"/>
      <c r="K95" s="1127"/>
      <c r="L95" s="1127"/>
      <c r="M95" s="1176"/>
      <c r="N95" s="1177"/>
      <c r="O95" s="1177"/>
      <c r="P95" s="1480"/>
      <c r="Q95" s="1098"/>
      <c r="R95" s="996"/>
      <c r="S95" s="996"/>
      <c r="T95" s="996"/>
      <c r="U95" s="996"/>
      <c r="V95" s="996"/>
      <c r="W95" s="996"/>
      <c r="X95" s="996"/>
      <c r="Y95" s="996"/>
      <c r="Z95" s="996"/>
      <c r="AA95" s="996"/>
      <c r="AB95" s="996"/>
      <c r="AC95" s="996"/>
    </row>
    <row r="96" spans="1:29" ht="15">
      <c r="A96" s="1125"/>
      <c r="B96" s="1128">
        <f>B30</f>
        <v>111</v>
      </c>
      <c r="C96" s="1136"/>
      <c r="D96" s="1136"/>
      <c r="E96" s="1136"/>
      <c r="F96" s="1136"/>
      <c r="G96" s="1153"/>
      <c r="H96" s="1153"/>
      <c r="I96" s="1153"/>
      <c r="J96" s="1153"/>
      <c r="K96" s="1204"/>
      <c r="L96" s="1205"/>
      <c r="M96" s="1206"/>
      <c r="N96" s="1174"/>
      <c r="O96" s="1174"/>
      <c r="P96" s="1480"/>
      <c r="Q96" s="1098"/>
      <c r="R96" s="996"/>
      <c r="S96" s="996"/>
      <c r="T96" s="996"/>
      <c r="U96" s="996"/>
      <c r="V96" s="996"/>
      <c r="W96" s="996"/>
      <c r="X96" s="996"/>
      <c r="Y96" s="996"/>
      <c r="Z96" s="996"/>
      <c r="AA96" s="996"/>
      <c r="AB96" s="996"/>
      <c r="AC96" s="996"/>
    </row>
    <row r="97" spans="1:29" ht="15">
      <c r="A97" s="1125"/>
      <c r="B97" s="1130"/>
      <c r="C97" s="1138"/>
      <c r="D97" s="1127"/>
      <c r="E97" s="1127"/>
      <c r="F97" s="1127"/>
      <c r="G97" s="1127"/>
      <c r="H97" s="1127"/>
      <c r="I97" s="1127"/>
      <c r="J97" s="1127"/>
      <c r="K97" s="1127"/>
      <c r="L97" s="1127"/>
      <c r="M97" s="1176"/>
      <c r="N97" s="1177"/>
      <c r="O97" s="1177"/>
      <c r="P97" s="1480"/>
      <c r="Q97" s="1098"/>
      <c r="R97" s="996"/>
      <c r="S97" s="996"/>
      <c r="T97" s="996"/>
      <c r="U97" s="996"/>
      <c r="V97" s="996"/>
      <c r="W97" s="996"/>
      <c r="X97" s="996"/>
      <c r="Y97" s="996"/>
      <c r="Z97" s="996"/>
      <c r="AA97" s="996"/>
      <c r="AB97" s="996"/>
      <c r="AC97" s="996"/>
    </row>
    <row r="98" spans="1:29" ht="15">
      <c r="A98" s="1125"/>
      <c r="B98" s="1132">
        <f>B31</f>
        <v>111</v>
      </c>
      <c r="C98" s="1136"/>
      <c r="D98" s="1136"/>
      <c r="E98" s="1136"/>
      <c r="F98" s="1136"/>
      <c r="G98" s="1154"/>
      <c r="H98" s="1154"/>
      <c r="I98" s="1154"/>
      <c r="J98" s="1154"/>
      <c r="K98" s="1207"/>
      <c r="L98" s="1208"/>
      <c r="M98" s="1209"/>
      <c r="N98" s="1174"/>
      <c r="O98" s="1174"/>
      <c r="P98" s="1480"/>
      <c r="Q98" s="1098"/>
      <c r="R98" s="996"/>
      <c r="S98" s="996"/>
      <c r="T98" s="996"/>
      <c r="U98" s="996"/>
      <c r="V98" s="996"/>
      <c r="W98" s="996"/>
      <c r="X98" s="996"/>
      <c r="Y98" s="996"/>
      <c r="Z98" s="996"/>
      <c r="AA98" s="996"/>
      <c r="AB98" s="996"/>
      <c r="AC98" s="996"/>
    </row>
    <row r="99" spans="1:29" ht="15">
      <c r="A99" s="1438"/>
      <c r="B99" s="1142"/>
      <c r="C99" s="1143"/>
      <c r="D99" s="1143"/>
      <c r="E99" s="1143"/>
      <c r="F99" s="1143"/>
      <c r="G99" s="1155"/>
      <c r="H99" s="1155"/>
      <c r="I99" s="1155"/>
      <c r="J99" s="1155"/>
      <c r="K99" s="1155"/>
      <c r="L99" s="1155"/>
      <c r="M99" s="1210"/>
      <c r="N99" s="1177"/>
      <c r="O99" s="1177"/>
      <c r="P99" s="1480"/>
      <c r="Q99" s="1098"/>
      <c r="R99" s="996"/>
      <c r="S99" s="996"/>
      <c r="T99" s="996"/>
      <c r="U99" s="996"/>
      <c r="V99" s="996"/>
      <c r="W99" s="996"/>
      <c r="X99" s="996"/>
      <c r="Y99" s="996"/>
      <c r="Z99" s="996"/>
      <c r="AA99" s="996"/>
      <c r="AB99" s="996"/>
      <c r="AC99" s="996"/>
    </row>
    <row r="100" spans="1:29">
      <c r="A100" s="1123" t="s">
        <v>1386</v>
      </c>
      <c r="B100" s="1124" t="s">
        <v>1452</v>
      </c>
      <c r="C100" s="1066"/>
      <c r="D100" s="1066"/>
      <c r="E100" s="1066"/>
      <c r="F100" s="1066"/>
      <c r="G100" s="1066"/>
      <c r="H100" s="1066"/>
      <c r="I100" s="1066"/>
      <c r="J100" s="1066"/>
      <c r="K100" s="1171"/>
      <c r="L100" s="1172"/>
      <c r="M100" s="1173"/>
      <c r="N100" s="1174"/>
      <c r="O100" s="1174"/>
      <c r="P100" s="1480"/>
      <c r="Q100" s="1098"/>
      <c r="R100" s="996"/>
      <c r="S100" s="996"/>
      <c r="T100" s="996"/>
      <c r="U100" s="996"/>
      <c r="V100" s="996"/>
      <c r="W100" s="996"/>
      <c r="X100" s="996"/>
      <c r="Y100" s="996"/>
      <c r="Z100" s="996"/>
      <c r="AA100" s="996"/>
      <c r="AB100" s="996"/>
      <c r="AC100" s="996"/>
    </row>
    <row r="101" spans="1:29" ht="15">
      <c r="A101" s="1125"/>
      <c r="B101" s="1130"/>
      <c r="C101" s="1131">
        <v>100</v>
      </c>
      <c r="D101" s="1131">
        <f t="shared" ref="D101:M101" si="18">C101-$K32</f>
        <v>100</v>
      </c>
      <c r="E101" s="1131">
        <f t="shared" si="18"/>
        <v>100</v>
      </c>
      <c r="F101" s="1131">
        <f t="shared" si="18"/>
        <v>100</v>
      </c>
      <c r="G101" s="1131">
        <f t="shared" si="18"/>
        <v>100</v>
      </c>
      <c r="H101" s="1131">
        <f t="shared" si="18"/>
        <v>100</v>
      </c>
      <c r="I101" s="1131">
        <f t="shared" si="18"/>
        <v>100</v>
      </c>
      <c r="J101" s="1131">
        <f t="shared" si="18"/>
        <v>100</v>
      </c>
      <c r="K101" s="1131">
        <f t="shared" si="18"/>
        <v>100</v>
      </c>
      <c r="L101" s="1131">
        <f t="shared" si="18"/>
        <v>100</v>
      </c>
      <c r="M101" s="1181">
        <f t="shared" si="18"/>
        <v>100</v>
      </c>
      <c r="N101" s="1177"/>
      <c r="O101" s="1177"/>
      <c r="P101" s="1480"/>
      <c r="Q101" s="1098"/>
      <c r="R101" s="996"/>
      <c r="S101" s="996"/>
      <c r="T101" s="996"/>
      <c r="U101" s="996"/>
      <c r="V101" s="996"/>
      <c r="W101" s="996"/>
      <c r="X101" s="996"/>
      <c r="Y101" s="996"/>
      <c r="Z101" s="996"/>
      <c r="AA101" s="996"/>
      <c r="AB101" s="996"/>
      <c r="AC101" s="996"/>
    </row>
    <row r="102" spans="1:29" ht="15">
      <c r="A102" s="1125"/>
      <c r="B102" s="1128" t="s">
        <v>1389</v>
      </c>
      <c r="C102" s="1147" t="str">
        <f>C103&amp;"(含)"&amp;"-"&amp;D103</f>
        <v>(含)-</v>
      </c>
      <c r="D102" s="1147" t="str">
        <f t="shared" ref="D102:L102" si="19">D103&amp;"(含)"&amp;"-"&amp;E103</f>
        <v>(含)-</v>
      </c>
      <c r="E102" s="1147" t="str">
        <f t="shared" si="19"/>
        <v>(含)-</v>
      </c>
      <c r="F102" s="1147" t="str">
        <f t="shared" si="19"/>
        <v>(含)-</v>
      </c>
      <c r="G102" s="1147" t="str">
        <f t="shared" si="19"/>
        <v>(含)-</v>
      </c>
      <c r="H102" s="1147" t="str">
        <f t="shared" si="19"/>
        <v>(含)-</v>
      </c>
      <c r="I102" s="1147" t="str">
        <f t="shared" si="19"/>
        <v>(含)-</v>
      </c>
      <c r="J102" s="1147" t="str">
        <f t="shared" si="19"/>
        <v>(含)-</v>
      </c>
      <c r="K102" s="1147" t="str">
        <f t="shared" si="19"/>
        <v>(含)-</v>
      </c>
      <c r="L102" s="1147" t="str">
        <f t="shared" si="19"/>
        <v>(含)-</v>
      </c>
      <c r="M102" s="1199" t="str">
        <f>M103&amp;"(含)"&amp;"-"&amp;P103</f>
        <v>(含)-</v>
      </c>
      <c r="N102" s="1168"/>
      <c r="O102" s="1168"/>
      <c r="P102" s="1480"/>
      <c r="Q102" s="1098"/>
      <c r="R102" s="996"/>
      <c r="S102" s="996"/>
      <c r="T102" s="996"/>
      <c r="U102" s="996"/>
      <c r="V102" s="996"/>
      <c r="W102" s="996"/>
      <c r="X102" s="996"/>
      <c r="Y102" s="996"/>
      <c r="Z102" s="996"/>
      <c r="AA102" s="996"/>
      <c r="AB102" s="996"/>
      <c r="AC102" s="996"/>
    </row>
    <row r="103" spans="1:29" s="882" customFormat="1">
      <c r="A103" s="1156"/>
      <c r="B103" s="1157"/>
      <c r="C103" s="1112"/>
      <c r="D103" s="1112"/>
      <c r="E103" s="1112"/>
      <c r="F103" s="1112"/>
      <c r="G103" s="1112"/>
      <c r="H103" s="1112"/>
      <c r="I103" s="1112"/>
      <c r="J103" s="1211"/>
      <c r="K103" s="1211"/>
      <c r="L103" s="1212"/>
      <c r="M103" s="1213"/>
      <c r="N103" s="1187"/>
      <c r="O103" s="1187"/>
      <c r="P103" s="1485"/>
      <c r="Q103" s="1219"/>
      <c r="R103" s="1220"/>
      <c r="S103" s="1220"/>
      <c r="T103" s="1220"/>
      <c r="U103" s="1220"/>
      <c r="V103" s="1220"/>
      <c r="W103" s="1220"/>
      <c r="X103" s="1220"/>
      <c r="Y103" s="1220"/>
      <c r="Z103" s="1220"/>
      <c r="AA103" s="1220"/>
      <c r="AB103" s="1220"/>
      <c r="AC103" s="1220"/>
    </row>
    <row r="104" spans="1:29" s="882" customFormat="1" ht="15">
      <c r="A104" s="1135"/>
      <c r="B104" s="1130"/>
      <c r="C104" s="1138"/>
      <c r="D104" s="1127"/>
      <c r="E104" s="1127"/>
      <c r="F104" s="1127"/>
      <c r="G104" s="1127"/>
      <c r="H104" s="1127"/>
      <c r="I104" s="1127"/>
      <c r="J104" s="1127"/>
      <c r="K104" s="1127"/>
      <c r="L104" s="1127"/>
      <c r="M104" s="1176"/>
      <c r="N104" s="1177"/>
      <c r="O104" s="1177"/>
      <c r="P104" s="1485"/>
      <c r="Q104" s="1219"/>
      <c r="R104" s="1220"/>
      <c r="S104" s="1220"/>
      <c r="T104" s="1220"/>
      <c r="U104" s="1220"/>
      <c r="V104" s="1220"/>
      <c r="W104" s="1220"/>
      <c r="X104" s="1220"/>
      <c r="Y104" s="1220"/>
      <c r="Z104" s="1220"/>
      <c r="AA104" s="1220"/>
      <c r="AB104" s="1220"/>
      <c r="AC104" s="1220"/>
    </row>
    <row r="105" spans="1:29">
      <c r="A105" s="1159"/>
      <c r="B105" s="1128" t="s">
        <v>1390</v>
      </c>
      <c r="C105" s="1136"/>
      <c r="D105" s="1136"/>
      <c r="E105" s="1153"/>
      <c r="F105" s="1153"/>
      <c r="G105" s="1153"/>
      <c r="H105" s="1153"/>
      <c r="I105" s="1153"/>
      <c r="J105" s="1153"/>
      <c r="K105" s="1204"/>
      <c r="L105" s="1205"/>
      <c r="M105" s="1206"/>
      <c r="N105" s="1174"/>
      <c r="O105" s="1174"/>
      <c r="P105" s="1480"/>
      <c r="Q105" s="1098"/>
      <c r="R105" s="996"/>
      <c r="S105" s="996"/>
      <c r="T105" s="996"/>
      <c r="U105" s="996"/>
      <c r="V105" s="996"/>
      <c r="W105" s="996"/>
      <c r="X105" s="996"/>
      <c r="Y105" s="996"/>
      <c r="Z105" s="996"/>
      <c r="AA105" s="996"/>
      <c r="AB105" s="996"/>
      <c r="AC105" s="996"/>
    </row>
    <row r="106" spans="1:29" ht="15">
      <c r="A106" s="1125"/>
      <c r="B106" s="1130"/>
      <c r="C106" s="1131">
        <v>100</v>
      </c>
      <c r="D106" s="1131">
        <f t="shared" ref="D106:M106" si="20">C106-$K34</f>
        <v>100</v>
      </c>
      <c r="E106" s="1131">
        <f t="shared" si="20"/>
        <v>100</v>
      </c>
      <c r="F106" s="1131">
        <f t="shared" si="20"/>
        <v>100</v>
      </c>
      <c r="G106" s="1131">
        <f t="shared" si="20"/>
        <v>100</v>
      </c>
      <c r="H106" s="1131">
        <f t="shared" si="20"/>
        <v>100</v>
      </c>
      <c r="I106" s="1131">
        <f t="shared" si="20"/>
        <v>100</v>
      </c>
      <c r="J106" s="1131">
        <f t="shared" si="20"/>
        <v>100</v>
      </c>
      <c r="K106" s="1131">
        <f t="shared" si="20"/>
        <v>100</v>
      </c>
      <c r="L106" s="1131">
        <f t="shared" si="20"/>
        <v>100</v>
      </c>
      <c r="M106" s="1181">
        <f t="shared" si="20"/>
        <v>100</v>
      </c>
      <c r="N106" s="1177"/>
      <c r="O106" s="1177"/>
      <c r="P106" s="1480"/>
      <c r="Q106" s="1098"/>
      <c r="R106" s="996"/>
      <c r="S106" s="996"/>
      <c r="T106" s="996"/>
      <c r="U106" s="996"/>
      <c r="V106" s="996"/>
      <c r="W106" s="996"/>
      <c r="X106" s="996"/>
      <c r="Y106" s="996"/>
      <c r="Z106" s="996"/>
      <c r="AA106" s="996"/>
      <c r="AB106" s="996"/>
      <c r="AC106" s="996"/>
    </row>
    <row r="107" spans="1:29">
      <c r="A107" s="1159"/>
      <c r="B107" s="1128" t="s">
        <v>1392</v>
      </c>
      <c r="C107" s="1136"/>
      <c r="D107" s="1136"/>
      <c r="E107" s="1136"/>
      <c r="F107" s="1153"/>
      <c r="G107" s="1153"/>
      <c r="H107" s="1153"/>
      <c r="I107" s="1153"/>
      <c r="J107" s="1153"/>
      <c r="K107" s="1204"/>
      <c r="L107" s="1205"/>
      <c r="M107" s="1206"/>
      <c r="N107" s="1174"/>
      <c r="O107" s="1174"/>
      <c r="P107" s="1480"/>
      <c r="Q107" s="1098"/>
      <c r="R107" s="996"/>
      <c r="S107" s="996"/>
      <c r="T107" s="996"/>
      <c r="U107" s="996"/>
      <c r="V107" s="996"/>
      <c r="W107" s="996"/>
      <c r="X107" s="996"/>
      <c r="Y107" s="996"/>
      <c r="Z107" s="996"/>
      <c r="AA107" s="996"/>
      <c r="AB107" s="996"/>
      <c r="AC107" s="996"/>
    </row>
    <row r="108" spans="1:29" ht="15">
      <c r="A108" s="1125"/>
      <c r="B108" s="1130"/>
      <c r="C108" s="1131">
        <v>100</v>
      </c>
      <c r="D108" s="1131">
        <f t="shared" ref="D108:M108" si="21">C108-$K35</f>
        <v>100</v>
      </c>
      <c r="E108" s="1131">
        <f t="shared" si="21"/>
        <v>100</v>
      </c>
      <c r="F108" s="1131">
        <f t="shared" si="21"/>
        <v>100</v>
      </c>
      <c r="G108" s="1131">
        <f t="shared" si="21"/>
        <v>100</v>
      </c>
      <c r="H108" s="1131">
        <f t="shared" si="21"/>
        <v>100</v>
      </c>
      <c r="I108" s="1131">
        <f t="shared" si="21"/>
        <v>100</v>
      </c>
      <c r="J108" s="1131">
        <f t="shared" si="21"/>
        <v>100</v>
      </c>
      <c r="K108" s="1131">
        <f t="shared" si="21"/>
        <v>100</v>
      </c>
      <c r="L108" s="1131">
        <f t="shared" si="21"/>
        <v>100</v>
      </c>
      <c r="M108" s="1181">
        <f t="shared" si="21"/>
        <v>100</v>
      </c>
      <c r="N108" s="1177"/>
      <c r="O108" s="1177"/>
      <c r="P108" s="1480"/>
      <c r="Q108" s="1098"/>
      <c r="R108" s="996"/>
      <c r="S108" s="996"/>
      <c r="T108" s="996"/>
      <c r="U108" s="996"/>
      <c r="V108" s="996"/>
      <c r="W108" s="996"/>
      <c r="X108" s="996"/>
      <c r="Y108" s="996"/>
      <c r="Z108" s="996"/>
      <c r="AA108" s="996"/>
      <c r="AB108" s="996"/>
      <c r="AC108" s="996"/>
    </row>
    <row r="109" spans="1:29">
      <c r="A109" s="1159"/>
      <c r="B109" s="1128" t="s">
        <v>576</v>
      </c>
      <c r="C109" s="1147" t="str">
        <f>C110&amp;"(含)"&amp;"-"&amp;D110</f>
        <v>0.5(含)-0.6</v>
      </c>
      <c r="D109" s="1147" t="str">
        <f>D110&amp;"(含)"&amp;"-"&amp;E110</f>
        <v>0.6(含)-0.7</v>
      </c>
      <c r="E109" s="1147" t="str">
        <f>E110&amp;"(含)"&amp;"-"&amp;F110</f>
        <v>0.7(含)-0.8</v>
      </c>
      <c r="F109" s="1147" t="str">
        <f>F110&amp;"(含)"&amp;"-"&amp;G110</f>
        <v>0.8(含)-0.9</v>
      </c>
      <c r="G109" s="1147" t="str">
        <f>G110&amp;"(含)"&amp;"-"&amp;ROUND(H110,0)&amp;"(含)"</f>
        <v>0.9(含)-1(含)</v>
      </c>
      <c r="H109" s="1147"/>
      <c r="I109" s="1153"/>
      <c r="J109" s="1153"/>
      <c r="K109" s="1204"/>
      <c r="L109" s="1205"/>
      <c r="M109" s="1206"/>
      <c r="N109" s="1174"/>
      <c r="O109" s="1174"/>
      <c r="P109" s="1480"/>
      <c r="Q109" s="1098"/>
      <c r="R109" s="996"/>
      <c r="S109" s="996"/>
      <c r="T109" s="996"/>
      <c r="U109" s="996"/>
      <c r="V109" s="996"/>
      <c r="W109" s="996"/>
      <c r="X109" s="996"/>
      <c r="Y109" s="996"/>
      <c r="Z109" s="996"/>
      <c r="AA109" s="996"/>
      <c r="AB109" s="996"/>
      <c r="AC109" s="996"/>
    </row>
    <row r="110" spans="1:29">
      <c r="A110" s="1159"/>
      <c r="B110" s="1132"/>
      <c r="C110" s="815">
        <v>0.5</v>
      </c>
      <c r="D110" s="815">
        <v>0.6</v>
      </c>
      <c r="E110" s="815">
        <v>0.7</v>
      </c>
      <c r="F110" s="815">
        <v>0.8</v>
      </c>
      <c r="G110" s="815">
        <v>0.9</v>
      </c>
      <c r="H110" s="815">
        <v>1.0001</v>
      </c>
      <c r="I110" s="1398"/>
      <c r="J110" s="1398"/>
      <c r="K110" s="1399"/>
      <c r="L110" s="1400"/>
      <c r="M110" s="1401"/>
      <c r="N110" s="1174"/>
      <c r="O110" s="1174"/>
      <c r="P110" s="1480"/>
      <c r="Q110" s="1098"/>
      <c r="R110" s="996"/>
      <c r="S110" s="996"/>
      <c r="T110" s="996"/>
      <c r="U110" s="996"/>
      <c r="V110" s="996"/>
      <c r="W110" s="996"/>
      <c r="X110" s="996"/>
      <c r="Y110" s="996"/>
      <c r="Z110" s="996"/>
      <c r="AA110" s="996"/>
      <c r="AB110" s="996"/>
      <c r="AC110" s="996"/>
    </row>
    <row r="111" spans="1:29" ht="15">
      <c r="A111" s="1125"/>
      <c r="B111" s="1130"/>
      <c r="C111" s="1149">
        <v>100</v>
      </c>
      <c r="D111" s="1131">
        <f>C111+$K36</f>
        <v>100</v>
      </c>
      <c r="E111" s="1131">
        <f t="shared" ref="E111:M111" si="22">D111+$K36</f>
        <v>100</v>
      </c>
      <c r="F111" s="1131">
        <f t="shared" si="22"/>
        <v>100</v>
      </c>
      <c r="G111" s="1131">
        <f t="shared" si="22"/>
        <v>100</v>
      </c>
      <c r="H111" s="1131">
        <f t="shared" si="22"/>
        <v>100</v>
      </c>
      <c r="I111" s="1131">
        <f t="shared" si="22"/>
        <v>100</v>
      </c>
      <c r="J111" s="1131">
        <f t="shared" si="22"/>
        <v>100</v>
      </c>
      <c r="K111" s="1131">
        <f t="shared" si="22"/>
        <v>100</v>
      </c>
      <c r="L111" s="1131">
        <f t="shared" si="22"/>
        <v>100</v>
      </c>
      <c r="M111" s="1131">
        <f t="shared" si="22"/>
        <v>100</v>
      </c>
      <c r="N111" s="1177"/>
      <c r="O111" s="1177"/>
      <c r="P111" s="1480"/>
      <c r="Q111" s="1098"/>
      <c r="R111" s="996"/>
      <c r="S111" s="996"/>
      <c r="T111" s="996"/>
      <c r="U111" s="996"/>
      <c r="V111" s="996"/>
      <c r="W111" s="996"/>
      <c r="X111" s="996"/>
      <c r="Y111" s="996"/>
      <c r="Z111" s="996"/>
      <c r="AA111" s="996"/>
      <c r="AB111" s="996"/>
      <c r="AC111" s="996"/>
    </row>
    <row r="112" spans="1:29" s="882" customFormat="1">
      <c r="A112" s="1156"/>
      <c r="B112" s="1128" t="s">
        <v>1394</v>
      </c>
      <c r="C112" s="1136"/>
      <c r="D112" s="1136"/>
      <c r="E112" s="1136"/>
      <c r="F112" s="1136"/>
      <c r="G112" s="1136"/>
      <c r="H112" s="1153"/>
      <c r="I112" s="1153"/>
      <c r="J112" s="1153"/>
      <c r="K112" s="1204"/>
      <c r="L112" s="1205"/>
      <c r="M112" s="1206"/>
      <c r="N112" s="1187"/>
      <c r="O112" s="1187"/>
      <c r="P112" s="1485"/>
      <c r="Q112" s="1219"/>
      <c r="R112" s="1220"/>
      <c r="S112" s="1220"/>
      <c r="T112" s="1220"/>
      <c r="U112" s="1220"/>
      <c r="V112" s="1220"/>
      <c r="W112" s="1220"/>
      <c r="X112" s="1220"/>
      <c r="Y112" s="1220"/>
      <c r="Z112" s="1220"/>
      <c r="AA112" s="1220"/>
      <c r="AB112" s="1220"/>
      <c r="AC112" s="1220"/>
    </row>
    <row r="113" spans="1:29" s="882" customFormat="1" ht="15">
      <c r="A113" s="1135"/>
      <c r="B113" s="1130"/>
      <c r="C113" s="1131">
        <v>100</v>
      </c>
      <c r="D113" s="1131">
        <f>C113-$K37</f>
        <v>100</v>
      </c>
      <c r="E113" s="1131">
        <f t="shared" ref="E113:M113" si="23">D113-$K37</f>
        <v>100</v>
      </c>
      <c r="F113" s="1131">
        <f t="shared" si="23"/>
        <v>100</v>
      </c>
      <c r="G113" s="1131">
        <f t="shared" si="23"/>
        <v>100</v>
      </c>
      <c r="H113" s="1131">
        <f t="shared" si="23"/>
        <v>100</v>
      </c>
      <c r="I113" s="1131">
        <f t="shared" si="23"/>
        <v>100</v>
      </c>
      <c r="J113" s="1131">
        <f t="shared" si="23"/>
        <v>100</v>
      </c>
      <c r="K113" s="1131">
        <f t="shared" si="23"/>
        <v>100</v>
      </c>
      <c r="L113" s="1131">
        <f t="shared" si="23"/>
        <v>100</v>
      </c>
      <c r="M113" s="1131">
        <f t="shared" si="23"/>
        <v>100</v>
      </c>
      <c r="N113" s="1187"/>
      <c r="O113" s="1187"/>
      <c r="P113" s="1485"/>
      <c r="Q113" s="1219"/>
      <c r="R113" s="1220"/>
      <c r="S113" s="1220"/>
      <c r="T113" s="1220"/>
      <c r="U113" s="1220"/>
      <c r="V113" s="1220"/>
      <c r="W113" s="1220"/>
      <c r="X113" s="1220"/>
      <c r="Y113" s="1220"/>
      <c r="Z113" s="1220"/>
      <c r="AA113" s="1220"/>
      <c r="AB113" s="1220"/>
      <c r="AC113" s="1220"/>
    </row>
    <row r="114" spans="1:29">
      <c r="A114" s="1159"/>
      <c r="B114" s="1128" t="s">
        <v>1453</v>
      </c>
      <c r="C114" s="1136"/>
      <c r="D114" s="1136"/>
      <c r="E114" s="1153"/>
      <c r="F114" s="1153"/>
      <c r="G114" s="1153"/>
      <c r="H114" s="1153"/>
      <c r="I114" s="1153"/>
      <c r="J114" s="1153"/>
      <c r="K114" s="1204"/>
      <c r="L114" s="1205"/>
      <c r="M114" s="1206"/>
      <c r="N114" s="1174"/>
      <c r="O114" s="1174"/>
      <c r="P114" s="1480"/>
      <c r="Q114" s="1098"/>
      <c r="R114" s="996"/>
      <c r="S114" s="996"/>
      <c r="T114" s="996"/>
      <c r="U114" s="996"/>
      <c r="V114" s="996"/>
      <c r="W114" s="996"/>
      <c r="X114" s="996"/>
      <c r="Y114" s="996"/>
      <c r="Z114" s="996"/>
      <c r="AA114" s="996"/>
      <c r="AB114" s="996"/>
      <c r="AC114" s="996"/>
    </row>
    <row r="115" spans="1:29" ht="15">
      <c r="A115" s="1125"/>
      <c r="B115" s="1130"/>
      <c r="C115" s="1131">
        <v>100</v>
      </c>
      <c r="D115" s="1131">
        <f t="shared" ref="D115:M115" si="24">C115-$K38</f>
        <v>100</v>
      </c>
      <c r="E115" s="1131">
        <f t="shared" si="24"/>
        <v>100</v>
      </c>
      <c r="F115" s="1131">
        <f t="shared" si="24"/>
        <v>100</v>
      </c>
      <c r="G115" s="1131">
        <f t="shared" si="24"/>
        <v>100</v>
      </c>
      <c r="H115" s="1131">
        <f t="shared" si="24"/>
        <v>100</v>
      </c>
      <c r="I115" s="1131">
        <f t="shared" si="24"/>
        <v>100</v>
      </c>
      <c r="J115" s="1131">
        <f t="shared" si="24"/>
        <v>100</v>
      </c>
      <c r="K115" s="1131">
        <f t="shared" si="24"/>
        <v>100</v>
      </c>
      <c r="L115" s="1131">
        <f t="shared" si="24"/>
        <v>100</v>
      </c>
      <c r="M115" s="1181">
        <f t="shared" si="24"/>
        <v>100</v>
      </c>
      <c r="N115" s="1177"/>
      <c r="O115" s="1177"/>
      <c r="P115" s="1480"/>
      <c r="Q115" s="1098"/>
      <c r="R115" s="996"/>
      <c r="S115" s="996"/>
      <c r="T115" s="996"/>
      <c r="U115" s="996"/>
      <c r="V115" s="996"/>
      <c r="W115" s="996"/>
      <c r="X115" s="996"/>
      <c r="Y115" s="996"/>
      <c r="Z115" s="996"/>
      <c r="AA115" s="996"/>
      <c r="AB115" s="996"/>
      <c r="AC115" s="996"/>
    </row>
    <row r="116" spans="1:29">
      <c r="A116" s="1159"/>
      <c r="B116" s="1128" t="s">
        <v>1454</v>
      </c>
      <c r="C116" s="1136"/>
      <c r="D116" s="1136"/>
      <c r="E116" s="1136"/>
      <c r="F116" s="1136"/>
      <c r="G116" s="1136"/>
      <c r="H116" s="1153"/>
      <c r="I116" s="1153"/>
      <c r="J116" s="1153"/>
      <c r="K116" s="1204"/>
      <c r="L116" s="1205"/>
      <c r="M116" s="1206"/>
      <c r="N116" s="1174"/>
      <c r="O116" s="1174"/>
      <c r="P116" s="1480"/>
      <c r="Q116" s="1098"/>
      <c r="R116" s="996"/>
      <c r="S116" s="996"/>
      <c r="T116" s="996"/>
      <c r="U116" s="996"/>
      <c r="V116" s="996"/>
      <c r="W116" s="996"/>
      <c r="X116" s="996"/>
      <c r="Y116" s="996"/>
      <c r="Z116" s="996"/>
      <c r="AA116" s="996"/>
      <c r="AB116" s="996"/>
      <c r="AC116" s="996"/>
    </row>
    <row r="117" spans="1:29" ht="15">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80"/>
      <c r="Q117" s="1098"/>
      <c r="R117" s="996"/>
      <c r="S117" s="996"/>
      <c r="T117" s="996"/>
      <c r="U117" s="996"/>
      <c r="V117" s="996"/>
      <c r="W117" s="996"/>
      <c r="X117" s="996"/>
      <c r="Y117" s="996"/>
      <c r="Z117" s="996"/>
      <c r="AA117" s="996"/>
      <c r="AB117" s="996"/>
      <c r="AC117" s="996"/>
    </row>
    <row r="118" spans="1:29">
      <c r="A118" s="1159"/>
      <c r="B118" s="1128" t="s">
        <v>1455</v>
      </c>
      <c r="C118" s="1484"/>
      <c r="D118" s="1484"/>
      <c r="E118" s="1484"/>
      <c r="F118" s="1484"/>
      <c r="G118" s="1484"/>
      <c r="H118" s="1137"/>
      <c r="I118" s="1137"/>
      <c r="J118" s="1137"/>
      <c r="K118" s="1137"/>
      <c r="L118" s="1185"/>
      <c r="M118" s="1186"/>
      <c r="N118" s="1174"/>
      <c r="O118" s="1174"/>
      <c r="P118" s="1480"/>
      <c r="Q118" s="1098"/>
      <c r="R118" s="996"/>
      <c r="S118" s="996"/>
      <c r="T118" s="996"/>
      <c r="U118" s="996"/>
      <c r="V118" s="996"/>
      <c r="W118" s="996"/>
      <c r="X118" s="996"/>
      <c r="Y118" s="996"/>
      <c r="Z118" s="996"/>
      <c r="AA118" s="996"/>
      <c r="AB118" s="996"/>
      <c r="AC118" s="996"/>
    </row>
    <row r="119" spans="1:29" ht="15">
      <c r="A119" s="1125"/>
      <c r="B119" s="1130"/>
      <c r="C119" s="1138"/>
      <c r="D119" s="1127"/>
      <c r="E119" s="1127"/>
      <c r="F119" s="1127"/>
      <c r="G119" s="1127"/>
      <c r="H119" s="1127"/>
      <c r="I119" s="1127"/>
      <c r="J119" s="1127"/>
      <c r="K119" s="1127"/>
      <c r="L119" s="1127"/>
      <c r="M119" s="1176"/>
      <c r="N119" s="1177"/>
      <c r="O119" s="1177"/>
      <c r="P119" s="1480"/>
      <c r="Q119" s="1098"/>
      <c r="R119" s="996"/>
      <c r="S119" s="996"/>
      <c r="T119" s="996"/>
      <c r="U119" s="996"/>
      <c r="V119" s="996"/>
      <c r="W119" s="996"/>
      <c r="X119" s="996"/>
      <c r="Y119" s="996"/>
      <c r="Z119" s="996"/>
      <c r="AA119" s="996"/>
      <c r="AB119" s="996"/>
      <c r="AC119" s="996"/>
    </row>
    <row r="120" spans="1:29" s="882" customFormat="1">
      <c r="A120" s="1156"/>
      <c r="B120" s="1128" t="s">
        <v>1458</v>
      </c>
      <c r="C120" s="1153"/>
      <c r="D120" s="1153"/>
      <c r="E120" s="1153"/>
      <c r="F120" s="1153"/>
      <c r="G120" s="1137"/>
      <c r="H120" s="1137"/>
      <c r="I120" s="1137"/>
      <c r="J120" s="1137"/>
      <c r="K120" s="1137"/>
      <c r="L120" s="1185"/>
      <c r="M120" s="1186"/>
      <c r="N120" s="1187"/>
      <c r="O120" s="1187"/>
      <c r="P120" s="1485"/>
      <c r="Q120" s="1219"/>
      <c r="R120" s="1220"/>
      <c r="S120" s="1220"/>
      <c r="T120" s="1220"/>
      <c r="U120" s="1220"/>
      <c r="V120" s="1220"/>
      <c r="W120" s="1220"/>
      <c r="X120" s="1220"/>
      <c r="Y120" s="1220"/>
      <c r="Z120" s="1220"/>
      <c r="AA120" s="1220"/>
      <c r="AB120" s="1220"/>
      <c r="AC120" s="1220"/>
    </row>
    <row r="121" spans="1:29" s="882" customFormat="1" ht="15">
      <c r="A121" s="1135"/>
      <c r="B121" s="1126"/>
      <c r="C121" s="1149">
        <v>100</v>
      </c>
      <c r="D121" s="1131">
        <f>C121-$K41</f>
        <v>100</v>
      </c>
      <c r="E121" s="1131">
        <f t="shared" ref="E121:M121" si="25">D121-$K41</f>
        <v>100</v>
      </c>
      <c r="F121" s="1131">
        <f t="shared" si="25"/>
        <v>100</v>
      </c>
      <c r="G121" s="1131">
        <f t="shared" si="25"/>
        <v>100</v>
      </c>
      <c r="H121" s="1131">
        <f t="shared" si="25"/>
        <v>100</v>
      </c>
      <c r="I121" s="1131">
        <f t="shared" si="25"/>
        <v>100</v>
      </c>
      <c r="J121" s="1131">
        <f t="shared" si="25"/>
        <v>100</v>
      </c>
      <c r="K121" s="1131">
        <f t="shared" si="25"/>
        <v>100</v>
      </c>
      <c r="L121" s="1131">
        <f t="shared" si="25"/>
        <v>100</v>
      </c>
      <c r="M121" s="1181">
        <f t="shared" si="25"/>
        <v>100</v>
      </c>
      <c r="N121" s="1187"/>
      <c r="O121" s="1187"/>
      <c r="P121" s="1485"/>
      <c r="Q121" s="1219"/>
      <c r="R121" s="1220"/>
      <c r="S121" s="1220"/>
      <c r="T121" s="1220"/>
      <c r="U121" s="1220"/>
      <c r="V121" s="1220"/>
      <c r="W121" s="1220"/>
      <c r="X121" s="1220"/>
      <c r="Y121" s="1220"/>
      <c r="Z121" s="1220"/>
      <c r="AA121" s="1220"/>
      <c r="AB121" s="1220"/>
      <c r="AC121" s="1220"/>
    </row>
    <row r="122" spans="1:29">
      <c r="A122" s="1159"/>
      <c r="B122" s="1128" t="s">
        <v>1397</v>
      </c>
      <c r="C122" s="1136"/>
      <c r="D122" s="1136"/>
      <c r="E122" s="1136"/>
      <c r="F122" s="1153"/>
      <c r="G122" s="1153"/>
      <c r="H122" s="1153"/>
      <c r="I122" s="1153"/>
      <c r="J122" s="1153"/>
      <c r="K122" s="1204"/>
      <c r="L122" s="1205"/>
      <c r="M122" s="1206"/>
      <c r="N122" s="1174"/>
      <c r="O122" s="1174"/>
      <c r="P122" s="1480"/>
      <c r="Q122" s="1098"/>
      <c r="R122" s="996"/>
      <c r="S122" s="996"/>
      <c r="T122" s="996"/>
      <c r="U122" s="996"/>
      <c r="V122" s="996"/>
      <c r="W122" s="996"/>
      <c r="X122" s="996"/>
      <c r="Y122" s="996"/>
      <c r="Z122" s="996"/>
      <c r="AA122" s="996"/>
      <c r="AB122" s="996"/>
      <c r="AC122" s="996"/>
    </row>
    <row r="123" spans="1:29" ht="15">
      <c r="A123" s="1125"/>
      <c r="B123" s="1130"/>
      <c r="C123" s="1131">
        <v>100</v>
      </c>
      <c r="D123" s="1131">
        <f t="shared" ref="D123:M123" si="26">C123-$K42</f>
        <v>100</v>
      </c>
      <c r="E123" s="1131">
        <f t="shared" si="26"/>
        <v>100</v>
      </c>
      <c r="F123" s="1131">
        <f t="shared" si="26"/>
        <v>100</v>
      </c>
      <c r="G123" s="1131">
        <f t="shared" si="26"/>
        <v>100</v>
      </c>
      <c r="H123" s="1131">
        <f t="shared" si="26"/>
        <v>100</v>
      </c>
      <c r="I123" s="1131">
        <f t="shared" si="26"/>
        <v>100</v>
      </c>
      <c r="J123" s="1131">
        <f t="shared" si="26"/>
        <v>100</v>
      </c>
      <c r="K123" s="1131">
        <f t="shared" si="26"/>
        <v>100</v>
      </c>
      <c r="L123" s="1131">
        <f t="shared" si="26"/>
        <v>100</v>
      </c>
      <c r="M123" s="1181">
        <f t="shared" si="26"/>
        <v>100</v>
      </c>
      <c r="N123" s="1177"/>
      <c r="O123" s="1177"/>
      <c r="P123" s="1480"/>
      <c r="Q123" s="1098"/>
      <c r="R123" s="996"/>
      <c r="S123" s="996"/>
      <c r="T123" s="996"/>
      <c r="U123" s="996"/>
      <c r="V123" s="996"/>
      <c r="W123" s="996"/>
      <c r="X123" s="996"/>
      <c r="Y123" s="996"/>
      <c r="Z123" s="996"/>
      <c r="AA123" s="996"/>
      <c r="AB123" s="996"/>
      <c r="AC123" s="996"/>
    </row>
    <row r="124" spans="1:29">
      <c r="A124" s="1159"/>
      <c r="B124" s="1128" t="s">
        <v>1398</v>
      </c>
      <c r="C124" s="1147" t="s">
        <v>1416</v>
      </c>
      <c r="D124" s="1147" t="s">
        <v>1417</v>
      </c>
      <c r="E124" s="1147" t="s">
        <v>1418</v>
      </c>
      <c r="F124" s="1147" t="s">
        <v>1419</v>
      </c>
      <c r="G124" s="1147" t="s">
        <v>1420</v>
      </c>
      <c r="H124" s="1129"/>
      <c r="I124" s="1129"/>
      <c r="J124" s="1129"/>
      <c r="K124" s="1178"/>
      <c r="L124" s="1179"/>
      <c r="M124" s="1180"/>
      <c r="N124" s="1174"/>
      <c r="O124" s="1174"/>
      <c r="P124" s="1485"/>
      <c r="Q124" s="1098"/>
      <c r="R124" s="996"/>
      <c r="S124" s="996"/>
      <c r="T124" s="996"/>
      <c r="U124" s="996"/>
      <c r="V124" s="996"/>
      <c r="W124" s="996"/>
      <c r="X124" s="996"/>
      <c r="Y124" s="996"/>
      <c r="Z124" s="996"/>
      <c r="AA124" s="996"/>
      <c r="AB124" s="996"/>
      <c r="AC124" s="996"/>
    </row>
    <row r="125" spans="1:29"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80"/>
      <c r="Q125" s="1098"/>
      <c r="R125" s="996"/>
      <c r="S125" s="996"/>
      <c r="T125" s="996"/>
      <c r="U125" s="996"/>
      <c r="V125" s="996"/>
      <c r="W125" s="996"/>
      <c r="X125" s="996"/>
      <c r="Y125" s="996"/>
      <c r="Z125" s="996"/>
      <c r="AA125" s="996"/>
      <c r="AB125" s="996"/>
      <c r="AC125" s="996"/>
    </row>
    <row r="126" spans="1:29" s="882" customFormat="1">
      <c r="A126" s="1156"/>
      <c r="B126" s="1128">
        <f>B44</f>
        <v>111</v>
      </c>
      <c r="C126" s="1136"/>
      <c r="D126" s="1136"/>
      <c r="E126" s="1136"/>
      <c r="F126" s="1136"/>
      <c r="G126" s="1136"/>
      <c r="H126" s="1137"/>
      <c r="I126" s="1137"/>
      <c r="J126" s="1137"/>
      <c r="K126" s="1137"/>
      <c r="L126" s="1185"/>
      <c r="M126" s="1186"/>
      <c r="N126" s="1187"/>
      <c r="O126" s="1187"/>
      <c r="P126" s="1485"/>
      <c r="Q126" s="1219"/>
      <c r="R126" s="1220"/>
      <c r="S126" s="1220"/>
      <c r="T126" s="1220"/>
      <c r="U126" s="1220"/>
      <c r="V126" s="1220"/>
      <c r="W126" s="1220"/>
      <c r="X126" s="1220"/>
      <c r="Y126" s="1220"/>
      <c r="Z126" s="1220"/>
      <c r="AA126" s="1220"/>
      <c r="AB126" s="1220"/>
      <c r="AC126" s="1220"/>
    </row>
    <row r="127" spans="1:29" s="882" customFormat="1" ht="15">
      <c r="A127" s="1135"/>
      <c r="B127" s="1130"/>
      <c r="C127" s="1138"/>
      <c r="D127" s="1127"/>
      <c r="E127" s="1127"/>
      <c r="F127" s="1127"/>
      <c r="G127" s="1138"/>
      <c r="H127" s="1139"/>
      <c r="I127" s="1139"/>
      <c r="J127" s="1139"/>
      <c r="K127" s="1139"/>
      <c r="L127" s="1139"/>
      <c r="M127" s="1189"/>
      <c r="N127" s="1187"/>
      <c r="O127" s="1187"/>
      <c r="P127" s="1485"/>
      <c r="Q127" s="1219"/>
      <c r="R127" s="1220"/>
      <c r="S127" s="1220"/>
      <c r="T127" s="1220"/>
      <c r="U127" s="1220"/>
      <c r="V127" s="1220"/>
      <c r="W127" s="1220"/>
      <c r="X127" s="1220"/>
      <c r="Y127" s="1220"/>
      <c r="Z127" s="1220"/>
      <c r="AA127" s="1220"/>
      <c r="AB127" s="1220"/>
      <c r="AC127" s="1220"/>
    </row>
    <row r="128" spans="1:29">
      <c r="A128" s="1159"/>
      <c r="B128" s="1128">
        <f>B45</f>
        <v>111</v>
      </c>
      <c r="C128" s="1136"/>
      <c r="D128" s="1136"/>
      <c r="E128" s="1136"/>
      <c r="F128" s="1136"/>
      <c r="G128" s="1153"/>
      <c r="H128" s="1153"/>
      <c r="I128" s="1153"/>
      <c r="J128" s="1153"/>
      <c r="K128" s="1204"/>
      <c r="L128" s="1205"/>
      <c r="M128" s="1206"/>
      <c r="N128" s="1174"/>
      <c r="O128" s="1174"/>
      <c r="P128" s="1480"/>
      <c r="Q128" s="1098"/>
      <c r="R128" s="996"/>
      <c r="S128" s="996"/>
      <c r="T128" s="996"/>
      <c r="U128" s="996"/>
      <c r="V128" s="996"/>
      <c r="W128" s="996"/>
      <c r="X128" s="996"/>
      <c r="Y128" s="996"/>
      <c r="Z128" s="996"/>
      <c r="AA128" s="996"/>
      <c r="AB128" s="996"/>
      <c r="AC128" s="996"/>
    </row>
    <row r="129" spans="1:29" ht="15">
      <c r="A129" s="1125"/>
      <c r="B129" s="1130"/>
      <c r="C129" s="1138"/>
      <c r="D129" s="1127"/>
      <c r="E129" s="1127"/>
      <c r="F129" s="1127"/>
      <c r="G129" s="1127"/>
      <c r="H129" s="1127"/>
      <c r="I129" s="1127"/>
      <c r="J129" s="1127"/>
      <c r="K129" s="1127"/>
      <c r="L129" s="1127"/>
      <c r="M129" s="1176"/>
      <c r="N129" s="1177"/>
      <c r="O129" s="1177"/>
      <c r="P129" s="1480"/>
      <c r="Q129" s="1098"/>
      <c r="R129" s="996"/>
      <c r="S129" s="996"/>
      <c r="T129" s="996"/>
      <c r="U129" s="996"/>
      <c r="V129" s="996"/>
      <c r="W129" s="996"/>
      <c r="X129" s="996"/>
      <c r="Y129" s="996"/>
      <c r="Z129" s="996"/>
      <c r="AA129" s="996"/>
      <c r="AB129" s="996"/>
      <c r="AC129" s="996"/>
    </row>
    <row r="130" spans="1:29">
      <c r="A130" s="1159"/>
      <c r="B130" s="1132">
        <f>B46</f>
        <v>111</v>
      </c>
      <c r="C130" s="1136"/>
      <c r="D130" s="1136"/>
      <c r="E130" s="1136"/>
      <c r="F130" s="1136"/>
      <c r="G130" s="1154"/>
      <c r="H130" s="1154"/>
      <c r="I130" s="1154"/>
      <c r="J130" s="1154"/>
      <c r="K130" s="1120"/>
      <c r="L130" s="1166"/>
      <c r="M130" s="1209"/>
      <c r="N130" s="1174"/>
      <c r="O130" s="1174"/>
      <c r="P130" s="1480"/>
      <c r="Q130" s="1098"/>
      <c r="R130" s="996"/>
      <c r="S130" s="996"/>
      <c r="T130" s="996"/>
      <c r="U130" s="996"/>
      <c r="V130" s="996"/>
      <c r="W130" s="996"/>
      <c r="X130" s="996"/>
      <c r="Y130" s="996"/>
      <c r="Z130" s="996"/>
      <c r="AA130" s="996"/>
      <c r="AB130" s="996"/>
      <c r="AC130" s="996"/>
    </row>
    <row r="131" spans="1:29" ht="15">
      <c r="A131" s="1438"/>
      <c r="B131" s="1142"/>
      <c r="C131" s="1143"/>
      <c r="D131" s="1143"/>
      <c r="E131" s="1143"/>
      <c r="F131" s="1143"/>
      <c r="G131" s="1155"/>
      <c r="H131" s="1155"/>
      <c r="I131" s="1155"/>
      <c r="J131" s="1155"/>
      <c r="K131" s="1155"/>
      <c r="L131" s="1155"/>
      <c r="M131" s="1210"/>
      <c r="N131" s="1177"/>
      <c r="O131" s="1177"/>
      <c r="P131" s="1480"/>
      <c r="Q131" s="1098"/>
      <c r="R131" s="996"/>
      <c r="S131" s="996"/>
      <c r="T131" s="996"/>
      <c r="U131" s="996"/>
      <c r="V131" s="996"/>
      <c r="W131" s="996"/>
      <c r="X131" s="996"/>
      <c r="Y131" s="996"/>
      <c r="Z131" s="996"/>
      <c r="AA131" s="996"/>
      <c r="AB131" s="996"/>
      <c r="AC131" s="9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E9 G9 I9" xr:uid="{00000000-0002-0000-1B00-000001000000}">
      <formula1>商业用途</formula1>
    </dataValidation>
    <dataValidation type="list" allowBlank="1" showInputMessage="1" showErrorMessage="1" sqref="C2" xr:uid="{00000000-0002-0000-1B00-000002000000}">
      <formula1>"需扣减承租人权益,——"</formula1>
    </dataValidation>
    <dataValidation type="list" allowBlank="1" showInputMessage="1" showErrorMessage="1" sqref="D1" xr:uid="{00000000-0002-0000-1B00-000003000000}">
      <formula1>项目类型</formula1>
    </dataValidation>
    <dataValidation type="list" allowBlank="1" showInputMessage="1" showErrorMessage="1" sqref="D48" xr:uid="{00000000-0002-0000-1B00-000004000000}">
      <formula1>"简单平均,加权平均"</formula1>
    </dataValidation>
    <dataValidation type="list" allowBlank="1" showInputMessage="1" showErrorMessage="1" sqref="F1" xr:uid="{00000000-0002-0000-1B00-000005000000}">
      <formula1>"售价,租金"</formula1>
    </dataValidation>
    <dataValidation type="list" allowBlank="1" showInputMessage="1" showErrorMessage="1" sqref="F2" xr:uid="{00000000-0002-0000-1B00-000006000000}">
      <formula1>估价方法</formula1>
    </dataValidation>
    <dataValidation type="list" allowBlank="1" showInputMessage="1" showErrorMessage="1" sqref="C8 E8 G8 I8" xr:uid="{00000000-0002-0000-1B00-000007000000}">
      <formula1>商业交易情况</formula1>
    </dataValidation>
    <dataValidation type="list" allowBlank="1" showInputMessage="1" showErrorMessage="1" sqref="C16 E16 G16 I16" xr:uid="{00000000-0002-0000-1B00-000008000000}">
      <formula1>商业繁华度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5 E25 G25 I25" xr:uid="{00000000-0002-0000-1B00-00000D000000}">
      <formula1>商业临街状况</formula1>
    </dataValidation>
    <dataValidation type="list" allowBlank="1" showInputMessage="1" showErrorMessage="1" sqref="C38 E38 G38 I38" xr:uid="{00000000-0002-0000-1B00-00000E000000}">
      <formula1>商业业态</formula1>
    </dataValidation>
    <dataValidation type="list" allowBlank="1" showInputMessage="1" showErrorMessage="1" sqref="C27 E27 G27 I27" xr:uid="{00000000-0002-0000-1B00-00000F000000}">
      <formula1>商业人流量</formula1>
    </dataValidation>
    <dataValidation type="list" allowBlank="1" showInputMessage="1" showErrorMessage="1" sqref="C28 E28 G28 I28" xr:uid="{00000000-0002-0000-1B00-000010000000}">
      <formula1>商业楼层</formula1>
    </dataValidation>
    <dataValidation type="list" allowBlank="1" showInputMessage="1" showErrorMessage="1" sqref="C32 E32 G32 I32" xr:uid="{00000000-0002-0000-1B00-000011000000}">
      <formula1>商业类型</formula1>
    </dataValidation>
    <dataValidation type="list" allowBlank="1" showInputMessage="1" showErrorMessage="1" sqref="C34 E34 G34 I34" xr:uid="{00000000-0002-0000-1B00-000012000000}">
      <formula1>商业建筑结构</formula1>
    </dataValidation>
    <dataValidation type="list" allowBlank="1" showInputMessage="1" showErrorMessage="1" sqref="C35 E35 G35 I35" xr:uid="{00000000-0002-0000-1B00-000013000000}">
      <formula1>商业公共部分装修</formula1>
    </dataValidation>
    <dataValidation type="list" allowBlank="1" showInputMessage="1" showErrorMessage="1" sqref="C39 E39 G39 I39" xr:uid="{00000000-0002-0000-1B00-000014000000}">
      <formula1>商业层高</formula1>
    </dataValidation>
    <dataValidation type="list" allowBlank="1" showInputMessage="1" showErrorMessage="1" sqref="C37 E37 G37 I37" xr:uid="{00000000-0002-0000-1B00-000015000000}">
      <formula1>商业基础设施水平</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7" sqref="F7:F36"/>
    </sheetView>
  </sheetViews>
  <sheetFormatPr defaultColWidth="9" defaultRowHeight="14.25"/>
  <cols>
    <col min="1" max="1" width="10.5" style="886" customWidth="1"/>
    <col min="2" max="2" width="15.75" style="886" customWidth="1"/>
    <col min="3" max="3" width="15.6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34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67" customFormat="1" ht="28.5" customHeight="1">
      <c r="A1" s="1268" t="s">
        <v>1346</v>
      </c>
      <c r="B1" s="1403" t="s">
        <v>1459</v>
      </c>
      <c r="C1" s="1270" t="s">
        <v>1348</v>
      </c>
      <c r="D1" s="1271"/>
      <c r="E1" s="1272"/>
      <c r="F1" s="1273"/>
      <c r="G1" s="1274" t="s">
        <v>1350</v>
      </c>
      <c r="H1" s="1272"/>
      <c r="I1" s="1272"/>
      <c r="J1" s="1272"/>
      <c r="K1" s="1325"/>
      <c r="L1" s="1326"/>
      <c r="M1" s="1327"/>
      <c r="N1" s="1327"/>
      <c r="O1" s="1327"/>
      <c r="P1" s="1270"/>
      <c r="Q1" s="1270"/>
      <c r="R1" s="1270"/>
      <c r="S1" s="1270"/>
      <c r="T1" s="1270"/>
      <c r="U1" s="1270"/>
      <c r="V1" s="1270"/>
      <c r="W1" s="1270"/>
      <c r="X1" s="1270"/>
      <c r="Y1" s="1270"/>
      <c r="Z1" s="1270"/>
      <c r="AA1" s="1270"/>
      <c r="AB1" s="1270"/>
      <c r="AC1" s="1333"/>
    </row>
    <row r="2" spans="1:29" s="879" customFormat="1" ht="28.5" customHeight="1">
      <c r="A2" s="1275" t="s">
        <v>926</v>
      </c>
      <c r="B2" s="1276" t="e">
        <f ca="1">IF(C2="——",ROUND(C50*D3/10000,0),ROUND(C50*D3/10000,0)-D2)</f>
        <v>#DIV/0!</v>
      </c>
      <c r="C2" s="1277"/>
      <c r="D2" s="1445" t="e">
        <f ca="1">SUMIF(INDIRECT("'"&amp;F2&amp;"'"&amp;"!A:A"),"承租人权益价值",INDIRECT("'"&amp;F2&amp;"'"&amp;"!c:c"))</f>
        <v>#REF!</v>
      </c>
      <c r="E2" s="1278" t="s">
        <v>927</v>
      </c>
      <c r="F2" s="1279"/>
      <c r="G2" s="895"/>
      <c r="H2" s="895"/>
      <c r="I2" s="895"/>
      <c r="J2" s="895"/>
      <c r="K2" s="895"/>
      <c r="L2" s="1041"/>
      <c r="M2" s="1042"/>
      <c r="N2" s="1042"/>
      <c r="O2" s="1042"/>
      <c r="P2" s="1039"/>
      <c r="Q2" s="1039"/>
      <c r="R2" s="1039"/>
      <c r="S2" s="1039"/>
      <c r="T2" s="1039"/>
      <c r="U2" s="1039"/>
      <c r="V2" s="1039"/>
      <c r="W2" s="1039"/>
      <c r="X2" s="1039"/>
      <c r="Y2" s="1039"/>
      <c r="Z2" s="1039"/>
      <c r="AA2" s="1039"/>
      <c r="AB2" s="1039"/>
      <c r="AC2" s="1099"/>
    </row>
    <row r="3" spans="1:29" s="879" customFormat="1" ht="28.5" customHeight="1">
      <c r="A3" s="148" t="s">
        <v>928</v>
      </c>
      <c r="B3" s="897" t="e">
        <f ca="1">IF(C2="——",C50,ROUND(B2*10000/D3,0))</f>
        <v>#DIV/0!</v>
      </c>
      <c r="C3" s="1280" t="s">
        <v>1351</v>
      </c>
      <c r="D3" s="1281">
        <f>IF(D1="",'数据-汇总表'!E3,SUMIF('数据-汇总表'!$C19:$C33,D1,'数据-汇总表'!$E19:$E33))</f>
        <v>39222.729999999996</v>
      </c>
      <c r="E3" s="1446"/>
      <c r="F3" s="896"/>
      <c r="G3" s="895"/>
      <c r="H3" s="895"/>
      <c r="I3" s="895"/>
      <c r="J3" s="895"/>
      <c r="K3" s="1040"/>
      <c r="L3" s="1041"/>
      <c r="M3" s="1042"/>
      <c r="N3" s="1042"/>
      <c r="O3" s="1042"/>
      <c r="P3" s="1039"/>
      <c r="Q3" s="1039"/>
      <c r="R3" s="1039"/>
      <c r="S3" s="1039"/>
      <c r="T3" s="1039"/>
      <c r="U3" s="1039"/>
      <c r="V3" s="1039"/>
      <c r="W3" s="1039"/>
      <c r="X3" s="1039"/>
      <c r="Y3" s="1039"/>
      <c r="Z3" s="1039"/>
      <c r="AA3" s="1039"/>
      <c r="AB3" s="1039"/>
      <c r="AC3" s="1099"/>
    </row>
    <row r="4" spans="1:29" ht="15">
      <c r="A4" s="899" t="s">
        <v>1352</v>
      </c>
      <c r="B4" s="900"/>
      <c r="C4" s="3273" t="s">
        <v>1353</v>
      </c>
      <c r="D4" s="3306"/>
      <c r="E4" s="3307" t="s">
        <v>1354</v>
      </c>
      <c r="F4" s="3308"/>
      <c r="G4" s="3273" t="s">
        <v>1355</v>
      </c>
      <c r="H4" s="3306"/>
      <c r="I4" s="3273" t="s">
        <v>1356</v>
      </c>
      <c r="J4" s="3306"/>
      <c r="K4" s="1043" t="s">
        <v>1357</v>
      </c>
      <c r="L4" s="1044"/>
      <c r="M4" s="1045"/>
      <c r="N4" s="1045"/>
      <c r="O4" s="1045"/>
      <c r="P4" s="3354" t="s">
        <v>1358</v>
      </c>
      <c r="Q4" s="3355"/>
      <c r="R4" s="3358" t="s">
        <v>1354</v>
      </c>
      <c r="S4" s="3359"/>
      <c r="T4" s="3358" t="s">
        <v>1355</v>
      </c>
      <c r="U4" s="3359"/>
      <c r="V4" s="3360" t="s">
        <v>1356</v>
      </c>
      <c r="W4" s="3360"/>
      <c r="X4" s="1456"/>
      <c r="Y4" s="3358" t="s">
        <v>1358</v>
      </c>
      <c r="Z4" s="3359"/>
      <c r="AA4" s="3350" t="s">
        <v>1354</v>
      </c>
      <c r="AB4" s="3350" t="s">
        <v>1355</v>
      </c>
      <c r="AC4" s="3351" t="s">
        <v>1356</v>
      </c>
    </row>
    <row r="5" spans="1:29" ht="15">
      <c r="A5" s="901"/>
      <c r="B5" s="902"/>
      <c r="C5" s="3309" t="s">
        <v>1359</v>
      </c>
      <c r="D5" s="3310"/>
      <c r="E5" s="3311" t="s">
        <v>1360</v>
      </c>
      <c r="F5" s="3312"/>
      <c r="G5" s="3309" t="s">
        <v>1361</v>
      </c>
      <c r="H5" s="3310"/>
      <c r="I5" s="3309" t="s">
        <v>1362</v>
      </c>
      <c r="J5" s="3310"/>
      <c r="K5" s="1043"/>
      <c r="L5" s="1044"/>
      <c r="M5" s="1045"/>
      <c r="N5" s="1045"/>
      <c r="O5" s="1045"/>
      <c r="P5" s="3356"/>
      <c r="Q5" s="3280"/>
      <c r="R5" s="3285"/>
      <c r="S5" s="3286"/>
      <c r="T5" s="3285"/>
      <c r="U5" s="3286"/>
      <c r="V5" s="3289"/>
      <c r="W5" s="3289"/>
      <c r="X5" s="1087"/>
      <c r="Y5" s="3285"/>
      <c r="Z5" s="3286"/>
      <c r="AA5" s="3271"/>
      <c r="AB5" s="3271"/>
      <c r="AC5" s="3352"/>
    </row>
    <row r="6" spans="1:29" ht="15">
      <c r="A6" s="903"/>
      <c r="B6" s="904"/>
      <c r="C6" s="3301" t="s">
        <v>1363</v>
      </c>
      <c r="D6" s="3302"/>
      <c r="E6" s="3303" t="s">
        <v>1363</v>
      </c>
      <c r="F6" s="3304"/>
      <c r="G6" s="3301" t="s">
        <v>1363</v>
      </c>
      <c r="H6" s="3302"/>
      <c r="I6" s="3301" t="s">
        <v>1363</v>
      </c>
      <c r="J6" s="3302"/>
      <c r="K6" s="1043" t="s">
        <v>1364</v>
      </c>
      <c r="L6" s="1044"/>
      <c r="M6" s="1045"/>
      <c r="N6" s="1045"/>
      <c r="O6" s="1045"/>
      <c r="P6" s="3357"/>
      <c r="Q6" s="3282"/>
      <c r="R6" s="3285"/>
      <c r="S6" s="3286"/>
      <c r="T6" s="3287"/>
      <c r="U6" s="3288"/>
      <c r="V6" s="3289"/>
      <c r="W6" s="3289"/>
      <c r="X6" s="1087"/>
      <c r="Y6" s="3287"/>
      <c r="Z6" s="3288"/>
      <c r="AA6" s="3272"/>
      <c r="AB6" s="3272"/>
      <c r="AC6" s="3353"/>
    </row>
    <row r="7" spans="1:29" s="880" customFormat="1" ht="15">
      <c r="A7" s="905" t="s">
        <v>1365</v>
      </c>
      <c r="B7" s="906"/>
      <c r="C7" s="907">
        <f>'数据-取费表'!B2</f>
        <v>44288</v>
      </c>
      <c r="D7" s="908">
        <v>100</v>
      </c>
      <c r="E7" s="909"/>
      <c r="F7" s="910">
        <f>SUMIF(59:59,YEAR(E7)&amp;"-"&amp;MONTH(E7),60:60)</f>
        <v>0</v>
      </c>
      <c r="G7" s="909"/>
      <c r="H7" s="908">
        <f>SUMIF(59:59,YEAR(G7)&amp;"-"&amp;MONTH(G7),60:60)</f>
        <v>0</v>
      </c>
      <c r="I7" s="909"/>
      <c r="J7" s="908">
        <f>SUMIF(59:59,YEAR(I7)&amp;"-"&amp;MONTH(I7),60:60)</f>
        <v>0</v>
      </c>
      <c r="K7" s="1046"/>
      <c r="L7" s="1047"/>
      <c r="M7" s="1048"/>
      <c r="N7" s="1048"/>
      <c r="O7" s="1048"/>
      <c r="P7" s="3364" t="s">
        <v>1366</v>
      </c>
      <c r="Q7" s="3305"/>
      <c r="R7" s="1088" t="s">
        <v>1367</v>
      </c>
      <c r="S7" s="1089">
        <f t="shared" ref="S7:S15" si="0">F7</f>
        <v>0</v>
      </c>
      <c r="T7" s="1088" t="s">
        <v>1367</v>
      </c>
      <c r="U7" s="1089">
        <f t="shared" ref="U7:U15" si="1">H7</f>
        <v>0</v>
      </c>
      <c r="V7" s="1088" t="s">
        <v>1367</v>
      </c>
      <c r="W7" s="1089">
        <f t="shared" ref="W7:W15" si="2">J7</f>
        <v>0</v>
      </c>
      <c r="X7" s="1090"/>
      <c r="Y7" s="3290" t="s">
        <v>1366</v>
      </c>
      <c r="Z7" s="3291"/>
      <c r="AA7" s="1102" t="e">
        <f>D7/F7</f>
        <v>#DIV/0!</v>
      </c>
      <c r="AB7" s="1102" t="e">
        <f>D7/H7</f>
        <v>#DIV/0!</v>
      </c>
      <c r="AC7" s="1458" t="e">
        <f>D7/J7</f>
        <v>#DIV/0!</v>
      </c>
    </row>
    <row r="8" spans="1:29" s="880" customFormat="1" ht="15">
      <c r="A8" s="905" t="s">
        <v>1368</v>
      </c>
      <c r="B8" s="906"/>
      <c r="C8" s="912" t="s">
        <v>1369</v>
      </c>
      <c r="D8" s="908">
        <v>100</v>
      </c>
      <c r="E8" s="912"/>
      <c r="F8" s="910">
        <f>SUMIF(62:62,E8,63:63)-SUMIF(62:62,C8,63:63)+100</f>
        <v>0</v>
      </c>
      <c r="G8" s="912"/>
      <c r="H8" s="908">
        <f>SUMIF(62:62,G8,63:63)-SUMIF(62:62,C8,63:63)+100</f>
        <v>0</v>
      </c>
      <c r="I8" s="912"/>
      <c r="J8" s="908">
        <f>SUMIF(62:62,I8,63:63)-SUMIF(62:62,C8,63:63)+100</f>
        <v>0</v>
      </c>
      <c r="K8" s="1046"/>
      <c r="L8" s="1047"/>
      <c r="M8" s="1048"/>
      <c r="N8" s="1048"/>
      <c r="O8" s="1048"/>
      <c r="P8" s="3364" t="s">
        <v>1370</v>
      </c>
      <c r="Q8" s="3291"/>
      <c r="R8" s="1088" t="s">
        <v>1367</v>
      </c>
      <c r="S8" s="1089">
        <f t="shared" si="0"/>
        <v>0</v>
      </c>
      <c r="T8" s="1088" t="s">
        <v>1367</v>
      </c>
      <c r="U8" s="1089">
        <f t="shared" si="1"/>
        <v>0</v>
      </c>
      <c r="V8" s="1088" t="s">
        <v>1367</v>
      </c>
      <c r="W8" s="1089">
        <f t="shared" si="2"/>
        <v>0</v>
      </c>
      <c r="X8" s="1090"/>
      <c r="Y8" s="3290" t="s">
        <v>1370</v>
      </c>
      <c r="Z8" s="3291"/>
      <c r="AA8" s="1102" t="e">
        <f t="shared" ref="AA8:AA47" si="3">D8/F8</f>
        <v>#DIV/0!</v>
      </c>
      <c r="AB8" s="1102" t="e">
        <f t="shared" ref="AB8:AB47" si="4">D8/H8</f>
        <v>#DIV/0!</v>
      </c>
      <c r="AC8" s="1458" t="e">
        <f t="shared" ref="AC8:AC47" si="5">D8/J8</f>
        <v>#DIV/0!</v>
      </c>
    </row>
    <row r="9" spans="1:29" s="880" customFormat="1">
      <c r="A9" s="913" t="s">
        <v>1371</v>
      </c>
      <c r="B9" s="914" t="s">
        <v>1372</v>
      </c>
      <c r="C9" s="1282"/>
      <c r="D9" s="916">
        <v>100</v>
      </c>
      <c r="E9" s="1283"/>
      <c r="F9" s="916">
        <f>SUMIF(64:64,E9,65:65)-SUMIF(64:64,C9,65:65)+100</f>
        <v>100</v>
      </c>
      <c r="G9" s="1351"/>
      <c r="H9" s="916">
        <f>SUMIF(64:64,G9,65:65)-SUMIF(64:64,C9,65:65)+100</f>
        <v>100</v>
      </c>
      <c r="I9" s="1351"/>
      <c r="J9" s="916">
        <f>SUMIF(64:64,I9,65:65)-SUMIF(64:64,C9,65:65)+100</f>
        <v>100</v>
      </c>
      <c r="K9" s="1046"/>
      <c r="L9" s="1047"/>
      <c r="M9" s="1048"/>
      <c r="N9" s="1048"/>
      <c r="O9" s="1048"/>
      <c r="P9" s="3275" t="s">
        <v>1373</v>
      </c>
      <c r="Q9" s="1092" t="str">
        <f t="shared" ref="Q9:Q15" si="6">B9</f>
        <v>用途</v>
      </c>
      <c r="R9" s="1088" t="s">
        <v>1367</v>
      </c>
      <c r="S9" s="1089">
        <f t="shared" si="0"/>
        <v>100</v>
      </c>
      <c r="T9" s="1088" t="s">
        <v>1367</v>
      </c>
      <c r="U9" s="1089">
        <f t="shared" si="1"/>
        <v>100</v>
      </c>
      <c r="V9" s="1088" t="s">
        <v>1367</v>
      </c>
      <c r="W9" s="1089">
        <f t="shared" si="2"/>
        <v>100</v>
      </c>
      <c r="X9" s="1090"/>
      <c r="Y9" s="3179" t="s">
        <v>1374</v>
      </c>
      <c r="Z9" s="1103" t="str">
        <f t="shared" ref="Z9:Z15" si="7">Q9</f>
        <v>用途</v>
      </c>
      <c r="AA9" s="1102">
        <f t="shared" si="3"/>
        <v>1</v>
      </c>
      <c r="AB9" s="1102">
        <f t="shared" si="4"/>
        <v>1</v>
      </c>
      <c r="AC9" s="1458">
        <f t="shared" si="5"/>
        <v>1</v>
      </c>
    </row>
    <row r="10" spans="1:29" s="881" customFormat="1" ht="27">
      <c r="A10" s="917"/>
      <c r="B10" s="918" t="s">
        <v>1375</v>
      </c>
      <c r="C10" s="1285"/>
      <c r="D10" s="920">
        <v>100</v>
      </c>
      <c r="E10" s="1285"/>
      <c r="F10" s="920">
        <f>SUMIF(66:66,E10,67:67)-SUMIF(66:66,C10,67:67)+100</f>
        <v>100</v>
      </c>
      <c r="G10" s="1354"/>
      <c r="H10" s="920">
        <f>SUMIF(66:66,G10,67:67)-SUMIF(66:66,C10,67:67)+100</f>
        <v>100</v>
      </c>
      <c r="I10" s="1285"/>
      <c r="J10" s="920">
        <f>SUMIF(66:66,I10,67:67)-SUMIF(66:66,C10,67:67)+100</f>
        <v>100</v>
      </c>
      <c r="K10" s="1063"/>
      <c r="L10" s="1051"/>
      <c r="M10" s="1052"/>
      <c r="N10" s="1052"/>
      <c r="O10" s="1052"/>
      <c r="P10" s="3275"/>
      <c r="Q10" s="1092" t="str">
        <f t="shared" si="6"/>
        <v>土地使用年限（年）</v>
      </c>
      <c r="R10" s="1088" t="s">
        <v>1367</v>
      </c>
      <c r="S10" s="1089">
        <f t="shared" si="0"/>
        <v>100</v>
      </c>
      <c r="T10" s="1088" t="s">
        <v>1367</v>
      </c>
      <c r="U10" s="1089">
        <f t="shared" si="1"/>
        <v>100</v>
      </c>
      <c r="V10" s="1088" t="s">
        <v>1367</v>
      </c>
      <c r="W10" s="1089">
        <f t="shared" si="2"/>
        <v>100</v>
      </c>
      <c r="X10" s="1090"/>
      <c r="Y10" s="3179"/>
      <c r="Z10" s="1103" t="str">
        <f t="shared" si="7"/>
        <v>土地使用年限（年）</v>
      </c>
      <c r="AA10" s="1102">
        <f t="shared" si="3"/>
        <v>1</v>
      </c>
      <c r="AB10" s="1102">
        <f t="shared" si="4"/>
        <v>1</v>
      </c>
      <c r="AC10" s="1458">
        <f t="shared" si="5"/>
        <v>1</v>
      </c>
    </row>
    <row r="11" spans="1:29" ht="15">
      <c r="A11" s="921"/>
      <c r="B11" s="918" t="s">
        <v>1376</v>
      </c>
      <c r="C11" s="922"/>
      <c r="D11" s="920">
        <v>100</v>
      </c>
      <c r="E11" s="922"/>
      <c r="F11" s="920" t="e">
        <f>LOOKUP(E11,69:69,70:70)-LOOKUP(C11,69:69,70:70)+100</f>
        <v>#N/A</v>
      </c>
      <c r="G11" s="923"/>
      <c r="H11" s="920" t="e">
        <f>LOOKUP(G11,69:69,70:70)-LOOKUP(C11,69:69,70:70)+100</f>
        <v>#N/A</v>
      </c>
      <c r="I11" s="922"/>
      <c r="J11" s="920" t="e">
        <f>LOOKUP(I11,69:69,70:70)-LOOKUP(C11,69:69,70:70)+100</f>
        <v>#N/A</v>
      </c>
      <c r="K11" s="1063"/>
      <c r="L11" s="1055"/>
      <c r="M11" s="1045"/>
      <c r="N11" s="1045"/>
      <c r="O11" s="1045"/>
      <c r="P11" s="3275"/>
      <c r="Q11" s="1092" t="str">
        <f t="shared" si="6"/>
        <v>容积率</v>
      </c>
      <c r="R11" s="1088" t="s">
        <v>1367</v>
      </c>
      <c r="S11" s="1089" t="e">
        <f t="shared" si="0"/>
        <v>#N/A</v>
      </c>
      <c r="T11" s="1088" t="s">
        <v>1367</v>
      </c>
      <c r="U11" s="1089" t="e">
        <f t="shared" si="1"/>
        <v>#N/A</v>
      </c>
      <c r="V11" s="1088" t="s">
        <v>1367</v>
      </c>
      <c r="W11" s="1089" t="e">
        <f t="shared" si="2"/>
        <v>#N/A</v>
      </c>
      <c r="X11" s="1090"/>
      <c r="Y11" s="3179"/>
      <c r="Z11" s="1103" t="str">
        <f t="shared" si="7"/>
        <v>容积率</v>
      </c>
      <c r="AA11" s="1102" t="e">
        <f t="shared" si="3"/>
        <v>#N/A</v>
      </c>
      <c r="AB11" s="1102" t="e">
        <f t="shared" si="4"/>
        <v>#N/A</v>
      </c>
      <c r="AC11" s="1458" t="e">
        <f t="shared" si="5"/>
        <v>#N/A</v>
      </c>
    </row>
    <row r="12" spans="1:29" s="880" customFormat="1" ht="15">
      <c r="A12" s="924"/>
      <c r="B12" s="925">
        <v>111</v>
      </c>
      <c r="C12" s="919"/>
      <c r="D12" s="926">
        <v>100</v>
      </c>
      <c r="E12" s="919"/>
      <c r="F12" s="920">
        <f>SUMIF(71:71,E12,72:72)-SUMIF(71:71,C12,72:72)+100</f>
        <v>100</v>
      </c>
      <c r="G12" s="1447"/>
      <c r="H12" s="920">
        <f>SUMIF(71:71,G12,72:72)-SUMIF(71:71,C12,72:72)+100</f>
        <v>100</v>
      </c>
      <c r="I12" s="919"/>
      <c r="J12" s="920">
        <f>SUMIF(71:71,I12,72:72)-SUMIF(71:71,C12,72:72)+100</f>
        <v>100</v>
      </c>
      <c r="K12" s="1062"/>
      <c r="L12" s="1047"/>
      <c r="M12" s="1048"/>
      <c r="N12" s="1048"/>
      <c r="O12" s="1048"/>
      <c r="P12" s="3275"/>
      <c r="Q12" s="1092">
        <f t="shared" si="6"/>
        <v>111</v>
      </c>
      <c r="R12" s="1088" t="s">
        <v>1367</v>
      </c>
      <c r="S12" s="1089">
        <f t="shared" si="0"/>
        <v>100</v>
      </c>
      <c r="T12" s="1088" t="s">
        <v>1367</v>
      </c>
      <c r="U12" s="1089">
        <f t="shared" si="1"/>
        <v>100</v>
      </c>
      <c r="V12" s="1088" t="s">
        <v>1367</v>
      </c>
      <c r="W12" s="1089">
        <f t="shared" si="2"/>
        <v>100</v>
      </c>
      <c r="X12" s="1090"/>
      <c r="Y12" s="3179"/>
      <c r="Z12" s="1103">
        <f t="shared" si="7"/>
        <v>111</v>
      </c>
      <c r="AA12" s="1102">
        <f t="shared" si="3"/>
        <v>1</v>
      </c>
      <c r="AB12" s="1102">
        <f t="shared" si="4"/>
        <v>1</v>
      </c>
      <c r="AC12" s="1458">
        <f t="shared" si="5"/>
        <v>1</v>
      </c>
    </row>
    <row r="13" spans="1:29" ht="15">
      <c r="A13" s="921"/>
      <c r="B13" s="925">
        <v>111</v>
      </c>
      <c r="C13" s="929"/>
      <c r="D13" s="930">
        <v>100</v>
      </c>
      <c r="E13" s="919"/>
      <c r="F13" s="920">
        <f>SUMIF(73:73,E13,74:74)-SUMIF(73:73,C13,74:74)+100</f>
        <v>100</v>
      </c>
      <c r="G13" s="1447"/>
      <c r="H13" s="930">
        <f>SUMIF(73:73,G13,74:74)-SUMIF(73:73,C13,74:74)+100</f>
        <v>100</v>
      </c>
      <c r="I13" s="919"/>
      <c r="J13" s="930">
        <f>SUMIF(73:73,I13,74:74)-SUMIF(73:73,C13,74:74)+100</f>
        <v>100</v>
      </c>
      <c r="K13" s="1062"/>
      <c r="L13" s="1057"/>
      <c r="M13" s="1045"/>
      <c r="N13" s="1045"/>
      <c r="O13" s="1045"/>
      <c r="P13" s="3275"/>
      <c r="Q13" s="1092">
        <f t="shared" si="6"/>
        <v>111</v>
      </c>
      <c r="R13" s="1088" t="s">
        <v>1367</v>
      </c>
      <c r="S13" s="1089">
        <f t="shared" si="0"/>
        <v>100</v>
      </c>
      <c r="T13" s="1088" t="s">
        <v>1367</v>
      </c>
      <c r="U13" s="1089">
        <f t="shared" si="1"/>
        <v>100</v>
      </c>
      <c r="V13" s="1088" t="s">
        <v>1367</v>
      </c>
      <c r="W13" s="1089">
        <f t="shared" si="2"/>
        <v>100</v>
      </c>
      <c r="X13" s="1090"/>
      <c r="Y13" s="3179"/>
      <c r="Z13" s="1103">
        <f t="shared" si="7"/>
        <v>111</v>
      </c>
      <c r="AA13" s="1102">
        <f t="shared" si="3"/>
        <v>1</v>
      </c>
      <c r="AB13" s="1102">
        <f t="shared" si="4"/>
        <v>1</v>
      </c>
      <c r="AC13" s="1458">
        <f t="shared" si="5"/>
        <v>1</v>
      </c>
    </row>
    <row r="14" spans="1:29" ht="15">
      <c r="A14" s="931"/>
      <c r="B14" s="932">
        <v>111</v>
      </c>
      <c r="C14" s="933"/>
      <c r="D14" s="934">
        <v>100</v>
      </c>
      <c r="E14" s="1363"/>
      <c r="F14" s="934">
        <f>SUMIF(75:75,E14,76:76)-SUMIF(75:75,C14,76:76)+100</f>
        <v>100</v>
      </c>
      <c r="G14" s="1447"/>
      <c r="H14" s="934">
        <f>SUMIF(75:75,G14,76:76)-SUMIF(75:75,C14,76:76)+100</f>
        <v>100</v>
      </c>
      <c r="I14" s="919"/>
      <c r="J14" s="934">
        <f>SUMIF(75:75,I14,76:76)-SUMIF(75:75,C14,76:76)+100</f>
        <v>100</v>
      </c>
      <c r="K14" s="1062"/>
      <c r="L14" s="1057"/>
      <c r="M14" s="1045"/>
      <c r="N14" s="1045"/>
      <c r="O14" s="1045"/>
      <c r="P14" s="3275"/>
      <c r="Q14" s="1092">
        <f t="shared" si="6"/>
        <v>111</v>
      </c>
      <c r="R14" s="1088" t="s">
        <v>1367</v>
      </c>
      <c r="S14" s="1089">
        <f t="shared" si="0"/>
        <v>100</v>
      </c>
      <c r="T14" s="1088" t="s">
        <v>1367</v>
      </c>
      <c r="U14" s="1089">
        <f t="shared" si="1"/>
        <v>100</v>
      </c>
      <c r="V14" s="1088" t="s">
        <v>1367</v>
      </c>
      <c r="W14" s="1089">
        <f t="shared" si="2"/>
        <v>100</v>
      </c>
      <c r="X14" s="1090"/>
      <c r="Y14" s="3179"/>
      <c r="Z14" s="1103">
        <f t="shared" si="7"/>
        <v>111</v>
      </c>
      <c r="AA14" s="1102">
        <f t="shared" si="3"/>
        <v>1</v>
      </c>
      <c r="AB14" s="1102">
        <f t="shared" si="4"/>
        <v>1</v>
      </c>
      <c r="AC14" s="1458">
        <f t="shared" si="5"/>
        <v>1</v>
      </c>
    </row>
    <row r="15" spans="1:29" ht="71.25">
      <c r="A15" s="935" t="s">
        <v>1377</v>
      </c>
      <c r="B15" s="936" t="s">
        <v>1460</v>
      </c>
      <c r="C15" s="1448" t="str">
        <f>估价对象房地状况!C5</f>
        <v>估价对象位于XX商圈，周边办公楼项目较多，入驻率高，办公集聚程度较好</v>
      </c>
      <c r="D15" s="938">
        <v>100</v>
      </c>
      <c r="E15" s="1058"/>
      <c r="F15" s="938">
        <f>SUMIF(77:77,E16,78:78)-SUMIF(77:77,C16,78:78)+100</f>
        <v>100</v>
      </c>
      <c r="G15" s="939"/>
      <c r="H15" s="938">
        <f>SUMIF(77:77,G16,78:78)-SUMIF(77:77,C16,78:78)+100</f>
        <v>100</v>
      </c>
      <c r="I15" s="939"/>
      <c r="J15" s="938">
        <f>SUMIF(77:77,I16,78:78)-SUMIF(77:77,C16,78:78)+100</f>
        <v>100</v>
      </c>
      <c r="K15" s="1328"/>
      <c r="L15" s="1057"/>
      <c r="M15" s="1045"/>
      <c r="N15" s="1045"/>
      <c r="O15" s="1045"/>
      <c r="P15" s="3315" t="s">
        <v>1379</v>
      </c>
      <c r="Q15" s="656" t="str">
        <f t="shared" si="6"/>
        <v>办公集聚程度</v>
      </c>
      <c r="R15" s="1093" t="s">
        <v>1367</v>
      </c>
      <c r="S15" s="1094">
        <f t="shared" si="0"/>
        <v>100</v>
      </c>
      <c r="T15" s="1093" t="s">
        <v>1367</v>
      </c>
      <c r="U15" s="1094">
        <f t="shared" si="1"/>
        <v>100</v>
      </c>
      <c r="V15" s="1093" t="s">
        <v>1367</v>
      </c>
      <c r="W15" s="1094">
        <f t="shared" si="2"/>
        <v>100</v>
      </c>
      <c r="X15" s="1087"/>
      <c r="Y15" s="3293" t="s">
        <v>1379</v>
      </c>
      <c r="Z15" s="1077" t="str">
        <f t="shared" si="7"/>
        <v>办公集聚程度</v>
      </c>
      <c r="AA15" s="1104">
        <f t="shared" si="3"/>
        <v>1</v>
      </c>
      <c r="AB15" s="1104">
        <f t="shared" si="4"/>
        <v>1</v>
      </c>
      <c r="AC15" s="1459">
        <f t="shared" si="5"/>
        <v>1</v>
      </c>
    </row>
    <row r="16" spans="1:29" ht="15">
      <c r="A16" s="921"/>
      <c r="B16" s="940"/>
      <c r="C16" s="943"/>
      <c r="D16" s="942"/>
      <c r="E16" s="941"/>
      <c r="F16" s="942"/>
      <c r="G16" s="943"/>
      <c r="H16" s="944"/>
      <c r="I16" s="941"/>
      <c r="J16" s="942"/>
      <c r="K16" s="1329"/>
      <c r="L16" s="1057"/>
      <c r="M16" s="1045"/>
      <c r="N16" s="1045"/>
      <c r="O16" s="1045"/>
      <c r="P16" s="3316"/>
      <c r="Q16" s="656"/>
      <c r="R16" s="1093"/>
      <c r="S16" s="1094"/>
      <c r="T16" s="1093"/>
      <c r="U16" s="1094"/>
      <c r="V16" s="1093"/>
      <c r="W16" s="1094"/>
      <c r="X16" s="1087"/>
      <c r="Y16" s="3294"/>
      <c r="Z16" s="1077"/>
      <c r="AA16" s="1104">
        <v>1</v>
      </c>
      <c r="AB16" s="1104">
        <v>1</v>
      </c>
      <c r="AC16" s="1459">
        <v>1</v>
      </c>
    </row>
    <row r="17" spans="1:29" ht="71.25">
      <c r="A17" s="921"/>
      <c r="B17" s="945" t="s">
        <v>1380</v>
      </c>
      <c r="C17" s="1449" t="str">
        <f>估价对象房地状况!C6</f>
        <v>估价对象周边道路状况、公共交通通达情况、停车便捷程度，综合评价交通便捷度较好</v>
      </c>
      <c r="D17" s="944">
        <v>100</v>
      </c>
      <c r="E17" s="1059"/>
      <c r="F17" s="944">
        <f>SUMIF(79:79,E18,80:80)-SUMIF(79:79,C18,80:80)+100</f>
        <v>100</v>
      </c>
      <c r="G17" s="947"/>
      <c r="H17" s="948">
        <f>SUMIF(79:79,G18,80:80)-SUMIF(79:79,C18,80:80)+100</f>
        <v>100</v>
      </c>
      <c r="I17" s="947"/>
      <c r="J17" s="948">
        <f>SUMIF(79:79,I18,80:80)-SUMIF(79:79,C18,80:80)+100</f>
        <v>100</v>
      </c>
      <c r="K17" s="1328"/>
      <c r="L17" s="1057"/>
      <c r="M17" s="1045"/>
      <c r="N17" s="1045"/>
      <c r="O17" s="1045"/>
      <c r="P17" s="3316"/>
      <c r="Q17" s="656" t="str">
        <f>B17</f>
        <v>交通便捷度</v>
      </c>
      <c r="R17" s="1093" t="s">
        <v>1367</v>
      </c>
      <c r="S17" s="1094">
        <f>F17</f>
        <v>100</v>
      </c>
      <c r="T17" s="1093" t="s">
        <v>1367</v>
      </c>
      <c r="U17" s="1094">
        <f>H17</f>
        <v>100</v>
      </c>
      <c r="V17" s="1093" t="s">
        <v>1367</v>
      </c>
      <c r="W17" s="1094">
        <f>J17</f>
        <v>100</v>
      </c>
      <c r="X17" s="1087"/>
      <c r="Y17" s="3294"/>
      <c r="Z17" s="1077" t="str">
        <f>Q17</f>
        <v>交通便捷度</v>
      </c>
      <c r="AA17" s="1104">
        <f t="shared" si="3"/>
        <v>1</v>
      </c>
      <c r="AB17" s="1104">
        <f t="shared" si="4"/>
        <v>1</v>
      </c>
      <c r="AC17" s="1459">
        <f t="shared" si="5"/>
        <v>1</v>
      </c>
    </row>
    <row r="18" spans="1:29" ht="15">
      <c r="A18" s="921"/>
      <c r="B18" s="949"/>
      <c r="C18" s="1450"/>
      <c r="D18" s="944"/>
      <c r="E18" s="1247"/>
      <c r="F18" s="944"/>
      <c r="G18" s="1238"/>
      <c r="H18" s="942"/>
      <c r="I18" s="1238"/>
      <c r="J18" s="942"/>
      <c r="K18" s="1329"/>
      <c r="L18" s="1057"/>
      <c r="M18" s="1045"/>
      <c r="N18" s="1045"/>
      <c r="O18" s="1045"/>
      <c r="P18" s="3316"/>
      <c r="Q18" s="656"/>
      <c r="R18" s="1093"/>
      <c r="S18" s="1094"/>
      <c r="T18" s="1093"/>
      <c r="U18" s="1094"/>
      <c r="V18" s="1093"/>
      <c r="W18" s="1094"/>
      <c r="X18" s="1087"/>
      <c r="Y18" s="3294"/>
      <c r="Z18" s="1077"/>
      <c r="AA18" s="1104">
        <v>1</v>
      </c>
      <c r="AB18" s="1104">
        <v>1</v>
      </c>
      <c r="AC18" s="1459">
        <v>1</v>
      </c>
    </row>
    <row r="19" spans="1:29" ht="42.75">
      <c r="A19" s="921"/>
      <c r="B19" s="945" t="s">
        <v>1381</v>
      </c>
      <c r="C19" s="1449" t="str">
        <f>估价对象房地状况!C7</f>
        <v>估价对象所在区域公共配套设施齐备情况</v>
      </c>
      <c r="D19" s="948">
        <v>100</v>
      </c>
      <c r="E19" s="1248"/>
      <c r="F19" s="948">
        <f>SUMIF(81:81,E20,82:82)-SUMIF(81:81,C20,82:82)+100</f>
        <v>100</v>
      </c>
      <c r="G19" s="1239"/>
      <c r="H19" s="944">
        <f>SUMIF(81:81,G20,82:82)-SUMIF(81:81,C20,82:82)+100</f>
        <v>100</v>
      </c>
      <c r="I19" s="1239"/>
      <c r="J19" s="944">
        <f>SUMIF(81:81,I20,82:82)-SUMIF(81:81,C20,82:82)+100</f>
        <v>100</v>
      </c>
      <c r="K19" s="1328"/>
      <c r="L19" s="1057"/>
      <c r="M19" s="1045"/>
      <c r="N19" s="1045"/>
      <c r="O19" s="1045"/>
      <c r="P19" s="3316"/>
      <c r="Q19" s="656" t="str">
        <f>B19</f>
        <v>公共配套设施</v>
      </c>
      <c r="R19" s="1093" t="s">
        <v>1367</v>
      </c>
      <c r="S19" s="1094">
        <f>F19</f>
        <v>100</v>
      </c>
      <c r="T19" s="1093" t="s">
        <v>1367</v>
      </c>
      <c r="U19" s="1094">
        <f>H19</f>
        <v>100</v>
      </c>
      <c r="V19" s="1093" t="s">
        <v>1367</v>
      </c>
      <c r="W19" s="1094">
        <f>J19</f>
        <v>100</v>
      </c>
      <c r="X19" s="1087"/>
      <c r="Y19" s="3294"/>
      <c r="Z19" s="1077" t="str">
        <f>Q19</f>
        <v>公共配套设施</v>
      </c>
      <c r="AA19" s="1104">
        <f t="shared" si="3"/>
        <v>1</v>
      </c>
      <c r="AB19" s="1104">
        <f t="shared" si="4"/>
        <v>1</v>
      </c>
      <c r="AC19" s="1459">
        <f t="shared" si="5"/>
        <v>1</v>
      </c>
    </row>
    <row r="20" spans="1:29" ht="15">
      <c r="A20" s="921"/>
      <c r="B20" s="949"/>
      <c r="C20" s="943"/>
      <c r="D20" s="942"/>
      <c r="E20" s="1060"/>
      <c r="F20" s="942"/>
      <c r="G20" s="950"/>
      <c r="H20" s="942"/>
      <c r="I20" s="950"/>
      <c r="J20" s="942"/>
      <c r="K20" s="1329"/>
      <c r="L20" s="1057"/>
      <c r="M20" s="1045"/>
      <c r="N20" s="1045"/>
      <c r="O20" s="1045"/>
      <c r="P20" s="3316"/>
      <c r="Q20" s="656"/>
      <c r="R20" s="1093"/>
      <c r="S20" s="1094"/>
      <c r="T20" s="1093"/>
      <c r="U20" s="1094"/>
      <c r="V20" s="1093"/>
      <c r="W20" s="1094"/>
      <c r="X20" s="1087"/>
      <c r="Y20" s="3294"/>
      <c r="Z20" s="1077"/>
      <c r="AA20" s="1104">
        <v>1</v>
      </c>
      <c r="AB20" s="1104">
        <v>1</v>
      </c>
      <c r="AC20" s="1459">
        <v>1</v>
      </c>
    </row>
    <row r="21" spans="1:29" ht="28.5">
      <c r="A21" s="921"/>
      <c r="B21" s="952" t="s">
        <v>1382</v>
      </c>
      <c r="C21" s="1449" t="str">
        <f>估价对象房地状况!C8</f>
        <v>估价对象所在区域基础设施水平</v>
      </c>
      <c r="D21" s="944">
        <v>100</v>
      </c>
      <c r="E21" s="1248"/>
      <c r="F21" s="948">
        <f>SUMIF(83:83,E22,84:84)-SUMIF(83:83,C22,84:84)+100</f>
        <v>100</v>
      </c>
      <c r="G21" s="1239"/>
      <c r="H21" s="944">
        <f>SUMIF(83:83,G22,84:84)-SUMIF(83:83,C22,84:84)+100</f>
        <v>100</v>
      </c>
      <c r="I21" s="1239"/>
      <c r="J21" s="944">
        <f>SUMIF(83:83,I22,84:84)-SUMIF(83:83,C22,84:84)+100</f>
        <v>100</v>
      </c>
      <c r="K21" s="1328"/>
      <c r="L21" s="1057"/>
      <c r="M21" s="1045"/>
      <c r="N21" s="1045"/>
      <c r="O21" s="1045"/>
      <c r="P21" s="3316"/>
      <c r="Q21" s="656" t="str">
        <f>B21</f>
        <v>基础设施水平</v>
      </c>
      <c r="R21" s="1093" t="s">
        <v>1367</v>
      </c>
      <c r="S21" s="1094">
        <f>F21</f>
        <v>100</v>
      </c>
      <c r="T21" s="1093" t="s">
        <v>1367</v>
      </c>
      <c r="U21" s="1094">
        <f>H21</f>
        <v>100</v>
      </c>
      <c r="V21" s="1093" t="s">
        <v>1367</v>
      </c>
      <c r="W21" s="1094">
        <f>J21</f>
        <v>100</v>
      </c>
      <c r="X21" s="1087"/>
      <c r="Y21" s="3294"/>
      <c r="Z21" s="1077" t="str">
        <f>Q21</f>
        <v>基础设施水平</v>
      </c>
      <c r="AA21" s="1104">
        <f>D21/F21</f>
        <v>1</v>
      </c>
      <c r="AB21" s="1104">
        <f>D21/H21</f>
        <v>1</v>
      </c>
      <c r="AC21" s="1459">
        <f>D21/J21</f>
        <v>1</v>
      </c>
    </row>
    <row r="22" spans="1:29" ht="15">
      <c r="A22" s="921"/>
      <c r="B22" s="952"/>
      <c r="C22" s="1450"/>
      <c r="D22" s="942"/>
      <c r="E22" s="941"/>
      <c r="F22" s="942"/>
      <c r="G22" s="943"/>
      <c r="H22" s="942"/>
      <c r="I22" s="943"/>
      <c r="J22" s="942"/>
      <c r="K22" s="1330"/>
      <c r="L22" s="1057"/>
      <c r="M22" s="1045"/>
      <c r="N22" s="1045"/>
      <c r="O22" s="1045"/>
      <c r="P22" s="3316"/>
      <c r="Q22" s="656"/>
      <c r="R22" s="1093"/>
      <c r="S22" s="1094"/>
      <c r="T22" s="1093"/>
      <c r="U22" s="1094"/>
      <c r="V22" s="1093"/>
      <c r="W22" s="1094"/>
      <c r="X22" s="1087"/>
      <c r="Y22" s="3294"/>
      <c r="Z22" s="1077"/>
      <c r="AA22" s="1104">
        <v>1</v>
      </c>
      <c r="AB22" s="1104">
        <v>1</v>
      </c>
      <c r="AC22" s="1459">
        <v>1</v>
      </c>
    </row>
    <row r="23" spans="1:29" ht="42.75">
      <c r="A23" s="921"/>
      <c r="B23" s="945" t="s">
        <v>1461</v>
      </c>
      <c r="C23" s="1449" t="str">
        <f>估价对象房地状况!C9</f>
        <v>区域自然环境：；人文环境；综合评价环境状况一般</v>
      </c>
      <c r="D23" s="944">
        <v>100</v>
      </c>
      <c r="E23" s="1059"/>
      <c r="F23" s="944">
        <f>SUMIF(85:85,E24,86:86)-SUMIF(85:85,C24,86:86)+100</f>
        <v>100</v>
      </c>
      <c r="G23" s="947"/>
      <c r="H23" s="944">
        <f>SUMIF(85:85,G24,86:86)-SUMIF(85:85,C24,86:86)+100</f>
        <v>100</v>
      </c>
      <c r="I23" s="947"/>
      <c r="J23" s="944">
        <f>SUMIF(85:85,I24,86:86)-SUMIF(85:85,C24,86:86)+100</f>
        <v>100</v>
      </c>
      <c r="K23" s="1328"/>
      <c r="L23" s="1057"/>
      <c r="M23" s="1045"/>
      <c r="N23" s="1045"/>
      <c r="O23" s="1045"/>
      <c r="P23" s="3316"/>
      <c r="Q23" s="656" t="str">
        <f>B23</f>
        <v>环境质量</v>
      </c>
      <c r="R23" s="1093" t="s">
        <v>1367</v>
      </c>
      <c r="S23" s="1094">
        <f>F23</f>
        <v>100</v>
      </c>
      <c r="T23" s="1093" t="s">
        <v>1367</v>
      </c>
      <c r="U23" s="1094">
        <f>H23</f>
        <v>100</v>
      </c>
      <c r="V23" s="1093" t="s">
        <v>1367</v>
      </c>
      <c r="W23" s="1094">
        <f>J23</f>
        <v>100</v>
      </c>
      <c r="X23" s="1087"/>
      <c r="Y23" s="3294"/>
      <c r="Z23" s="1077" t="str">
        <f>Q23</f>
        <v>环境质量</v>
      </c>
      <c r="AA23" s="1104">
        <f t="shared" si="3"/>
        <v>1</v>
      </c>
      <c r="AB23" s="1104">
        <f t="shared" si="4"/>
        <v>1</v>
      </c>
      <c r="AC23" s="1459">
        <f t="shared" si="5"/>
        <v>1</v>
      </c>
    </row>
    <row r="24" spans="1:29" ht="15">
      <c r="A24" s="921"/>
      <c r="B24" s="952"/>
      <c r="C24" s="943"/>
      <c r="D24" s="942"/>
      <c r="E24" s="1060"/>
      <c r="F24" s="942"/>
      <c r="G24" s="950"/>
      <c r="H24" s="942"/>
      <c r="I24" s="950"/>
      <c r="J24" s="942"/>
      <c r="K24" s="1329"/>
      <c r="L24" s="1057"/>
      <c r="M24" s="1045"/>
      <c r="N24" s="1045"/>
      <c r="O24" s="1045"/>
      <c r="P24" s="3316"/>
      <c r="Q24" s="656"/>
      <c r="R24" s="1093"/>
      <c r="S24" s="1094"/>
      <c r="T24" s="1093"/>
      <c r="U24" s="1094"/>
      <c r="V24" s="1093"/>
      <c r="W24" s="1094"/>
      <c r="X24" s="1087"/>
      <c r="Y24" s="3294"/>
      <c r="Z24" s="1077"/>
      <c r="AA24" s="1104">
        <v>1</v>
      </c>
      <c r="AB24" s="1104">
        <v>1</v>
      </c>
      <c r="AC24" s="1459">
        <v>1</v>
      </c>
    </row>
    <row r="25" spans="1:29" ht="27">
      <c r="A25" s="901"/>
      <c r="B25" s="945" t="s">
        <v>1462</v>
      </c>
      <c r="C25" s="1451"/>
      <c r="D25" s="930">
        <v>100</v>
      </c>
      <c r="E25" s="929"/>
      <c r="F25" s="930">
        <f>SUMIF(87:87,E26,88:88)-SUMIF(87:87,C26,88:88)+100</f>
        <v>100</v>
      </c>
      <c r="G25" s="1451"/>
      <c r="H25" s="930">
        <f>SUMIF(87:87,G26,88:88)-SUMIF(87:87,C26,88:88)+100</f>
        <v>100</v>
      </c>
      <c r="I25" s="929"/>
      <c r="J25" s="930">
        <f>SUMIF(87:87,I26,88:88)-SUMIF(87:87,C26,88:88)+100</f>
        <v>100</v>
      </c>
      <c r="K25" s="1328"/>
      <c r="L25" s="1057"/>
      <c r="M25" s="1045"/>
      <c r="N25" s="1045"/>
      <c r="O25" s="1045"/>
      <c r="P25" s="3316"/>
      <c r="Q25" s="656" t="str">
        <f>B25</f>
        <v>毗邻道路的类型与等级</v>
      </c>
      <c r="R25" s="1093" t="s">
        <v>1367</v>
      </c>
      <c r="S25" s="1094">
        <f>F25</f>
        <v>100</v>
      </c>
      <c r="T25" s="1093" t="s">
        <v>1367</v>
      </c>
      <c r="U25" s="1094">
        <f>H25</f>
        <v>100</v>
      </c>
      <c r="V25" s="1093" t="s">
        <v>1367</v>
      </c>
      <c r="W25" s="1094">
        <f>J25</f>
        <v>100</v>
      </c>
      <c r="X25" s="1087"/>
      <c r="Y25" s="3294"/>
      <c r="Z25" s="1077" t="str">
        <f>Q25</f>
        <v>毗邻道路的类型与等级</v>
      </c>
      <c r="AA25" s="1104">
        <f t="shared" si="3"/>
        <v>1</v>
      </c>
      <c r="AB25" s="1104">
        <f t="shared" si="4"/>
        <v>1</v>
      </c>
      <c r="AC25" s="1459">
        <f t="shared" si="5"/>
        <v>1</v>
      </c>
    </row>
    <row r="26" spans="1:29" ht="15">
      <c r="A26" s="901"/>
      <c r="B26" s="949"/>
      <c r="C26" s="956"/>
      <c r="D26" s="930"/>
      <c r="E26" s="955"/>
      <c r="F26" s="930"/>
      <c r="G26" s="956"/>
      <c r="H26" s="930"/>
      <c r="I26" s="955"/>
      <c r="J26" s="930"/>
      <c r="K26" s="1329"/>
      <c r="L26" s="1057"/>
      <c r="M26" s="1045"/>
      <c r="N26" s="1045"/>
      <c r="O26" s="1045"/>
      <c r="P26" s="3316"/>
      <c r="Q26" s="656"/>
      <c r="R26" s="1093"/>
      <c r="S26" s="1094"/>
      <c r="T26" s="1093"/>
      <c r="U26" s="1094"/>
      <c r="V26" s="1093"/>
      <c r="W26" s="1094"/>
      <c r="X26" s="1087"/>
      <c r="Y26" s="3294"/>
      <c r="Z26" s="1077"/>
      <c r="AA26" s="1104">
        <v>1</v>
      </c>
      <c r="AB26" s="1104">
        <v>1</v>
      </c>
      <c r="AC26" s="1459">
        <v>1</v>
      </c>
    </row>
    <row r="27" spans="1:29" ht="15">
      <c r="A27" s="921"/>
      <c r="B27" s="949" t="s">
        <v>1451</v>
      </c>
      <c r="C27" s="956"/>
      <c r="D27" s="930">
        <v>100</v>
      </c>
      <c r="E27" s="955"/>
      <c r="F27" s="930">
        <f>SUMIF(89:89,E27,90:90)-SUMIF(89:89,C27,90:90)+100</f>
        <v>100</v>
      </c>
      <c r="G27" s="956"/>
      <c r="H27" s="930">
        <f>SUMIF(89:89,G27,90:90)-SUMIF(89:89,C27,90:90)+100</f>
        <v>100</v>
      </c>
      <c r="I27" s="955"/>
      <c r="J27" s="930">
        <f>SUMIF(89:89,I27,90:90)-SUMIF(89:89,C27,90:90)+100</f>
        <v>100</v>
      </c>
      <c r="K27" s="1063"/>
      <c r="L27" s="1057"/>
      <c r="M27" s="1045"/>
      <c r="N27" s="1045"/>
      <c r="O27" s="1045"/>
      <c r="P27" s="3316"/>
      <c r="Q27" s="656" t="str">
        <f t="shared" ref="Q27:Q47" si="8">B27</f>
        <v>楼层</v>
      </c>
      <c r="R27" s="1093" t="s">
        <v>1367</v>
      </c>
      <c r="S27" s="1094">
        <f>F27</f>
        <v>100</v>
      </c>
      <c r="T27" s="1093" t="s">
        <v>1367</v>
      </c>
      <c r="U27" s="1094">
        <f>H27</f>
        <v>100</v>
      </c>
      <c r="V27" s="1093" t="s">
        <v>1367</v>
      </c>
      <c r="W27" s="1094">
        <f>J27</f>
        <v>100</v>
      </c>
      <c r="X27" s="1087"/>
      <c r="Y27" s="3294"/>
      <c r="Z27" s="1077" t="str">
        <f>Q27</f>
        <v>楼层</v>
      </c>
      <c r="AA27" s="1104">
        <f t="shared" si="3"/>
        <v>1</v>
      </c>
      <c r="AB27" s="1104">
        <f t="shared" si="4"/>
        <v>1</v>
      </c>
      <c r="AC27" s="1459">
        <f t="shared" si="5"/>
        <v>1</v>
      </c>
    </row>
    <row r="28" spans="1:29" s="880" customFormat="1" ht="15">
      <c r="A28" s="924"/>
      <c r="B28" s="945" t="s">
        <v>1385</v>
      </c>
      <c r="C28" s="1452"/>
      <c r="D28" s="1405">
        <v>100</v>
      </c>
      <c r="E28" s="1453"/>
      <c r="F28" s="1405">
        <f>SUMIF(91:91,E28,92:92)-SUMIF(91:91,C28,92:92)+100</f>
        <v>100</v>
      </c>
      <c r="G28" s="1452"/>
      <c r="H28" s="1405">
        <f>SUMIF(91:91,G28,92:92)-SUMIF(91:91,C28,92:92)+100</f>
        <v>100</v>
      </c>
      <c r="I28" s="1453"/>
      <c r="J28" s="1405">
        <f>SUMIF(91:91,I28,92:92)-SUMIF(91:91,C28,92:92)+100</f>
        <v>100</v>
      </c>
      <c r="K28" s="1063"/>
      <c r="L28" s="1047"/>
      <c r="M28" s="1048"/>
      <c r="N28" s="1048"/>
      <c r="O28" s="1048"/>
      <c r="P28" s="3316"/>
      <c r="Q28" s="1092" t="str">
        <f t="shared" si="8"/>
        <v>朝向</v>
      </c>
      <c r="R28" s="1088" t="s">
        <v>1367</v>
      </c>
      <c r="S28" s="1089">
        <f>F28</f>
        <v>100</v>
      </c>
      <c r="T28" s="1088" t="s">
        <v>1367</v>
      </c>
      <c r="U28" s="1089">
        <f>H28</f>
        <v>100</v>
      </c>
      <c r="V28" s="1088" t="s">
        <v>1367</v>
      </c>
      <c r="W28" s="1089">
        <f>J28</f>
        <v>100</v>
      </c>
      <c r="X28" s="1090"/>
      <c r="Y28" s="3294"/>
      <c r="Z28" s="1103" t="str">
        <f>Q28</f>
        <v>朝向</v>
      </c>
      <c r="AA28" s="1104">
        <f t="shared" si="3"/>
        <v>1</v>
      </c>
      <c r="AB28" s="1104">
        <f t="shared" si="4"/>
        <v>1</v>
      </c>
      <c r="AC28" s="1459">
        <f t="shared" si="5"/>
        <v>1</v>
      </c>
    </row>
    <row r="29" spans="1:29" ht="15">
      <c r="A29" s="921"/>
      <c r="B29" s="960">
        <v>111</v>
      </c>
      <c r="C29" s="1451"/>
      <c r="D29" s="930">
        <v>100</v>
      </c>
      <c r="E29" s="919"/>
      <c r="F29" s="930">
        <f>SUMIF(93:93,E29,94:94)-SUMIF(93:93,C29,94:94)+100</f>
        <v>100</v>
      </c>
      <c r="G29" s="1447"/>
      <c r="H29" s="930">
        <f>SUMIF(93:93,G29,94:94)-SUMIF(93:93,C29,94:94)+100</f>
        <v>100</v>
      </c>
      <c r="I29" s="919"/>
      <c r="J29" s="930">
        <f>SUMIF(93:93,I29,94:94)-SUMIF(93:93,C29,94:94)+100</f>
        <v>100</v>
      </c>
      <c r="K29" s="1062"/>
      <c r="L29" s="1057"/>
      <c r="M29" s="1045"/>
      <c r="N29" s="1045"/>
      <c r="O29" s="1045"/>
      <c r="P29" s="3316"/>
      <c r="Q29" s="656">
        <f t="shared" si="8"/>
        <v>111</v>
      </c>
      <c r="R29" s="1093" t="s">
        <v>1367</v>
      </c>
      <c r="S29" s="1094">
        <f t="shared" ref="S29:S47" si="9">F29</f>
        <v>100</v>
      </c>
      <c r="T29" s="1093" t="s">
        <v>1367</v>
      </c>
      <c r="U29" s="1094">
        <f t="shared" ref="U29:U47" si="10">H29</f>
        <v>100</v>
      </c>
      <c r="V29" s="1093" t="s">
        <v>1367</v>
      </c>
      <c r="W29" s="1094">
        <f t="shared" ref="W29:W47" si="11">J29</f>
        <v>100</v>
      </c>
      <c r="X29" s="1087"/>
      <c r="Y29" s="3294"/>
      <c r="Z29" s="1077">
        <f t="shared" ref="Z29:Z47" si="12">Q29</f>
        <v>111</v>
      </c>
      <c r="AA29" s="1104">
        <f t="shared" si="3"/>
        <v>1</v>
      </c>
      <c r="AB29" s="1104">
        <f t="shared" si="4"/>
        <v>1</v>
      </c>
      <c r="AC29" s="1459">
        <f t="shared" si="5"/>
        <v>1</v>
      </c>
    </row>
    <row r="30" spans="1:29" ht="15">
      <c r="A30" s="921"/>
      <c r="B30" s="960">
        <v>111</v>
      </c>
      <c r="C30" s="1451"/>
      <c r="D30" s="930">
        <v>100</v>
      </c>
      <c r="E30" s="919"/>
      <c r="F30" s="930">
        <f>SUMIF(95:95,E30,96:96)-SUMIF(95:95,C30,96:96)+100</f>
        <v>100</v>
      </c>
      <c r="G30" s="1447"/>
      <c r="H30" s="930">
        <f>SUMIF(95:95,G30,96:96)-SUMIF(95:95,C30,96:96)+100</f>
        <v>100</v>
      </c>
      <c r="I30" s="919"/>
      <c r="J30" s="930">
        <f>SUMIF(95:95,I30,96:96)-SUMIF(95:95,C30,96:96)+100</f>
        <v>100</v>
      </c>
      <c r="K30" s="1062"/>
      <c r="L30" s="1057"/>
      <c r="M30" s="1045"/>
      <c r="N30" s="1045"/>
      <c r="O30" s="1045"/>
      <c r="P30" s="3316"/>
      <c r="Q30" s="656">
        <f t="shared" si="8"/>
        <v>111</v>
      </c>
      <c r="R30" s="1093" t="s">
        <v>1367</v>
      </c>
      <c r="S30" s="1094">
        <f t="shared" si="9"/>
        <v>100</v>
      </c>
      <c r="T30" s="1093" t="s">
        <v>1367</v>
      </c>
      <c r="U30" s="1094">
        <f t="shared" si="10"/>
        <v>100</v>
      </c>
      <c r="V30" s="1093" t="s">
        <v>1367</v>
      </c>
      <c r="W30" s="1094">
        <f t="shared" si="11"/>
        <v>100</v>
      </c>
      <c r="X30" s="1087"/>
      <c r="Y30" s="3294"/>
      <c r="Z30" s="1077">
        <f t="shared" si="12"/>
        <v>111</v>
      </c>
      <c r="AA30" s="1104">
        <f t="shared" si="3"/>
        <v>1</v>
      </c>
      <c r="AB30" s="1104">
        <f t="shared" si="4"/>
        <v>1</v>
      </c>
      <c r="AC30" s="1459">
        <f t="shared" si="5"/>
        <v>1</v>
      </c>
    </row>
    <row r="31" spans="1:29" ht="15">
      <c r="A31" s="921"/>
      <c r="B31" s="960">
        <v>111</v>
      </c>
      <c r="C31" s="1451"/>
      <c r="D31" s="930">
        <v>100</v>
      </c>
      <c r="E31" s="919"/>
      <c r="F31" s="930">
        <f>SUMIF(97:97,E31,98:98)-SUMIF(97:97,C31,98:98)+100</f>
        <v>100</v>
      </c>
      <c r="G31" s="1447"/>
      <c r="H31" s="930">
        <f>SUMIF(97:97,G31,98:98)-SUMIF(97:97,C31,98:98)+100</f>
        <v>100</v>
      </c>
      <c r="I31" s="919"/>
      <c r="J31" s="930">
        <f>SUMIF(97:97,I31,98:98)-SUMIF(97:97,C31,98:98)+100</f>
        <v>100</v>
      </c>
      <c r="K31" s="1062"/>
      <c r="L31" s="1057"/>
      <c r="M31" s="1045"/>
      <c r="N31" s="1045"/>
      <c r="O31" s="1045"/>
      <c r="P31" s="3316"/>
      <c r="Q31" s="656">
        <f t="shared" si="8"/>
        <v>111</v>
      </c>
      <c r="R31" s="1093" t="s">
        <v>1367</v>
      </c>
      <c r="S31" s="1094">
        <f t="shared" si="9"/>
        <v>100</v>
      </c>
      <c r="T31" s="1093" t="s">
        <v>1367</v>
      </c>
      <c r="U31" s="1094">
        <f t="shared" si="10"/>
        <v>100</v>
      </c>
      <c r="V31" s="1093" t="s">
        <v>1367</v>
      </c>
      <c r="W31" s="1094">
        <f t="shared" si="11"/>
        <v>100</v>
      </c>
      <c r="X31" s="1087"/>
      <c r="Y31" s="3294"/>
      <c r="Z31" s="1077">
        <f t="shared" si="12"/>
        <v>111</v>
      </c>
      <c r="AA31" s="1104">
        <f t="shared" si="3"/>
        <v>1</v>
      </c>
      <c r="AB31" s="1104">
        <f t="shared" si="4"/>
        <v>1</v>
      </c>
      <c r="AC31" s="1459">
        <f t="shared" si="5"/>
        <v>1</v>
      </c>
    </row>
    <row r="32" spans="1:29" ht="15">
      <c r="A32" s="931"/>
      <c r="B32" s="1361">
        <v>111</v>
      </c>
      <c r="C32" s="1454"/>
      <c r="D32" s="934">
        <v>100</v>
      </c>
      <c r="E32" s="1363"/>
      <c r="F32" s="934">
        <f>SUMIF(99:99,E32,100:100)-SUMIF(99:99,C32,100:100)+100</f>
        <v>100</v>
      </c>
      <c r="G32" s="1447"/>
      <c r="H32" s="934">
        <f>SUMIF(99:99,G32,100:100)-SUMIF(99:99,C32,100:100)+100</f>
        <v>100</v>
      </c>
      <c r="I32" s="919"/>
      <c r="J32" s="934">
        <f>SUMIF(99:99,I32,100:100)-SUMIF(99:99,C32,100:100)+100</f>
        <v>100</v>
      </c>
      <c r="K32" s="1062"/>
      <c r="L32" s="1057"/>
      <c r="M32" s="1045"/>
      <c r="N32" s="1045"/>
      <c r="O32" s="1045"/>
      <c r="P32" s="3316"/>
      <c r="Q32" s="656">
        <f t="shared" si="8"/>
        <v>111</v>
      </c>
      <c r="R32" s="1093" t="s">
        <v>1367</v>
      </c>
      <c r="S32" s="1094">
        <f t="shared" si="9"/>
        <v>100</v>
      </c>
      <c r="T32" s="1093" t="s">
        <v>1367</v>
      </c>
      <c r="U32" s="1094">
        <f t="shared" si="10"/>
        <v>100</v>
      </c>
      <c r="V32" s="1093" t="s">
        <v>1367</v>
      </c>
      <c r="W32" s="1094">
        <f t="shared" si="11"/>
        <v>100</v>
      </c>
      <c r="X32" s="1087"/>
      <c r="Y32" s="3294"/>
      <c r="Z32" s="1077">
        <f t="shared" si="12"/>
        <v>111</v>
      </c>
      <c r="AA32" s="1104">
        <f t="shared" si="3"/>
        <v>1</v>
      </c>
      <c r="AB32" s="1104">
        <f t="shared" si="4"/>
        <v>1</v>
      </c>
      <c r="AC32" s="1459">
        <f t="shared" si="5"/>
        <v>1</v>
      </c>
    </row>
    <row r="33" spans="1:29" ht="15">
      <c r="A33" s="935" t="s">
        <v>1386</v>
      </c>
      <c r="B33" s="914" t="s">
        <v>1387</v>
      </c>
      <c r="C33" s="1298"/>
      <c r="D33" s="971">
        <v>100</v>
      </c>
      <c r="E33" s="1298"/>
      <c r="F33" s="1293">
        <f>SUMIF(101:101,E33,102:102)-SUMIF(101:101,C33,102:102)+100</f>
        <v>100</v>
      </c>
      <c r="G33" s="1298"/>
      <c r="H33" s="930">
        <f>SUMIF(101:101,G33,102:102)-SUMIF(101:101,C33,102:102)+100</f>
        <v>100</v>
      </c>
      <c r="I33" s="1298"/>
      <c r="J33" s="971">
        <f>SUMIF(101:101,I33,102:102)-SUMIF(101:101,C33,102:102)+100</f>
        <v>100</v>
      </c>
      <c r="K33" s="1063"/>
      <c r="L33" s="1057"/>
      <c r="M33" s="1045"/>
      <c r="N33" s="1045"/>
      <c r="O33" s="1045"/>
      <c r="P33" s="3317" t="s">
        <v>1388</v>
      </c>
      <c r="Q33" s="656" t="str">
        <f t="shared" si="8"/>
        <v>建筑类型</v>
      </c>
      <c r="R33" s="1093" t="s">
        <v>1367</v>
      </c>
      <c r="S33" s="1094">
        <f t="shared" si="9"/>
        <v>100</v>
      </c>
      <c r="T33" s="1093" t="s">
        <v>1367</v>
      </c>
      <c r="U33" s="1094">
        <f t="shared" si="10"/>
        <v>100</v>
      </c>
      <c r="V33" s="1093" t="s">
        <v>1367</v>
      </c>
      <c r="W33" s="1094">
        <f t="shared" si="11"/>
        <v>100</v>
      </c>
      <c r="X33" s="1087"/>
      <c r="Y33" s="3296" t="s">
        <v>1388</v>
      </c>
      <c r="Z33" s="1077" t="str">
        <f t="shared" si="12"/>
        <v>建筑类型</v>
      </c>
      <c r="AA33" s="1104">
        <f t="shared" si="3"/>
        <v>1</v>
      </c>
      <c r="AB33" s="1104">
        <f t="shared" si="4"/>
        <v>1</v>
      </c>
      <c r="AC33" s="1459">
        <f t="shared" si="5"/>
        <v>1</v>
      </c>
    </row>
    <row r="34" spans="1:29" s="882" customFormat="1" ht="15">
      <c r="A34" s="977"/>
      <c r="B34" s="918" t="s">
        <v>1389</v>
      </c>
      <c r="C34" s="1287"/>
      <c r="D34" s="920">
        <v>100</v>
      </c>
      <c r="E34" s="923"/>
      <c r="F34" s="1286" t="e">
        <f>LOOKUP(E34,104:104,105:105)-LOOKUP(C34,104:104,105:105)+100</f>
        <v>#N/A</v>
      </c>
      <c r="G34" s="922"/>
      <c r="H34" s="920" t="e">
        <f>LOOKUP(G34,104:104,105:105)-LOOKUP(C34,104:104,105:105)+100</f>
        <v>#N/A</v>
      </c>
      <c r="I34" s="922"/>
      <c r="J34" s="920" t="e">
        <f>LOOKUP(I34,104:104,105:105)-LOOKUP(C34,104:104,105:105)+100</f>
        <v>#N/A</v>
      </c>
      <c r="K34" s="1062"/>
      <c r="L34" s="1055"/>
      <c r="M34" s="1064"/>
      <c r="N34" s="1064"/>
      <c r="O34" s="1064"/>
      <c r="P34" s="3318"/>
      <c r="Q34" s="1332" t="str">
        <f t="shared" si="8"/>
        <v>项目建筑规模</v>
      </c>
      <c r="R34" s="1095" t="s">
        <v>1367</v>
      </c>
      <c r="S34" s="1096" t="e">
        <f t="shared" si="9"/>
        <v>#N/A</v>
      </c>
      <c r="T34" s="1095" t="s">
        <v>1367</v>
      </c>
      <c r="U34" s="1096" t="e">
        <f t="shared" si="10"/>
        <v>#N/A</v>
      </c>
      <c r="V34" s="1095" t="s">
        <v>1367</v>
      </c>
      <c r="W34" s="1096" t="e">
        <f t="shared" si="11"/>
        <v>#N/A</v>
      </c>
      <c r="X34" s="1097"/>
      <c r="Y34" s="3296"/>
      <c r="Z34" s="1105" t="str">
        <f t="shared" si="12"/>
        <v>项目建筑规模</v>
      </c>
      <c r="AA34" s="1104" t="e">
        <f t="shared" si="3"/>
        <v>#N/A</v>
      </c>
      <c r="AB34" s="1104" t="e">
        <f t="shared" si="4"/>
        <v>#N/A</v>
      </c>
      <c r="AC34" s="1459" t="e">
        <f t="shared" si="5"/>
        <v>#N/A</v>
      </c>
    </row>
    <row r="35" spans="1:29" ht="15">
      <c r="A35" s="972"/>
      <c r="B35" s="918" t="s">
        <v>1390</v>
      </c>
      <c r="C35" s="1303"/>
      <c r="D35" s="930">
        <v>100</v>
      </c>
      <c r="E35" s="1303"/>
      <c r="F35" s="1293">
        <f>SUMIF(106:106,E35,107:107)-SUMIF(106:106,C35,107:107)+100</f>
        <v>100</v>
      </c>
      <c r="G35" s="1303"/>
      <c r="H35" s="930">
        <f>SUMIF(106:106,G35,107:107)-SUMIF(106:106,C35,107:107)+100</f>
        <v>100</v>
      </c>
      <c r="I35" s="1303"/>
      <c r="J35" s="930">
        <f>SUMIF(106:106,I35,107:107)-SUMIF(106:106,C35,107:107)+100</f>
        <v>100</v>
      </c>
      <c r="K35" s="1063"/>
      <c r="L35" s="1057"/>
      <c r="M35" s="1045"/>
      <c r="N35" s="1045"/>
      <c r="O35" s="1045"/>
      <c r="P35" s="3318"/>
      <c r="Q35" s="656" t="str">
        <f t="shared" si="8"/>
        <v>建筑结构</v>
      </c>
      <c r="R35" s="1093" t="s">
        <v>1367</v>
      </c>
      <c r="S35" s="1094">
        <f t="shared" si="9"/>
        <v>100</v>
      </c>
      <c r="T35" s="1093" t="s">
        <v>1367</v>
      </c>
      <c r="U35" s="1094">
        <f t="shared" si="10"/>
        <v>100</v>
      </c>
      <c r="V35" s="1093" t="s">
        <v>1367</v>
      </c>
      <c r="W35" s="1094">
        <f t="shared" si="11"/>
        <v>100</v>
      </c>
      <c r="X35" s="1087"/>
      <c r="Y35" s="3296"/>
      <c r="Z35" s="1077" t="str">
        <f t="shared" si="12"/>
        <v>建筑结构</v>
      </c>
      <c r="AA35" s="1104">
        <f t="shared" si="3"/>
        <v>1</v>
      </c>
      <c r="AB35" s="1104">
        <f t="shared" si="4"/>
        <v>1</v>
      </c>
      <c r="AC35" s="1459">
        <f t="shared" si="5"/>
        <v>1</v>
      </c>
    </row>
    <row r="36" spans="1:29" ht="15">
      <c r="A36" s="972"/>
      <c r="B36" s="918" t="s">
        <v>1392</v>
      </c>
      <c r="C36" s="1303"/>
      <c r="D36" s="930">
        <v>100</v>
      </c>
      <c r="E36" s="1303"/>
      <c r="F36" s="1293">
        <f>SUMIF(108:108,E36,109:109)-SUMIF(108:108,C36,109:109)+100</f>
        <v>100</v>
      </c>
      <c r="G36" s="1303"/>
      <c r="H36" s="930">
        <f>SUMIF(108:108,G36,109:109)-SUMIF(108:108,C36,109:109)+100</f>
        <v>100</v>
      </c>
      <c r="I36" s="1303"/>
      <c r="J36" s="930">
        <f>SUMIF(108:108,I36,109:109)-SUMIF(108:108,C36,109:109)+100</f>
        <v>100</v>
      </c>
      <c r="K36" s="1063"/>
      <c r="L36" s="1057"/>
      <c r="M36" s="1045"/>
      <c r="N36" s="1045"/>
      <c r="O36" s="1045"/>
      <c r="P36" s="3318"/>
      <c r="Q36" s="656" t="str">
        <f t="shared" si="8"/>
        <v>公共部分装修</v>
      </c>
      <c r="R36" s="1093" t="s">
        <v>1367</v>
      </c>
      <c r="S36" s="1094">
        <f t="shared" si="9"/>
        <v>100</v>
      </c>
      <c r="T36" s="1093" t="s">
        <v>1367</v>
      </c>
      <c r="U36" s="1094">
        <f t="shared" si="10"/>
        <v>100</v>
      </c>
      <c r="V36" s="1093" t="s">
        <v>1367</v>
      </c>
      <c r="W36" s="1094">
        <f t="shared" si="11"/>
        <v>100</v>
      </c>
      <c r="X36" s="1087"/>
      <c r="Y36" s="3296"/>
      <c r="Z36" s="1077" t="str">
        <f t="shared" si="12"/>
        <v>公共部分装修</v>
      </c>
      <c r="AA36" s="1104">
        <f t="shared" si="3"/>
        <v>1</v>
      </c>
      <c r="AB36" s="1104">
        <f t="shared" si="4"/>
        <v>1</v>
      </c>
      <c r="AC36" s="1459">
        <f t="shared" si="5"/>
        <v>1</v>
      </c>
    </row>
    <row r="37" spans="1:29" ht="15">
      <c r="A37" s="972"/>
      <c r="B37" s="918" t="s">
        <v>576</v>
      </c>
      <c r="C37" s="1300"/>
      <c r="D37" s="930">
        <v>100</v>
      </c>
      <c r="E37" s="1300"/>
      <c r="F37" s="1293" t="e">
        <f>LOOKUP(E37,111:111,112:112)-LOOKUP(C37,111:111,112:112)+100</f>
        <v>#N/A</v>
      </c>
      <c r="G37" s="1300"/>
      <c r="H37" s="1293" t="e">
        <f>LOOKUP(G37,111:111,112:112)-LOOKUP(C37,111:111,112:112)+100</f>
        <v>#N/A</v>
      </c>
      <c r="I37" s="1300"/>
      <c r="J37" s="930" t="e">
        <f>LOOKUP(I37,111:111,112:112)-LOOKUP(C37,111:111,112:112)+100</f>
        <v>#N/A</v>
      </c>
      <c r="K37" s="1063"/>
      <c r="L37" s="1057"/>
      <c r="M37" s="1045"/>
      <c r="N37" s="1045"/>
      <c r="O37" s="1045"/>
      <c r="P37" s="3318"/>
      <c r="Q37" s="656" t="str">
        <f t="shared" si="8"/>
        <v>成新度</v>
      </c>
      <c r="R37" s="1093" t="s">
        <v>1367</v>
      </c>
      <c r="S37" s="1094" t="e">
        <f t="shared" si="9"/>
        <v>#N/A</v>
      </c>
      <c r="T37" s="1093" t="s">
        <v>1367</v>
      </c>
      <c r="U37" s="1094" t="e">
        <f t="shared" si="10"/>
        <v>#N/A</v>
      </c>
      <c r="V37" s="1093" t="s">
        <v>1367</v>
      </c>
      <c r="W37" s="1094" t="e">
        <f t="shared" si="11"/>
        <v>#N/A</v>
      </c>
      <c r="X37" s="1087"/>
      <c r="Y37" s="3296"/>
      <c r="Z37" s="1077" t="str">
        <f t="shared" si="12"/>
        <v>成新度</v>
      </c>
      <c r="AA37" s="1104" t="e">
        <f t="shared" si="3"/>
        <v>#N/A</v>
      </c>
      <c r="AB37" s="1104" t="e">
        <f t="shared" si="4"/>
        <v>#N/A</v>
      </c>
      <c r="AC37" s="1459" t="e">
        <f t="shared" si="5"/>
        <v>#N/A</v>
      </c>
    </row>
    <row r="38" spans="1:29" s="880" customFormat="1" ht="15">
      <c r="A38" s="974"/>
      <c r="B38" s="918" t="s">
        <v>1463</v>
      </c>
      <c r="C38" s="1303"/>
      <c r="D38" s="920">
        <v>100</v>
      </c>
      <c r="E38" s="1303"/>
      <c r="F38" s="1293">
        <f>SUMIF(113:113,E38,114:114)-SUMIF(113:113,C38,114:114)+100</f>
        <v>100</v>
      </c>
      <c r="G38" s="1303"/>
      <c r="H38" s="930">
        <f>SUMIF(113:113,G38,114:114)-SUMIF(113:113,C38,114:114)+100</f>
        <v>100</v>
      </c>
      <c r="I38" s="1303"/>
      <c r="J38" s="930">
        <f>SUMIF(113:113,I38,114:114)-SUMIF(113:113,C38,114:114)+100</f>
        <v>100</v>
      </c>
      <c r="K38" s="1063"/>
      <c r="L38" s="1047"/>
      <c r="M38" s="1048"/>
      <c r="N38" s="1048"/>
      <c r="O38" s="1048"/>
      <c r="P38" s="3318"/>
      <c r="Q38" s="1092" t="str">
        <f t="shared" si="8"/>
        <v>写字楼等级</v>
      </c>
      <c r="R38" s="1088" t="s">
        <v>1367</v>
      </c>
      <c r="S38" s="1089">
        <f t="shared" si="9"/>
        <v>100</v>
      </c>
      <c r="T38" s="1088" t="s">
        <v>1367</v>
      </c>
      <c r="U38" s="1089">
        <f t="shared" si="10"/>
        <v>100</v>
      </c>
      <c r="V38" s="1088" t="s">
        <v>1367</v>
      </c>
      <c r="W38" s="1089">
        <f t="shared" si="11"/>
        <v>100</v>
      </c>
      <c r="X38" s="1090"/>
      <c r="Y38" s="3296"/>
      <c r="Z38" s="1103" t="str">
        <f t="shared" si="12"/>
        <v>写字楼等级</v>
      </c>
      <c r="AA38" s="1102">
        <f t="shared" si="3"/>
        <v>1</v>
      </c>
      <c r="AB38" s="1102">
        <f t="shared" si="4"/>
        <v>1</v>
      </c>
      <c r="AC38" s="1458">
        <f t="shared" si="5"/>
        <v>1</v>
      </c>
    </row>
    <row r="39" spans="1:29" ht="15">
      <c r="A39" s="972"/>
      <c r="B39" s="918" t="s">
        <v>1393</v>
      </c>
      <c r="C39" s="1303"/>
      <c r="D39" s="930">
        <v>100</v>
      </c>
      <c r="E39" s="1303"/>
      <c r="F39" s="1293">
        <f>SUMIF(115:115,E39,116:116)-SUMIF(115:115,C39,116:116)+100</f>
        <v>100</v>
      </c>
      <c r="G39" s="1303"/>
      <c r="H39" s="930">
        <f>SUMIF(115:115,G39,116:116)-SUMIF(115:115,C39,116:116)+100</f>
        <v>100</v>
      </c>
      <c r="I39" s="1303"/>
      <c r="J39" s="930">
        <f>SUMIF(115:115,I39,116:116)-SUMIF(115:115,C39,116:116)+100</f>
        <v>100</v>
      </c>
      <c r="K39" s="1063"/>
      <c r="L39" s="1057"/>
      <c r="M39" s="1045"/>
      <c r="N39" s="1045"/>
      <c r="O39" s="1045"/>
      <c r="P39" s="3318" t="s">
        <v>1388</v>
      </c>
      <c r="Q39" s="656" t="str">
        <f t="shared" si="8"/>
        <v>物业管理</v>
      </c>
      <c r="R39" s="1093" t="s">
        <v>1367</v>
      </c>
      <c r="S39" s="1094">
        <f t="shared" si="9"/>
        <v>100</v>
      </c>
      <c r="T39" s="1093" t="s">
        <v>1367</v>
      </c>
      <c r="U39" s="1094">
        <f t="shared" si="10"/>
        <v>100</v>
      </c>
      <c r="V39" s="1093" t="s">
        <v>1367</v>
      </c>
      <c r="W39" s="1094">
        <f t="shared" si="11"/>
        <v>100</v>
      </c>
      <c r="X39" s="1087"/>
      <c r="Y39" s="3296" t="s">
        <v>1388</v>
      </c>
      <c r="Z39" s="1077" t="str">
        <f t="shared" si="12"/>
        <v>物业管理</v>
      </c>
      <c r="AA39" s="1104">
        <f t="shared" si="3"/>
        <v>1</v>
      </c>
      <c r="AB39" s="1104">
        <f t="shared" si="4"/>
        <v>1</v>
      </c>
      <c r="AC39" s="1459">
        <f t="shared" si="5"/>
        <v>1</v>
      </c>
    </row>
    <row r="40" spans="1:29" ht="15">
      <c r="A40" s="972"/>
      <c r="B40" s="918" t="s">
        <v>1394</v>
      </c>
      <c r="C40" s="1303"/>
      <c r="D40" s="930">
        <v>100</v>
      </c>
      <c r="E40" s="1303"/>
      <c r="F40" s="1293">
        <f>SUMIF(117:117,E40,118:118)-SUMIF(117:117,C40,118:118)+100</f>
        <v>100</v>
      </c>
      <c r="G40" s="1303"/>
      <c r="H40" s="930">
        <f>SUMIF(117:117,G40,118:118)-SUMIF(117:117,C40,118:118)+100</f>
        <v>100</v>
      </c>
      <c r="I40" s="1303"/>
      <c r="J40" s="930">
        <f>SUMIF(117:117,I40,118:118)-SUMIF(117:117,C40,118:118)+100</f>
        <v>100</v>
      </c>
      <c r="K40" s="1063"/>
      <c r="L40" s="1057"/>
      <c r="M40" s="1045"/>
      <c r="N40" s="1045"/>
      <c r="O40" s="1045"/>
      <c r="P40" s="3318"/>
      <c r="Q40" s="656" t="str">
        <f t="shared" si="8"/>
        <v>市政基础设施</v>
      </c>
      <c r="R40" s="1093" t="s">
        <v>1367</v>
      </c>
      <c r="S40" s="1094">
        <f t="shared" si="9"/>
        <v>100</v>
      </c>
      <c r="T40" s="1093" t="s">
        <v>1367</v>
      </c>
      <c r="U40" s="1094">
        <f t="shared" si="10"/>
        <v>100</v>
      </c>
      <c r="V40" s="1093" t="s">
        <v>1367</v>
      </c>
      <c r="W40" s="1094">
        <f t="shared" si="11"/>
        <v>100</v>
      </c>
      <c r="X40" s="1087"/>
      <c r="Y40" s="3296"/>
      <c r="Z40" s="1077" t="str">
        <f t="shared" si="12"/>
        <v>市政基础设施</v>
      </c>
      <c r="AA40" s="1104">
        <f t="shared" si="3"/>
        <v>1</v>
      </c>
      <c r="AB40" s="1104">
        <f t="shared" si="4"/>
        <v>1</v>
      </c>
      <c r="AC40" s="1459">
        <f t="shared" si="5"/>
        <v>1</v>
      </c>
    </row>
    <row r="41" spans="1:29" ht="15">
      <c r="A41" s="972"/>
      <c r="B41" s="918" t="s">
        <v>1454</v>
      </c>
      <c r="C41" s="955"/>
      <c r="D41" s="930">
        <v>100</v>
      </c>
      <c r="E41" s="955"/>
      <c r="F41" s="1293">
        <f>SUMIF(119:119,E41,120:120)-SUMIF(119:119,C41,120:120)+100</f>
        <v>100</v>
      </c>
      <c r="G41" s="955"/>
      <c r="H41" s="930">
        <f>SUMIF(119:119,G41,120:120)-SUMIF(119:119,C41,120:120)+100</f>
        <v>100</v>
      </c>
      <c r="I41" s="955"/>
      <c r="J41" s="930">
        <f>SUMIF(119:119,I41,120:120)-SUMIF(119:119,C41,120:120)+100</f>
        <v>100</v>
      </c>
      <c r="K41" s="1063"/>
      <c r="L41" s="1057"/>
      <c r="M41" s="1045"/>
      <c r="N41" s="1045"/>
      <c r="O41" s="1045"/>
      <c r="P41" s="3318"/>
      <c r="Q41" s="656" t="str">
        <f t="shared" si="8"/>
        <v>层高</v>
      </c>
      <c r="R41" s="1093" t="s">
        <v>1367</v>
      </c>
      <c r="S41" s="1094">
        <f t="shared" si="9"/>
        <v>100</v>
      </c>
      <c r="T41" s="1093" t="s">
        <v>1367</v>
      </c>
      <c r="U41" s="1094">
        <f t="shared" si="10"/>
        <v>100</v>
      </c>
      <c r="V41" s="1093" t="s">
        <v>1367</v>
      </c>
      <c r="W41" s="1094">
        <f t="shared" si="11"/>
        <v>100</v>
      </c>
      <c r="X41" s="1087"/>
      <c r="Y41" s="3296"/>
      <c r="Z41" s="1077" t="str">
        <f t="shared" si="12"/>
        <v>层高</v>
      </c>
      <c r="AA41" s="1104">
        <f t="shared" si="3"/>
        <v>1</v>
      </c>
      <c r="AB41" s="1104">
        <f t="shared" si="4"/>
        <v>1</v>
      </c>
      <c r="AC41" s="1459">
        <f t="shared" si="5"/>
        <v>1</v>
      </c>
    </row>
    <row r="42" spans="1:29" s="882" customFormat="1" ht="15">
      <c r="A42" s="977"/>
      <c r="B42" s="1072" t="s">
        <v>1464</v>
      </c>
      <c r="C42" s="929"/>
      <c r="D42" s="930">
        <v>100</v>
      </c>
      <c r="E42" s="929"/>
      <c r="F42" s="1293">
        <f>SUMIF(121:121,E42,122:122)-SUMIF(121:121,C42,122:122)+100</f>
        <v>100</v>
      </c>
      <c r="G42" s="929"/>
      <c r="H42" s="930">
        <f>SUMIF(121:121,G42,122:122)-SUMIF(121:121,C42,122:122)+100</f>
        <v>100</v>
      </c>
      <c r="I42" s="929"/>
      <c r="J42" s="930">
        <f>SUMIF(121:121,I42,122:122)-SUMIF(121:121,C42,122:122)+100</f>
        <v>100</v>
      </c>
      <c r="K42" s="1062"/>
      <c r="L42" s="1055"/>
      <c r="M42" s="1064"/>
      <c r="N42" s="1064"/>
      <c r="O42" s="1064"/>
      <c r="P42" s="3318"/>
      <c r="Q42" s="1332" t="str">
        <f t="shared" si="8"/>
        <v>单套建筑面积</v>
      </c>
      <c r="R42" s="1095" t="s">
        <v>1367</v>
      </c>
      <c r="S42" s="1096">
        <f t="shared" si="9"/>
        <v>100</v>
      </c>
      <c r="T42" s="1095" t="s">
        <v>1367</v>
      </c>
      <c r="U42" s="1096">
        <f t="shared" si="10"/>
        <v>100</v>
      </c>
      <c r="V42" s="1095" t="s">
        <v>1367</v>
      </c>
      <c r="W42" s="1096">
        <f t="shared" si="11"/>
        <v>100</v>
      </c>
      <c r="X42" s="1097"/>
      <c r="Y42" s="3296"/>
      <c r="Z42" s="1105" t="str">
        <f t="shared" si="12"/>
        <v>单套建筑面积</v>
      </c>
      <c r="AA42" s="1104">
        <f t="shared" si="3"/>
        <v>1</v>
      </c>
      <c r="AB42" s="1104">
        <f t="shared" si="4"/>
        <v>1</v>
      </c>
      <c r="AC42" s="1459">
        <f t="shared" si="5"/>
        <v>1</v>
      </c>
    </row>
    <row r="43" spans="1:29" ht="15">
      <c r="A43" s="972"/>
      <c r="B43" s="918" t="s">
        <v>1397</v>
      </c>
      <c r="C43" s="1303"/>
      <c r="D43" s="930">
        <v>100</v>
      </c>
      <c r="E43" s="1303"/>
      <c r="F43" s="1293">
        <f>SUMIF(123:123,E43,124:124)-SUMIF(123:123,C43,124:124)+100</f>
        <v>100</v>
      </c>
      <c r="G43" s="1303"/>
      <c r="H43" s="930">
        <f>SUMIF(123:123,G43,124:124)-SUMIF(123:123,C43,124:124)+100</f>
        <v>100</v>
      </c>
      <c r="I43" s="1303"/>
      <c r="J43" s="930">
        <f>SUMIF(123:123,I43,124:124)-SUMIF(123:123,C43,124:124)+100</f>
        <v>100</v>
      </c>
      <c r="K43" s="1063"/>
      <c r="L43" s="1057"/>
      <c r="M43" s="1045"/>
      <c r="N43" s="1045"/>
      <c r="O43" s="1045"/>
      <c r="P43" s="3318"/>
      <c r="Q43" s="656" t="str">
        <f t="shared" si="8"/>
        <v>内部装修</v>
      </c>
      <c r="R43" s="1093" t="s">
        <v>1367</v>
      </c>
      <c r="S43" s="1094">
        <f t="shared" si="9"/>
        <v>100</v>
      </c>
      <c r="T43" s="1093" t="s">
        <v>1367</v>
      </c>
      <c r="U43" s="1094">
        <f t="shared" si="10"/>
        <v>100</v>
      </c>
      <c r="V43" s="1093" t="s">
        <v>1367</v>
      </c>
      <c r="W43" s="1094">
        <f t="shared" si="11"/>
        <v>100</v>
      </c>
      <c r="X43" s="1087"/>
      <c r="Y43" s="3296"/>
      <c r="Z43" s="1077" t="str">
        <f t="shared" si="12"/>
        <v>内部装修</v>
      </c>
      <c r="AA43" s="1104">
        <f t="shared" si="3"/>
        <v>1</v>
      </c>
      <c r="AB43" s="1104">
        <f t="shared" si="4"/>
        <v>1</v>
      </c>
      <c r="AC43" s="1459">
        <f t="shared" si="5"/>
        <v>1</v>
      </c>
    </row>
    <row r="44" spans="1:29" ht="15">
      <c r="A44" s="972"/>
      <c r="B44" s="918" t="s">
        <v>1398</v>
      </c>
      <c r="C44" s="1303"/>
      <c r="D44" s="930">
        <v>100</v>
      </c>
      <c r="E44" s="973"/>
      <c r="F44" s="1293">
        <f>SUMIF(125:125,E44,126:126)-SUMIF(125:125,C44,126:126)+100</f>
        <v>100</v>
      </c>
      <c r="G44" s="973"/>
      <c r="H44" s="930">
        <f>SUMIF(125:125,G44,126:126)-SUMIF(125:125,C44,126:126)+100</f>
        <v>100</v>
      </c>
      <c r="I44" s="973"/>
      <c r="J44" s="930">
        <f>SUMIF(125:125,I44,126:126)-SUMIF(125:125,C44,126:126)+100</f>
        <v>100</v>
      </c>
      <c r="K44" s="1063"/>
      <c r="L44" s="1057"/>
      <c r="M44" s="1045"/>
      <c r="N44" s="1045"/>
      <c r="O44" s="1045"/>
      <c r="P44" s="3318"/>
      <c r="Q44" s="656" t="str">
        <f t="shared" si="8"/>
        <v>内部装修维护情况</v>
      </c>
      <c r="R44" s="1093" t="s">
        <v>1367</v>
      </c>
      <c r="S44" s="1094">
        <f t="shared" si="9"/>
        <v>100</v>
      </c>
      <c r="T44" s="1093" t="s">
        <v>1367</v>
      </c>
      <c r="U44" s="1094">
        <f t="shared" si="10"/>
        <v>100</v>
      </c>
      <c r="V44" s="1093" t="s">
        <v>1367</v>
      </c>
      <c r="W44" s="1094">
        <f t="shared" si="11"/>
        <v>100</v>
      </c>
      <c r="X44" s="1087"/>
      <c r="Y44" s="3296"/>
      <c r="Z44" s="1077" t="str">
        <f t="shared" si="12"/>
        <v>内部装修维护情况</v>
      </c>
      <c r="AA44" s="1104">
        <f t="shared" si="3"/>
        <v>1</v>
      </c>
      <c r="AB44" s="1104">
        <f t="shared" si="4"/>
        <v>1</v>
      </c>
      <c r="AC44" s="1459">
        <f t="shared" si="5"/>
        <v>1</v>
      </c>
    </row>
    <row r="45" spans="1:29" s="880" customFormat="1" ht="15">
      <c r="A45" s="974"/>
      <c r="B45" s="1241">
        <v>111</v>
      </c>
      <c r="C45" s="1287"/>
      <c r="D45" s="920">
        <v>100</v>
      </c>
      <c r="E45" s="919"/>
      <c r="F45" s="1286">
        <f>SUMIF(127:127,E45,128:128)-SUMIF(127:127,C45,128:128)+100</f>
        <v>100</v>
      </c>
      <c r="G45" s="919"/>
      <c r="H45" s="920">
        <f>SUMIF(127:127,G45,128:128)-SUMIF(127:127,C45,128:128)+100</f>
        <v>100</v>
      </c>
      <c r="I45" s="919"/>
      <c r="J45" s="920">
        <f>SUMIF(127:127,I45,128:128)-SUMIF(127:127,C45,128:128)+100</f>
        <v>100</v>
      </c>
      <c r="K45" s="1062"/>
      <c r="L45" s="1047"/>
      <c r="M45" s="1048"/>
      <c r="N45" s="1048"/>
      <c r="O45" s="1048"/>
      <c r="P45" s="3318"/>
      <c r="Q45" s="1092">
        <f t="shared" si="8"/>
        <v>111</v>
      </c>
      <c r="R45" s="1088" t="s">
        <v>1367</v>
      </c>
      <c r="S45" s="1089">
        <f t="shared" si="9"/>
        <v>100</v>
      </c>
      <c r="T45" s="1088" t="s">
        <v>1367</v>
      </c>
      <c r="U45" s="1089">
        <f t="shared" si="10"/>
        <v>100</v>
      </c>
      <c r="V45" s="1088" t="s">
        <v>1367</v>
      </c>
      <c r="W45" s="1089">
        <f t="shared" si="11"/>
        <v>100</v>
      </c>
      <c r="X45" s="1090"/>
      <c r="Y45" s="3296"/>
      <c r="Z45" s="1103">
        <f t="shared" si="12"/>
        <v>111</v>
      </c>
      <c r="AA45" s="1102">
        <f t="shared" si="3"/>
        <v>1</v>
      </c>
      <c r="AB45" s="1102">
        <f t="shared" si="4"/>
        <v>1</v>
      </c>
      <c r="AC45" s="1458">
        <f t="shared" si="5"/>
        <v>1</v>
      </c>
    </row>
    <row r="46" spans="1:29" ht="15">
      <c r="A46" s="972"/>
      <c r="B46" s="1241">
        <v>111</v>
      </c>
      <c r="C46" s="929"/>
      <c r="D46" s="930">
        <v>100</v>
      </c>
      <c r="E46" s="919"/>
      <c r="F46" s="1293">
        <f>SUMIF(129:129,E46,130:130)-SUMIF(129:129,C46,130:130)+100</f>
        <v>100</v>
      </c>
      <c r="G46" s="919"/>
      <c r="H46" s="930">
        <f>SUMIF(129:129,G46,130:130)-SUMIF(129:129,C46,130:130)+100</f>
        <v>100</v>
      </c>
      <c r="I46" s="919"/>
      <c r="J46" s="930">
        <f>SUMIF(129:129,I46,130:130)-SUMIF(129:129,C46,130:130)+100</f>
        <v>100</v>
      </c>
      <c r="K46" s="1062"/>
      <c r="L46" s="1057"/>
      <c r="M46" s="1045"/>
      <c r="N46" s="1045"/>
      <c r="O46" s="1045"/>
      <c r="P46" s="3318"/>
      <c r="Q46" s="656">
        <f t="shared" si="8"/>
        <v>111</v>
      </c>
      <c r="R46" s="1093" t="s">
        <v>1367</v>
      </c>
      <c r="S46" s="1094">
        <f t="shared" si="9"/>
        <v>100</v>
      </c>
      <c r="T46" s="1093" t="s">
        <v>1367</v>
      </c>
      <c r="U46" s="1094">
        <f t="shared" si="10"/>
        <v>100</v>
      </c>
      <c r="V46" s="1093" t="s">
        <v>1367</v>
      </c>
      <c r="W46" s="1094">
        <f t="shared" si="11"/>
        <v>100</v>
      </c>
      <c r="X46" s="1087"/>
      <c r="Y46" s="3296"/>
      <c r="Z46" s="1077">
        <f t="shared" si="12"/>
        <v>111</v>
      </c>
      <c r="AA46" s="1104">
        <f t="shared" si="3"/>
        <v>1</v>
      </c>
      <c r="AB46" s="1104">
        <f t="shared" si="4"/>
        <v>1</v>
      </c>
      <c r="AC46" s="1459">
        <f t="shared" si="5"/>
        <v>1</v>
      </c>
    </row>
    <row r="47" spans="1:29" ht="15">
      <c r="A47" s="1305"/>
      <c r="B47" s="932">
        <v>111</v>
      </c>
      <c r="C47" s="933"/>
      <c r="D47" s="934">
        <v>100</v>
      </c>
      <c r="E47" s="919"/>
      <c r="F47" s="1306">
        <f>SUMIF(131:131,E47,132:132)-SUMIF(131:131,C47,132:132)+100</f>
        <v>100</v>
      </c>
      <c r="G47" s="919"/>
      <c r="H47" s="934">
        <f>SUMIF(131:131,G47,132:132)-SUMIF(131:131,C47,132:132)+100</f>
        <v>100</v>
      </c>
      <c r="I47" s="919"/>
      <c r="J47" s="934">
        <f>SUMIF(131:131,I47,132:132)-SUMIF(131:131,C47,132:132)+100</f>
        <v>100</v>
      </c>
      <c r="K47" s="1062"/>
      <c r="L47" s="1057"/>
      <c r="M47" s="1045"/>
      <c r="N47" s="1045"/>
      <c r="O47" s="1045"/>
      <c r="P47" s="3319"/>
      <c r="Q47" s="656">
        <f t="shared" si="8"/>
        <v>111</v>
      </c>
      <c r="R47" s="1093" t="s">
        <v>1367</v>
      </c>
      <c r="S47" s="1094">
        <f t="shared" si="9"/>
        <v>100</v>
      </c>
      <c r="T47" s="1093" t="s">
        <v>1367</v>
      </c>
      <c r="U47" s="1094">
        <f t="shared" si="10"/>
        <v>100</v>
      </c>
      <c r="V47" s="1093" t="s">
        <v>1367</v>
      </c>
      <c r="W47" s="1094">
        <f t="shared" si="11"/>
        <v>100</v>
      </c>
      <c r="X47" s="1087"/>
      <c r="Y47" s="3320"/>
      <c r="Z47" s="1077">
        <f t="shared" si="12"/>
        <v>111</v>
      </c>
      <c r="AA47" s="1104">
        <f t="shared" si="3"/>
        <v>1</v>
      </c>
      <c r="AB47" s="1104">
        <f t="shared" si="4"/>
        <v>1</v>
      </c>
      <c r="AC47" s="1459">
        <f t="shared" si="5"/>
        <v>1</v>
      </c>
    </row>
    <row r="48" spans="1:29" ht="15">
      <c r="A48" s="979" t="s">
        <v>1399</v>
      </c>
      <c r="B48" s="1307"/>
      <c r="C48" s="1308" t="s">
        <v>124</v>
      </c>
      <c r="D48" s="1309"/>
      <c r="E48" s="1310"/>
      <c r="F48" s="1311"/>
      <c r="G48" s="1312"/>
      <c r="H48" s="1313"/>
      <c r="I48" s="1310"/>
      <c r="J48" s="986"/>
      <c r="K48" s="1068"/>
      <c r="L48" s="1069"/>
      <c r="M48" s="1045"/>
      <c r="N48" s="1045"/>
      <c r="O48" s="1045"/>
      <c r="P48" s="3275" t="str">
        <f>A48</f>
        <v>成交单价（元/平方米）</v>
      </c>
      <c r="Q48" s="3276"/>
      <c r="R48" s="3313">
        <f>E48</f>
        <v>0</v>
      </c>
      <c r="S48" s="3313"/>
      <c r="T48" s="3313">
        <f>G48</f>
        <v>0</v>
      </c>
      <c r="U48" s="3313"/>
      <c r="V48" s="3313">
        <f>I48</f>
        <v>0</v>
      </c>
      <c r="W48" s="3313"/>
      <c r="X48" s="1235"/>
      <c r="Y48" s="1106"/>
      <c r="Z48" s="1235"/>
      <c r="AA48" s="1235"/>
      <c r="AB48" s="1235"/>
      <c r="AC48" s="940"/>
    </row>
    <row r="49" spans="1:29" ht="15">
      <c r="A49" s="987" t="s">
        <v>1400</v>
      </c>
      <c r="B49" s="1314"/>
      <c r="C49" s="1315" t="e">
        <f>R50</f>
        <v>#DIV/0!</v>
      </c>
      <c r="D49" s="990" t="s">
        <v>1401</v>
      </c>
      <c r="E49" s="1316" t="e">
        <f>R49</f>
        <v>#DIV/0!</v>
      </c>
      <c r="F49" s="991"/>
      <c r="G49" s="1315" t="e">
        <f>T49</f>
        <v>#DIV/0!</v>
      </c>
      <c r="H49" s="991"/>
      <c r="I49" s="1316" t="e">
        <f>V49</f>
        <v>#DIV/0!</v>
      </c>
      <c r="J49" s="991"/>
      <c r="K49" s="1070">
        <f>F49+H49+J49</f>
        <v>0</v>
      </c>
      <c r="L49" s="1069"/>
      <c r="M49" s="1045"/>
      <c r="N49" s="1045"/>
      <c r="O49" s="1045"/>
      <c r="P49" s="3275" t="str">
        <f>A49</f>
        <v>比较价值（元/平方米）</v>
      </c>
      <c r="Q49" s="3276"/>
      <c r="R49" s="3313" t="e">
        <f>IF(F1="售价",ROUND(PRODUCT(R48,AA7:AA47),0),ROUND(PRODUCT(R48,AA7:AA47),1))</f>
        <v>#DIV/0!</v>
      </c>
      <c r="S49" s="3313"/>
      <c r="T49" s="3313" t="e">
        <f>IF(F1="售价",ROUND(PRODUCT(T48,AB7:AB47),0),ROUND(PRODUCT(T48,AB7:AB47),1))</f>
        <v>#DIV/0!</v>
      </c>
      <c r="U49" s="3313"/>
      <c r="V49" s="3313" t="e">
        <f>IF(F1="售价",ROUND(PRODUCT(V48,AC7:AC47),0),ROUND(PRODUCT(V48,AC7:AC47),1))</f>
        <v>#DIV/0!</v>
      </c>
      <c r="W49" s="3313"/>
      <c r="X49" s="1235"/>
      <c r="Y49" s="1235"/>
      <c r="Z49" s="1235"/>
      <c r="AA49" s="1235"/>
      <c r="AB49" s="1235"/>
      <c r="AC49" s="940"/>
    </row>
    <row r="50" spans="1:29" ht="15">
      <c r="A50" s="993" t="s">
        <v>1402</v>
      </c>
      <c r="B50" s="994"/>
      <c r="C50" s="1317" t="e">
        <f>R50</f>
        <v>#DIV/0!</v>
      </c>
      <c r="D50" s="1317"/>
      <c r="E50" s="1317"/>
      <c r="F50" s="1317"/>
      <c r="G50" s="1317"/>
      <c r="H50" s="1317"/>
      <c r="I50" s="1317"/>
      <c r="J50" s="995"/>
      <c r="K50" s="1071"/>
      <c r="L50" s="1069"/>
      <c r="M50" s="1045"/>
      <c r="N50" s="1045"/>
      <c r="O50" s="1045"/>
      <c r="P50" s="3361" t="str">
        <f>A50</f>
        <v>估价对象XX用房的比较价值（楼面单价，元/平方米）</v>
      </c>
      <c r="Q50" s="3362"/>
      <c r="R50" s="3363" t="e">
        <f>IF(F1="售价",ROUND(IF(D49="简单平均",AVERAGE(R49:V49),R49*F49+T49*H49+V49*J49),0),ROUND(IF(D49="简单平均",AVERAGE(R49:V49),R49*F49+T49*H49+V49*J49),1))</f>
        <v>#DIV/0!</v>
      </c>
      <c r="S50" s="3363"/>
      <c r="T50" s="3363"/>
      <c r="U50" s="3363"/>
      <c r="V50" s="3363"/>
      <c r="W50" s="3363"/>
      <c r="X50" s="1457"/>
      <c r="Y50" s="1457"/>
      <c r="Z50" s="1457"/>
      <c r="AA50" s="1457"/>
      <c r="AB50" s="1457"/>
      <c r="AC50" s="1460"/>
    </row>
    <row r="51" spans="1:29">
      <c r="A51" s="996"/>
      <c r="B51" s="996"/>
      <c r="C51" s="996"/>
      <c r="D51" s="996"/>
      <c r="E51" s="996"/>
      <c r="F51" s="996"/>
      <c r="G51" s="997"/>
      <c r="H51" s="996"/>
      <c r="I51" s="996"/>
      <c r="J51" s="996"/>
      <c r="K51" s="1073"/>
      <c r="L51" s="1074"/>
      <c r="M51" s="996"/>
      <c r="N51" s="996"/>
      <c r="O51" s="996"/>
      <c r="P51" s="1384"/>
      <c r="Q51" s="996"/>
      <c r="R51" s="996"/>
      <c r="S51" s="996"/>
      <c r="T51" s="996"/>
      <c r="U51" s="996"/>
      <c r="V51" s="996"/>
      <c r="W51" s="996"/>
      <c r="X51" s="996"/>
      <c r="Y51" s="996"/>
      <c r="Z51" s="996"/>
      <c r="AA51" s="996"/>
      <c r="AB51" s="996"/>
      <c r="AC51" s="996"/>
    </row>
    <row r="52" spans="1:29">
      <c r="A52" s="996"/>
      <c r="B52" s="996"/>
      <c r="C52" s="996"/>
      <c r="D52" s="996"/>
      <c r="E52" s="996"/>
      <c r="F52" s="996"/>
      <c r="G52" s="996"/>
      <c r="H52" s="996"/>
      <c r="I52" s="996"/>
      <c r="J52" s="996"/>
      <c r="K52" s="1073"/>
      <c r="L52" s="1074"/>
      <c r="M52" s="996"/>
      <c r="N52" s="996"/>
      <c r="O52" s="996"/>
      <c r="P52" s="1384"/>
      <c r="Q52" s="996"/>
      <c r="R52" s="996"/>
      <c r="S52" s="996"/>
      <c r="T52" s="996"/>
      <c r="U52" s="996"/>
      <c r="V52" s="996"/>
      <c r="W52" s="996"/>
      <c r="X52" s="996"/>
      <c r="Y52" s="996"/>
      <c r="Z52" s="996"/>
      <c r="AA52" s="996"/>
      <c r="AB52" s="996"/>
      <c r="AC52" s="996"/>
    </row>
    <row r="53" spans="1:29" ht="13.5" customHeight="1">
      <c r="A53" s="996"/>
      <c r="B53" s="996"/>
      <c r="C53" s="998" t="s">
        <v>1403</v>
      </c>
      <c r="D53" s="698"/>
      <c r="E53" s="999" t="e">
        <f>IF(E48&lt;E49,E49/E48-1,E48/E49-1)</f>
        <v>#DIV/0!</v>
      </c>
      <c r="F53" s="1000" t="e">
        <f>IF(OR(E53&gt;=0.3,E53&lt;=-0.3),"超过30%","")</f>
        <v>#DIV/0!</v>
      </c>
      <c r="G53" s="999" t="e">
        <f>IF(G48&lt;G49,G49/G48-1,G48/G49-1)</f>
        <v>#DIV/0!</v>
      </c>
      <c r="H53" s="1000" t="e">
        <f>IF(OR(G53&gt;=0.3,G53&lt;=-0.3),"超过30%","")</f>
        <v>#DIV/0!</v>
      </c>
      <c r="I53" s="999" t="e">
        <f>IF(I48&lt;I49,I49/I48-1,I48/I49-1)</f>
        <v>#DIV/0!</v>
      </c>
      <c r="J53" s="1000" t="e">
        <f>IF(OR(I53&gt;=0.3,I53&lt;=-0.3),"超过30%","")</f>
        <v>#DIV/0!</v>
      </c>
      <c r="K53" s="1073"/>
      <c r="L53" s="1074"/>
      <c r="M53" s="996"/>
      <c r="N53" s="996"/>
      <c r="O53" s="996"/>
      <c r="P53" s="1384"/>
      <c r="Q53" s="996"/>
      <c r="R53" s="996"/>
      <c r="S53" s="996"/>
      <c r="T53" s="996"/>
      <c r="U53" s="996"/>
      <c r="V53" s="996"/>
      <c r="W53" s="996"/>
      <c r="X53" s="996"/>
      <c r="Y53" s="996"/>
      <c r="Z53" s="996"/>
      <c r="AA53" s="996"/>
      <c r="AB53" s="996"/>
      <c r="AC53" s="996"/>
    </row>
    <row r="54" spans="1:29" ht="13.5" customHeight="1">
      <c r="A54" s="996"/>
      <c r="B54" s="996"/>
      <c r="C54" s="998" t="s">
        <v>1404</v>
      </c>
      <c r="D54" s="697"/>
      <c r="E54" s="999" t="e">
        <f>IF(E49&lt;G49,G49/E49-1,E49/G49-1)</f>
        <v>#DIV/0!</v>
      </c>
      <c r="F54" s="1000" t="e">
        <f>IF(OR(E54&gt;=0.2,E54&lt;=-0.2),"超过20%","")</f>
        <v>#DIV/0!</v>
      </c>
      <c r="G54" s="999" t="e">
        <f>IF(G49&lt;I49,I49/G49-1,G49/I49-1)</f>
        <v>#DIV/0!</v>
      </c>
      <c r="H54" s="1000" t="e">
        <f>IF(OR(G54&gt;=0.2,G54&lt;=-0.2),"超过20%","")</f>
        <v>#DIV/0!</v>
      </c>
      <c r="I54" s="999" t="e">
        <f>IF(I49&lt;E49,E49/I49-1,I49/E49-1)</f>
        <v>#DIV/0!</v>
      </c>
      <c r="J54" s="1000" t="e">
        <f>IF(OR(I54&gt;=0.2,I54&lt;=-0.2),"超过20%","")</f>
        <v>#DIV/0!</v>
      </c>
      <c r="K54" s="1073"/>
      <c r="L54" s="1074"/>
      <c r="M54" s="996"/>
      <c r="N54" s="996"/>
      <c r="O54" s="996"/>
      <c r="P54" s="1384"/>
      <c r="Q54" s="996"/>
      <c r="R54" s="996"/>
      <c r="S54" s="996"/>
      <c r="T54" s="996"/>
      <c r="U54" s="996"/>
      <c r="V54" s="996"/>
      <c r="W54" s="996"/>
      <c r="X54" s="996"/>
      <c r="Y54" s="996"/>
      <c r="Z54" s="996"/>
      <c r="AA54" s="996"/>
      <c r="AB54" s="996"/>
      <c r="AC54" s="996"/>
    </row>
    <row r="55" spans="1:29" s="883" customFormat="1" ht="13.5" customHeight="1">
      <c r="A55" s="1001"/>
      <c r="B55" s="1001"/>
      <c r="C55" s="998" t="s">
        <v>1405</v>
      </c>
      <c r="D55" s="697"/>
      <c r="E55" s="999" t="e">
        <f>IF(E48&lt;G48,G48/E48-1,E48/G48-1)</f>
        <v>#DIV/0!</v>
      </c>
      <c r="F55" s="1000" t="e">
        <f>IF(OR(E55&gt;=0.3,E55&lt;=-0.3),"超过30%","")</f>
        <v>#DIV/0!</v>
      </c>
      <c r="G55" s="999" t="e">
        <f>IF(G48&lt;I48,I48/G48-1,G48/I48-1)</f>
        <v>#DIV/0!</v>
      </c>
      <c r="H55" s="1000" t="e">
        <f>IF(OR(G55&gt;=0.3,G55&lt;=-0.3),"超过30%","")</f>
        <v>#DIV/0!</v>
      </c>
      <c r="I55" s="999" t="e">
        <f>IF(I48&lt;E48,E48/I48-1,I48/E48-1)</f>
        <v>#DIV/0!</v>
      </c>
      <c r="J55" s="1000" t="e">
        <f>IF(OR(I55&gt;=0.3,I55&lt;=-0.3),"超过30%","")</f>
        <v>#DIV/0!</v>
      </c>
      <c r="K55" s="1075"/>
      <c r="L55" s="1076"/>
      <c r="M55" s="1001"/>
      <c r="N55" s="1001"/>
      <c r="O55" s="1001"/>
      <c r="P55" s="1385"/>
      <c r="Q55" s="1001"/>
      <c r="R55" s="1001"/>
      <c r="S55" s="1001"/>
      <c r="T55" s="1001"/>
      <c r="U55" s="1001"/>
      <c r="V55" s="1001"/>
      <c r="W55" s="1001"/>
      <c r="X55" s="1001"/>
      <c r="Y55" s="1001"/>
      <c r="Z55" s="1001"/>
      <c r="AA55" s="1001"/>
      <c r="AB55" s="1001"/>
      <c r="AC55" s="1001"/>
    </row>
    <row r="56" spans="1:29" s="883" customFormat="1">
      <c r="A56" s="1001"/>
      <c r="B56" s="1002"/>
      <c r="C56" s="1318"/>
      <c r="D56" s="1001"/>
      <c r="E56" s="1001"/>
      <c r="F56" s="1001"/>
      <c r="G56" s="1001"/>
      <c r="H56" s="1001"/>
      <c r="I56" s="1001"/>
      <c r="J56" s="1001"/>
      <c r="K56" s="1075"/>
      <c r="L56" s="1076"/>
      <c r="M56" s="1001"/>
      <c r="N56" s="1001"/>
      <c r="O56" s="1001"/>
      <c r="P56" s="1385"/>
      <c r="Q56" s="1001"/>
      <c r="R56" s="1001"/>
      <c r="S56" s="1001"/>
      <c r="T56" s="1001"/>
      <c r="U56" s="1001"/>
      <c r="V56" s="1001"/>
      <c r="W56" s="1001"/>
      <c r="X56" s="1001"/>
      <c r="Y56" s="1001"/>
      <c r="Z56" s="1001"/>
      <c r="AA56" s="1001"/>
      <c r="AB56" s="1001"/>
      <c r="AC56" s="1001"/>
    </row>
    <row r="57" spans="1:29">
      <c r="A57" s="996"/>
      <c r="B57" s="1002"/>
      <c r="C57" s="1318"/>
      <c r="D57" s="996"/>
      <c r="E57" s="996"/>
      <c r="F57" s="996"/>
      <c r="G57" s="996"/>
      <c r="H57" s="996"/>
      <c r="I57" s="996"/>
      <c r="J57" s="996"/>
      <c r="K57" s="1073"/>
      <c r="L57" s="1074"/>
      <c r="M57" s="996"/>
      <c r="N57" s="996"/>
      <c r="O57" s="996"/>
      <c r="P57" s="1384"/>
      <c r="Q57" s="996"/>
      <c r="R57" s="996"/>
      <c r="S57" s="996"/>
      <c r="T57" s="996"/>
      <c r="U57" s="996"/>
      <c r="V57" s="996"/>
      <c r="W57" s="996"/>
      <c r="X57" s="996"/>
      <c r="Y57" s="996"/>
      <c r="Z57" s="996"/>
      <c r="AA57" s="996"/>
      <c r="AB57" s="996"/>
      <c r="AC57" s="996"/>
    </row>
    <row r="58" spans="1:29" ht="21">
      <c r="A58" s="1032" t="s">
        <v>1406</v>
      </c>
      <c r="B58" s="1033"/>
      <c r="C58" s="1034"/>
      <c r="D58" s="1034"/>
      <c r="E58" s="1034"/>
      <c r="F58" s="1035"/>
      <c r="G58" s="1035"/>
      <c r="H58" s="1034"/>
      <c r="I58" s="1034"/>
      <c r="J58" s="1034"/>
      <c r="K58" s="1083"/>
      <c r="L58" s="1265"/>
      <c r="M58" s="1085"/>
      <c r="N58" s="1086"/>
      <c r="O58" s="1086"/>
      <c r="P58" s="1386"/>
      <c r="Q58" s="1098"/>
      <c r="R58" s="996"/>
      <c r="S58" s="996"/>
      <c r="T58" s="996"/>
      <c r="U58" s="996"/>
      <c r="V58" s="996"/>
      <c r="W58" s="996"/>
      <c r="X58" s="996"/>
      <c r="Y58" s="996"/>
      <c r="Z58" s="996"/>
      <c r="AA58" s="996"/>
      <c r="AB58" s="996"/>
      <c r="AC58" s="996"/>
    </row>
    <row r="59" spans="1:29" s="885" customFormat="1" ht="15">
      <c r="A59" s="1319" t="s">
        <v>1365</v>
      </c>
      <c r="B59" s="1320"/>
      <c r="C59" s="1321" t="str">
        <f>YEAR(C7)&amp;"-"&amp;MONTH(C7)</f>
        <v>2021-4</v>
      </c>
      <c r="D59" s="1322">
        <f>EDATE(C59,-1)</f>
        <v>44256</v>
      </c>
      <c r="E59" s="1322">
        <f>EDATE(D59,-1)</f>
        <v>44228</v>
      </c>
      <c r="F59" s="1322">
        <f t="shared" ref="F59:O59" si="13">EDATE(E59,-1)</f>
        <v>44197</v>
      </c>
      <c r="G59" s="1322">
        <f t="shared" si="13"/>
        <v>44166</v>
      </c>
      <c r="H59" s="1322">
        <f t="shared" si="13"/>
        <v>44136</v>
      </c>
      <c r="I59" s="1322">
        <f t="shared" si="13"/>
        <v>44105</v>
      </c>
      <c r="J59" s="1322">
        <f t="shared" si="13"/>
        <v>44075</v>
      </c>
      <c r="K59" s="1322">
        <f t="shared" si="13"/>
        <v>44044</v>
      </c>
      <c r="L59" s="1322">
        <f t="shared" si="13"/>
        <v>44013</v>
      </c>
      <c r="M59" s="1322">
        <f t="shared" si="13"/>
        <v>43983</v>
      </c>
      <c r="N59" s="1322">
        <f t="shared" si="13"/>
        <v>43952</v>
      </c>
      <c r="O59" s="1322">
        <f t="shared" si="13"/>
        <v>43922</v>
      </c>
      <c r="P59" s="1387"/>
      <c r="Q59" s="1217"/>
      <c r="R59" s="1217"/>
      <c r="S59" s="1217"/>
      <c r="T59" s="1217"/>
      <c r="U59" s="1217"/>
      <c r="V59" s="1217"/>
      <c r="W59" s="1217"/>
      <c r="X59" s="1217"/>
      <c r="Y59" s="1217"/>
      <c r="Z59" s="1217"/>
      <c r="AA59" s="1217"/>
      <c r="AB59" s="1217"/>
      <c r="AC59" s="1217"/>
    </row>
    <row r="60" spans="1:29" s="880" customFormat="1" ht="15">
      <c r="A60" s="1323"/>
      <c r="B60" s="1118"/>
      <c r="C60" s="1324">
        <v>100</v>
      </c>
      <c r="D60" s="1122"/>
      <c r="E60" s="1122"/>
      <c r="F60" s="1122"/>
      <c r="G60" s="1122"/>
      <c r="H60" s="1122"/>
      <c r="I60" s="1122"/>
      <c r="J60" s="1122"/>
      <c r="K60" s="1122"/>
      <c r="L60" s="1122"/>
      <c r="M60" s="1331"/>
      <c r="N60" s="1122"/>
      <c r="O60" s="1331"/>
      <c r="P60" s="1388"/>
      <c r="Q60" s="1218"/>
      <c r="R60" s="1218"/>
      <c r="S60" s="1218"/>
      <c r="T60" s="1218"/>
      <c r="U60" s="1218"/>
      <c r="V60" s="1218"/>
      <c r="W60" s="1218"/>
      <c r="X60" s="1218"/>
      <c r="Y60" s="1218"/>
      <c r="Z60" s="1218"/>
      <c r="AA60" s="1218"/>
      <c r="AB60" s="1218"/>
      <c r="AC60" s="1218"/>
    </row>
    <row r="61" spans="1:29" s="880" customFormat="1" ht="15">
      <c r="A61" s="1113" t="s">
        <v>1407</v>
      </c>
      <c r="B61" s="1114"/>
      <c r="C61" s="1115"/>
      <c r="D61" s="1116"/>
      <c r="E61" s="1116"/>
      <c r="F61" s="1116"/>
      <c r="G61" s="1116"/>
      <c r="H61" s="1116"/>
      <c r="I61" s="1116"/>
      <c r="J61" s="1116"/>
      <c r="K61" s="1116"/>
      <c r="L61" s="1116"/>
      <c r="M61" s="1164"/>
      <c r="N61" s="1116"/>
      <c r="O61" s="1164"/>
      <c r="P61" s="1388"/>
      <c r="Q61" s="1098"/>
      <c r="R61" s="1218"/>
      <c r="S61" s="1218"/>
      <c r="T61" s="1218"/>
      <c r="U61" s="1218"/>
      <c r="V61" s="1218"/>
      <c r="W61" s="1218"/>
      <c r="X61" s="1218"/>
      <c r="Y61" s="1218"/>
      <c r="Z61" s="1218"/>
      <c r="AA61" s="1218"/>
      <c r="AB61" s="1218"/>
      <c r="AC61" s="1218"/>
    </row>
    <row r="62" spans="1:29" s="880" customFormat="1" ht="15">
      <c r="A62" s="1117" t="s">
        <v>1368</v>
      </c>
      <c r="B62" s="1118"/>
      <c r="C62" s="1119" t="s">
        <v>1369</v>
      </c>
      <c r="D62" s="1120"/>
      <c r="E62" s="1120"/>
      <c r="F62" s="1120"/>
      <c r="G62" s="1120"/>
      <c r="H62" s="1120"/>
      <c r="I62" s="1120"/>
      <c r="J62" s="1120"/>
      <c r="K62" s="1120"/>
      <c r="L62" s="1166"/>
      <c r="M62" s="1167"/>
      <c r="N62" s="1168"/>
      <c r="O62" s="1168"/>
      <c r="P62" s="1389"/>
      <c r="Q62" s="1098"/>
      <c r="R62" s="1218"/>
      <c r="S62" s="1218"/>
      <c r="T62" s="1218"/>
      <c r="U62" s="1218"/>
      <c r="V62" s="1218"/>
      <c r="W62" s="1218"/>
      <c r="X62" s="1218"/>
      <c r="Y62" s="1218"/>
      <c r="Z62" s="1218"/>
      <c r="AA62" s="1218"/>
      <c r="AB62" s="1218"/>
      <c r="AC62" s="1218"/>
    </row>
    <row r="63" spans="1:29" s="880" customFormat="1" ht="15">
      <c r="A63" s="1117"/>
      <c r="B63" s="1118"/>
      <c r="C63" s="1455">
        <v>100</v>
      </c>
      <c r="D63" s="1122"/>
      <c r="E63" s="1122"/>
      <c r="F63" s="1122"/>
      <c r="G63" s="1122"/>
      <c r="H63" s="1122"/>
      <c r="I63" s="1122"/>
      <c r="J63" s="1122"/>
      <c r="K63" s="1122"/>
      <c r="L63" s="1122"/>
      <c r="M63" s="1170"/>
      <c r="N63" s="1168"/>
      <c r="O63" s="1168"/>
      <c r="P63" s="1388"/>
      <c r="Q63" s="1098"/>
      <c r="R63" s="1218"/>
      <c r="S63" s="1218"/>
      <c r="T63" s="1218"/>
      <c r="U63" s="1218"/>
      <c r="V63" s="1218"/>
      <c r="W63" s="1218"/>
      <c r="X63" s="1218"/>
      <c r="Y63" s="1218"/>
      <c r="Z63" s="1218"/>
      <c r="AA63" s="1218"/>
      <c r="AB63" s="1218"/>
      <c r="AC63" s="1218"/>
    </row>
    <row r="64" spans="1:29">
      <c r="A64" s="1123" t="s">
        <v>1408</v>
      </c>
      <c r="B64" s="1124" t="s">
        <v>1372</v>
      </c>
      <c r="C64" s="1146">
        <f>C9</f>
        <v>0</v>
      </c>
      <c r="D64" s="1066"/>
      <c r="E64" s="1066"/>
      <c r="F64" s="1066"/>
      <c r="G64" s="1066"/>
      <c r="H64" s="1066"/>
      <c r="I64" s="1066"/>
      <c r="J64" s="1066"/>
      <c r="K64" s="1171"/>
      <c r="L64" s="1172"/>
      <c r="M64" s="1173"/>
      <c r="N64" s="1174"/>
      <c r="O64" s="1174"/>
      <c r="P64" s="1390"/>
      <c r="Q64" s="1098"/>
      <c r="R64" s="996"/>
      <c r="S64" s="996"/>
      <c r="T64" s="996"/>
      <c r="U64" s="996"/>
      <c r="V64" s="996"/>
      <c r="W64" s="996"/>
      <c r="X64" s="996"/>
      <c r="Y64" s="996"/>
      <c r="Z64" s="996"/>
      <c r="AA64" s="996"/>
      <c r="AB64" s="996"/>
      <c r="AC64" s="996"/>
    </row>
    <row r="65" spans="1:29" ht="15">
      <c r="A65" s="1125"/>
      <c r="B65" s="1126"/>
      <c r="C65" s="1127">
        <v>100</v>
      </c>
      <c r="D65" s="1127"/>
      <c r="E65" s="1127"/>
      <c r="F65" s="1127"/>
      <c r="G65" s="1127"/>
      <c r="H65" s="1127"/>
      <c r="I65" s="1127"/>
      <c r="J65" s="1127"/>
      <c r="K65" s="1127"/>
      <c r="L65" s="1127"/>
      <c r="M65" s="1176"/>
      <c r="N65" s="1177"/>
      <c r="O65" s="1177"/>
      <c r="P65" s="1390"/>
      <c r="Q65" s="1098"/>
      <c r="R65" s="996"/>
      <c r="S65" s="996"/>
      <c r="T65" s="996"/>
      <c r="U65" s="996"/>
      <c r="V65" s="996"/>
      <c r="W65" s="996"/>
      <c r="X65" s="996"/>
      <c r="Y65" s="996"/>
      <c r="Z65" s="996"/>
      <c r="AA65" s="996"/>
      <c r="AB65" s="996"/>
      <c r="AC65" s="996"/>
    </row>
    <row r="66" spans="1:29" ht="27">
      <c r="A66" s="1125"/>
      <c r="B66" s="1128" t="s">
        <v>1375</v>
      </c>
      <c r="C66" s="1129" t="s">
        <v>1409</v>
      </c>
      <c r="D66" s="1129" t="s">
        <v>1410</v>
      </c>
      <c r="E66" s="1129" t="s">
        <v>1411</v>
      </c>
      <c r="F66" s="1129" t="s">
        <v>1412</v>
      </c>
      <c r="G66" s="1129" t="s">
        <v>1413</v>
      </c>
      <c r="H66" s="1129" t="s">
        <v>1414</v>
      </c>
      <c r="I66" s="1129" t="s">
        <v>1415</v>
      </c>
      <c r="J66" s="1129"/>
      <c r="K66" s="1178"/>
      <c r="L66" s="1179"/>
      <c r="M66" s="1180"/>
      <c r="N66" s="1174"/>
      <c r="O66" s="1174"/>
      <c r="P66" s="1390"/>
      <c r="Q66" s="1098"/>
      <c r="R66" s="996"/>
      <c r="S66" s="996"/>
      <c r="T66" s="996"/>
      <c r="U66" s="996"/>
      <c r="V66" s="996"/>
      <c r="W66" s="996"/>
      <c r="X66" s="996"/>
      <c r="Y66" s="996"/>
      <c r="Z66" s="996"/>
      <c r="AA66" s="996"/>
      <c r="AB66" s="996"/>
      <c r="AC66" s="996"/>
    </row>
    <row r="67" spans="1:29" ht="15">
      <c r="A67" s="1125"/>
      <c r="B67" s="1130"/>
      <c r="C67" s="1131" t="s">
        <v>1457</v>
      </c>
      <c r="D67" s="1131" t="s">
        <v>1457</v>
      </c>
      <c r="E67" s="1131">
        <v>100</v>
      </c>
      <c r="F67" s="1131">
        <f>E67-$K10</f>
        <v>100</v>
      </c>
      <c r="G67" s="1131">
        <f>F67-$K10</f>
        <v>100</v>
      </c>
      <c r="H67" s="1131">
        <f>G67-$K10</f>
        <v>100</v>
      </c>
      <c r="I67" s="1131">
        <f>H67-$K10</f>
        <v>100</v>
      </c>
      <c r="J67" s="1131"/>
      <c r="K67" s="1131"/>
      <c r="L67" s="1131"/>
      <c r="M67" s="1181"/>
      <c r="N67" s="1177"/>
      <c r="O67" s="1177"/>
      <c r="P67" s="1390"/>
      <c r="Q67" s="1098"/>
      <c r="R67" s="996"/>
      <c r="S67" s="996"/>
      <c r="T67" s="996"/>
      <c r="U67" s="996"/>
      <c r="V67" s="996"/>
      <c r="W67" s="996"/>
      <c r="X67" s="996"/>
      <c r="Y67" s="996"/>
      <c r="Z67" s="996"/>
      <c r="AA67" s="996"/>
      <c r="AB67" s="996"/>
      <c r="AC67" s="996"/>
    </row>
    <row r="68" spans="1:29" ht="15">
      <c r="A68" s="1125"/>
      <c r="B68" s="1132" t="s">
        <v>1376</v>
      </c>
      <c r="C68" s="1133" t="str">
        <f>C69&amp;"（含）"&amp;"-"&amp;D69</f>
        <v>（含）-</v>
      </c>
      <c r="D68" s="1133" t="str">
        <f t="shared" ref="D68:L68" si="14">D69&amp;"（含）"&amp;"-"&amp;E69</f>
        <v>（含）-</v>
      </c>
      <c r="E68" s="1133" t="str">
        <f t="shared" si="14"/>
        <v>（含）-</v>
      </c>
      <c r="F68" s="1133" t="str">
        <f t="shared" si="14"/>
        <v>（含）-</v>
      </c>
      <c r="G68" s="1133" t="str">
        <f t="shared" si="14"/>
        <v>（含）-</v>
      </c>
      <c r="H68" s="1133" t="str">
        <f t="shared" si="14"/>
        <v>（含）-</v>
      </c>
      <c r="I68" s="1133" t="str">
        <f t="shared" si="14"/>
        <v>（含）-</v>
      </c>
      <c r="J68" s="1133" t="str">
        <f t="shared" si="14"/>
        <v>（含）-</v>
      </c>
      <c r="K68" s="1133" t="str">
        <f t="shared" si="14"/>
        <v>（含）-</v>
      </c>
      <c r="L68" s="1133" t="str">
        <f t="shared" si="14"/>
        <v>（含）-</v>
      </c>
      <c r="M68" s="942" t="str">
        <f>M69&amp;"（含）"&amp;"-"&amp;P69</f>
        <v>（含）-</v>
      </c>
      <c r="N68" s="1177"/>
      <c r="O68" s="1177"/>
      <c r="P68" s="1390"/>
      <c r="Q68" s="1098"/>
      <c r="R68" s="996"/>
      <c r="S68" s="996"/>
      <c r="T68" s="996"/>
      <c r="U68" s="996"/>
      <c r="V68" s="996"/>
      <c r="W68" s="996"/>
      <c r="X68" s="996"/>
      <c r="Y68" s="996"/>
      <c r="Z68" s="996"/>
      <c r="AA68" s="996"/>
      <c r="AB68" s="996"/>
      <c r="AC68" s="996"/>
    </row>
    <row r="69" spans="1:29" ht="15">
      <c r="A69" s="1125"/>
      <c r="B69" s="1134"/>
      <c r="C69" s="927"/>
      <c r="D69" s="927"/>
      <c r="E69" s="927"/>
      <c r="F69" s="927"/>
      <c r="G69" s="927"/>
      <c r="H69" s="927"/>
      <c r="I69" s="927"/>
      <c r="J69" s="927"/>
      <c r="K69" s="1182"/>
      <c r="L69" s="1183"/>
      <c r="M69" s="1184"/>
      <c r="N69" s="1174"/>
      <c r="O69" s="1174"/>
      <c r="P69" s="1390"/>
      <c r="Q69" s="1098"/>
      <c r="R69" s="996"/>
      <c r="S69" s="996"/>
      <c r="T69" s="996"/>
      <c r="U69" s="996"/>
      <c r="V69" s="996"/>
      <c r="W69" s="996"/>
      <c r="X69" s="996"/>
      <c r="Y69" s="996"/>
      <c r="Z69" s="996"/>
      <c r="AA69" s="996"/>
      <c r="AB69" s="996"/>
      <c r="AC69" s="996"/>
    </row>
    <row r="70" spans="1:29" ht="15">
      <c r="A70" s="1125"/>
      <c r="B70" s="1126"/>
      <c r="C70" s="1131">
        <v>100</v>
      </c>
      <c r="D70" s="1131">
        <f t="shared" ref="D70:M70" si="15">C70-$K11</f>
        <v>100</v>
      </c>
      <c r="E70" s="1131">
        <f t="shared" si="15"/>
        <v>100</v>
      </c>
      <c r="F70" s="1131">
        <f t="shared" si="15"/>
        <v>100</v>
      </c>
      <c r="G70" s="1131">
        <f t="shared" si="15"/>
        <v>100</v>
      </c>
      <c r="H70" s="1131">
        <f t="shared" si="15"/>
        <v>100</v>
      </c>
      <c r="I70" s="1131">
        <f t="shared" si="15"/>
        <v>100</v>
      </c>
      <c r="J70" s="1131">
        <f t="shared" si="15"/>
        <v>100</v>
      </c>
      <c r="K70" s="1131">
        <f t="shared" si="15"/>
        <v>100</v>
      </c>
      <c r="L70" s="1131">
        <f t="shared" si="15"/>
        <v>100</v>
      </c>
      <c r="M70" s="1181">
        <f t="shared" si="15"/>
        <v>100</v>
      </c>
      <c r="N70" s="1177"/>
      <c r="O70" s="1177"/>
      <c r="P70" s="1390"/>
      <c r="Q70" s="1098"/>
      <c r="R70" s="996"/>
      <c r="S70" s="996"/>
      <c r="T70" s="996"/>
      <c r="U70" s="996"/>
      <c r="V70" s="996"/>
      <c r="W70" s="996"/>
      <c r="X70" s="996"/>
      <c r="Y70" s="996"/>
      <c r="Z70" s="996"/>
      <c r="AA70" s="996"/>
      <c r="AB70" s="996"/>
      <c r="AC70" s="996"/>
    </row>
    <row r="71" spans="1:29" s="882" customFormat="1" ht="15">
      <c r="A71" s="1135"/>
      <c r="B71" s="1128">
        <f>B12</f>
        <v>111</v>
      </c>
      <c r="C71" s="1136"/>
      <c r="D71" s="1136"/>
      <c r="E71" s="1136"/>
      <c r="F71" s="1136"/>
      <c r="G71" s="1136"/>
      <c r="H71" s="1137"/>
      <c r="I71" s="1137"/>
      <c r="J71" s="1137"/>
      <c r="K71" s="1137"/>
      <c r="L71" s="1185"/>
      <c r="M71" s="1186"/>
      <c r="N71" s="1187"/>
      <c r="O71" s="1187"/>
      <c r="P71" s="1391"/>
      <c r="Q71" s="1219"/>
      <c r="R71" s="1220"/>
      <c r="S71" s="1220"/>
      <c r="T71" s="1220"/>
      <c r="U71" s="1220"/>
      <c r="V71" s="1220"/>
      <c r="W71" s="1220"/>
      <c r="X71" s="1220"/>
      <c r="Y71" s="1220"/>
      <c r="Z71" s="1220"/>
      <c r="AA71" s="1220"/>
      <c r="AB71" s="1220"/>
      <c r="AC71" s="1220"/>
    </row>
    <row r="72" spans="1:29" s="882" customFormat="1" ht="15">
      <c r="A72" s="1135"/>
      <c r="B72" s="1130"/>
      <c r="C72" s="1138"/>
      <c r="D72" s="1127"/>
      <c r="E72" s="1127"/>
      <c r="F72" s="1127"/>
      <c r="G72" s="1127"/>
      <c r="H72" s="1127"/>
      <c r="I72" s="1127"/>
      <c r="J72" s="1127"/>
      <c r="K72" s="1127"/>
      <c r="L72" s="1127"/>
      <c r="M72" s="1176"/>
      <c r="N72" s="1177"/>
      <c r="O72" s="1177"/>
      <c r="P72" s="1391"/>
      <c r="Q72" s="1219"/>
      <c r="R72" s="1220"/>
      <c r="S72" s="1220"/>
      <c r="T72" s="1220"/>
      <c r="U72" s="1220"/>
      <c r="V72" s="1220"/>
      <c r="W72" s="1220"/>
      <c r="X72" s="1220"/>
      <c r="Y72" s="1220"/>
      <c r="Z72" s="1220"/>
      <c r="AA72" s="1220"/>
      <c r="AB72" s="1220"/>
      <c r="AC72" s="1220"/>
    </row>
    <row r="73" spans="1:29" s="882" customFormat="1" ht="15">
      <c r="A73" s="1135"/>
      <c r="B73" s="1128">
        <f>B13</f>
        <v>111</v>
      </c>
      <c r="C73" s="1136"/>
      <c r="D73" s="1136"/>
      <c r="E73" s="1136"/>
      <c r="F73" s="1136"/>
      <c r="G73" s="1136"/>
      <c r="H73" s="1137"/>
      <c r="I73" s="1137"/>
      <c r="J73" s="1137"/>
      <c r="K73" s="1137"/>
      <c r="L73" s="1185"/>
      <c r="M73" s="1186"/>
      <c r="N73" s="1187"/>
      <c r="O73" s="1187"/>
      <c r="P73" s="1392"/>
      <c r="Q73" s="1221"/>
      <c r="R73" s="1220"/>
      <c r="S73" s="1220"/>
      <c r="T73" s="1220"/>
      <c r="U73" s="1220"/>
      <c r="V73" s="1220"/>
      <c r="W73" s="1220"/>
      <c r="X73" s="1220"/>
      <c r="Y73" s="1220"/>
      <c r="Z73" s="1220"/>
      <c r="AA73" s="1220"/>
      <c r="AB73" s="1220"/>
      <c r="AC73" s="1220"/>
    </row>
    <row r="74" spans="1:29" s="882" customFormat="1" ht="15">
      <c r="A74" s="1135"/>
      <c r="B74" s="1130"/>
      <c r="C74" s="1138"/>
      <c r="D74" s="1138"/>
      <c r="E74" s="1138"/>
      <c r="F74" s="1138"/>
      <c r="G74" s="1138"/>
      <c r="H74" s="1139"/>
      <c r="I74" s="1139"/>
      <c r="J74" s="1139"/>
      <c r="K74" s="1139"/>
      <c r="L74" s="1139"/>
      <c r="M74" s="1189"/>
      <c r="N74" s="1187"/>
      <c r="O74" s="1187"/>
      <c r="P74" s="1391"/>
      <c r="Q74" s="1219"/>
      <c r="R74" s="1220"/>
      <c r="S74" s="1220"/>
      <c r="T74" s="1220"/>
      <c r="U74" s="1220"/>
      <c r="V74" s="1220"/>
      <c r="W74" s="1220"/>
      <c r="X74" s="1220"/>
      <c r="Y74" s="1220"/>
      <c r="Z74" s="1220"/>
      <c r="AA74" s="1220"/>
      <c r="AB74" s="1220"/>
      <c r="AC74" s="1220"/>
    </row>
    <row r="75" spans="1:29" s="882" customFormat="1" ht="15">
      <c r="A75" s="1135"/>
      <c r="B75" s="1132">
        <f>B14</f>
        <v>111</v>
      </c>
      <c r="C75" s="1120"/>
      <c r="D75" s="1120"/>
      <c r="E75" s="1120"/>
      <c r="F75" s="1120"/>
      <c r="G75" s="1120"/>
      <c r="H75" s="1140"/>
      <c r="I75" s="1140"/>
      <c r="J75" s="1140"/>
      <c r="K75" s="1140"/>
      <c r="L75" s="1190"/>
      <c r="M75" s="1191"/>
      <c r="N75" s="1187"/>
      <c r="O75" s="1187"/>
      <c r="P75" s="1462"/>
      <c r="Q75" s="1219"/>
      <c r="R75" s="1220"/>
      <c r="S75" s="1220"/>
      <c r="T75" s="1220"/>
      <c r="U75" s="1220"/>
      <c r="V75" s="1220"/>
      <c r="W75" s="1220"/>
      <c r="X75" s="1220"/>
      <c r="Y75" s="1220"/>
      <c r="Z75" s="1220"/>
      <c r="AA75" s="1220"/>
      <c r="AB75" s="1220"/>
      <c r="AC75" s="1220"/>
    </row>
    <row r="76" spans="1:29" s="882" customFormat="1" ht="15">
      <c r="A76" s="1141"/>
      <c r="B76" s="1142"/>
      <c r="C76" s="1143"/>
      <c r="D76" s="1143"/>
      <c r="E76" s="1143"/>
      <c r="F76" s="1143"/>
      <c r="G76" s="1143"/>
      <c r="H76" s="1144"/>
      <c r="I76" s="1144"/>
      <c r="J76" s="1144"/>
      <c r="K76" s="1144"/>
      <c r="L76" s="1144"/>
      <c r="M76" s="1193"/>
      <c r="N76" s="1187"/>
      <c r="O76" s="1187"/>
      <c r="P76" s="1391"/>
      <c r="Q76" s="1219"/>
      <c r="R76" s="1220"/>
      <c r="S76" s="1220"/>
      <c r="T76" s="1220"/>
      <c r="U76" s="1220"/>
      <c r="V76" s="1220"/>
      <c r="W76" s="1220"/>
      <c r="X76" s="1220"/>
      <c r="Y76" s="1220"/>
      <c r="Z76" s="1220"/>
      <c r="AA76" s="1220"/>
      <c r="AB76" s="1220"/>
      <c r="AC76" s="1220"/>
    </row>
    <row r="77" spans="1:29">
      <c r="A77" s="1123" t="s">
        <v>1377</v>
      </c>
      <c r="B77" s="1124" t="s">
        <v>1460</v>
      </c>
      <c r="C77" s="1145" t="s">
        <v>1416</v>
      </c>
      <c r="D77" s="1145" t="s">
        <v>1417</v>
      </c>
      <c r="E77" s="1145" t="s">
        <v>1418</v>
      </c>
      <c r="F77" s="1145" t="s">
        <v>1419</v>
      </c>
      <c r="G77" s="1145" t="s">
        <v>1420</v>
      </c>
      <c r="H77" s="1146"/>
      <c r="I77" s="1146"/>
      <c r="J77" s="1146"/>
      <c r="K77" s="1194"/>
      <c r="L77" s="1195"/>
      <c r="M77" s="1196"/>
      <c r="N77" s="1174"/>
      <c r="O77" s="1174"/>
      <c r="P77" s="1393"/>
      <c r="Q77" s="1098"/>
      <c r="R77" s="996"/>
      <c r="S77" s="996"/>
      <c r="T77" s="996"/>
      <c r="U77" s="996"/>
      <c r="V77" s="996"/>
      <c r="W77" s="996"/>
      <c r="X77" s="996"/>
      <c r="Y77" s="996"/>
      <c r="Z77" s="996"/>
      <c r="AA77" s="996"/>
      <c r="AB77" s="996"/>
      <c r="AC77" s="996"/>
    </row>
    <row r="78" spans="1:29" ht="15">
      <c r="A78" s="1125"/>
      <c r="B78" s="1130"/>
      <c r="C78" s="1131">
        <v>100</v>
      </c>
      <c r="D78" s="1131">
        <f>C78-$K15</f>
        <v>100</v>
      </c>
      <c r="E78" s="1131">
        <f>D78-$K15</f>
        <v>100</v>
      </c>
      <c r="F78" s="1131">
        <f>E78-$K15</f>
        <v>100</v>
      </c>
      <c r="G78" s="1131">
        <f>F78-$K15</f>
        <v>100</v>
      </c>
      <c r="H78" s="1131"/>
      <c r="I78" s="1131"/>
      <c r="J78" s="1131"/>
      <c r="K78" s="1131"/>
      <c r="L78" s="1131"/>
      <c r="M78" s="1181"/>
      <c r="N78" s="1177"/>
      <c r="O78" s="1177"/>
      <c r="P78" s="1390"/>
      <c r="Q78" s="1098"/>
      <c r="R78" s="996"/>
      <c r="S78" s="996"/>
      <c r="T78" s="996"/>
      <c r="U78" s="996"/>
      <c r="V78" s="996"/>
      <c r="W78" s="996"/>
      <c r="X78" s="996"/>
      <c r="Y78" s="996"/>
      <c r="Z78" s="996"/>
      <c r="AA78" s="996"/>
      <c r="AB78" s="996"/>
      <c r="AC78" s="996"/>
    </row>
    <row r="79" spans="1:29" ht="15">
      <c r="A79" s="1125"/>
      <c r="B79" s="1128" t="s">
        <v>1380</v>
      </c>
      <c r="C79" s="1147" t="s">
        <v>1416</v>
      </c>
      <c r="D79" s="1147" t="s">
        <v>1417</v>
      </c>
      <c r="E79" s="1147" t="s">
        <v>1418</v>
      </c>
      <c r="F79" s="1147" t="s">
        <v>1419</v>
      </c>
      <c r="G79" s="1147" t="s">
        <v>1420</v>
      </c>
      <c r="H79" s="1129"/>
      <c r="I79" s="1129"/>
      <c r="J79" s="1129"/>
      <c r="K79" s="1178"/>
      <c r="L79" s="1179"/>
      <c r="M79" s="1180"/>
      <c r="N79" s="1174"/>
      <c r="O79" s="1174"/>
      <c r="P79" s="1390"/>
      <c r="Q79" s="1098"/>
      <c r="R79" s="996"/>
      <c r="S79" s="996"/>
      <c r="T79" s="996"/>
      <c r="U79" s="996"/>
      <c r="V79" s="996"/>
      <c r="W79" s="996"/>
      <c r="X79" s="996"/>
      <c r="Y79" s="996"/>
      <c r="Z79" s="996"/>
      <c r="AA79" s="996"/>
      <c r="AB79" s="996"/>
      <c r="AC79" s="996"/>
    </row>
    <row r="80" spans="1:29" ht="15">
      <c r="A80" s="1125"/>
      <c r="B80" s="1130"/>
      <c r="C80" s="1131">
        <v>100</v>
      </c>
      <c r="D80" s="1131">
        <f>C80-$K17</f>
        <v>100</v>
      </c>
      <c r="E80" s="1131">
        <f>D80-$K17</f>
        <v>100</v>
      </c>
      <c r="F80" s="1131">
        <f>E80-$K17</f>
        <v>100</v>
      </c>
      <c r="G80" s="1131">
        <f>F80-$K17</f>
        <v>100</v>
      </c>
      <c r="H80" s="1131"/>
      <c r="I80" s="1131"/>
      <c r="J80" s="1131"/>
      <c r="K80" s="1131"/>
      <c r="L80" s="1131"/>
      <c r="M80" s="1181"/>
      <c r="N80" s="1177"/>
      <c r="O80" s="1177"/>
      <c r="P80" s="1390"/>
      <c r="Q80" s="1098"/>
      <c r="R80" s="996"/>
      <c r="S80" s="996"/>
      <c r="T80" s="996"/>
      <c r="U80" s="996"/>
      <c r="V80" s="996"/>
      <c r="W80" s="996"/>
      <c r="X80" s="996"/>
      <c r="Y80" s="996"/>
      <c r="Z80" s="996"/>
      <c r="AA80" s="996"/>
      <c r="AB80" s="996"/>
      <c r="AC80" s="996"/>
    </row>
    <row r="81" spans="1:29" ht="15">
      <c r="A81" s="1125"/>
      <c r="B81" s="1128" t="s">
        <v>1381</v>
      </c>
      <c r="C81" s="1147" t="s">
        <v>1416</v>
      </c>
      <c r="D81" s="1147" t="s">
        <v>1417</v>
      </c>
      <c r="E81" s="1147" t="s">
        <v>1418</v>
      </c>
      <c r="F81" s="1147" t="s">
        <v>1419</v>
      </c>
      <c r="G81" s="1147" t="s">
        <v>1420</v>
      </c>
      <c r="H81" s="1129"/>
      <c r="I81" s="1129"/>
      <c r="J81" s="1129"/>
      <c r="K81" s="1178"/>
      <c r="L81" s="1179"/>
      <c r="M81" s="1180"/>
      <c r="N81" s="1174"/>
      <c r="O81" s="1174"/>
      <c r="P81" s="1390"/>
      <c r="Q81" s="1098"/>
      <c r="R81" s="996"/>
      <c r="S81" s="996"/>
      <c r="T81" s="996"/>
      <c r="U81" s="996"/>
      <c r="V81" s="996"/>
      <c r="W81" s="996"/>
      <c r="X81" s="996"/>
      <c r="Y81" s="996"/>
      <c r="Z81" s="996"/>
      <c r="AA81" s="996"/>
      <c r="AB81" s="996"/>
      <c r="AC81" s="996"/>
    </row>
    <row r="82" spans="1:29" ht="15">
      <c r="A82" s="1125"/>
      <c r="B82" s="1130"/>
      <c r="C82" s="1131">
        <v>100</v>
      </c>
      <c r="D82" s="1131">
        <f>C82-$K19</f>
        <v>100</v>
      </c>
      <c r="E82" s="1131">
        <f>D82-$K19</f>
        <v>100</v>
      </c>
      <c r="F82" s="1131">
        <f>E82-$K19</f>
        <v>100</v>
      </c>
      <c r="G82" s="1131">
        <f>F82-$K19</f>
        <v>100</v>
      </c>
      <c r="H82" s="1131"/>
      <c r="I82" s="1131"/>
      <c r="J82" s="1131"/>
      <c r="K82" s="1131"/>
      <c r="L82" s="1131"/>
      <c r="M82" s="1181"/>
      <c r="N82" s="1177"/>
      <c r="O82" s="1177"/>
      <c r="P82" s="1390"/>
      <c r="Q82" s="1098"/>
      <c r="R82" s="996"/>
      <c r="S82" s="996"/>
      <c r="T82" s="996"/>
      <c r="U82" s="996"/>
      <c r="V82" s="996"/>
      <c r="W82" s="996"/>
      <c r="X82" s="996"/>
      <c r="Y82" s="996"/>
      <c r="Z82" s="996"/>
      <c r="AA82" s="996"/>
      <c r="AB82" s="996"/>
      <c r="AC82" s="996"/>
    </row>
    <row r="83" spans="1:29" ht="15">
      <c r="A83" s="1125"/>
      <c r="B83" s="1132" t="s">
        <v>1382</v>
      </c>
      <c r="C83" s="1152" t="s">
        <v>1421</v>
      </c>
      <c r="D83" s="1152" t="s">
        <v>1422</v>
      </c>
      <c r="E83" s="1152" t="s">
        <v>1423</v>
      </c>
      <c r="F83" s="1152" t="s">
        <v>1424</v>
      </c>
      <c r="G83" s="1152" t="s">
        <v>1425</v>
      </c>
      <c r="H83" s="1129"/>
      <c r="I83" s="1129"/>
      <c r="J83" s="1129"/>
      <c r="K83" s="1129"/>
      <c r="L83" s="1129"/>
      <c r="M83" s="1336"/>
      <c r="N83" s="1177"/>
      <c r="O83" s="1177"/>
      <c r="P83" s="1390"/>
      <c r="Q83" s="1098"/>
      <c r="R83" s="996"/>
      <c r="S83" s="996"/>
      <c r="T83" s="996"/>
      <c r="U83" s="996"/>
      <c r="V83" s="996"/>
      <c r="W83" s="996"/>
      <c r="X83" s="996"/>
      <c r="Y83" s="996"/>
      <c r="Z83" s="996"/>
      <c r="AA83" s="996"/>
      <c r="AB83" s="996"/>
      <c r="AC83" s="996"/>
    </row>
    <row r="84" spans="1:29" ht="15">
      <c r="A84" s="1125"/>
      <c r="B84" s="1132"/>
      <c r="C84" s="1131">
        <v>100</v>
      </c>
      <c r="D84" s="1131">
        <f>C84-$K21</f>
        <v>100</v>
      </c>
      <c r="E84" s="1131">
        <f>D84-$K21</f>
        <v>100</v>
      </c>
      <c r="F84" s="1131">
        <f>E84-$K21</f>
        <v>100</v>
      </c>
      <c r="G84" s="1131">
        <f>F84-$K21</f>
        <v>100</v>
      </c>
      <c r="H84" s="1152"/>
      <c r="I84" s="1152"/>
      <c r="J84" s="1152"/>
      <c r="K84" s="1152"/>
      <c r="L84" s="1152"/>
      <c r="M84" s="944"/>
      <c r="N84" s="1177"/>
      <c r="O84" s="1177"/>
      <c r="P84" s="1390"/>
      <c r="Q84" s="1098"/>
      <c r="R84" s="996"/>
      <c r="S84" s="996"/>
      <c r="T84" s="996"/>
      <c r="U84" s="996"/>
      <c r="V84" s="996"/>
      <c r="W84" s="996"/>
      <c r="X84" s="996"/>
      <c r="Y84" s="996"/>
      <c r="Z84" s="996"/>
      <c r="AA84" s="996"/>
      <c r="AB84" s="996"/>
      <c r="AC84" s="996"/>
    </row>
    <row r="85" spans="1:29" ht="15">
      <c r="A85" s="1125"/>
      <c r="B85" s="1128" t="s">
        <v>1461</v>
      </c>
      <c r="C85" s="1147" t="s">
        <v>1416</v>
      </c>
      <c r="D85" s="1147" t="s">
        <v>1417</v>
      </c>
      <c r="E85" s="1147" t="s">
        <v>1418</v>
      </c>
      <c r="F85" s="1147" t="s">
        <v>1419</v>
      </c>
      <c r="G85" s="1147" t="s">
        <v>1420</v>
      </c>
      <c r="H85" s="1129"/>
      <c r="I85" s="1129"/>
      <c r="J85" s="1129"/>
      <c r="K85" s="1178"/>
      <c r="L85" s="1179"/>
      <c r="M85" s="1180"/>
      <c r="N85" s="1174"/>
      <c r="O85" s="1174"/>
      <c r="P85" s="1390"/>
      <c r="Q85" s="1098"/>
      <c r="R85" s="996"/>
      <c r="S85" s="996"/>
      <c r="T85" s="996"/>
      <c r="U85" s="996"/>
      <c r="V85" s="996"/>
      <c r="W85" s="996"/>
      <c r="X85" s="996"/>
      <c r="Y85" s="996"/>
      <c r="Z85" s="996"/>
      <c r="AA85" s="996"/>
      <c r="AB85" s="996"/>
      <c r="AC85" s="996"/>
    </row>
    <row r="86" spans="1:29" ht="15">
      <c r="A86" s="1125"/>
      <c r="B86" s="1130"/>
      <c r="C86" s="1131">
        <v>100</v>
      </c>
      <c r="D86" s="1131">
        <f>C86-$K23</f>
        <v>100</v>
      </c>
      <c r="E86" s="1131">
        <f>D86-$K23</f>
        <v>100</v>
      </c>
      <c r="F86" s="1131">
        <f>E86-$K23</f>
        <v>100</v>
      </c>
      <c r="G86" s="1131">
        <f>F86-$K23</f>
        <v>100</v>
      </c>
      <c r="H86" s="1131"/>
      <c r="I86" s="1131"/>
      <c r="J86" s="1131"/>
      <c r="K86" s="1131"/>
      <c r="L86" s="1131"/>
      <c r="M86" s="1181"/>
      <c r="N86" s="1177"/>
      <c r="O86" s="1177"/>
      <c r="P86" s="1390"/>
      <c r="Q86" s="1098"/>
      <c r="R86" s="996"/>
      <c r="S86" s="996"/>
      <c r="T86" s="996"/>
      <c r="U86" s="996"/>
      <c r="V86" s="996"/>
      <c r="W86" s="996"/>
      <c r="X86" s="996"/>
      <c r="Y86" s="996"/>
      <c r="Z86" s="996"/>
      <c r="AA86" s="996"/>
      <c r="AB86" s="996"/>
      <c r="AC86" s="996"/>
    </row>
    <row r="87" spans="1:29" s="880" customFormat="1" ht="27">
      <c r="A87" s="1148"/>
      <c r="B87" s="1128" t="s">
        <v>1462</v>
      </c>
      <c r="C87" s="1136"/>
      <c r="D87" s="1136"/>
      <c r="E87" s="1136"/>
      <c r="F87" s="1136"/>
      <c r="G87" s="1136"/>
      <c r="H87" s="1136"/>
      <c r="I87" s="1136"/>
      <c r="J87" s="1136"/>
      <c r="K87" s="1136"/>
      <c r="L87" s="1337"/>
      <c r="M87" s="1338"/>
      <c r="N87" s="1168"/>
      <c r="O87" s="1168"/>
      <c r="P87" s="1390"/>
      <c r="Q87" s="1098"/>
      <c r="R87" s="1218"/>
      <c r="S87" s="1218"/>
      <c r="T87" s="1218"/>
      <c r="U87" s="1218"/>
      <c r="V87" s="1218"/>
      <c r="W87" s="1218"/>
      <c r="X87" s="1218"/>
      <c r="Y87" s="1218"/>
      <c r="Z87" s="1218"/>
      <c r="AA87" s="1218"/>
      <c r="AB87" s="1218"/>
      <c r="AC87" s="1218"/>
    </row>
    <row r="88" spans="1:29" s="880" customFormat="1" ht="15">
      <c r="A88" s="1148"/>
      <c r="B88" s="1130"/>
      <c r="C88" s="1149">
        <v>100</v>
      </c>
      <c r="D88" s="1131">
        <f t="shared" ref="D88:M88" si="16">C88-$K25</f>
        <v>100</v>
      </c>
      <c r="E88" s="1131">
        <f t="shared" si="16"/>
        <v>100</v>
      </c>
      <c r="F88" s="1131">
        <f t="shared" si="16"/>
        <v>100</v>
      </c>
      <c r="G88" s="1131">
        <f t="shared" si="16"/>
        <v>100</v>
      </c>
      <c r="H88" s="1131">
        <f t="shared" si="16"/>
        <v>100</v>
      </c>
      <c r="I88" s="1131">
        <f t="shared" si="16"/>
        <v>100</v>
      </c>
      <c r="J88" s="1131">
        <f t="shared" si="16"/>
        <v>100</v>
      </c>
      <c r="K88" s="1131">
        <f t="shared" si="16"/>
        <v>100</v>
      </c>
      <c r="L88" s="1131">
        <f t="shared" si="16"/>
        <v>100</v>
      </c>
      <c r="M88" s="1131">
        <f t="shared" si="16"/>
        <v>100</v>
      </c>
      <c r="N88" s="1177"/>
      <c r="O88" s="1177"/>
      <c r="P88" s="1390"/>
      <c r="Q88" s="1098"/>
      <c r="R88" s="1218"/>
      <c r="S88" s="1218"/>
      <c r="T88" s="1218"/>
      <c r="U88" s="1218"/>
      <c r="V88" s="1218"/>
      <c r="W88" s="1218"/>
      <c r="X88" s="1218"/>
      <c r="Y88" s="1218"/>
      <c r="Z88" s="1218"/>
      <c r="AA88" s="1218"/>
      <c r="AB88" s="1218"/>
      <c r="AC88" s="1218"/>
    </row>
    <row r="89" spans="1:29" s="880" customFormat="1" ht="15">
      <c r="A89" s="1148"/>
      <c r="B89" s="1128" t="str">
        <f>B27</f>
        <v>楼层</v>
      </c>
      <c r="C89" s="1136"/>
      <c r="D89" s="1136"/>
      <c r="E89" s="1136"/>
      <c r="F89" s="1461"/>
      <c r="G89" s="1136"/>
      <c r="H89" s="1136"/>
      <c r="I89" s="1136"/>
      <c r="J89" s="1136"/>
      <c r="K89" s="1136"/>
      <c r="L89" s="1136"/>
      <c r="M89" s="1338"/>
      <c r="N89" s="1168"/>
      <c r="O89" s="1168"/>
      <c r="P89" s="1390"/>
      <c r="Q89" s="1098"/>
      <c r="R89" s="1218"/>
      <c r="S89" s="1218"/>
      <c r="T89" s="1218"/>
      <c r="U89" s="1218"/>
      <c r="V89" s="1218"/>
      <c r="W89" s="1218"/>
      <c r="X89" s="1218"/>
      <c r="Y89" s="1218"/>
      <c r="Z89" s="1218"/>
      <c r="AA89" s="1218"/>
      <c r="AB89" s="1218"/>
      <c r="AC89" s="1218"/>
    </row>
    <row r="90" spans="1:29" s="880" customFormat="1" ht="15">
      <c r="A90" s="1148"/>
      <c r="B90" s="1130"/>
      <c r="C90" s="1149">
        <v>100</v>
      </c>
      <c r="D90" s="1131">
        <f>C90-$K27</f>
        <v>100</v>
      </c>
      <c r="E90" s="1131">
        <f t="shared" ref="E90:M90" si="17">D90-$K27</f>
        <v>100</v>
      </c>
      <c r="F90" s="1131">
        <f t="shared" si="17"/>
        <v>100</v>
      </c>
      <c r="G90" s="1131">
        <f t="shared" si="17"/>
        <v>100</v>
      </c>
      <c r="H90" s="1131">
        <f t="shared" si="17"/>
        <v>100</v>
      </c>
      <c r="I90" s="1131">
        <f t="shared" si="17"/>
        <v>100</v>
      </c>
      <c r="J90" s="1131">
        <f t="shared" si="17"/>
        <v>100</v>
      </c>
      <c r="K90" s="1131">
        <f t="shared" si="17"/>
        <v>100</v>
      </c>
      <c r="L90" s="1131">
        <f t="shared" si="17"/>
        <v>100</v>
      </c>
      <c r="M90" s="1131">
        <f t="shared" si="17"/>
        <v>100</v>
      </c>
      <c r="N90" s="1177"/>
      <c r="O90" s="1177"/>
      <c r="P90" s="1390"/>
      <c r="Q90" s="1098"/>
      <c r="R90" s="1218"/>
      <c r="S90" s="1218"/>
      <c r="T90" s="1218"/>
      <c r="U90" s="1218"/>
      <c r="V90" s="1218"/>
      <c r="W90" s="1218"/>
      <c r="X90" s="1218"/>
      <c r="Y90" s="1218"/>
      <c r="Z90" s="1218"/>
      <c r="AA90" s="1218"/>
      <c r="AB90" s="1218"/>
      <c r="AC90" s="1218"/>
    </row>
    <row r="91" spans="1:29" s="882" customFormat="1" ht="15">
      <c r="A91" s="1135"/>
      <c r="B91" s="1128" t="str">
        <f>B28</f>
        <v>朝向</v>
      </c>
      <c r="C91" s="1136"/>
      <c r="D91" s="1136"/>
      <c r="E91" s="1136"/>
      <c r="F91" s="1136"/>
      <c r="G91" s="1136"/>
      <c r="H91" s="1137"/>
      <c r="I91" s="1137"/>
      <c r="J91" s="1137"/>
      <c r="K91" s="1137"/>
      <c r="L91" s="1185"/>
      <c r="M91" s="1186"/>
      <c r="N91" s="1187"/>
      <c r="O91" s="1187"/>
      <c r="P91" s="1391"/>
      <c r="Q91" s="1219"/>
      <c r="R91" s="1220"/>
      <c r="S91" s="1220"/>
      <c r="T91" s="1220"/>
      <c r="U91" s="1220"/>
      <c r="V91" s="1220"/>
      <c r="W91" s="1220"/>
      <c r="X91" s="1220"/>
      <c r="Y91" s="1220"/>
      <c r="Z91" s="1220"/>
      <c r="AA91" s="1220"/>
      <c r="AB91" s="1220"/>
      <c r="AC91" s="1220"/>
    </row>
    <row r="92" spans="1:29" s="882" customFormat="1" ht="15">
      <c r="A92" s="1135"/>
      <c r="B92" s="1130"/>
      <c r="C92" s="1149">
        <v>100</v>
      </c>
      <c r="D92" s="1131">
        <f t="shared" ref="D92:M92" si="18">C92-$K28</f>
        <v>100</v>
      </c>
      <c r="E92" s="1131">
        <f t="shared" si="18"/>
        <v>100</v>
      </c>
      <c r="F92" s="1131">
        <f t="shared" si="18"/>
        <v>100</v>
      </c>
      <c r="G92" s="1131">
        <f t="shared" si="18"/>
        <v>100</v>
      </c>
      <c r="H92" s="1131">
        <f t="shared" si="18"/>
        <v>100</v>
      </c>
      <c r="I92" s="1131">
        <f t="shared" si="18"/>
        <v>100</v>
      </c>
      <c r="J92" s="1131">
        <f t="shared" si="18"/>
        <v>100</v>
      </c>
      <c r="K92" s="1131">
        <f t="shared" si="18"/>
        <v>100</v>
      </c>
      <c r="L92" s="1131">
        <f t="shared" si="18"/>
        <v>100</v>
      </c>
      <c r="M92" s="1131">
        <f t="shared" si="18"/>
        <v>100</v>
      </c>
      <c r="N92" s="1187"/>
      <c r="O92" s="1187"/>
      <c r="P92" s="1391"/>
      <c r="Q92" s="1219"/>
      <c r="R92" s="1220"/>
      <c r="S92" s="1220"/>
      <c r="T92" s="1220"/>
      <c r="U92" s="1220"/>
      <c r="V92" s="1220"/>
      <c r="W92" s="1220"/>
      <c r="X92" s="1220"/>
      <c r="Y92" s="1220"/>
      <c r="Z92" s="1220"/>
      <c r="AA92" s="1220"/>
      <c r="AB92" s="1220"/>
      <c r="AC92" s="1220"/>
    </row>
    <row r="93" spans="1:29" ht="15">
      <c r="A93" s="1125"/>
      <c r="B93" s="1128">
        <f>B29</f>
        <v>111</v>
      </c>
      <c r="C93" s="1136"/>
      <c r="D93" s="1136"/>
      <c r="E93" s="1136"/>
      <c r="F93" s="1136"/>
      <c r="G93" s="1136"/>
      <c r="H93" s="1136"/>
      <c r="I93" s="1136"/>
      <c r="J93" s="1136"/>
      <c r="K93" s="1136"/>
      <c r="L93" s="1337"/>
      <c r="M93" s="1338"/>
      <c r="N93" s="1174"/>
      <c r="O93" s="1174"/>
      <c r="P93" s="1390"/>
      <c r="Q93" s="1098"/>
      <c r="R93" s="996"/>
      <c r="S93" s="996"/>
      <c r="T93" s="996"/>
      <c r="U93" s="996"/>
      <c r="V93" s="996"/>
      <c r="W93" s="996"/>
      <c r="X93" s="996"/>
      <c r="Y93" s="996"/>
      <c r="Z93" s="996"/>
      <c r="AA93" s="996"/>
      <c r="AB93" s="996"/>
      <c r="AC93" s="996"/>
    </row>
    <row r="94" spans="1:29" ht="15">
      <c r="A94" s="1125"/>
      <c r="B94" s="1130"/>
      <c r="C94" s="1138"/>
      <c r="D94" s="1127"/>
      <c r="E94" s="1127"/>
      <c r="F94" s="1127"/>
      <c r="G94" s="1127"/>
      <c r="H94" s="1127"/>
      <c r="I94" s="1127"/>
      <c r="J94" s="1127"/>
      <c r="K94" s="1127"/>
      <c r="L94" s="1127"/>
      <c r="M94" s="1176"/>
      <c r="N94" s="1177"/>
      <c r="O94" s="1177"/>
      <c r="P94" s="1390"/>
      <c r="Q94" s="1098"/>
      <c r="R94" s="996"/>
      <c r="S94" s="996"/>
      <c r="T94" s="996"/>
      <c r="U94" s="996"/>
      <c r="V94" s="996"/>
      <c r="W94" s="996"/>
      <c r="X94" s="996"/>
      <c r="Y94" s="996"/>
      <c r="Z94" s="996"/>
      <c r="AA94" s="996"/>
      <c r="AB94" s="996"/>
      <c r="AC94" s="996"/>
    </row>
    <row r="95" spans="1:29" ht="15">
      <c r="A95" s="1125"/>
      <c r="B95" s="1128">
        <f>B30</f>
        <v>111</v>
      </c>
      <c r="C95" s="1136"/>
      <c r="D95" s="1136"/>
      <c r="E95" s="1136"/>
      <c r="F95" s="1136"/>
      <c r="G95" s="1153"/>
      <c r="H95" s="1153"/>
      <c r="I95" s="1153"/>
      <c r="J95" s="1153"/>
      <c r="K95" s="1204"/>
      <c r="L95" s="1205"/>
      <c r="M95" s="1206"/>
      <c r="N95" s="1174"/>
      <c r="O95" s="1174"/>
      <c r="P95" s="1390"/>
      <c r="Q95" s="1098"/>
      <c r="R95" s="996"/>
      <c r="S95" s="996"/>
      <c r="T95" s="996"/>
      <c r="U95" s="996"/>
      <c r="V95" s="996"/>
      <c r="W95" s="996"/>
      <c r="X95" s="996"/>
      <c r="Y95" s="996"/>
      <c r="Z95" s="996"/>
      <c r="AA95" s="996"/>
      <c r="AB95" s="996"/>
      <c r="AC95" s="996"/>
    </row>
    <row r="96" spans="1:29" ht="15">
      <c r="A96" s="1125"/>
      <c r="B96" s="1130"/>
      <c r="C96" s="1138"/>
      <c r="D96" s="1138"/>
      <c r="E96" s="1138"/>
      <c r="F96" s="1138"/>
      <c r="G96" s="1127"/>
      <c r="H96" s="1127"/>
      <c r="I96" s="1127"/>
      <c r="J96" s="1127"/>
      <c r="K96" s="1127"/>
      <c r="L96" s="1127"/>
      <c r="M96" s="1176"/>
      <c r="N96" s="1177"/>
      <c r="O96" s="1177"/>
      <c r="P96" s="1390"/>
      <c r="Q96" s="1098"/>
      <c r="R96" s="996"/>
      <c r="S96" s="996"/>
      <c r="T96" s="996"/>
      <c r="U96" s="996"/>
      <c r="V96" s="996"/>
      <c r="W96" s="996"/>
      <c r="X96" s="996"/>
      <c r="Y96" s="996"/>
      <c r="Z96" s="996"/>
      <c r="AA96" s="996"/>
      <c r="AB96" s="996"/>
      <c r="AC96" s="996"/>
    </row>
    <row r="97" spans="1:29" ht="15">
      <c r="A97" s="1125"/>
      <c r="B97" s="1128">
        <f>B31</f>
        <v>111</v>
      </c>
      <c r="C97" s="1136"/>
      <c r="D97" s="1136"/>
      <c r="E97" s="1136"/>
      <c r="F97" s="1136"/>
      <c r="G97" s="1153"/>
      <c r="H97" s="1153"/>
      <c r="I97" s="1153"/>
      <c r="J97" s="1153"/>
      <c r="K97" s="1204"/>
      <c r="L97" s="1205"/>
      <c r="M97" s="1206"/>
      <c r="N97" s="1174"/>
      <c r="O97" s="1174"/>
      <c r="P97" s="1390"/>
      <c r="Q97" s="1098"/>
      <c r="R97" s="996"/>
      <c r="S97" s="996"/>
      <c r="T97" s="996"/>
      <c r="U97" s="996"/>
      <c r="V97" s="996"/>
      <c r="W97" s="996"/>
      <c r="X97" s="996"/>
      <c r="Y97" s="996"/>
      <c r="Z97" s="996"/>
      <c r="AA97" s="996"/>
      <c r="AB97" s="996"/>
      <c r="AC97" s="996"/>
    </row>
    <row r="98" spans="1:29" ht="15">
      <c r="A98" s="1125"/>
      <c r="B98" s="1130"/>
      <c r="C98" s="1138"/>
      <c r="D98" s="1127"/>
      <c r="E98" s="1127"/>
      <c r="F98" s="1127"/>
      <c r="G98" s="1127"/>
      <c r="H98" s="1127"/>
      <c r="I98" s="1127"/>
      <c r="J98" s="1127"/>
      <c r="K98" s="1127"/>
      <c r="L98" s="1127"/>
      <c r="M98" s="1176"/>
      <c r="N98" s="1177"/>
      <c r="O98" s="1177"/>
      <c r="P98" s="1390"/>
      <c r="Q98" s="1098"/>
      <c r="R98" s="996"/>
      <c r="S98" s="996"/>
      <c r="T98" s="996"/>
      <c r="U98" s="996"/>
      <c r="V98" s="996"/>
      <c r="W98" s="996"/>
      <c r="X98" s="996"/>
      <c r="Y98" s="996"/>
      <c r="Z98" s="996"/>
      <c r="AA98" s="996"/>
      <c r="AB98" s="996"/>
      <c r="AC98" s="996"/>
    </row>
    <row r="99" spans="1:29" ht="15">
      <c r="A99" s="1125"/>
      <c r="B99" s="1132">
        <f>B32</f>
        <v>111</v>
      </c>
      <c r="C99" s="1120"/>
      <c r="D99" s="1120"/>
      <c r="E99" s="1120"/>
      <c r="F99" s="1120"/>
      <c r="G99" s="1154"/>
      <c r="H99" s="1154"/>
      <c r="I99" s="1154"/>
      <c r="J99" s="1154"/>
      <c r="K99" s="1207"/>
      <c r="L99" s="1208"/>
      <c r="M99" s="1209"/>
      <c r="N99" s="1174"/>
      <c r="O99" s="1174"/>
      <c r="P99" s="1390"/>
      <c r="Q99" s="1098"/>
      <c r="R99" s="996"/>
      <c r="S99" s="996"/>
      <c r="T99" s="996"/>
      <c r="U99" s="996"/>
      <c r="V99" s="996"/>
      <c r="W99" s="996"/>
      <c r="X99" s="996"/>
      <c r="Y99" s="996"/>
      <c r="Z99" s="996"/>
      <c r="AA99" s="996"/>
      <c r="AB99" s="996"/>
      <c r="AC99" s="996"/>
    </row>
    <row r="100" spans="1:29" ht="15">
      <c r="A100" s="1438"/>
      <c r="B100" s="1142"/>
      <c r="C100" s="1143"/>
      <c r="D100" s="1143"/>
      <c r="E100" s="1143"/>
      <c r="F100" s="1143"/>
      <c r="G100" s="1155"/>
      <c r="H100" s="1155"/>
      <c r="I100" s="1155"/>
      <c r="J100" s="1155"/>
      <c r="K100" s="1155"/>
      <c r="L100" s="1155"/>
      <c r="M100" s="1210"/>
      <c r="N100" s="1177"/>
      <c r="O100" s="1177"/>
      <c r="P100" s="1390"/>
      <c r="Q100" s="1098"/>
      <c r="R100" s="996"/>
      <c r="S100" s="996"/>
      <c r="T100" s="996"/>
      <c r="U100" s="996"/>
      <c r="V100" s="996"/>
      <c r="W100" s="996"/>
      <c r="X100" s="996"/>
      <c r="Y100" s="996"/>
      <c r="Z100" s="996"/>
      <c r="AA100" s="996"/>
      <c r="AB100" s="996"/>
      <c r="AC100" s="996"/>
    </row>
    <row r="101" spans="1:29">
      <c r="A101" s="1123" t="s">
        <v>1386</v>
      </c>
      <c r="B101" s="1124" t="s">
        <v>1387</v>
      </c>
      <c r="C101" s="1066"/>
      <c r="D101" s="1066"/>
      <c r="E101" s="1066"/>
      <c r="F101" s="1066"/>
      <c r="G101" s="1066"/>
      <c r="H101" s="1066"/>
      <c r="I101" s="1066"/>
      <c r="J101" s="1066"/>
      <c r="K101" s="1171"/>
      <c r="L101" s="1172"/>
      <c r="M101" s="1173"/>
      <c r="N101" s="1174"/>
      <c r="O101" s="1174"/>
      <c r="P101" s="1390"/>
      <c r="Q101" s="1098"/>
      <c r="R101" s="996"/>
      <c r="S101" s="996"/>
      <c r="T101" s="996"/>
      <c r="U101" s="996"/>
      <c r="V101" s="996"/>
      <c r="W101" s="996"/>
      <c r="X101" s="996"/>
      <c r="Y101" s="996"/>
      <c r="Z101" s="996"/>
      <c r="AA101" s="996"/>
      <c r="AB101" s="996"/>
      <c r="AC101" s="996"/>
    </row>
    <row r="102" spans="1:29" ht="15">
      <c r="A102" s="1125"/>
      <c r="B102" s="1130"/>
      <c r="C102" s="1131">
        <v>100</v>
      </c>
      <c r="D102" s="1131">
        <f t="shared" ref="D102:M102" si="19">C102-$K33</f>
        <v>100</v>
      </c>
      <c r="E102" s="1131">
        <f t="shared" si="19"/>
        <v>100</v>
      </c>
      <c r="F102" s="1131">
        <f t="shared" si="19"/>
        <v>100</v>
      </c>
      <c r="G102" s="1131">
        <f t="shared" si="19"/>
        <v>100</v>
      </c>
      <c r="H102" s="1131">
        <f t="shared" si="19"/>
        <v>100</v>
      </c>
      <c r="I102" s="1131">
        <f t="shared" si="19"/>
        <v>100</v>
      </c>
      <c r="J102" s="1131">
        <f t="shared" si="19"/>
        <v>100</v>
      </c>
      <c r="K102" s="1131">
        <f t="shared" si="19"/>
        <v>100</v>
      </c>
      <c r="L102" s="1131">
        <f t="shared" si="19"/>
        <v>100</v>
      </c>
      <c r="M102" s="1181">
        <f t="shared" si="19"/>
        <v>100</v>
      </c>
      <c r="N102" s="1177"/>
      <c r="O102" s="1177"/>
      <c r="P102" s="1390"/>
      <c r="Q102" s="1098"/>
      <c r="R102" s="996"/>
      <c r="S102" s="996"/>
      <c r="T102" s="996"/>
      <c r="U102" s="996"/>
      <c r="V102" s="996"/>
      <c r="W102" s="996"/>
      <c r="X102" s="996"/>
      <c r="Y102" s="996"/>
      <c r="Z102" s="996"/>
      <c r="AA102" s="996"/>
      <c r="AB102" s="996"/>
      <c r="AC102" s="996"/>
    </row>
    <row r="103" spans="1:29" ht="15">
      <c r="A103" s="1125"/>
      <c r="B103" s="1128" t="s">
        <v>1389</v>
      </c>
      <c r="C103" s="1147" t="str">
        <f>C104&amp;"(含)"&amp;"-"&amp;D104</f>
        <v>(含)-</v>
      </c>
      <c r="D103" s="1147" t="str">
        <f t="shared" ref="D103:L103" si="20">D104&amp;"(含)"&amp;"-"&amp;E104</f>
        <v>(含)-</v>
      </c>
      <c r="E103" s="1147" t="str">
        <f t="shared" si="20"/>
        <v>(含)-</v>
      </c>
      <c r="F103" s="1147" t="str">
        <f t="shared" si="20"/>
        <v>(含)-</v>
      </c>
      <c r="G103" s="1147" t="str">
        <f t="shared" si="20"/>
        <v>(含)-</v>
      </c>
      <c r="H103" s="1147" t="str">
        <f t="shared" si="20"/>
        <v>(含)-</v>
      </c>
      <c r="I103" s="1147" t="str">
        <f t="shared" si="20"/>
        <v>(含)-</v>
      </c>
      <c r="J103" s="1147" t="str">
        <f t="shared" si="20"/>
        <v>(含)-</v>
      </c>
      <c r="K103" s="1147" t="str">
        <f t="shared" si="20"/>
        <v>(含)-</v>
      </c>
      <c r="L103" s="1147" t="str">
        <f t="shared" si="20"/>
        <v>(含)-</v>
      </c>
      <c r="M103" s="1199" t="str">
        <f>M104&amp;"(含)"&amp;"-"&amp;P104</f>
        <v>(含)-</v>
      </c>
      <c r="N103" s="1168"/>
      <c r="O103" s="1168"/>
      <c r="P103" s="1390"/>
      <c r="Q103" s="1098"/>
      <c r="R103" s="996"/>
      <c r="S103" s="996"/>
      <c r="T103" s="996"/>
      <c r="U103" s="996"/>
      <c r="V103" s="996"/>
      <c r="W103" s="996"/>
      <c r="X103" s="996"/>
      <c r="Y103" s="996"/>
      <c r="Z103" s="996"/>
      <c r="AA103" s="996"/>
      <c r="AB103" s="996"/>
      <c r="AC103" s="996"/>
    </row>
    <row r="104" spans="1:29" s="882" customFormat="1">
      <c r="A104" s="1156"/>
      <c r="B104" s="1157"/>
      <c r="C104" s="1112"/>
      <c r="D104" s="1112"/>
      <c r="E104" s="1112"/>
      <c r="F104" s="1112"/>
      <c r="G104" s="1112"/>
      <c r="H104" s="1112"/>
      <c r="I104" s="1112"/>
      <c r="J104" s="1211"/>
      <c r="K104" s="1211"/>
      <c r="L104" s="1212"/>
      <c r="M104" s="1213"/>
      <c r="N104" s="1187"/>
      <c r="O104" s="1187"/>
      <c r="P104" s="1391"/>
      <c r="Q104" s="1219"/>
      <c r="R104" s="1220"/>
      <c r="S104" s="1220"/>
      <c r="T104" s="1220"/>
      <c r="U104" s="1220"/>
      <c r="V104" s="1220"/>
      <c r="W104" s="1220"/>
      <c r="X104" s="1220"/>
      <c r="Y104" s="1220"/>
      <c r="Z104" s="1220"/>
      <c r="AA104" s="1220"/>
      <c r="AB104" s="1220"/>
      <c r="AC104" s="1220"/>
    </row>
    <row r="105" spans="1:29" s="882" customFormat="1" ht="15">
      <c r="A105" s="1135"/>
      <c r="B105" s="1130"/>
      <c r="C105" s="1138"/>
      <c r="D105" s="1127"/>
      <c r="E105" s="1127"/>
      <c r="F105" s="1127"/>
      <c r="G105" s="1127"/>
      <c r="H105" s="1127"/>
      <c r="I105" s="1127"/>
      <c r="J105" s="1127"/>
      <c r="K105" s="1127"/>
      <c r="L105" s="1127"/>
      <c r="M105" s="1176"/>
      <c r="N105" s="1177"/>
      <c r="O105" s="1177"/>
      <c r="P105" s="1391"/>
      <c r="Q105" s="1219"/>
      <c r="R105" s="1220"/>
      <c r="S105" s="1220"/>
      <c r="T105" s="1220"/>
      <c r="U105" s="1220"/>
      <c r="V105" s="1220"/>
      <c r="W105" s="1220"/>
      <c r="X105" s="1220"/>
      <c r="Y105" s="1220"/>
      <c r="Z105" s="1220"/>
      <c r="AA105" s="1220"/>
      <c r="AB105" s="1220"/>
      <c r="AC105" s="1220"/>
    </row>
    <row r="106" spans="1:29">
      <c r="A106" s="1159"/>
      <c r="B106" s="1128" t="s">
        <v>1390</v>
      </c>
      <c r="C106" s="1136"/>
      <c r="D106" s="1136"/>
      <c r="E106" s="1153"/>
      <c r="F106" s="1153"/>
      <c r="G106" s="1153"/>
      <c r="H106" s="1153"/>
      <c r="I106" s="1153"/>
      <c r="J106" s="1153"/>
      <c r="K106" s="1204"/>
      <c r="L106" s="1205"/>
      <c r="M106" s="1206"/>
      <c r="N106" s="1174"/>
      <c r="O106" s="1174"/>
      <c r="P106" s="1390"/>
      <c r="Q106" s="1098"/>
      <c r="R106" s="996"/>
      <c r="S106" s="996"/>
      <c r="T106" s="996"/>
      <c r="U106" s="996"/>
      <c r="V106" s="996"/>
      <c r="W106" s="996"/>
      <c r="X106" s="996"/>
      <c r="Y106" s="996"/>
      <c r="Z106" s="996"/>
      <c r="AA106" s="996"/>
      <c r="AB106" s="996"/>
      <c r="AC106" s="996"/>
    </row>
    <row r="107" spans="1:29" ht="15">
      <c r="A107" s="1125"/>
      <c r="B107" s="1130"/>
      <c r="C107" s="1131">
        <v>100</v>
      </c>
      <c r="D107" s="1131">
        <f t="shared" ref="D107:M107" si="21">C107-$K35</f>
        <v>100</v>
      </c>
      <c r="E107" s="1131">
        <f t="shared" si="21"/>
        <v>100</v>
      </c>
      <c r="F107" s="1131">
        <f t="shared" si="21"/>
        <v>100</v>
      </c>
      <c r="G107" s="1131">
        <f t="shared" si="21"/>
        <v>100</v>
      </c>
      <c r="H107" s="1131">
        <f t="shared" si="21"/>
        <v>100</v>
      </c>
      <c r="I107" s="1131">
        <f t="shared" si="21"/>
        <v>100</v>
      </c>
      <c r="J107" s="1131">
        <f t="shared" si="21"/>
        <v>100</v>
      </c>
      <c r="K107" s="1131">
        <f t="shared" si="21"/>
        <v>100</v>
      </c>
      <c r="L107" s="1131">
        <f t="shared" si="21"/>
        <v>100</v>
      </c>
      <c r="M107" s="1181">
        <f t="shared" si="21"/>
        <v>100</v>
      </c>
      <c r="N107" s="1177"/>
      <c r="O107" s="1177"/>
      <c r="P107" s="1390"/>
      <c r="Q107" s="1098"/>
      <c r="R107" s="996"/>
      <c r="S107" s="996"/>
      <c r="T107" s="996"/>
      <c r="U107" s="996"/>
      <c r="V107" s="996"/>
      <c r="W107" s="996"/>
      <c r="X107" s="996"/>
      <c r="Y107" s="996"/>
      <c r="Z107" s="996"/>
      <c r="AA107" s="996"/>
      <c r="AB107" s="996"/>
      <c r="AC107" s="996"/>
    </row>
    <row r="108" spans="1:29">
      <c r="A108" s="1159"/>
      <c r="B108" s="1128" t="s">
        <v>1392</v>
      </c>
      <c r="C108" s="1136"/>
      <c r="D108" s="1136"/>
      <c r="E108" s="1136"/>
      <c r="F108" s="1153"/>
      <c r="G108" s="1153"/>
      <c r="H108" s="1153"/>
      <c r="I108" s="1153"/>
      <c r="J108" s="1153"/>
      <c r="K108" s="1204"/>
      <c r="L108" s="1205"/>
      <c r="M108" s="1206"/>
      <c r="N108" s="1174"/>
      <c r="O108" s="1174"/>
      <c r="P108" s="1390"/>
      <c r="Q108" s="1098"/>
      <c r="R108" s="996"/>
      <c r="S108" s="996"/>
      <c r="T108" s="996"/>
      <c r="U108" s="996"/>
      <c r="V108" s="996"/>
      <c r="W108" s="996"/>
      <c r="X108" s="996"/>
      <c r="Y108" s="996"/>
      <c r="Z108" s="996"/>
      <c r="AA108" s="996"/>
      <c r="AB108" s="996"/>
      <c r="AC108" s="996"/>
    </row>
    <row r="109" spans="1:29" ht="15">
      <c r="A109" s="1125"/>
      <c r="B109" s="1130"/>
      <c r="C109" s="1131">
        <v>100</v>
      </c>
      <c r="D109" s="1131">
        <f t="shared" ref="D109:M109" si="22">C109-$K36</f>
        <v>100</v>
      </c>
      <c r="E109" s="1131">
        <f t="shared" si="22"/>
        <v>100</v>
      </c>
      <c r="F109" s="1131">
        <f t="shared" si="22"/>
        <v>100</v>
      </c>
      <c r="G109" s="1131">
        <f t="shared" si="22"/>
        <v>100</v>
      </c>
      <c r="H109" s="1131">
        <f t="shared" si="22"/>
        <v>100</v>
      </c>
      <c r="I109" s="1131">
        <f t="shared" si="22"/>
        <v>100</v>
      </c>
      <c r="J109" s="1131">
        <f t="shared" si="22"/>
        <v>100</v>
      </c>
      <c r="K109" s="1131">
        <f t="shared" si="22"/>
        <v>100</v>
      </c>
      <c r="L109" s="1131">
        <f t="shared" si="22"/>
        <v>100</v>
      </c>
      <c r="M109" s="1181">
        <f t="shared" si="22"/>
        <v>100</v>
      </c>
      <c r="N109" s="1177"/>
      <c r="O109" s="1177"/>
      <c r="P109" s="1390"/>
      <c r="Q109" s="1098"/>
      <c r="R109" s="996"/>
      <c r="S109" s="996"/>
      <c r="T109" s="996"/>
      <c r="U109" s="996"/>
      <c r="V109" s="996"/>
      <c r="W109" s="996"/>
      <c r="X109" s="996"/>
      <c r="Y109" s="996"/>
      <c r="Z109" s="996"/>
      <c r="AA109" s="996"/>
      <c r="AB109" s="996"/>
      <c r="AC109" s="996"/>
    </row>
    <row r="110" spans="1:29">
      <c r="A110" s="1159"/>
      <c r="B110" s="1128" t="s">
        <v>576</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4"/>
      <c r="L110" s="1205"/>
      <c r="M110" s="1206"/>
      <c r="N110" s="1174"/>
      <c r="O110" s="1174"/>
      <c r="P110" s="1390"/>
      <c r="Q110" s="1098"/>
      <c r="R110" s="996"/>
      <c r="S110" s="996"/>
      <c r="T110" s="996"/>
      <c r="U110" s="996"/>
      <c r="V110" s="996"/>
      <c r="W110" s="996"/>
      <c r="X110" s="996"/>
      <c r="Y110" s="996"/>
      <c r="Z110" s="996"/>
      <c r="AA110" s="996"/>
      <c r="AB110" s="996"/>
      <c r="AC110" s="996"/>
    </row>
    <row r="111" spans="1:29">
      <c r="A111" s="1159"/>
      <c r="B111" s="1132"/>
      <c r="C111" s="815">
        <v>0.5</v>
      </c>
      <c r="D111" s="815">
        <v>0.6</v>
      </c>
      <c r="E111" s="815">
        <v>0.7</v>
      </c>
      <c r="F111" s="815">
        <v>0.8</v>
      </c>
      <c r="G111" s="815">
        <v>0.9</v>
      </c>
      <c r="H111" s="815">
        <v>1.0001</v>
      </c>
      <c r="I111" s="1398"/>
      <c r="J111" s="1398"/>
      <c r="K111" s="1399"/>
      <c r="L111" s="1400"/>
      <c r="M111" s="1401"/>
      <c r="N111" s="1174"/>
      <c r="O111" s="1174"/>
      <c r="P111" s="1390"/>
      <c r="Q111" s="1098"/>
      <c r="R111" s="996"/>
      <c r="S111" s="996"/>
      <c r="T111" s="996"/>
      <c r="U111" s="996"/>
      <c r="V111" s="996"/>
      <c r="W111" s="996"/>
      <c r="X111" s="996"/>
      <c r="Y111" s="996"/>
      <c r="Z111" s="996"/>
      <c r="AA111" s="996"/>
      <c r="AB111" s="996"/>
      <c r="AC111" s="996"/>
    </row>
    <row r="112" spans="1:29" ht="15">
      <c r="A112" s="1125"/>
      <c r="B112" s="1130"/>
      <c r="C112" s="1149">
        <v>100</v>
      </c>
      <c r="D112" s="1131">
        <f>C112+$K37</f>
        <v>100</v>
      </c>
      <c r="E112" s="1131">
        <f t="shared" ref="E112:M112" si="23">D112+$K37</f>
        <v>100</v>
      </c>
      <c r="F112" s="1131">
        <f t="shared" si="23"/>
        <v>100</v>
      </c>
      <c r="G112" s="1131">
        <f t="shared" si="23"/>
        <v>100</v>
      </c>
      <c r="H112" s="1131">
        <f t="shared" si="23"/>
        <v>100</v>
      </c>
      <c r="I112" s="1131">
        <f t="shared" si="23"/>
        <v>100</v>
      </c>
      <c r="J112" s="1131">
        <f t="shared" si="23"/>
        <v>100</v>
      </c>
      <c r="K112" s="1131">
        <f t="shared" si="23"/>
        <v>100</v>
      </c>
      <c r="L112" s="1131">
        <f t="shared" si="23"/>
        <v>100</v>
      </c>
      <c r="M112" s="1131">
        <f t="shared" si="23"/>
        <v>100</v>
      </c>
      <c r="N112" s="1177"/>
      <c r="O112" s="1177"/>
      <c r="P112" s="1390"/>
      <c r="Q112" s="1098"/>
      <c r="R112" s="996"/>
      <c r="S112" s="996"/>
      <c r="T112" s="996"/>
      <c r="U112" s="996"/>
      <c r="V112" s="996"/>
      <c r="W112" s="996"/>
      <c r="X112" s="996"/>
      <c r="Y112" s="996"/>
      <c r="Z112" s="996"/>
      <c r="AA112" s="996"/>
      <c r="AB112" s="996"/>
      <c r="AC112" s="996"/>
    </row>
    <row r="113" spans="1:29" s="882" customFormat="1">
      <c r="A113" s="1156"/>
      <c r="B113" s="1128" t="s">
        <v>1463</v>
      </c>
      <c r="C113" s="1136"/>
      <c r="D113" s="1136"/>
      <c r="E113" s="1136"/>
      <c r="F113" s="1136"/>
      <c r="G113" s="1136"/>
      <c r="H113" s="1153"/>
      <c r="I113" s="1153"/>
      <c r="J113" s="1153"/>
      <c r="K113" s="1204"/>
      <c r="L113" s="1205"/>
      <c r="M113" s="1206"/>
      <c r="N113" s="1187"/>
      <c r="O113" s="1187"/>
      <c r="P113" s="1391"/>
      <c r="Q113" s="1219"/>
      <c r="R113" s="1220"/>
      <c r="S113" s="1220"/>
      <c r="T113" s="1220"/>
      <c r="U113" s="1220"/>
      <c r="V113" s="1220"/>
      <c r="W113" s="1220"/>
      <c r="X113" s="1220"/>
      <c r="Y113" s="1220"/>
      <c r="Z113" s="1220"/>
      <c r="AA113" s="1220"/>
      <c r="AB113" s="1220"/>
      <c r="AC113" s="1220"/>
    </row>
    <row r="114" spans="1:29" s="882" customFormat="1" ht="15">
      <c r="A114" s="1135"/>
      <c r="B114" s="1130"/>
      <c r="C114" s="1131">
        <v>100</v>
      </c>
      <c r="D114" s="1131">
        <f>C114-$K38</f>
        <v>100</v>
      </c>
      <c r="E114" s="1131">
        <f t="shared" ref="E114:M114" si="24">D114-$K38</f>
        <v>100</v>
      </c>
      <c r="F114" s="1131">
        <f t="shared" si="24"/>
        <v>100</v>
      </c>
      <c r="G114" s="1131">
        <f t="shared" si="24"/>
        <v>100</v>
      </c>
      <c r="H114" s="1131">
        <f t="shared" si="24"/>
        <v>100</v>
      </c>
      <c r="I114" s="1131">
        <f t="shared" si="24"/>
        <v>100</v>
      </c>
      <c r="J114" s="1131">
        <f t="shared" si="24"/>
        <v>100</v>
      </c>
      <c r="K114" s="1131">
        <f t="shared" si="24"/>
        <v>100</v>
      </c>
      <c r="L114" s="1131">
        <f t="shared" si="24"/>
        <v>100</v>
      </c>
      <c r="M114" s="1131">
        <f t="shared" si="24"/>
        <v>100</v>
      </c>
      <c r="N114" s="1187"/>
      <c r="O114" s="1187"/>
      <c r="P114" s="1391"/>
      <c r="Q114" s="1219"/>
      <c r="R114" s="1220"/>
      <c r="S114" s="1220"/>
      <c r="T114" s="1220"/>
      <c r="U114" s="1220"/>
      <c r="V114" s="1220"/>
      <c r="W114" s="1220"/>
      <c r="X114" s="1220"/>
      <c r="Y114" s="1220"/>
      <c r="Z114" s="1220"/>
      <c r="AA114" s="1220"/>
      <c r="AB114" s="1220"/>
      <c r="AC114" s="1220"/>
    </row>
    <row r="115" spans="1:29">
      <c r="A115" s="1159"/>
      <c r="B115" s="1128" t="s">
        <v>1393</v>
      </c>
      <c r="C115" s="1136"/>
      <c r="D115" s="1136"/>
      <c r="E115" s="1153"/>
      <c r="F115" s="1153"/>
      <c r="G115" s="1153"/>
      <c r="H115" s="1153"/>
      <c r="I115" s="1153"/>
      <c r="J115" s="1153"/>
      <c r="K115" s="1204"/>
      <c r="L115" s="1205"/>
      <c r="M115" s="1206"/>
      <c r="N115" s="1174"/>
      <c r="O115" s="1174"/>
      <c r="P115" s="1390"/>
      <c r="Q115" s="1098"/>
      <c r="R115" s="996"/>
      <c r="S115" s="996"/>
      <c r="T115" s="996"/>
      <c r="U115" s="996"/>
      <c r="V115" s="996"/>
      <c r="W115" s="996"/>
      <c r="X115" s="996"/>
      <c r="Y115" s="996"/>
      <c r="Z115" s="996"/>
      <c r="AA115" s="996"/>
      <c r="AB115" s="996"/>
      <c r="AC115" s="996"/>
    </row>
    <row r="116" spans="1:29" ht="15">
      <c r="A116" s="1125"/>
      <c r="B116" s="1130"/>
      <c r="C116" s="1131">
        <v>100</v>
      </c>
      <c r="D116" s="1131">
        <f t="shared" ref="D116:M116" si="25">C116-$K39</f>
        <v>100</v>
      </c>
      <c r="E116" s="1131">
        <f t="shared" si="25"/>
        <v>100</v>
      </c>
      <c r="F116" s="1131">
        <f t="shared" si="25"/>
        <v>100</v>
      </c>
      <c r="G116" s="1131">
        <f t="shared" si="25"/>
        <v>100</v>
      </c>
      <c r="H116" s="1131">
        <f t="shared" si="25"/>
        <v>100</v>
      </c>
      <c r="I116" s="1131">
        <f t="shared" si="25"/>
        <v>100</v>
      </c>
      <c r="J116" s="1131">
        <f t="shared" si="25"/>
        <v>100</v>
      </c>
      <c r="K116" s="1131">
        <f t="shared" si="25"/>
        <v>100</v>
      </c>
      <c r="L116" s="1131">
        <f t="shared" si="25"/>
        <v>100</v>
      </c>
      <c r="M116" s="1181">
        <f t="shared" si="25"/>
        <v>100</v>
      </c>
      <c r="N116" s="1177"/>
      <c r="O116" s="1177"/>
      <c r="P116" s="1390"/>
      <c r="Q116" s="1098"/>
      <c r="R116" s="996"/>
      <c r="S116" s="996"/>
      <c r="T116" s="996"/>
      <c r="U116" s="996"/>
      <c r="V116" s="996"/>
      <c r="W116" s="996"/>
      <c r="X116" s="996"/>
      <c r="Y116" s="996"/>
      <c r="Z116" s="996"/>
      <c r="AA116" s="996"/>
      <c r="AB116" s="996"/>
      <c r="AC116" s="996"/>
    </row>
    <row r="117" spans="1:29">
      <c r="A117" s="1159"/>
      <c r="B117" s="1128" t="s">
        <v>1394</v>
      </c>
      <c r="C117" s="1136"/>
      <c r="D117" s="1136"/>
      <c r="E117" s="1136"/>
      <c r="F117" s="1136"/>
      <c r="G117" s="1136"/>
      <c r="H117" s="1153"/>
      <c r="I117" s="1153"/>
      <c r="J117" s="1153"/>
      <c r="K117" s="1204"/>
      <c r="L117" s="1205"/>
      <c r="M117" s="1206"/>
      <c r="N117" s="1174"/>
      <c r="O117" s="1174"/>
      <c r="P117" s="1390"/>
      <c r="Q117" s="1098"/>
      <c r="R117" s="996"/>
      <c r="S117" s="996"/>
      <c r="T117" s="996"/>
      <c r="U117" s="996"/>
      <c r="V117" s="996"/>
      <c r="W117" s="996"/>
      <c r="X117" s="996"/>
      <c r="Y117" s="996"/>
      <c r="Z117" s="996"/>
      <c r="AA117" s="996"/>
      <c r="AB117" s="996"/>
      <c r="AC117" s="996"/>
    </row>
    <row r="118" spans="1:29" ht="15">
      <c r="A118" s="1125"/>
      <c r="B118" s="1130"/>
      <c r="C118" s="1131">
        <v>100</v>
      </c>
      <c r="D118" s="1131">
        <f>C118-$K40</f>
        <v>100</v>
      </c>
      <c r="E118" s="1131">
        <f>D118-$K40</f>
        <v>100</v>
      </c>
      <c r="F118" s="1131">
        <f>E118-$K40</f>
        <v>100</v>
      </c>
      <c r="G118" s="1131">
        <f>F118-$K40</f>
        <v>100</v>
      </c>
      <c r="H118" s="1131"/>
      <c r="I118" s="1131"/>
      <c r="J118" s="1131"/>
      <c r="K118" s="1131"/>
      <c r="L118" s="1131"/>
      <c r="M118" s="1181"/>
      <c r="N118" s="1177"/>
      <c r="O118" s="1177"/>
      <c r="P118" s="1390"/>
      <c r="Q118" s="1098"/>
      <c r="R118" s="996"/>
      <c r="S118" s="996"/>
      <c r="T118" s="996"/>
      <c r="U118" s="996"/>
      <c r="V118" s="996"/>
      <c r="W118" s="996"/>
      <c r="X118" s="996"/>
      <c r="Y118" s="996"/>
      <c r="Z118" s="996"/>
      <c r="AA118" s="996"/>
      <c r="AB118" s="996"/>
      <c r="AC118" s="996"/>
    </row>
    <row r="119" spans="1:29">
      <c r="A119" s="1159"/>
      <c r="B119" s="1334" t="s">
        <v>1465</v>
      </c>
      <c r="C119" s="1153"/>
      <c r="D119" s="1153"/>
      <c r="E119" s="1153"/>
      <c r="F119" s="1153"/>
      <c r="G119" s="1153"/>
      <c r="H119" s="1153"/>
      <c r="I119" s="1153"/>
      <c r="J119" s="1153"/>
      <c r="K119" s="1153"/>
      <c r="L119" s="1463"/>
      <c r="M119" s="1464"/>
      <c r="N119" s="1177"/>
      <c r="O119" s="1177"/>
      <c r="P119" s="1402"/>
      <c r="Q119" s="1345"/>
      <c r="R119" s="996"/>
      <c r="S119" s="996"/>
      <c r="T119" s="996"/>
      <c r="U119" s="996"/>
      <c r="V119" s="996"/>
      <c r="W119" s="996"/>
      <c r="X119" s="996"/>
      <c r="Y119" s="996"/>
      <c r="Z119" s="996"/>
      <c r="AA119" s="996"/>
      <c r="AB119" s="996"/>
      <c r="AC119" s="996"/>
    </row>
    <row r="120" spans="1:29" ht="15">
      <c r="A120" s="1125"/>
      <c r="B120" s="1130"/>
      <c r="C120" s="1149">
        <v>100</v>
      </c>
      <c r="D120" s="1131">
        <f>C120-$K41</f>
        <v>100</v>
      </c>
      <c r="E120" s="1131">
        <f t="shared" ref="E120:M120" si="26">D120-$K41</f>
        <v>100</v>
      </c>
      <c r="F120" s="1131">
        <f t="shared" si="26"/>
        <v>100</v>
      </c>
      <c r="G120" s="1131">
        <f t="shared" si="26"/>
        <v>100</v>
      </c>
      <c r="H120" s="1131">
        <f t="shared" si="26"/>
        <v>100</v>
      </c>
      <c r="I120" s="1131">
        <f t="shared" si="26"/>
        <v>100</v>
      </c>
      <c r="J120" s="1131">
        <f t="shared" si="26"/>
        <v>100</v>
      </c>
      <c r="K120" s="1131">
        <f t="shared" si="26"/>
        <v>100</v>
      </c>
      <c r="L120" s="1131">
        <f t="shared" si="26"/>
        <v>100</v>
      </c>
      <c r="M120" s="1131">
        <f t="shared" si="26"/>
        <v>100</v>
      </c>
      <c r="N120" s="1177"/>
      <c r="O120" s="1177"/>
      <c r="P120" s="1390"/>
      <c r="Q120" s="1098"/>
      <c r="R120" s="996"/>
      <c r="S120" s="996"/>
      <c r="T120" s="996"/>
      <c r="U120" s="996"/>
      <c r="V120" s="996"/>
      <c r="W120" s="996"/>
      <c r="X120" s="996"/>
      <c r="Y120" s="996"/>
      <c r="Z120" s="996"/>
      <c r="AA120" s="996"/>
      <c r="AB120" s="996"/>
      <c r="AC120" s="996"/>
    </row>
    <row r="121" spans="1:29" s="882" customFormat="1">
      <c r="A121" s="1156"/>
      <c r="B121" s="1128" t="s">
        <v>1455</v>
      </c>
      <c r="C121" s="1136"/>
      <c r="D121" s="1136"/>
      <c r="E121" s="1136"/>
      <c r="F121" s="1153"/>
      <c r="G121" s="1137"/>
      <c r="H121" s="1137"/>
      <c r="I121" s="1137"/>
      <c r="J121" s="1137"/>
      <c r="K121" s="1137"/>
      <c r="L121" s="1185"/>
      <c r="M121" s="1186"/>
      <c r="N121" s="1187"/>
      <c r="O121" s="1187"/>
      <c r="P121" s="1391"/>
      <c r="Q121" s="1219"/>
      <c r="R121" s="1220"/>
      <c r="S121" s="1220"/>
      <c r="T121" s="1220"/>
      <c r="U121" s="1220"/>
      <c r="V121" s="1220"/>
      <c r="W121" s="1220"/>
      <c r="X121" s="1220"/>
      <c r="Y121" s="1220"/>
      <c r="Z121" s="1220"/>
      <c r="AA121" s="1220"/>
      <c r="AB121" s="1220"/>
      <c r="AC121" s="1220"/>
    </row>
    <row r="122" spans="1:29" s="882" customFormat="1" ht="15">
      <c r="A122" s="1135"/>
      <c r="B122" s="1126"/>
      <c r="C122" s="1138"/>
      <c r="D122" s="1138"/>
      <c r="E122" s="1138"/>
      <c r="F122" s="1138"/>
      <c r="G122" s="1138"/>
      <c r="H122" s="1138"/>
      <c r="I122" s="1138"/>
      <c r="J122" s="1138"/>
      <c r="K122" s="1138"/>
      <c r="L122" s="1138"/>
      <c r="M122" s="1138"/>
      <c r="N122" s="1187"/>
      <c r="O122" s="1187"/>
      <c r="P122" s="1391"/>
      <c r="Q122" s="1219"/>
      <c r="R122" s="1220"/>
      <c r="S122" s="1220"/>
      <c r="T122" s="1220"/>
      <c r="U122" s="1220"/>
      <c r="V122" s="1220"/>
      <c r="W122" s="1220"/>
      <c r="X122" s="1220"/>
      <c r="Y122" s="1220"/>
      <c r="Z122" s="1220"/>
      <c r="AA122" s="1220"/>
      <c r="AB122" s="1220"/>
      <c r="AC122" s="1220"/>
    </row>
    <row r="123" spans="1:29">
      <c r="A123" s="1159"/>
      <c r="B123" s="1128" t="s">
        <v>1397</v>
      </c>
      <c r="C123" s="1136"/>
      <c r="D123" s="1136"/>
      <c r="E123" s="1136"/>
      <c r="F123" s="1153"/>
      <c r="G123" s="1153"/>
      <c r="H123" s="1153"/>
      <c r="I123" s="1153"/>
      <c r="J123" s="1153"/>
      <c r="K123" s="1204"/>
      <c r="L123" s="1205"/>
      <c r="M123" s="1206"/>
      <c r="N123" s="1174"/>
      <c r="O123" s="1174"/>
      <c r="P123" s="1390"/>
      <c r="Q123" s="1098"/>
      <c r="R123" s="996"/>
      <c r="S123" s="996"/>
      <c r="T123" s="996"/>
      <c r="U123" s="996"/>
      <c r="V123" s="996"/>
      <c r="W123" s="996"/>
      <c r="X123" s="996"/>
      <c r="Y123" s="996"/>
      <c r="Z123" s="996"/>
      <c r="AA123" s="996"/>
      <c r="AB123" s="996"/>
      <c r="AC123" s="996"/>
    </row>
    <row r="124" spans="1:29" ht="15">
      <c r="A124" s="1125"/>
      <c r="B124" s="1130"/>
      <c r="C124" s="1131">
        <v>100</v>
      </c>
      <c r="D124" s="1131">
        <f t="shared" ref="D124:M124" si="27">C124-$K43</f>
        <v>100</v>
      </c>
      <c r="E124" s="1131">
        <f t="shared" si="27"/>
        <v>100</v>
      </c>
      <c r="F124" s="1131">
        <f t="shared" si="27"/>
        <v>100</v>
      </c>
      <c r="G124" s="1131">
        <f t="shared" si="27"/>
        <v>100</v>
      </c>
      <c r="H124" s="1131">
        <f t="shared" si="27"/>
        <v>100</v>
      </c>
      <c r="I124" s="1131">
        <f t="shared" si="27"/>
        <v>100</v>
      </c>
      <c r="J124" s="1131">
        <f t="shared" si="27"/>
        <v>100</v>
      </c>
      <c r="K124" s="1131">
        <f t="shared" si="27"/>
        <v>100</v>
      </c>
      <c r="L124" s="1131">
        <f t="shared" si="27"/>
        <v>100</v>
      </c>
      <c r="M124" s="1181">
        <f t="shared" si="27"/>
        <v>100</v>
      </c>
      <c r="N124" s="1177"/>
      <c r="O124" s="1177"/>
      <c r="P124" s="1390"/>
      <c r="Q124" s="1098"/>
      <c r="R124" s="996"/>
      <c r="S124" s="996"/>
      <c r="T124" s="996"/>
      <c r="U124" s="996"/>
      <c r="V124" s="996"/>
      <c r="W124" s="996"/>
      <c r="X124" s="996"/>
      <c r="Y124" s="996"/>
      <c r="Z124" s="996"/>
      <c r="AA124" s="996"/>
      <c r="AB124" s="996"/>
      <c r="AC124" s="996"/>
    </row>
    <row r="125" spans="1:29">
      <c r="A125" s="1159"/>
      <c r="B125" s="1128" t="s">
        <v>1398</v>
      </c>
      <c r="C125" s="1147" t="s">
        <v>1416</v>
      </c>
      <c r="D125" s="1147" t="s">
        <v>1417</v>
      </c>
      <c r="E125" s="1147" t="s">
        <v>1418</v>
      </c>
      <c r="F125" s="1147" t="s">
        <v>1419</v>
      </c>
      <c r="G125" s="1147" t="s">
        <v>1420</v>
      </c>
      <c r="H125" s="1129"/>
      <c r="I125" s="1129"/>
      <c r="J125" s="1129"/>
      <c r="K125" s="1178"/>
      <c r="L125" s="1179"/>
      <c r="M125" s="1180"/>
      <c r="N125" s="1174"/>
      <c r="O125" s="1174"/>
      <c r="P125" s="1391"/>
      <c r="Q125" s="1098"/>
      <c r="R125" s="996"/>
      <c r="S125" s="996"/>
      <c r="T125" s="996"/>
      <c r="U125" s="996"/>
      <c r="V125" s="996"/>
      <c r="W125" s="996"/>
      <c r="X125" s="996"/>
      <c r="Y125" s="996"/>
      <c r="Z125" s="996"/>
      <c r="AA125" s="996"/>
      <c r="AB125" s="996"/>
      <c r="AC125" s="996"/>
    </row>
    <row r="126" spans="1:29" ht="15">
      <c r="A126" s="1125"/>
      <c r="B126" s="1130"/>
      <c r="C126" s="1131">
        <v>100</v>
      </c>
      <c r="D126" s="1131">
        <f>C126-$K44</f>
        <v>100</v>
      </c>
      <c r="E126" s="1131">
        <f>D126-$K44</f>
        <v>100</v>
      </c>
      <c r="F126" s="1131">
        <f>E126-$K44</f>
        <v>100</v>
      </c>
      <c r="G126" s="1131">
        <f>F126-$K44</f>
        <v>100</v>
      </c>
      <c r="H126" s="1131"/>
      <c r="I126" s="1131"/>
      <c r="J126" s="1131"/>
      <c r="K126" s="1131"/>
      <c r="L126" s="1131"/>
      <c r="M126" s="1181"/>
      <c r="N126" s="1177"/>
      <c r="O126" s="1177"/>
      <c r="P126" s="1390"/>
      <c r="Q126" s="1098"/>
      <c r="R126" s="996"/>
      <c r="S126" s="996"/>
      <c r="T126" s="996"/>
      <c r="U126" s="996"/>
      <c r="V126" s="996"/>
      <c r="W126" s="996"/>
      <c r="X126" s="996"/>
      <c r="Y126" s="996"/>
      <c r="Z126" s="996"/>
      <c r="AA126" s="996"/>
      <c r="AB126" s="996"/>
      <c r="AC126" s="996"/>
    </row>
    <row r="127" spans="1:29" s="882" customFormat="1">
      <c r="A127" s="1156"/>
      <c r="B127" s="1128">
        <f>B45</f>
        <v>111</v>
      </c>
      <c r="C127" s="1136"/>
      <c r="D127" s="1136"/>
      <c r="E127" s="1136"/>
      <c r="F127" s="1136"/>
      <c r="G127" s="1136"/>
      <c r="H127" s="1137"/>
      <c r="I127" s="1137"/>
      <c r="J127" s="1137"/>
      <c r="K127" s="1137"/>
      <c r="L127" s="1185"/>
      <c r="M127" s="1186"/>
      <c r="N127" s="1187"/>
      <c r="O127" s="1187"/>
      <c r="P127" s="1391"/>
      <c r="Q127" s="1219"/>
      <c r="R127" s="1220"/>
      <c r="S127" s="1220"/>
      <c r="T127" s="1220"/>
      <c r="U127" s="1220"/>
      <c r="V127" s="1220"/>
      <c r="W127" s="1220"/>
      <c r="X127" s="1220"/>
      <c r="Y127" s="1220"/>
      <c r="Z127" s="1220"/>
      <c r="AA127" s="1220"/>
      <c r="AB127" s="1220"/>
      <c r="AC127" s="1220"/>
    </row>
    <row r="128" spans="1:29" s="882" customFormat="1" ht="15">
      <c r="A128" s="1135"/>
      <c r="B128" s="1130"/>
      <c r="C128" s="1138"/>
      <c r="D128" s="1127"/>
      <c r="E128" s="1127"/>
      <c r="F128" s="1127"/>
      <c r="G128" s="1138"/>
      <c r="H128" s="1139"/>
      <c r="I128" s="1139"/>
      <c r="J128" s="1139"/>
      <c r="K128" s="1139"/>
      <c r="L128" s="1139"/>
      <c r="M128" s="1189"/>
      <c r="N128" s="1187"/>
      <c r="O128" s="1187"/>
      <c r="P128" s="1391"/>
      <c r="Q128" s="1219"/>
      <c r="R128" s="1220"/>
      <c r="S128" s="1220"/>
      <c r="T128" s="1220"/>
      <c r="U128" s="1220"/>
      <c r="V128" s="1220"/>
      <c r="W128" s="1220"/>
      <c r="X128" s="1220"/>
      <c r="Y128" s="1220"/>
      <c r="Z128" s="1220"/>
      <c r="AA128" s="1220"/>
      <c r="AB128" s="1220"/>
      <c r="AC128" s="1220"/>
    </row>
    <row r="129" spans="1:29">
      <c r="A129" s="1159"/>
      <c r="B129" s="1128">
        <f>B46</f>
        <v>111</v>
      </c>
      <c r="C129" s="1136"/>
      <c r="D129" s="1136"/>
      <c r="E129" s="1136"/>
      <c r="F129" s="1136"/>
      <c r="G129" s="1153"/>
      <c r="H129" s="1153"/>
      <c r="I129" s="1153"/>
      <c r="J129" s="1153"/>
      <c r="K129" s="1204"/>
      <c r="L129" s="1205"/>
      <c r="M129" s="1206"/>
      <c r="N129" s="1174"/>
      <c r="O129" s="1174"/>
      <c r="P129" s="1390"/>
      <c r="Q129" s="1098"/>
      <c r="R129" s="996"/>
      <c r="S129" s="996"/>
      <c r="T129" s="996"/>
      <c r="U129" s="996"/>
      <c r="V129" s="996"/>
      <c r="W129" s="996"/>
      <c r="X129" s="996"/>
      <c r="Y129" s="996"/>
      <c r="Z129" s="996"/>
      <c r="AA129" s="996"/>
      <c r="AB129" s="996"/>
      <c r="AC129" s="996"/>
    </row>
    <row r="130" spans="1:29" ht="15">
      <c r="A130" s="1125"/>
      <c r="B130" s="1130"/>
      <c r="C130" s="1138"/>
      <c r="D130" s="1138"/>
      <c r="E130" s="1138"/>
      <c r="F130" s="1138"/>
      <c r="G130" s="1127"/>
      <c r="H130" s="1127"/>
      <c r="I130" s="1127"/>
      <c r="J130" s="1127"/>
      <c r="K130" s="1127"/>
      <c r="L130" s="1127"/>
      <c r="M130" s="1176"/>
      <c r="N130" s="1177"/>
      <c r="O130" s="1177"/>
      <c r="P130" s="1390"/>
      <c r="Q130" s="1098"/>
      <c r="R130" s="996"/>
      <c r="S130" s="996"/>
      <c r="T130" s="996"/>
      <c r="U130" s="996"/>
      <c r="V130" s="996"/>
      <c r="W130" s="996"/>
      <c r="X130" s="996"/>
      <c r="Y130" s="996"/>
      <c r="Z130" s="996"/>
      <c r="AA130" s="996"/>
      <c r="AB130" s="996"/>
      <c r="AC130" s="996"/>
    </row>
    <row r="131" spans="1:29">
      <c r="A131" s="1159"/>
      <c r="B131" s="1132">
        <f>B47</f>
        <v>111</v>
      </c>
      <c r="C131" s="1120"/>
      <c r="D131" s="1120"/>
      <c r="E131" s="1120"/>
      <c r="F131" s="1120"/>
      <c r="G131" s="1154"/>
      <c r="H131" s="1154"/>
      <c r="I131" s="1154"/>
      <c r="J131" s="1154"/>
      <c r="K131" s="1120"/>
      <c r="L131" s="1166"/>
      <c r="M131" s="1209"/>
      <c r="N131" s="1174"/>
      <c r="O131" s="1174"/>
      <c r="P131" s="1390"/>
      <c r="Q131" s="1098"/>
      <c r="R131" s="996"/>
      <c r="S131" s="996"/>
      <c r="T131" s="996"/>
      <c r="U131" s="996"/>
      <c r="V131" s="996"/>
      <c r="W131" s="996"/>
      <c r="X131" s="996"/>
      <c r="Y131" s="996"/>
      <c r="Z131" s="996"/>
      <c r="AA131" s="996"/>
      <c r="AB131" s="996"/>
      <c r="AC131" s="996"/>
    </row>
    <row r="132" spans="1:29" ht="15">
      <c r="A132" s="1438"/>
      <c r="B132" s="1142"/>
      <c r="C132" s="1143"/>
      <c r="D132" s="1143"/>
      <c r="E132" s="1143"/>
      <c r="F132" s="1143"/>
      <c r="G132" s="1155"/>
      <c r="H132" s="1155"/>
      <c r="I132" s="1155"/>
      <c r="J132" s="1155"/>
      <c r="K132" s="1155"/>
      <c r="L132" s="1155"/>
      <c r="M132" s="1210"/>
      <c r="N132" s="1177"/>
      <c r="O132" s="1177"/>
      <c r="P132" s="1390"/>
      <c r="Q132" s="1098"/>
      <c r="R132" s="996"/>
      <c r="S132" s="996"/>
      <c r="T132" s="996"/>
      <c r="U132" s="996"/>
      <c r="V132" s="996"/>
      <c r="W132" s="996"/>
      <c r="X132" s="996"/>
      <c r="Y132" s="996"/>
      <c r="Z132" s="996"/>
      <c r="AA132" s="996"/>
      <c r="AB132" s="996"/>
      <c r="AC132" s="9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C2" xr:uid="{00000000-0002-0000-1C00-000001000000}">
      <formula1>"需扣减承租人权益,——"</formula1>
    </dataValidation>
    <dataValidation type="list" allowBlank="1" showInputMessage="1" showErrorMessage="1" sqref="D1" xr:uid="{00000000-0002-0000-1C00-000002000000}">
      <formula1>项目类型</formula1>
    </dataValidation>
    <dataValidation type="list" allowBlank="1" showInputMessage="1" showErrorMessage="1" sqref="D49" xr:uid="{00000000-0002-0000-1C00-000003000000}">
      <formula1>"简单平均,加权平均"</formula1>
    </dataValidation>
    <dataValidation type="list" allowBlank="1" showInputMessage="1" showErrorMessage="1" sqref="F1" xr:uid="{00000000-0002-0000-1C00-000004000000}">
      <formula1>"售价,租金"</formula1>
    </dataValidation>
    <dataValidation type="list" allowBlank="1" showInputMessage="1" showErrorMessage="1" sqref="C16 E16 G16 I16" xr:uid="{00000000-0002-0000-1C00-000005000000}">
      <formula1>办公集聚程度</formula1>
    </dataValidation>
    <dataValidation type="list" allowBlank="1" showInputMessage="1" showErrorMessage="1" sqref="F2" xr:uid="{00000000-0002-0000-1C00-000006000000}">
      <formula1>估价方法</formula1>
    </dataValidation>
    <dataValidation type="list" allowBlank="1" showInputMessage="1" showErrorMessage="1" sqref="C35 E35 G35 I35" xr:uid="{00000000-0002-0000-1C00-000007000000}">
      <formula1>办公建筑结构</formula1>
    </dataValidation>
    <dataValidation type="list" allowBlank="1" showInputMessage="1" showErrorMessage="1" sqref="C8 E8 G8 I8" xr:uid="{00000000-0002-0000-1C00-000008000000}">
      <formula1>办公交易情况</formula1>
    </dataValidation>
    <dataValidation type="list" allowBlank="1" showInputMessage="1" showErrorMessage="1" sqref="E9 G9 I9" xr:uid="{00000000-0002-0000-1C00-000009000000}">
      <formula1>办公用途</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41 E41 G41 I41" xr:uid="{00000000-0002-0000-1C00-00000E000000}">
      <formula1>办公层高</formula1>
    </dataValidation>
    <dataValidation type="list" allowBlank="1" showInputMessage="1" showErrorMessage="1" sqref="C26 E26 G26 I26" xr:uid="{00000000-0002-0000-1C00-00000F000000}">
      <formula1>办公道路级别</formula1>
    </dataValidation>
    <dataValidation type="list" allowBlank="1" showInputMessage="1" showErrorMessage="1" sqref="C27 E27 G27 I27" xr:uid="{00000000-0002-0000-1C00-000010000000}">
      <formula1>办公楼层</formula1>
    </dataValidation>
    <dataValidation type="list" allowBlank="1" showInputMessage="1" showErrorMessage="1" sqref="C28 E28 G28 I28" xr:uid="{00000000-0002-0000-1C00-000011000000}">
      <formula1>办公朝向</formula1>
    </dataValidation>
    <dataValidation type="list" allowBlank="1" showInputMessage="1" showErrorMessage="1" sqref="C33 E33 G33 I33" xr:uid="{00000000-0002-0000-1C00-000012000000}">
      <formula1>办公建筑类型</formula1>
    </dataValidation>
    <dataValidation type="list" allowBlank="1" showInputMessage="1" showErrorMessage="1" sqref="C36 E36 G36 I36" xr:uid="{00000000-0002-0000-1C00-000013000000}">
      <formula1>办公公共部分装修</formula1>
    </dataValidation>
    <dataValidation type="list" allowBlank="1" showInputMessage="1" showErrorMessage="1" sqref="C38 E38 G38 I38" xr:uid="{00000000-0002-0000-1C00-000014000000}">
      <formula1>写字楼等级</formula1>
    </dataValidation>
    <dataValidation type="list" allowBlank="1" showInputMessage="1" showErrorMessage="1" sqref="C39 E39 G39 I39" xr:uid="{00000000-0002-0000-1C00-000015000000}">
      <formula1>办公物业管理</formula1>
    </dataValidation>
    <dataValidation type="list" allowBlank="1" showInputMessage="1" showErrorMessage="1" sqref="C40 E40 G40 I40" xr:uid="{00000000-0002-0000-1C00-000016000000}">
      <formula1>办公基础设施水平</formula1>
    </dataValidation>
    <dataValidation type="list" allowBlank="1" showInputMessage="1" showErrorMessage="1" sqref="C43 E43 G43 I43" xr:uid="{00000000-0002-0000-1C00-000017000000}">
      <formula1>办公内部装修</formula1>
    </dataValidation>
    <dataValidation type="list" allowBlank="1" showInputMessage="1" showErrorMessage="1" sqref="C44 E44 G44 I44" xr:uid="{00000000-0002-0000-1C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488" customWidth="1"/>
    <col min="2" max="16384" width="9" style="488"/>
  </cols>
  <sheetData>
    <row r="1" spans="1:1" ht="23.25">
      <c r="A1" s="3018" t="s">
        <v>82</v>
      </c>
    </row>
    <row r="2" spans="1:1">
      <c r="A2" s="3019"/>
    </row>
    <row r="3" spans="1:1" ht="18">
      <c r="A3" s="3020" t="str">
        <f>项目基本情况!B5&amp;"："</f>
        <v>：</v>
      </c>
    </row>
    <row r="4" spans="1:1" ht="18">
      <c r="A4" s="3021" t="str">
        <f>"受贵公司委托，我公司对"&amp;项目基本情况!S1&amp;"进行了预评估。"</f>
        <v>受贵公司委托，我公司对北京市房地产抵押价值进行了预评估。</v>
      </c>
    </row>
    <row r="5" spans="1:1" ht="18.75">
      <c r="A5" s="3022" t="s">
        <v>83</v>
      </c>
    </row>
    <row r="6" spans="1:1" ht="18.75">
      <c r="A6" s="3023" t="s">
        <v>84</v>
      </c>
    </row>
    <row r="7" spans="1:1" ht="54">
      <c r="A7" s="30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估价对象为北京市房地产，为所有。根据《国有土地使用证》[]，估价对象（分摊）出让国有建设用地使用权面积为11660.67平方米，建筑面积为39222.73平方米。</v>
      </c>
    </row>
    <row r="8" spans="1:1" ht="57.75">
      <c r="A8" s="3024" t="s">
        <v>85</v>
      </c>
    </row>
    <row r="9" spans="1:1" ht="18.75">
      <c r="A9" s="3023" t="s">
        <v>86</v>
      </c>
    </row>
    <row r="10" spans="1:1" ht="54">
      <c r="A10" s="30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估价对象为北京市房地产,属开发建设的居住项目，该项目尚在开发建设中。根据《国有土地使用证》[]，估价对象（分摊）出让国有建设用地使用权面积为11660.67平方米，规划建筑面积为39222.73平方米。</v>
      </c>
    </row>
    <row r="11" spans="1:1" ht="76.5">
      <c r="A11" s="3024" t="s">
        <v>87</v>
      </c>
    </row>
    <row r="12" spans="1:1" ht="18.75">
      <c r="A12" s="3022" t="s">
        <v>88</v>
      </c>
    </row>
    <row r="13" spans="1:1" ht="38.25" customHeight="1">
      <c r="A13" s="3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26" t="s">
        <v>89</v>
      </c>
    </row>
    <row r="15" spans="1:1" ht="18">
      <c r="A15" s="3027" t="str">
        <f>TEXT(项目基本情况!D3,"yyyy年m月d日;;")&amp;IF(项目基本情况!D3=项目基本情况!B3,"（评估专业人员实地查勘之日）","")</f>
        <v>2021年4月2日（评估专业人员实地查勘之日）</v>
      </c>
    </row>
    <row r="16" spans="1:1" ht="18.75">
      <c r="A16" s="3026" t="s">
        <v>90</v>
      </c>
    </row>
    <row r="17" spans="1:1" ht="75">
      <c r="A17" s="3021" t="s">
        <v>91</v>
      </c>
    </row>
    <row r="18" spans="1:1" ht="54">
      <c r="A18" s="302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日，估价对象规划用途为，土地取得方式为出让，出让国有建设用地使用权剩余土地使用年限为，假定未设立法定优先受偿款下的房地产市场价值。</v>
      </c>
    </row>
    <row r="19" spans="1:1" ht="157.5" customHeight="1">
      <c r="A19" s="302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6" t="s">
        <v>92</v>
      </c>
    </row>
    <row r="24" spans="1:1" ht="18">
      <c r="A24" s="2993" t="str">
        <f>"本次评估采用的主估价方法为"&amp;结果表!K4&amp;"和"&amp;结果表!L4&amp;"。"</f>
        <v>本次评估采用的主估价方法为成本法和假设开发法。</v>
      </c>
    </row>
    <row r="25" spans="1:1" ht="18">
      <c r="A25" s="2993"/>
    </row>
    <row r="26" spans="1:1" ht="18.75">
      <c r="A26" s="3028" t="s">
        <v>93</v>
      </c>
    </row>
    <row r="27" spans="1:1">
      <c r="A27" s="1603"/>
    </row>
    <row r="28" spans="1:1">
      <c r="A28" s="1603"/>
    </row>
    <row r="29" spans="1:1">
      <c r="A29" s="1603"/>
    </row>
    <row r="30" spans="1:1">
      <c r="A30" s="1603"/>
    </row>
    <row r="31" spans="1:1">
      <c r="A31" s="1603"/>
    </row>
    <row r="32" spans="1:1">
      <c r="A32" s="1603"/>
    </row>
    <row r="33" spans="1:1">
      <c r="A33" s="1603"/>
    </row>
    <row r="34" spans="1:1">
      <c r="A34" s="1603"/>
    </row>
    <row r="35" spans="1:1">
      <c r="A35" s="1603"/>
    </row>
    <row r="36" spans="1:1">
      <c r="A36" s="1603"/>
    </row>
    <row r="37" spans="1:1">
      <c r="A37" s="1603"/>
    </row>
    <row r="38" spans="1:1">
      <c r="A38" s="1603"/>
    </row>
    <row r="39" spans="1:1">
      <c r="A39" s="1603"/>
    </row>
    <row r="40" spans="1:1">
      <c r="A40" s="1603"/>
    </row>
    <row r="41" spans="1:1">
      <c r="A41" s="1603"/>
    </row>
    <row r="42" spans="1:1">
      <c r="A42" s="1603"/>
    </row>
    <row r="43" spans="1:1">
      <c r="A43" s="1603"/>
    </row>
    <row r="44" spans="1:1">
      <c r="A44" s="1603"/>
    </row>
    <row r="45" spans="1:1">
      <c r="A45" s="1603"/>
    </row>
    <row r="46" spans="1:1">
      <c r="A46" s="1603"/>
    </row>
    <row r="47" spans="1:1">
      <c r="A47" s="1603"/>
    </row>
    <row r="48" spans="1:1">
      <c r="A48" s="1603"/>
    </row>
  </sheetData>
  <sheetProtection sheet="1" objects="1" scenarios="1" formatCells="0" formatRows="0"/>
  <phoneticPr fontId="21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3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67" customFormat="1" ht="28.5" customHeight="1">
      <c r="A1" s="1268" t="s">
        <v>1346</v>
      </c>
      <c r="B1" s="1403" t="s">
        <v>1466</v>
      </c>
      <c r="C1" s="1270" t="s">
        <v>1348</v>
      </c>
      <c r="D1" s="1271"/>
      <c r="E1" s="1272"/>
      <c r="F1" s="1273"/>
      <c r="G1" s="1274" t="s">
        <v>1350</v>
      </c>
      <c r="H1" s="1272"/>
      <c r="I1" s="1272"/>
      <c r="J1" s="1272"/>
      <c r="K1" s="1325"/>
      <c r="L1" s="1326"/>
      <c r="M1" s="1327"/>
      <c r="N1" s="1327"/>
      <c r="O1" s="1327"/>
      <c r="P1" s="1270"/>
      <c r="Q1" s="1270"/>
      <c r="R1" s="1270"/>
      <c r="S1" s="1270"/>
      <c r="T1" s="1270"/>
      <c r="U1" s="1270"/>
      <c r="V1" s="1270"/>
      <c r="W1" s="1270"/>
      <c r="X1" s="1270"/>
      <c r="Y1" s="1270"/>
      <c r="Z1" s="1270"/>
      <c r="AA1" s="1270"/>
      <c r="AB1" s="1270"/>
      <c r="AC1" s="1333"/>
    </row>
    <row r="2" spans="1:29" s="879" customFormat="1" ht="28.5" customHeight="1">
      <c r="A2" s="1275" t="s">
        <v>926</v>
      </c>
      <c r="B2" s="1276" t="e">
        <f ca="1">IF(C2="——",ROUND(C43*D3/10000,0),ROUND(C43*D3/10000,0)-D2)</f>
        <v>#DIV/0!</v>
      </c>
      <c r="C2" s="1277"/>
      <c r="D2" s="1222" t="e">
        <f ca="1">SUMIF(INDIRECT("'"&amp;F2&amp;"'"&amp;"!A:A"),"承租人权益价值",INDIRECT("'"&amp;F2&amp;"'"&amp;"!c:c"))</f>
        <v>#REF!</v>
      </c>
      <c r="E2" s="1278" t="s">
        <v>927</v>
      </c>
      <c r="F2" s="1279"/>
      <c r="G2" s="895"/>
      <c r="H2" s="895"/>
      <c r="I2" s="895"/>
      <c r="J2" s="895"/>
      <c r="K2" s="895"/>
      <c r="L2" s="1407"/>
      <c r="M2" s="1408"/>
      <c r="N2" s="1408"/>
      <c r="O2" s="1408"/>
      <c r="P2" s="1039"/>
      <c r="Q2" s="1039"/>
      <c r="R2" s="1039"/>
      <c r="S2" s="1039"/>
      <c r="T2" s="1039"/>
      <c r="U2" s="1039"/>
      <c r="V2" s="1039"/>
      <c r="W2" s="1039"/>
      <c r="X2" s="1039"/>
      <c r="Y2" s="1039"/>
      <c r="Z2" s="1039"/>
      <c r="AA2" s="1039"/>
      <c r="AB2" s="1039"/>
      <c r="AC2" s="1101"/>
    </row>
    <row r="3" spans="1:29" s="879" customFormat="1" ht="28.5" customHeight="1">
      <c r="A3" s="148" t="s">
        <v>928</v>
      </c>
      <c r="B3" s="897" t="e">
        <f ca="1">IF(C2="——",C43,ROUND(B2*10000/D3,0))</f>
        <v>#DIV/0!</v>
      </c>
      <c r="C3" s="1280" t="s">
        <v>1351</v>
      </c>
      <c r="D3" s="1281">
        <f>IF(D1="",'数据-汇总表'!E3,SUMIF('数据-汇总表'!$C19:$C33,D1,'数据-汇总表'!$E19:$E33))</f>
        <v>39222.729999999996</v>
      </c>
      <c r="E3" s="895"/>
      <c r="F3" s="896"/>
      <c r="G3" s="895"/>
      <c r="H3" s="895"/>
      <c r="I3" s="895"/>
      <c r="J3" s="895"/>
      <c r="K3" s="1040"/>
      <c r="L3" s="1407"/>
      <c r="M3" s="1408"/>
      <c r="N3" s="1408"/>
      <c r="O3" s="1408"/>
      <c r="P3" s="1039"/>
      <c r="Q3" s="1039"/>
      <c r="R3" s="1039"/>
      <c r="S3" s="1039"/>
      <c r="T3" s="1039"/>
      <c r="U3" s="1039"/>
      <c r="V3" s="1039"/>
      <c r="W3" s="1039"/>
      <c r="X3" s="1039"/>
      <c r="Y3" s="1039"/>
      <c r="Z3" s="1039"/>
      <c r="AA3" s="1039"/>
      <c r="AB3" s="1100"/>
      <c r="AC3" s="1101"/>
    </row>
    <row r="4" spans="1:29" ht="15">
      <c r="A4" s="899" t="s">
        <v>1352</v>
      </c>
      <c r="B4" s="900"/>
      <c r="C4" s="3273" t="s">
        <v>1353</v>
      </c>
      <c r="D4" s="3306"/>
      <c r="E4" s="3307" t="s">
        <v>1354</v>
      </c>
      <c r="F4" s="3308"/>
      <c r="G4" s="3273" t="s">
        <v>1355</v>
      </c>
      <c r="H4" s="3306"/>
      <c r="I4" s="3273" t="s">
        <v>1356</v>
      </c>
      <c r="J4" s="3306"/>
      <c r="K4" s="1043" t="s">
        <v>1357</v>
      </c>
      <c r="L4" s="1409"/>
      <c r="M4" s="1410"/>
      <c r="N4" s="1410"/>
      <c r="O4" s="1410"/>
      <c r="P4" s="3277" t="s">
        <v>1358</v>
      </c>
      <c r="Q4" s="3278"/>
      <c r="R4" s="3283" t="s">
        <v>1354</v>
      </c>
      <c r="S4" s="3284"/>
      <c r="T4" s="3283" t="s">
        <v>1355</v>
      </c>
      <c r="U4" s="3284"/>
      <c r="V4" s="3289" t="s">
        <v>1356</v>
      </c>
      <c r="W4" s="3289"/>
      <c r="X4" s="1087"/>
      <c r="Y4" s="3283" t="s">
        <v>1358</v>
      </c>
      <c r="Z4" s="3284"/>
      <c r="AA4" s="3270" t="s">
        <v>1354</v>
      </c>
      <c r="AB4" s="3271" t="s">
        <v>1355</v>
      </c>
      <c r="AC4" s="3270" t="s">
        <v>1356</v>
      </c>
    </row>
    <row r="5" spans="1:29" ht="15">
      <c r="A5" s="901"/>
      <c r="B5" s="902"/>
      <c r="C5" s="3309" t="s">
        <v>1359</v>
      </c>
      <c r="D5" s="3310"/>
      <c r="E5" s="3311" t="s">
        <v>1360</v>
      </c>
      <c r="F5" s="3312"/>
      <c r="G5" s="3309" t="s">
        <v>1361</v>
      </c>
      <c r="H5" s="3310"/>
      <c r="I5" s="3309" t="s">
        <v>1362</v>
      </c>
      <c r="J5" s="3310"/>
      <c r="K5" s="1043"/>
      <c r="L5" s="1409"/>
      <c r="M5" s="1410"/>
      <c r="N5" s="1410"/>
      <c r="O5" s="1410"/>
      <c r="P5" s="3279"/>
      <c r="Q5" s="3280"/>
      <c r="R5" s="3285"/>
      <c r="S5" s="3286"/>
      <c r="T5" s="3285"/>
      <c r="U5" s="3286"/>
      <c r="V5" s="3289"/>
      <c r="W5" s="3289"/>
      <c r="X5" s="1087"/>
      <c r="Y5" s="3285"/>
      <c r="Z5" s="3286"/>
      <c r="AA5" s="3271"/>
      <c r="AB5" s="3271"/>
      <c r="AC5" s="3271"/>
    </row>
    <row r="6" spans="1:29" ht="15">
      <c r="A6" s="903"/>
      <c r="B6" s="904"/>
      <c r="C6" s="3301" t="s">
        <v>1363</v>
      </c>
      <c r="D6" s="3302"/>
      <c r="E6" s="3303" t="s">
        <v>1363</v>
      </c>
      <c r="F6" s="3304"/>
      <c r="G6" s="3301" t="s">
        <v>1363</v>
      </c>
      <c r="H6" s="3302"/>
      <c r="I6" s="3301" t="s">
        <v>1363</v>
      </c>
      <c r="J6" s="3302"/>
      <c r="K6" s="1043" t="s">
        <v>1364</v>
      </c>
      <c r="L6" s="1409"/>
      <c r="M6" s="1410"/>
      <c r="N6" s="1410"/>
      <c r="O6" s="1410"/>
      <c r="P6" s="3281"/>
      <c r="Q6" s="3282"/>
      <c r="R6" s="3285"/>
      <c r="S6" s="3286"/>
      <c r="T6" s="3287"/>
      <c r="U6" s="3288"/>
      <c r="V6" s="3289"/>
      <c r="W6" s="3289"/>
      <c r="X6" s="1087"/>
      <c r="Y6" s="3287"/>
      <c r="Z6" s="3288"/>
      <c r="AA6" s="3272"/>
      <c r="AB6" s="3272"/>
      <c r="AC6" s="3272"/>
    </row>
    <row r="7" spans="1:29" s="880" customFormat="1" ht="15">
      <c r="A7" s="905" t="s">
        <v>1365</v>
      </c>
      <c r="B7" s="906"/>
      <c r="C7" s="907">
        <f>'数据-取费表'!B2</f>
        <v>44288</v>
      </c>
      <c r="D7" s="908">
        <v>100</v>
      </c>
      <c r="E7" s="909"/>
      <c r="F7" s="910">
        <f>SUMIF(52:52,YEAR(E7)&amp;"-"&amp;MONTH(E7),53:53)</f>
        <v>0</v>
      </c>
      <c r="G7" s="909"/>
      <c r="H7" s="908">
        <f>SUMIF(52:52,YEAR(G7)&amp;"-"&amp;MONTH(G7),53:53)</f>
        <v>0</v>
      </c>
      <c r="I7" s="909"/>
      <c r="J7" s="908">
        <f>SUMIF(52:52,YEAR(I7)&amp;"-"&amp;MONTH(I7),53:53)</f>
        <v>0</v>
      </c>
      <c r="K7" s="1046"/>
      <c r="L7" s="1411"/>
      <c r="M7" s="1412"/>
      <c r="N7" s="1412"/>
      <c r="O7" s="1412"/>
      <c r="P7" s="3290" t="s">
        <v>1366</v>
      </c>
      <c r="Q7" s="3305"/>
      <c r="R7" s="1088" t="s">
        <v>1367</v>
      </c>
      <c r="S7" s="1089">
        <f t="shared" ref="S7:S15" si="0">F7</f>
        <v>0</v>
      </c>
      <c r="T7" s="1088" t="s">
        <v>1367</v>
      </c>
      <c r="U7" s="1089">
        <f t="shared" ref="U7:U15" si="1">H7</f>
        <v>0</v>
      </c>
      <c r="V7" s="1088" t="s">
        <v>1367</v>
      </c>
      <c r="W7" s="1089">
        <f t="shared" ref="W7:W15" si="2">J7</f>
        <v>0</v>
      </c>
      <c r="X7" s="1090"/>
      <c r="Y7" s="3290" t="s">
        <v>1366</v>
      </c>
      <c r="Z7" s="3291"/>
      <c r="AA7" s="1102" t="e">
        <f>D7/F7</f>
        <v>#DIV/0!</v>
      </c>
      <c r="AB7" s="1102" t="e">
        <f>D7/H7</f>
        <v>#DIV/0!</v>
      </c>
      <c r="AC7" s="1102" t="e">
        <f>D7/J7</f>
        <v>#DIV/0!</v>
      </c>
    </row>
    <row r="8" spans="1:29" s="880" customFormat="1" ht="15">
      <c r="A8" s="905" t="s">
        <v>1368</v>
      </c>
      <c r="B8" s="906"/>
      <c r="C8" s="912" t="s">
        <v>1369</v>
      </c>
      <c r="D8" s="908">
        <v>100</v>
      </c>
      <c r="E8" s="912"/>
      <c r="F8" s="910">
        <f>SUMIF(55:55,E8,56:56)-SUMIF(55:55,C8,56:56)+100</f>
        <v>0</v>
      </c>
      <c r="G8" s="912"/>
      <c r="H8" s="908">
        <f>SUMIF(55:55,G8,56:56)-SUMIF(55:55,C8,56:56)+100</f>
        <v>0</v>
      </c>
      <c r="I8" s="912"/>
      <c r="J8" s="908">
        <f>SUMIF(55:55,I8,56:56)-SUMIF(55:55,C8,56:56)+100</f>
        <v>0</v>
      </c>
      <c r="K8" s="1046"/>
      <c r="L8" s="1411"/>
      <c r="M8" s="1412"/>
      <c r="N8" s="1412"/>
      <c r="O8" s="1412"/>
      <c r="P8" s="3290" t="s">
        <v>1370</v>
      </c>
      <c r="Q8" s="3291"/>
      <c r="R8" s="1088" t="s">
        <v>1367</v>
      </c>
      <c r="S8" s="1089">
        <f t="shared" si="0"/>
        <v>0</v>
      </c>
      <c r="T8" s="1088" t="s">
        <v>1367</v>
      </c>
      <c r="U8" s="1089">
        <f t="shared" si="1"/>
        <v>0</v>
      </c>
      <c r="V8" s="1088" t="s">
        <v>1367</v>
      </c>
      <c r="W8" s="1089">
        <f t="shared" si="2"/>
        <v>0</v>
      </c>
      <c r="X8" s="1090"/>
      <c r="Y8" s="3290" t="s">
        <v>1370</v>
      </c>
      <c r="Z8" s="3291"/>
      <c r="AA8" s="1102" t="e">
        <f t="shared" ref="AA8:AA40" si="3">D8/F8</f>
        <v>#DIV/0!</v>
      </c>
      <c r="AB8" s="1102" t="e">
        <f t="shared" ref="AB8:AB40" si="4">D8/H8</f>
        <v>#DIV/0!</v>
      </c>
      <c r="AC8" s="1102" t="e">
        <f t="shared" ref="AC8:AC40" si="5">D8/J8</f>
        <v>#DIV/0!</v>
      </c>
    </row>
    <row r="9" spans="1:29" s="880" customFormat="1">
      <c r="A9" s="913" t="s">
        <v>1371</v>
      </c>
      <c r="B9" s="914" t="s">
        <v>1372</v>
      </c>
      <c r="C9" s="1282"/>
      <c r="D9" s="916">
        <v>100</v>
      </c>
      <c r="E9" s="1283"/>
      <c r="F9" s="916">
        <f>SUMIF(57:57,E9,58:58)-SUMIF(57:57,C9,58:58)+100</f>
        <v>100</v>
      </c>
      <c r="G9" s="1351"/>
      <c r="H9" s="916">
        <f>SUMIF(57:57,G9,58:58)-SUMIF(57:57,C9,58:58)+100</f>
        <v>100</v>
      </c>
      <c r="I9" s="1351"/>
      <c r="J9" s="916">
        <f>SUMIF(57:57,I9,58:58)-SUMIF(57:57,C9,58:58)+100</f>
        <v>100</v>
      </c>
      <c r="K9" s="1046"/>
      <c r="L9" s="1411"/>
      <c r="M9" s="1412"/>
      <c r="N9" s="1412"/>
      <c r="O9" s="1413"/>
      <c r="P9" s="3276" t="s">
        <v>1373</v>
      </c>
      <c r="Q9" s="1092" t="str">
        <f t="shared" ref="Q9:Q15" si="6">B9</f>
        <v>用途</v>
      </c>
      <c r="R9" s="1088" t="s">
        <v>1367</v>
      </c>
      <c r="S9" s="1089">
        <f t="shared" si="0"/>
        <v>100</v>
      </c>
      <c r="T9" s="1088" t="s">
        <v>1367</v>
      </c>
      <c r="U9" s="1089">
        <f t="shared" si="1"/>
        <v>100</v>
      </c>
      <c r="V9" s="1088" t="s">
        <v>1367</v>
      </c>
      <c r="W9" s="1089">
        <f t="shared" si="2"/>
        <v>100</v>
      </c>
      <c r="X9" s="1090"/>
      <c r="Y9" s="3179" t="s">
        <v>1374</v>
      </c>
      <c r="Z9" s="1103" t="str">
        <f t="shared" ref="Z9:Z15" si="7">Q9</f>
        <v>用途</v>
      </c>
      <c r="AA9" s="1102">
        <f t="shared" si="3"/>
        <v>1</v>
      </c>
      <c r="AB9" s="1102">
        <f t="shared" si="4"/>
        <v>1</v>
      </c>
      <c r="AC9" s="1102">
        <f t="shared" si="5"/>
        <v>1</v>
      </c>
    </row>
    <row r="10" spans="1:29" s="881" customFormat="1" ht="27">
      <c r="A10" s="917"/>
      <c r="B10" s="918" t="s">
        <v>1375</v>
      </c>
      <c r="C10" s="1285"/>
      <c r="D10" s="920">
        <v>100</v>
      </c>
      <c r="E10" s="1285"/>
      <c r="F10" s="920">
        <f>SUMIF(59:59,E10,60:60)-SUMIF(59:59,C10,60:60)+100</f>
        <v>100</v>
      </c>
      <c r="G10" s="1354"/>
      <c r="H10" s="920">
        <f>SUMIF(59:59,G10,60:60)-SUMIF(59:59,C10,60:60)+100</f>
        <v>100</v>
      </c>
      <c r="I10" s="1285"/>
      <c r="J10" s="920">
        <f>SUMIF(59:59,I10,60:60)-SUMIF(59:59,C10,60:60)+100</f>
        <v>100</v>
      </c>
      <c r="K10" s="1063"/>
      <c r="L10" s="1414"/>
      <c r="M10" s="1415"/>
      <c r="N10" s="1415"/>
      <c r="O10" s="1416"/>
      <c r="P10" s="3276"/>
      <c r="Q10" s="1092" t="str">
        <f t="shared" si="6"/>
        <v>土地使用年限（年）</v>
      </c>
      <c r="R10" s="1088" t="s">
        <v>1367</v>
      </c>
      <c r="S10" s="1089">
        <f t="shared" si="0"/>
        <v>100</v>
      </c>
      <c r="T10" s="1088" t="s">
        <v>1367</v>
      </c>
      <c r="U10" s="1089">
        <f t="shared" si="1"/>
        <v>100</v>
      </c>
      <c r="V10" s="1088" t="s">
        <v>1367</v>
      </c>
      <c r="W10" s="1089">
        <f t="shared" si="2"/>
        <v>100</v>
      </c>
      <c r="X10" s="1090"/>
      <c r="Y10" s="3179"/>
      <c r="Z10" s="1103" t="str">
        <f t="shared" si="7"/>
        <v>土地使用年限（年）</v>
      </c>
      <c r="AA10" s="1102">
        <f t="shared" si="3"/>
        <v>1</v>
      </c>
      <c r="AB10" s="1102">
        <f t="shared" si="4"/>
        <v>1</v>
      </c>
      <c r="AC10" s="1102">
        <f t="shared" si="5"/>
        <v>1</v>
      </c>
    </row>
    <row r="11" spans="1:29" ht="15">
      <c r="A11" s="921"/>
      <c r="B11" s="918" t="s">
        <v>1376</v>
      </c>
      <c r="C11" s="922"/>
      <c r="D11" s="920">
        <v>100</v>
      </c>
      <c r="E11" s="922"/>
      <c r="F11" s="920" t="e">
        <f>LOOKUP(E11,62:62,63:63)-LOOKUP(C11,62:62,63:63)+100</f>
        <v>#N/A</v>
      </c>
      <c r="G11" s="923"/>
      <c r="H11" s="920" t="e">
        <f>LOOKUP(G11,62:62,63:63)-LOOKUP(C11,62:62,63:63)+100</f>
        <v>#N/A</v>
      </c>
      <c r="I11" s="922"/>
      <c r="J11" s="920" t="e">
        <f>LOOKUP(I11,62:62,63:63)-LOOKUP(C11,62:62,63:63)+100</f>
        <v>#N/A</v>
      </c>
      <c r="K11" s="1063"/>
      <c r="L11" s="1417"/>
      <c r="M11" s="1410"/>
      <c r="N11" s="1410"/>
      <c r="O11" s="1418"/>
      <c r="P11" s="3276"/>
      <c r="Q11" s="1092" t="str">
        <f t="shared" si="6"/>
        <v>容积率</v>
      </c>
      <c r="R11" s="1088" t="s">
        <v>1367</v>
      </c>
      <c r="S11" s="1089" t="e">
        <f t="shared" si="0"/>
        <v>#N/A</v>
      </c>
      <c r="T11" s="1088" t="s">
        <v>1367</v>
      </c>
      <c r="U11" s="1089" t="e">
        <f t="shared" si="1"/>
        <v>#N/A</v>
      </c>
      <c r="V11" s="1088" t="s">
        <v>1367</v>
      </c>
      <c r="W11" s="1089" t="e">
        <f t="shared" si="2"/>
        <v>#N/A</v>
      </c>
      <c r="X11" s="1090"/>
      <c r="Y11" s="3179"/>
      <c r="Z11" s="1103" t="str">
        <f t="shared" si="7"/>
        <v>容积率</v>
      </c>
      <c r="AA11" s="1102" t="e">
        <f t="shared" si="3"/>
        <v>#N/A</v>
      </c>
      <c r="AB11" s="1102" t="e">
        <f t="shared" si="4"/>
        <v>#N/A</v>
      </c>
      <c r="AC11" s="1102" t="e">
        <f t="shared" si="5"/>
        <v>#N/A</v>
      </c>
    </row>
    <row r="12" spans="1:29" s="880" customFormat="1" ht="15">
      <c r="A12" s="924"/>
      <c r="B12" s="925">
        <v>111</v>
      </c>
      <c r="C12" s="919"/>
      <c r="D12" s="926">
        <v>100</v>
      </c>
      <c r="E12" s="929"/>
      <c r="F12" s="920">
        <f>SUMIF(64:64,E12,65:65)-SUMIF(64:64,C12,65:65)+100</f>
        <v>100</v>
      </c>
      <c r="G12" s="1404"/>
      <c r="H12" s="920">
        <f>SUMIF(64:64,G12,65:65)-SUMIF(64:64,C12,65:65)+100</f>
        <v>100</v>
      </c>
      <c r="I12" s="1287"/>
      <c r="J12" s="920">
        <f>SUMIF(64:64,I12,65:65)-SUMIF(64:64,C12,65:65)+100</f>
        <v>100</v>
      </c>
      <c r="K12" s="1062"/>
      <c r="L12" s="1411"/>
      <c r="M12" s="1412"/>
      <c r="N12" s="1412"/>
      <c r="O12" s="1413"/>
      <c r="P12" s="3276"/>
      <c r="Q12" s="1092">
        <f t="shared" si="6"/>
        <v>111</v>
      </c>
      <c r="R12" s="1088" t="s">
        <v>1367</v>
      </c>
      <c r="S12" s="1089">
        <f t="shared" si="0"/>
        <v>100</v>
      </c>
      <c r="T12" s="1088" t="s">
        <v>1367</v>
      </c>
      <c r="U12" s="1089">
        <f t="shared" si="1"/>
        <v>100</v>
      </c>
      <c r="V12" s="1088" t="s">
        <v>1367</v>
      </c>
      <c r="W12" s="1089">
        <f t="shared" si="2"/>
        <v>100</v>
      </c>
      <c r="X12" s="1090"/>
      <c r="Y12" s="3179"/>
      <c r="Z12" s="1103">
        <f t="shared" si="7"/>
        <v>111</v>
      </c>
      <c r="AA12" s="1102">
        <f t="shared" si="3"/>
        <v>1</v>
      </c>
      <c r="AB12" s="1102">
        <f t="shared" si="4"/>
        <v>1</v>
      </c>
      <c r="AC12" s="1102">
        <f t="shared" si="5"/>
        <v>1</v>
      </c>
    </row>
    <row r="13" spans="1:29" ht="15">
      <c r="A13" s="921"/>
      <c r="B13" s="925">
        <v>111</v>
      </c>
      <c r="C13" s="929"/>
      <c r="D13" s="930">
        <v>100</v>
      </c>
      <c r="E13" s="929"/>
      <c r="F13" s="920">
        <f>SUMIF(66:66,E13,67:67)-SUMIF(66:66,C13,67:67)+100</f>
        <v>100</v>
      </c>
      <c r="G13" s="1404"/>
      <c r="H13" s="930">
        <f>SUMIF(66:66,G13,67:67)-SUMIF(66:66,C13,67:67)+100</f>
        <v>100</v>
      </c>
      <c r="I13" s="1287"/>
      <c r="J13" s="930">
        <f>SUMIF(66:66,I13,67:67)-SUMIF(66:66,C13,67:67)+100</f>
        <v>100</v>
      </c>
      <c r="K13" s="1062"/>
      <c r="L13" s="1419"/>
      <c r="M13" s="1410"/>
      <c r="N13" s="1410"/>
      <c r="O13" s="1418"/>
      <c r="P13" s="3276"/>
      <c r="Q13" s="1092">
        <f t="shared" si="6"/>
        <v>111</v>
      </c>
      <c r="R13" s="1088" t="s">
        <v>1367</v>
      </c>
      <c r="S13" s="1089">
        <f t="shared" si="0"/>
        <v>100</v>
      </c>
      <c r="T13" s="1088" t="s">
        <v>1367</v>
      </c>
      <c r="U13" s="1089">
        <f t="shared" si="1"/>
        <v>100</v>
      </c>
      <c r="V13" s="1088" t="s">
        <v>1367</v>
      </c>
      <c r="W13" s="1089">
        <f t="shared" si="2"/>
        <v>100</v>
      </c>
      <c r="X13" s="1090"/>
      <c r="Y13" s="3179"/>
      <c r="Z13" s="1103">
        <f t="shared" si="7"/>
        <v>111</v>
      </c>
      <c r="AA13" s="1102">
        <f t="shared" si="3"/>
        <v>1</v>
      </c>
      <c r="AB13" s="1102">
        <f t="shared" si="4"/>
        <v>1</v>
      </c>
      <c r="AC13" s="1102">
        <f t="shared" si="5"/>
        <v>1</v>
      </c>
    </row>
    <row r="14" spans="1:29" ht="15">
      <c r="A14" s="931"/>
      <c r="B14" s="932">
        <v>111</v>
      </c>
      <c r="C14" s="933"/>
      <c r="D14" s="934">
        <v>100</v>
      </c>
      <c r="E14" s="933"/>
      <c r="F14" s="934">
        <f>SUMIF(68:68,E14,69:69)-SUMIF(68:68,C14,69:69)+100</f>
        <v>100</v>
      </c>
      <c r="G14" s="1404"/>
      <c r="H14" s="934">
        <f>SUMIF(68:68,G14,69:69)-SUMIF(68:68,C14,69:69)+100</f>
        <v>100</v>
      </c>
      <c r="I14" s="1287"/>
      <c r="J14" s="934">
        <f>SUMIF(68:68,I14,69:69)-SUMIF(68:68,C14,69:69)+100</f>
        <v>100</v>
      </c>
      <c r="K14" s="1062"/>
      <c r="L14" s="1419"/>
      <c r="M14" s="1410"/>
      <c r="N14" s="1410"/>
      <c r="O14" s="1418"/>
      <c r="P14" s="3276"/>
      <c r="Q14" s="1092">
        <f t="shared" si="6"/>
        <v>111</v>
      </c>
      <c r="R14" s="1088" t="s">
        <v>1367</v>
      </c>
      <c r="S14" s="1089">
        <f t="shared" si="0"/>
        <v>100</v>
      </c>
      <c r="T14" s="1088" t="s">
        <v>1367</v>
      </c>
      <c r="U14" s="1089">
        <f t="shared" si="1"/>
        <v>100</v>
      </c>
      <c r="V14" s="1088" t="s">
        <v>1367</v>
      </c>
      <c r="W14" s="1089">
        <f t="shared" si="2"/>
        <v>100</v>
      </c>
      <c r="X14" s="1090"/>
      <c r="Y14" s="3179"/>
      <c r="Z14" s="1103">
        <f t="shared" si="7"/>
        <v>111</v>
      </c>
      <c r="AA14" s="1102">
        <f t="shared" si="3"/>
        <v>1</v>
      </c>
      <c r="AB14" s="1102">
        <f t="shared" si="4"/>
        <v>1</v>
      </c>
      <c r="AC14" s="1102">
        <f t="shared" si="5"/>
        <v>1</v>
      </c>
    </row>
    <row r="15" spans="1:29" ht="57">
      <c r="A15" s="935" t="s">
        <v>1377</v>
      </c>
      <c r="B15" s="1233" t="s">
        <v>1467</v>
      </c>
      <c r="C15" s="937" t="str">
        <f>估价对象房地状况!G3</f>
        <v>估价对象位于XX开发区，园区建设成熟度XX，产业集聚程度XX</v>
      </c>
      <c r="D15" s="938">
        <v>100</v>
      </c>
      <c r="E15" s="939"/>
      <c r="F15" s="1289">
        <f>SUMIF(70:70,E16,71:71)-SUMIF(70:70,C16,71:71)+100</f>
        <v>100</v>
      </c>
      <c r="G15" s="1058"/>
      <c r="H15" s="938">
        <f>SUMIF(70:70,G16,71:71)-SUMIF(70:70,C16,71:71)+100</f>
        <v>100</v>
      </c>
      <c r="I15" s="939"/>
      <c r="J15" s="938">
        <f>SUMIF(70:70,I16,71:71)-SUMIF(70:70,C16,71:71)+100</f>
        <v>100</v>
      </c>
      <c r="K15" s="1328"/>
      <c r="L15" s="1419"/>
      <c r="M15" s="1410"/>
      <c r="N15" s="1410"/>
      <c r="O15" s="1418"/>
      <c r="P15" s="3293" t="s">
        <v>1379</v>
      </c>
      <c r="Q15" s="656" t="str">
        <f t="shared" si="6"/>
        <v>产业集聚程度</v>
      </c>
      <c r="R15" s="1093" t="s">
        <v>1367</v>
      </c>
      <c r="S15" s="1094">
        <f t="shared" si="0"/>
        <v>100</v>
      </c>
      <c r="T15" s="1093" t="s">
        <v>1367</v>
      </c>
      <c r="U15" s="1094">
        <f t="shared" si="1"/>
        <v>100</v>
      </c>
      <c r="V15" s="1093" t="s">
        <v>1367</v>
      </c>
      <c r="W15" s="1094">
        <f t="shared" si="2"/>
        <v>100</v>
      </c>
      <c r="X15" s="1087"/>
      <c r="Y15" s="3293" t="s">
        <v>1379</v>
      </c>
      <c r="Z15" s="1077" t="str">
        <f t="shared" si="7"/>
        <v>产业集聚程度</v>
      </c>
      <c r="AA15" s="1104">
        <f t="shared" si="3"/>
        <v>1</v>
      </c>
      <c r="AB15" s="1104">
        <f t="shared" si="4"/>
        <v>1</v>
      </c>
      <c r="AC15" s="1104">
        <f t="shared" si="5"/>
        <v>1</v>
      </c>
    </row>
    <row r="16" spans="1:29" ht="15">
      <c r="A16" s="921"/>
      <c r="B16" s="1235"/>
      <c r="C16" s="941"/>
      <c r="D16" s="942"/>
      <c r="E16" s="941"/>
      <c r="F16" s="1290"/>
      <c r="G16" s="941"/>
      <c r="H16" s="944"/>
      <c r="I16" s="941"/>
      <c r="J16" s="942"/>
      <c r="K16" s="1329"/>
      <c r="L16" s="1419"/>
      <c r="M16" s="1410"/>
      <c r="N16" s="1410"/>
      <c r="O16" s="1418"/>
      <c r="P16" s="3294"/>
      <c r="Q16" s="656"/>
      <c r="R16" s="1093"/>
      <c r="S16" s="1094"/>
      <c r="T16" s="1093"/>
      <c r="U16" s="1094"/>
      <c r="V16" s="1093"/>
      <c r="W16" s="1094"/>
      <c r="X16" s="1087"/>
      <c r="Y16" s="3294"/>
      <c r="Z16" s="1077"/>
      <c r="AA16" s="1104">
        <v>1</v>
      </c>
      <c r="AB16" s="1104">
        <v>1</v>
      </c>
      <c r="AC16" s="1104">
        <v>1</v>
      </c>
    </row>
    <row r="17" spans="1:29" ht="85.5">
      <c r="A17" s="921"/>
      <c r="B17" s="1236" t="s">
        <v>1380</v>
      </c>
      <c r="C17" s="946" t="str">
        <f>估价对象房地状况!G4</f>
        <v>估价对象周边道路状况、公共交通通达情况、停车便捷程度，综合评价交通便捷度较好</v>
      </c>
      <c r="D17" s="944">
        <v>100</v>
      </c>
      <c r="E17" s="947"/>
      <c r="F17" s="1292">
        <f>SUMIF(72:72,E18,73:73)-SUMIF(72:72,C18,73:73)+100</f>
        <v>100</v>
      </c>
      <c r="G17" s="1059"/>
      <c r="H17" s="948">
        <f>SUMIF(72:72,G18,73:73)-SUMIF(72:72,C18,73:73)+100</f>
        <v>100</v>
      </c>
      <c r="I17" s="947"/>
      <c r="J17" s="948">
        <f>SUMIF(72:72,I18,73:73)-SUMIF(72:72,C18,73:73)+100</f>
        <v>100</v>
      </c>
      <c r="K17" s="1328"/>
      <c r="L17" s="1419"/>
      <c r="M17" s="1410"/>
      <c r="N17" s="1410"/>
      <c r="O17" s="1418"/>
      <c r="P17" s="3294"/>
      <c r="Q17" s="656" t="str">
        <f>B17</f>
        <v>交通便捷度</v>
      </c>
      <c r="R17" s="1093" t="s">
        <v>1367</v>
      </c>
      <c r="S17" s="1094">
        <f>F17</f>
        <v>100</v>
      </c>
      <c r="T17" s="1093" t="s">
        <v>1367</v>
      </c>
      <c r="U17" s="1094">
        <f>H17</f>
        <v>100</v>
      </c>
      <c r="V17" s="1093" t="s">
        <v>1367</v>
      </c>
      <c r="W17" s="1094">
        <f>J17</f>
        <v>100</v>
      </c>
      <c r="X17" s="1087"/>
      <c r="Y17" s="3294"/>
      <c r="Z17" s="1077" t="str">
        <f>Q17</f>
        <v>交通便捷度</v>
      </c>
      <c r="AA17" s="1104">
        <f t="shared" si="3"/>
        <v>1</v>
      </c>
      <c r="AB17" s="1104">
        <f t="shared" si="4"/>
        <v>1</v>
      </c>
      <c r="AC17" s="1104">
        <f t="shared" si="5"/>
        <v>1</v>
      </c>
    </row>
    <row r="18" spans="1:29" ht="15">
      <c r="A18" s="921"/>
      <c r="B18" s="969"/>
      <c r="C18" s="1237"/>
      <c r="D18" s="944"/>
      <c r="E18" s="1238"/>
      <c r="F18" s="1292"/>
      <c r="G18" s="1247"/>
      <c r="H18" s="942"/>
      <c r="I18" s="1238"/>
      <c r="J18" s="942"/>
      <c r="K18" s="1329"/>
      <c r="L18" s="1419"/>
      <c r="M18" s="1410"/>
      <c r="N18" s="1410"/>
      <c r="O18" s="1418"/>
      <c r="P18" s="3294"/>
      <c r="Q18" s="656"/>
      <c r="R18" s="1093"/>
      <c r="S18" s="1094"/>
      <c r="T18" s="1093"/>
      <c r="U18" s="1094"/>
      <c r="V18" s="1093"/>
      <c r="W18" s="1094"/>
      <c r="X18" s="1087"/>
      <c r="Y18" s="3294"/>
      <c r="Z18" s="1077"/>
      <c r="AA18" s="1104">
        <v>1</v>
      </c>
      <c r="AB18" s="1104">
        <v>1</v>
      </c>
      <c r="AC18" s="1104">
        <v>1</v>
      </c>
    </row>
    <row r="19" spans="1:29" ht="42.75">
      <c r="A19" s="921"/>
      <c r="B19" s="1236" t="s">
        <v>1381</v>
      </c>
      <c r="C19" s="946" t="str">
        <f>估价对象房地状况!G5</f>
        <v>估价对象所在区域公共配套设施齐备情况</v>
      </c>
      <c r="D19" s="948">
        <v>100</v>
      </c>
      <c r="E19" s="1239"/>
      <c r="F19" s="1291">
        <f>SUMIF(74:74,E20,75:75)-SUMIF(74:74,C20,75:75)+100</f>
        <v>100</v>
      </c>
      <c r="G19" s="1248"/>
      <c r="H19" s="944">
        <f>SUMIF(74:74,G20,75:75)-SUMIF(74:74,C20,75:75)+100</f>
        <v>100</v>
      </c>
      <c r="I19" s="1239"/>
      <c r="J19" s="944">
        <f>SUMIF(74:74,I20,75:75)-SUMIF(74:74,C20,75:75)+100</f>
        <v>100</v>
      </c>
      <c r="K19" s="1328"/>
      <c r="L19" s="1419"/>
      <c r="M19" s="1410"/>
      <c r="N19" s="1410"/>
      <c r="O19" s="1418"/>
      <c r="P19" s="3294"/>
      <c r="Q19" s="656" t="str">
        <f>B19</f>
        <v>公共配套设施</v>
      </c>
      <c r="R19" s="1093" t="s">
        <v>1367</v>
      </c>
      <c r="S19" s="1094">
        <f>F19</f>
        <v>100</v>
      </c>
      <c r="T19" s="1093" t="s">
        <v>1367</v>
      </c>
      <c r="U19" s="1094">
        <f>H19</f>
        <v>100</v>
      </c>
      <c r="V19" s="1093" t="s">
        <v>1367</v>
      </c>
      <c r="W19" s="1094">
        <f>J19</f>
        <v>100</v>
      </c>
      <c r="X19" s="1087"/>
      <c r="Y19" s="3294"/>
      <c r="Z19" s="1077" t="str">
        <f>Q19</f>
        <v>公共配套设施</v>
      </c>
      <c r="AA19" s="1104">
        <f t="shared" si="3"/>
        <v>1</v>
      </c>
      <c r="AB19" s="1104">
        <f t="shared" si="4"/>
        <v>1</v>
      </c>
      <c r="AC19" s="1104">
        <f t="shared" si="5"/>
        <v>1</v>
      </c>
    </row>
    <row r="20" spans="1:29" ht="15">
      <c r="A20" s="921"/>
      <c r="B20" s="969"/>
      <c r="C20" s="941"/>
      <c r="D20" s="942"/>
      <c r="E20" s="950"/>
      <c r="F20" s="1290"/>
      <c r="G20" s="1060"/>
      <c r="H20" s="942"/>
      <c r="I20" s="950"/>
      <c r="J20" s="942"/>
      <c r="K20" s="1329"/>
      <c r="L20" s="1419"/>
      <c r="M20" s="1410"/>
      <c r="N20" s="1410"/>
      <c r="O20" s="1418"/>
      <c r="P20" s="3294"/>
      <c r="Q20" s="656"/>
      <c r="R20" s="1093"/>
      <c r="S20" s="1094"/>
      <c r="T20" s="1093"/>
      <c r="U20" s="1094"/>
      <c r="V20" s="1093"/>
      <c r="W20" s="1094"/>
      <c r="X20" s="1087"/>
      <c r="Y20" s="3294"/>
      <c r="Z20" s="1077"/>
      <c r="AA20" s="1104">
        <v>1</v>
      </c>
      <c r="AB20" s="1104">
        <v>1</v>
      </c>
      <c r="AC20" s="1104">
        <v>1</v>
      </c>
    </row>
    <row r="21" spans="1:29" ht="28.5">
      <c r="A21" s="921"/>
      <c r="B21" s="1240" t="s">
        <v>1382</v>
      </c>
      <c r="C21" s="946" t="str">
        <f>估价对象房地状况!G6</f>
        <v>估价对象所在区域基础设施水平</v>
      </c>
      <c r="D21" s="944">
        <v>100</v>
      </c>
      <c r="E21" s="1239"/>
      <c r="F21" s="1291">
        <f>SUMIF(76:76,E22,77:77)-SUMIF(76:76,C22,77:77)+100</f>
        <v>100</v>
      </c>
      <c r="G21" s="1248"/>
      <c r="H21" s="944">
        <f>SUMIF(76:76,G22,77:77)-SUMIF(76:76,C22,77:77)+100</f>
        <v>100</v>
      </c>
      <c r="I21" s="1239"/>
      <c r="J21" s="944">
        <f>SUMIF(76:76,I22,77:77)-SUMIF(76:76,C22,77:77)+100</f>
        <v>100</v>
      </c>
      <c r="K21" s="1328"/>
      <c r="L21" s="1419"/>
      <c r="M21" s="1410"/>
      <c r="N21" s="1410"/>
      <c r="O21" s="1418"/>
      <c r="P21" s="3294"/>
      <c r="Q21" s="656" t="str">
        <f>B21</f>
        <v>基础设施水平</v>
      </c>
      <c r="R21" s="1093" t="s">
        <v>1367</v>
      </c>
      <c r="S21" s="1094">
        <f>F21</f>
        <v>100</v>
      </c>
      <c r="T21" s="1093" t="s">
        <v>1367</v>
      </c>
      <c r="U21" s="1094">
        <f>H21</f>
        <v>100</v>
      </c>
      <c r="V21" s="1093" t="s">
        <v>1367</v>
      </c>
      <c r="W21" s="1094">
        <f>J21</f>
        <v>100</v>
      </c>
      <c r="X21" s="1087"/>
      <c r="Y21" s="3294"/>
      <c r="Z21" s="1077" t="str">
        <f>Q21</f>
        <v>基础设施水平</v>
      </c>
      <c r="AA21" s="1104">
        <f>D21/F21</f>
        <v>1</v>
      </c>
      <c r="AB21" s="1104">
        <f>D21/H21</f>
        <v>1</v>
      </c>
      <c r="AC21" s="1104">
        <f>D21/J21</f>
        <v>1</v>
      </c>
    </row>
    <row r="22" spans="1:29" ht="15">
      <c r="A22" s="921"/>
      <c r="B22" s="1240"/>
      <c r="C22" s="1237"/>
      <c r="D22" s="942"/>
      <c r="E22" s="941"/>
      <c r="F22" s="1290"/>
      <c r="G22" s="941"/>
      <c r="H22" s="942"/>
      <c r="I22" s="941"/>
      <c r="J22" s="942"/>
      <c r="K22" s="1330"/>
      <c r="L22" s="1419"/>
      <c r="M22" s="1410"/>
      <c r="N22" s="1410"/>
      <c r="O22" s="1418"/>
      <c r="P22" s="3294"/>
      <c r="Q22" s="656"/>
      <c r="R22" s="1093"/>
      <c r="S22" s="1094"/>
      <c r="T22" s="1093"/>
      <c r="U22" s="1094"/>
      <c r="V22" s="1093"/>
      <c r="W22" s="1094"/>
      <c r="X22" s="1087"/>
      <c r="Y22" s="3294"/>
      <c r="Z22" s="1077"/>
      <c r="AA22" s="1104">
        <v>1</v>
      </c>
      <c r="AB22" s="1104">
        <v>1</v>
      </c>
      <c r="AC22" s="1104">
        <v>1</v>
      </c>
    </row>
    <row r="23" spans="1:29" ht="71.25">
      <c r="A23" s="921"/>
      <c r="B23" s="1236" t="s">
        <v>1461</v>
      </c>
      <c r="C23" s="946" t="str">
        <f>估价对象房地状况!G7</f>
        <v>该园区内是否有污染型企业，绿化情况，卫生条件，整体环境状况判断</v>
      </c>
      <c r="D23" s="944">
        <v>100</v>
      </c>
      <c r="E23" s="947"/>
      <c r="F23" s="1292">
        <f>SUMIF(78:78,E24,79:79)-SUMIF(78:78,C24,79:79)+100</f>
        <v>100</v>
      </c>
      <c r="G23" s="1059"/>
      <c r="H23" s="944">
        <f>SUMIF(78:78,G24,79:79)-SUMIF(78:78,C24,79:79)+100</f>
        <v>100</v>
      </c>
      <c r="I23" s="947"/>
      <c r="J23" s="944">
        <f>SUMIF(78:78,I24,79:79)-SUMIF(78:78,C24,79:79)+100</f>
        <v>100</v>
      </c>
      <c r="K23" s="1328"/>
      <c r="L23" s="1419"/>
      <c r="M23" s="1410"/>
      <c r="N23" s="1410"/>
      <c r="O23" s="1418"/>
      <c r="P23" s="3294"/>
      <c r="Q23" s="656" t="str">
        <f>B23</f>
        <v>环境质量</v>
      </c>
      <c r="R23" s="1093" t="s">
        <v>1367</v>
      </c>
      <c r="S23" s="1094">
        <f>F23</f>
        <v>100</v>
      </c>
      <c r="T23" s="1093" t="s">
        <v>1367</v>
      </c>
      <c r="U23" s="1094">
        <f>H23</f>
        <v>100</v>
      </c>
      <c r="V23" s="1093" t="s">
        <v>1367</v>
      </c>
      <c r="W23" s="1094">
        <f>J23</f>
        <v>100</v>
      </c>
      <c r="X23" s="1087"/>
      <c r="Y23" s="3294"/>
      <c r="Z23" s="1077" t="str">
        <f>Q23</f>
        <v>环境质量</v>
      </c>
      <c r="AA23" s="1104">
        <f t="shared" si="3"/>
        <v>1</v>
      </c>
      <c r="AB23" s="1104">
        <f t="shared" si="4"/>
        <v>1</v>
      </c>
      <c r="AC23" s="1104">
        <f t="shared" si="5"/>
        <v>1</v>
      </c>
    </row>
    <row r="24" spans="1:29" ht="15">
      <c r="A24" s="921"/>
      <c r="B24" s="1240"/>
      <c r="C24" s="941"/>
      <c r="D24" s="942"/>
      <c r="E24" s="950"/>
      <c r="F24" s="1290"/>
      <c r="G24" s="1060"/>
      <c r="H24" s="942"/>
      <c r="I24" s="950"/>
      <c r="J24" s="942"/>
      <c r="K24" s="1329"/>
      <c r="L24" s="1419"/>
      <c r="M24" s="1410"/>
      <c r="N24" s="1410"/>
      <c r="O24" s="1418"/>
      <c r="P24" s="3294"/>
      <c r="Q24" s="656"/>
      <c r="R24" s="1093"/>
      <c r="S24" s="1094"/>
      <c r="T24" s="1093"/>
      <c r="U24" s="1094"/>
      <c r="V24" s="1093"/>
      <c r="W24" s="1094"/>
      <c r="X24" s="1087"/>
      <c r="Y24" s="3294"/>
      <c r="Z24" s="1077"/>
      <c r="AA24" s="1104">
        <v>1</v>
      </c>
      <c r="AB24" s="1104">
        <v>1</v>
      </c>
      <c r="AC24" s="1104">
        <v>1</v>
      </c>
    </row>
    <row r="25" spans="1:29" ht="15">
      <c r="A25" s="901"/>
      <c r="B25" s="1241">
        <v>111</v>
      </c>
      <c r="C25" s="929">
        <v>111</v>
      </c>
      <c r="D25" s="930">
        <v>100</v>
      </c>
      <c r="E25" s="929"/>
      <c r="F25" s="1293">
        <f>SUMIF(80:80,E25,81:81)-SUMIF(80:80,C25,81:81)+100</f>
        <v>100</v>
      </c>
      <c r="G25" s="929"/>
      <c r="H25" s="930">
        <f>SUMIF(80:80,G25,81:81)-SUMIF(80:80,C25,81:81)+100</f>
        <v>100</v>
      </c>
      <c r="I25" s="929"/>
      <c r="J25" s="930">
        <f>SUMIF(80:80,I25,81:81)-SUMIF(80:80,C25,81:81)+100</f>
        <v>100</v>
      </c>
      <c r="K25" s="1062"/>
      <c r="L25" s="1419"/>
      <c r="M25" s="1410"/>
      <c r="N25" s="1410"/>
      <c r="O25" s="1418"/>
      <c r="P25" s="3294"/>
      <c r="Q25" s="656">
        <f>B25</f>
        <v>111</v>
      </c>
      <c r="R25" s="1093" t="s">
        <v>1367</v>
      </c>
      <c r="S25" s="1094">
        <f>F25</f>
        <v>100</v>
      </c>
      <c r="T25" s="1093" t="s">
        <v>1367</v>
      </c>
      <c r="U25" s="1094">
        <f>H25</f>
        <v>100</v>
      </c>
      <c r="V25" s="1093" t="s">
        <v>1367</v>
      </c>
      <c r="W25" s="1094">
        <f>J25</f>
        <v>100</v>
      </c>
      <c r="X25" s="1087"/>
      <c r="Y25" s="3294"/>
      <c r="Z25" s="1077">
        <f>Q25</f>
        <v>111</v>
      </c>
      <c r="AA25" s="1104">
        <f t="shared" si="3"/>
        <v>1</v>
      </c>
      <c r="AB25" s="1104">
        <f t="shared" si="4"/>
        <v>1</v>
      </c>
      <c r="AC25" s="1104">
        <f t="shared" si="5"/>
        <v>1</v>
      </c>
    </row>
    <row r="26" spans="1:29" ht="15">
      <c r="A26" s="921"/>
      <c r="B26" s="1241">
        <v>111</v>
      </c>
      <c r="C26" s="929">
        <v>111</v>
      </c>
      <c r="D26" s="930">
        <v>100</v>
      </c>
      <c r="E26" s="929"/>
      <c r="F26" s="1293">
        <f>SUMIF(82:82,E26,83:83)-SUMIF(82:82,C26,83:83)+100</f>
        <v>100</v>
      </c>
      <c r="G26" s="929"/>
      <c r="H26" s="930">
        <f>SUMIF(82:82,G26,83:83)-SUMIF(82:82,C26,83:83)+100</f>
        <v>100</v>
      </c>
      <c r="I26" s="929"/>
      <c r="J26" s="930">
        <f>SUMIF(82:82,I26,83:83)-SUMIF(82:82,C26,83:83)+100</f>
        <v>100</v>
      </c>
      <c r="K26" s="1062"/>
      <c r="L26" s="1419"/>
      <c r="M26" s="1410"/>
      <c r="N26" s="1410"/>
      <c r="O26" s="1418"/>
      <c r="P26" s="3294"/>
      <c r="Q26" s="656">
        <f t="shared" ref="Q26:Q40" si="8">B26</f>
        <v>111</v>
      </c>
      <c r="R26" s="1093" t="s">
        <v>1367</v>
      </c>
      <c r="S26" s="1094">
        <f>F26</f>
        <v>100</v>
      </c>
      <c r="T26" s="1093" t="s">
        <v>1367</v>
      </c>
      <c r="U26" s="1094">
        <f>H26</f>
        <v>100</v>
      </c>
      <c r="V26" s="1093" t="s">
        <v>1367</v>
      </c>
      <c r="W26" s="1094">
        <f>J26</f>
        <v>100</v>
      </c>
      <c r="X26" s="1087"/>
      <c r="Y26" s="3294"/>
      <c r="Z26" s="1077">
        <f>Q26</f>
        <v>111</v>
      </c>
      <c r="AA26" s="1104">
        <f t="shared" si="3"/>
        <v>1</v>
      </c>
      <c r="AB26" s="1104">
        <f t="shared" si="4"/>
        <v>1</v>
      </c>
      <c r="AC26" s="1104">
        <f t="shared" si="5"/>
        <v>1</v>
      </c>
    </row>
    <row r="27" spans="1:29" s="880" customFormat="1" ht="15">
      <c r="A27" s="924"/>
      <c r="B27" s="1241">
        <v>111</v>
      </c>
      <c r="C27" s="929">
        <v>111</v>
      </c>
      <c r="D27" s="1405">
        <v>100</v>
      </c>
      <c r="E27" s="929"/>
      <c r="F27" s="1406">
        <f>SUMIF(84:84,E27,85:85)-SUMIF(84:84,C27,85:85)+100</f>
        <v>100</v>
      </c>
      <c r="G27" s="929"/>
      <c r="H27" s="1405">
        <f>SUMIF(84:84,G27,85:85)-SUMIF(84:84,C27,85:85)+100</f>
        <v>100</v>
      </c>
      <c r="I27" s="929"/>
      <c r="J27" s="1405">
        <f>SUMIF(84:84,I27,85:85)-SUMIF(84:84,C27,85:85)+100</f>
        <v>100</v>
      </c>
      <c r="K27" s="1062"/>
      <c r="L27" s="1411"/>
      <c r="M27" s="1412"/>
      <c r="N27" s="1412"/>
      <c r="O27" s="1413"/>
      <c r="P27" s="3294"/>
      <c r="Q27" s="1092">
        <f t="shared" si="8"/>
        <v>111</v>
      </c>
      <c r="R27" s="1088" t="s">
        <v>1367</v>
      </c>
      <c r="S27" s="1089">
        <f>F27</f>
        <v>100</v>
      </c>
      <c r="T27" s="1088" t="s">
        <v>1367</v>
      </c>
      <c r="U27" s="1089">
        <f>H27</f>
        <v>100</v>
      </c>
      <c r="V27" s="1088" t="s">
        <v>1367</v>
      </c>
      <c r="W27" s="1089">
        <f>J27</f>
        <v>100</v>
      </c>
      <c r="X27" s="1090"/>
      <c r="Y27" s="3294"/>
      <c r="Z27" s="1103">
        <f>Q27</f>
        <v>111</v>
      </c>
      <c r="AA27" s="1104">
        <f t="shared" si="3"/>
        <v>1</v>
      </c>
      <c r="AB27" s="1104">
        <f t="shared" si="4"/>
        <v>1</v>
      </c>
      <c r="AC27" s="1104">
        <f t="shared" si="5"/>
        <v>1</v>
      </c>
    </row>
    <row r="28" spans="1:29" ht="15">
      <c r="A28" s="931"/>
      <c r="B28" s="1241">
        <v>111</v>
      </c>
      <c r="C28" s="933">
        <v>111</v>
      </c>
      <c r="D28" s="934">
        <v>100</v>
      </c>
      <c r="E28" s="929"/>
      <c r="F28" s="1306">
        <f>SUMIF(86:86,E28,87:87)-SUMIF(86:86,C28,87:87)+100</f>
        <v>100</v>
      </c>
      <c r="G28" s="1287"/>
      <c r="H28" s="934">
        <f>SUMIF(86:86,G28,87:87)-SUMIF(86:86,C28,87:87)+100</f>
        <v>100</v>
      </c>
      <c r="I28" s="1287"/>
      <c r="J28" s="934">
        <f>SUMIF(86:86,I28,87:87)-SUMIF(86:86,C28,87:87)+100</f>
        <v>100</v>
      </c>
      <c r="K28" s="1062"/>
      <c r="L28" s="1419"/>
      <c r="M28" s="1410"/>
      <c r="N28" s="1410"/>
      <c r="O28" s="1418"/>
      <c r="P28" s="3294"/>
      <c r="Q28" s="656">
        <f t="shared" si="8"/>
        <v>111</v>
      </c>
      <c r="R28" s="1093" t="s">
        <v>1367</v>
      </c>
      <c r="S28" s="1094">
        <f t="shared" ref="S28:S40" si="9">F28</f>
        <v>100</v>
      </c>
      <c r="T28" s="1093" t="s">
        <v>1367</v>
      </c>
      <c r="U28" s="1094">
        <f t="shared" ref="U28:U40" si="10">H28</f>
        <v>100</v>
      </c>
      <c r="V28" s="1093" t="s">
        <v>1367</v>
      </c>
      <c r="W28" s="1094">
        <f t="shared" ref="W28:W40" si="11">J28</f>
        <v>100</v>
      </c>
      <c r="X28" s="1087"/>
      <c r="Y28" s="3294"/>
      <c r="Z28" s="1077">
        <f t="shared" ref="Z28:Z40" si="12">Q28</f>
        <v>111</v>
      </c>
      <c r="AA28" s="1104">
        <f t="shared" si="3"/>
        <v>1</v>
      </c>
      <c r="AB28" s="1104">
        <f t="shared" si="4"/>
        <v>1</v>
      </c>
      <c r="AC28" s="1104">
        <f t="shared" si="5"/>
        <v>1</v>
      </c>
    </row>
    <row r="29" spans="1:29" ht="28.5">
      <c r="A29" s="1297" t="s">
        <v>1386</v>
      </c>
      <c r="B29" s="914" t="s">
        <v>1387</v>
      </c>
      <c r="C29" s="1298"/>
      <c r="D29" s="971">
        <v>100</v>
      </c>
      <c r="E29" s="1298"/>
      <c r="F29" s="1293">
        <f>SUMIF(88:88,E29,89:89)-SUMIF(88:88,C29,89:89)+100</f>
        <v>100</v>
      </c>
      <c r="G29" s="1298"/>
      <c r="H29" s="930">
        <f>SUMIF(88:88,G29,89:89)-SUMIF(88:88,C29,89:89)+100</f>
        <v>100</v>
      </c>
      <c r="I29" s="1298"/>
      <c r="J29" s="971">
        <f>SUMIF(88:88,I29,89:89)-SUMIF(88:88,C29,89:89)+100</f>
        <v>100</v>
      </c>
      <c r="K29" s="1063"/>
      <c r="L29" s="1419"/>
      <c r="M29" s="1410"/>
      <c r="N29" s="1410"/>
      <c r="O29" s="1418"/>
      <c r="P29" s="3295" t="s">
        <v>1388</v>
      </c>
      <c r="Q29" s="656" t="str">
        <f t="shared" si="8"/>
        <v>建筑类型</v>
      </c>
      <c r="R29" s="1093" t="s">
        <v>1367</v>
      </c>
      <c r="S29" s="1094">
        <f t="shared" si="9"/>
        <v>100</v>
      </c>
      <c r="T29" s="1093" t="s">
        <v>1367</v>
      </c>
      <c r="U29" s="1094">
        <f t="shared" si="10"/>
        <v>100</v>
      </c>
      <c r="V29" s="1093" t="s">
        <v>1367</v>
      </c>
      <c r="W29" s="1094">
        <f t="shared" si="11"/>
        <v>100</v>
      </c>
      <c r="X29" s="1087"/>
      <c r="Y29" s="3296" t="s">
        <v>1388</v>
      </c>
      <c r="Z29" s="1077" t="str">
        <f t="shared" si="12"/>
        <v>建筑类型</v>
      </c>
      <c r="AA29" s="1104">
        <f t="shared" si="3"/>
        <v>1</v>
      </c>
      <c r="AB29" s="1104">
        <f t="shared" si="4"/>
        <v>1</v>
      </c>
      <c r="AC29" s="1104">
        <f t="shared" si="5"/>
        <v>1</v>
      </c>
    </row>
    <row r="30" spans="1:29" s="882" customFormat="1" ht="15">
      <c r="A30" s="977"/>
      <c r="B30" s="918" t="s">
        <v>1389</v>
      </c>
      <c r="C30" s="1287"/>
      <c r="D30" s="920">
        <v>100</v>
      </c>
      <c r="E30" s="923"/>
      <c r="F30" s="1286" t="e">
        <f>LOOKUP(E30,91:91,92:92)-LOOKUP(C30,91:91,92:92)+100</f>
        <v>#N/A</v>
      </c>
      <c r="G30" s="922"/>
      <c r="H30" s="920" t="e">
        <f>LOOKUP(G30,91:91,92:92)-LOOKUP(C30,91:91,92:92)+100</f>
        <v>#N/A</v>
      </c>
      <c r="I30" s="922"/>
      <c r="J30" s="920" t="e">
        <f>LOOKUP(I30,91:91,92:92)-LOOKUP(C30,91:91,92:92)+100</f>
        <v>#N/A</v>
      </c>
      <c r="K30" s="1062"/>
      <c r="L30" s="1417"/>
      <c r="M30" s="1420"/>
      <c r="N30" s="1420"/>
      <c r="O30" s="1421"/>
      <c r="P30" s="3296"/>
      <c r="Q30" s="1332" t="str">
        <f t="shared" si="8"/>
        <v>项目建筑规模</v>
      </c>
      <c r="R30" s="1095" t="s">
        <v>1367</v>
      </c>
      <c r="S30" s="1096" t="e">
        <f t="shared" si="9"/>
        <v>#N/A</v>
      </c>
      <c r="T30" s="1095" t="s">
        <v>1367</v>
      </c>
      <c r="U30" s="1096" t="e">
        <f t="shared" si="10"/>
        <v>#N/A</v>
      </c>
      <c r="V30" s="1095" t="s">
        <v>1367</v>
      </c>
      <c r="W30" s="1096" t="e">
        <f t="shared" si="11"/>
        <v>#N/A</v>
      </c>
      <c r="X30" s="1097"/>
      <c r="Y30" s="3296"/>
      <c r="Z30" s="1105" t="str">
        <f t="shared" si="12"/>
        <v>项目建筑规模</v>
      </c>
      <c r="AA30" s="1104" t="e">
        <f t="shared" si="3"/>
        <v>#N/A</v>
      </c>
      <c r="AB30" s="1104" t="e">
        <f t="shared" si="4"/>
        <v>#N/A</v>
      </c>
      <c r="AC30" s="1104" t="e">
        <f t="shared" si="5"/>
        <v>#N/A</v>
      </c>
    </row>
    <row r="31" spans="1:29" ht="15">
      <c r="A31" s="972"/>
      <c r="B31" s="918" t="s">
        <v>1390</v>
      </c>
      <c r="C31" s="1303"/>
      <c r="D31" s="930">
        <v>100</v>
      </c>
      <c r="E31" s="1303"/>
      <c r="F31" s="1293">
        <f>SUMIF(93:93,E31,94:94)-SUMIF(93:93,C31,94:94)+100</f>
        <v>100</v>
      </c>
      <c r="G31" s="1303"/>
      <c r="H31" s="930">
        <f>SUMIF(93:93,G31,94:94)-SUMIF(93:93,C31,94:94)+100</f>
        <v>100</v>
      </c>
      <c r="I31" s="1303"/>
      <c r="J31" s="930">
        <f>SUMIF(93:93,I31,94:94)-SUMIF(93:93,C31,94:94)+100</f>
        <v>100</v>
      </c>
      <c r="K31" s="1063"/>
      <c r="L31" s="1419"/>
      <c r="M31" s="1410"/>
      <c r="N31" s="1410"/>
      <c r="O31" s="1418"/>
      <c r="P31" s="3296"/>
      <c r="Q31" s="656" t="str">
        <f t="shared" si="8"/>
        <v>建筑结构</v>
      </c>
      <c r="R31" s="1093" t="s">
        <v>1367</v>
      </c>
      <c r="S31" s="1094">
        <f t="shared" si="9"/>
        <v>100</v>
      </c>
      <c r="T31" s="1093" t="s">
        <v>1367</v>
      </c>
      <c r="U31" s="1094">
        <f t="shared" si="10"/>
        <v>100</v>
      </c>
      <c r="V31" s="1093" t="s">
        <v>1367</v>
      </c>
      <c r="W31" s="1094">
        <f t="shared" si="11"/>
        <v>100</v>
      </c>
      <c r="X31" s="1087"/>
      <c r="Y31" s="3296"/>
      <c r="Z31" s="1077" t="str">
        <f t="shared" si="12"/>
        <v>建筑结构</v>
      </c>
      <c r="AA31" s="1104">
        <f t="shared" si="3"/>
        <v>1</v>
      </c>
      <c r="AB31" s="1104">
        <f t="shared" si="4"/>
        <v>1</v>
      </c>
      <c r="AC31" s="1104">
        <f t="shared" si="5"/>
        <v>1</v>
      </c>
    </row>
    <row r="32" spans="1:29" ht="15">
      <c r="A32" s="972"/>
      <c r="B32" s="918" t="s">
        <v>1392</v>
      </c>
      <c r="C32" s="1303"/>
      <c r="D32" s="930">
        <v>100</v>
      </c>
      <c r="E32" s="1303"/>
      <c r="F32" s="1293">
        <f>SUMIF(95:95,E32,96:96)-SUMIF(95:95,C32,96:96)+100</f>
        <v>100</v>
      </c>
      <c r="G32" s="1303"/>
      <c r="H32" s="930">
        <f>SUMIF(95:95,G32,96:96)-SUMIF(95:95,C32,96:96)+100</f>
        <v>100</v>
      </c>
      <c r="I32" s="1303"/>
      <c r="J32" s="930">
        <f>SUMIF(95:95,I32,96:96)-SUMIF(95:95,C32,96:96)+100</f>
        <v>100</v>
      </c>
      <c r="K32" s="1063"/>
      <c r="L32" s="1419"/>
      <c r="M32" s="1410"/>
      <c r="N32" s="1410"/>
      <c r="O32" s="1418"/>
      <c r="P32" s="3296"/>
      <c r="Q32" s="656" t="str">
        <f t="shared" si="8"/>
        <v>公共部分装修</v>
      </c>
      <c r="R32" s="1093" t="s">
        <v>1367</v>
      </c>
      <c r="S32" s="1094">
        <f t="shared" si="9"/>
        <v>100</v>
      </c>
      <c r="T32" s="1093" t="s">
        <v>1367</v>
      </c>
      <c r="U32" s="1094">
        <f t="shared" si="10"/>
        <v>100</v>
      </c>
      <c r="V32" s="1093" t="s">
        <v>1367</v>
      </c>
      <c r="W32" s="1094">
        <f t="shared" si="11"/>
        <v>100</v>
      </c>
      <c r="X32" s="1087"/>
      <c r="Y32" s="3296"/>
      <c r="Z32" s="1077" t="str">
        <f t="shared" si="12"/>
        <v>公共部分装修</v>
      </c>
      <c r="AA32" s="1104">
        <f t="shared" si="3"/>
        <v>1</v>
      </c>
      <c r="AB32" s="1104">
        <f t="shared" si="4"/>
        <v>1</v>
      </c>
      <c r="AC32" s="1104">
        <f t="shared" si="5"/>
        <v>1</v>
      </c>
    </row>
    <row r="33" spans="1:29" ht="15">
      <c r="A33" s="972"/>
      <c r="B33" s="918" t="s">
        <v>576</v>
      </c>
      <c r="C33" s="1287"/>
      <c r="D33" s="930">
        <v>100</v>
      </c>
      <c r="E33" s="1300"/>
      <c r="F33" s="1293" t="e">
        <f>LOOKUP(E33,98:98,99:99)-LOOKUP(C33,98:98,99:99)+100</f>
        <v>#N/A</v>
      </c>
      <c r="G33" s="1300"/>
      <c r="H33" s="1293" t="e">
        <f>LOOKUP(G33,98:98,99:99)-LOOKUP(C33,98:98,99:99)+100</f>
        <v>#N/A</v>
      </c>
      <c r="I33" s="1300"/>
      <c r="J33" s="930" t="e">
        <f>LOOKUP(I33,98:98,99:99)-LOOKUP(C33,98:98,99:99)+100</f>
        <v>#N/A</v>
      </c>
      <c r="K33" s="1063"/>
      <c r="L33" s="1419"/>
      <c r="M33" s="1410"/>
      <c r="N33" s="1410"/>
      <c r="O33" s="1418"/>
      <c r="P33" s="3296"/>
      <c r="Q33" s="656" t="str">
        <f t="shared" si="8"/>
        <v>成新度</v>
      </c>
      <c r="R33" s="1093" t="s">
        <v>1367</v>
      </c>
      <c r="S33" s="1094" t="e">
        <f t="shared" si="9"/>
        <v>#N/A</v>
      </c>
      <c r="T33" s="1093" t="s">
        <v>1367</v>
      </c>
      <c r="U33" s="1094" t="e">
        <f t="shared" si="10"/>
        <v>#N/A</v>
      </c>
      <c r="V33" s="1093" t="s">
        <v>1367</v>
      </c>
      <c r="W33" s="1094" t="e">
        <f t="shared" si="11"/>
        <v>#N/A</v>
      </c>
      <c r="X33" s="1087"/>
      <c r="Y33" s="3296"/>
      <c r="Z33" s="1077" t="str">
        <f t="shared" si="12"/>
        <v>成新度</v>
      </c>
      <c r="AA33" s="1104" t="e">
        <f t="shared" si="3"/>
        <v>#N/A</v>
      </c>
      <c r="AB33" s="1104" t="e">
        <f t="shared" si="4"/>
        <v>#N/A</v>
      </c>
      <c r="AC33" s="1104" t="e">
        <f t="shared" si="5"/>
        <v>#N/A</v>
      </c>
    </row>
    <row r="34" spans="1:29" s="880" customFormat="1" ht="15">
      <c r="A34" s="974"/>
      <c r="B34" s="918" t="s">
        <v>1393</v>
      </c>
      <c r="C34" s="1303"/>
      <c r="D34" s="920">
        <v>100</v>
      </c>
      <c r="E34" s="1303"/>
      <c r="F34" s="1293">
        <f>SUMIF(100:100,E34,101:101)-SUMIF(100:100,C34,101:101)+100</f>
        <v>100</v>
      </c>
      <c r="G34" s="1303"/>
      <c r="H34" s="930">
        <f>SUMIF(100:100,G34,101:101)-SUMIF(100:100,C34,101:101)+100</f>
        <v>100</v>
      </c>
      <c r="I34" s="1303"/>
      <c r="J34" s="930">
        <f>SUMIF(100:100,I34,101:101)-SUMIF(100:100,C34,101:101)+100</f>
        <v>100</v>
      </c>
      <c r="K34" s="1063"/>
      <c r="L34" s="1411"/>
      <c r="M34" s="1412"/>
      <c r="N34" s="1412"/>
      <c r="O34" s="1413"/>
      <c r="P34" s="3296"/>
      <c r="Q34" s="1092" t="str">
        <f t="shared" si="8"/>
        <v>物业管理</v>
      </c>
      <c r="R34" s="1088" t="s">
        <v>1367</v>
      </c>
      <c r="S34" s="1089">
        <f t="shared" si="9"/>
        <v>100</v>
      </c>
      <c r="T34" s="1088" t="s">
        <v>1367</v>
      </c>
      <c r="U34" s="1089">
        <f t="shared" si="10"/>
        <v>100</v>
      </c>
      <c r="V34" s="1088" t="s">
        <v>1367</v>
      </c>
      <c r="W34" s="1089">
        <f t="shared" si="11"/>
        <v>100</v>
      </c>
      <c r="X34" s="1090"/>
      <c r="Y34" s="3296"/>
      <c r="Z34" s="1103" t="str">
        <f t="shared" si="12"/>
        <v>物业管理</v>
      </c>
      <c r="AA34" s="1102">
        <f t="shared" si="3"/>
        <v>1</v>
      </c>
      <c r="AB34" s="1102">
        <f t="shared" si="4"/>
        <v>1</v>
      </c>
      <c r="AC34" s="1102">
        <f t="shared" si="5"/>
        <v>1</v>
      </c>
    </row>
    <row r="35" spans="1:29" ht="15">
      <c r="A35" s="972"/>
      <c r="B35" s="918" t="s">
        <v>1394</v>
      </c>
      <c r="C35" s="1303"/>
      <c r="D35" s="930">
        <v>100</v>
      </c>
      <c r="E35" s="1303"/>
      <c r="F35" s="1293">
        <f>SUMIF(102:102,E35,103:103)-SUMIF(102:102,C35,103:103)+100</f>
        <v>100</v>
      </c>
      <c r="G35" s="1303"/>
      <c r="H35" s="930">
        <f>SUMIF(102:102,G35,103:103)-SUMIF(102:102,C35,103:103)+100</f>
        <v>100</v>
      </c>
      <c r="I35" s="1303"/>
      <c r="J35" s="930">
        <f>SUMIF(102:102,I35,103:103)-SUMIF(102:102,C35,103:103)+100</f>
        <v>100</v>
      </c>
      <c r="K35" s="1063"/>
      <c r="L35" s="1419"/>
      <c r="M35" s="1410"/>
      <c r="N35" s="1410"/>
      <c r="O35" s="1418"/>
      <c r="P35" s="3296" t="s">
        <v>1388</v>
      </c>
      <c r="Q35" s="656" t="str">
        <f t="shared" si="8"/>
        <v>市政基础设施</v>
      </c>
      <c r="R35" s="1093" t="s">
        <v>1367</v>
      </c>
      <c r="S35" s="1094">
        <f t="shared" si="9"/>
        <v>100</v>
      </c>
      <c r="T35" s="1093" t="s">
        <v>1367</v>
      </c>
      <c r="U35" s="1094">
        <f t="shared" si="10"/>
        <v>100</v>
      </c>
      <c r="V35" s="1093" t="s">
        <v>1367</v>
      </c>
      <c r="W35" s="1094">
        <f t="shared" si="11"/>
        <v>100</v>
      </c>
      <c r="X35" s="1087"/>
      <c r="Y35" s="3296" t="s">
        <v>1388</v>
      </c>
      <c r="Z35" s="1077" t="str">
        <f t="shared" si="12"/>
        <v>市政基础设施</v>
      </c>
      <c r="AA35" s="1104">
        <f t="shared" si="3"/>
        <v>1</v>
      </c>
      <c r="AB35" s="1104">
        <f t="shared" si="4"/>
        <v>1</v>
      </c>
      <c r="AC35" s="1104">
        <f t="shared" si="5"/>
        <v>1</v>
      </c>
    </row>
    <row r="36" spans="1:29" ht="15">
      <c r="A36" s="972"/>
      <c r="B36" s="918" t="s">
        <v>1397</v>
      </c>
      <c r="C36" s="1303"/>
      <c r="D36" s="930">
        <v>100</v>
      </c>
      <c r="E36" s="1303"/>
      <c r="F36" s="1293">
        <f>SUMIF(104:104,E36,105:105)-SUMIF(104:104,C36,105:105)+100</f>
        <v>100</v>
      </c>
      <c r="G36" s="1303"/>
      <c r="H36" s="930">
        <f>SUMIF(104:104,G36,105:105)-SUMIF(104:104,C36,105:105)+100</f>
        <v>100</v>
      </c>
      <c r="I36" s="1303"/>
      <c r="J36" s="930">
        <f>SUMIF(104:104,I36,105:105)-SUMIF(104:104,C36,105:105)+100</f>
        <v>100</v>
      </c>
      <c r="K36" s="1063"/>
      <c r="L36" s="1419"/>
      <c r="M36" s="1410"/>
      <c r="N36" s="1410"/>
      <c r="O36" s="1418"/>
      <c r="P36" s="3296"/>
      <c r="Q36" s="656" t="str">
        <f t="shared" si="8"/>
        <v>内部装修</v>
      </c>
      <c r="R36" s="1093" t="s">
        <v>1367</v>
      </c>
      <c r="S36" s="1094">
        <f t="shared" si="9"/>
        <v>100</v>
      </c>
      <c r="T36" s="1093" t="s">
        <v>1367</v>
      </c>
      <c r="U36" s="1094">
        <f t="shared" si="10"/>
        <v>100</v>
      </c>
      <c r="V36" s="1093" t="s">
        <v>1367</v>
      </c>
      <c r="W36" s="1094">
        <f t="shared" si="11"/>
        <v>100</v>
      </c>
      <c r="X36" s="1087"/>
      <c r="Y36" s="3296"/>
      <c r="Z36" s="1077" t="str">
        <f t="shared" si="12"/>
        <v>内部装修</v>
      </c>
      <c r="AA36" s="1104">
        <f t="shared" si="3"/>
        <v>1</v>
      </c>
      <c r="AB36" s="1104">
        <f t="shared" si="4"/>
        <v>1</v>
      </c>
      <c r="AC36" s="1104">
        <f t="shared" si="5"/>
        <v>1</v>
      </c>
    </row>
    <row r="37" spans="1:29" ht="15">
      <c r="A37" s="972"/>
      <c r="B37" s="918" t="s">
        <v>1468</v>
      </c>
      <c r="C37" s="955"/>
      <c r="D37" s="930">
        <v>100</v>
      </c>
      <c r="E37" s="955"/>
      <c r="F37" s="1293">
        <f>SUMIF(106:106,E37,107:107)-SUMIF(106:106,C37,107:107)+100</f>
        <v>100</v>
      </c>
      <c r="G37" s="955"/>
      <c r="H37" s="930">
        <f>SUMIF(106:106,G37,107:107)-SUMIF(106:106,C37,107:107)+100</f>
        <v>100</v>
      </c>
      <c r="I37" s="955"/>
      <c r="J37" s="930">
        <f>SUMIF(106:106,I37,107:107)-SUMIF(106:106,C37,107:107)+100</f>
        <v>100</v>
      </c>
      <c r="K37" s="1063"/>
      <c r="L37" s="1419"/>
      <c r="M37" s="1410"/>
      <c r="N37" s="1410"/>
      <c r="O37" s="1418"/>
      <c r="P37" s="3296"/>
      <c r="Q37" s="656" t="str">
        <f t="shared" si="8"/>
        <v>内部装修状况</v>
      </c>
      <c r="R37" s="1093" t="s">
        <v>1367</v>
      </c>
      <c r="S37" s="1094">
        <f t="shared" si="9"/>
        <v>100</v>
      </c>
      <c r="T37" s="1093" t="s">
        <v>1367</v>
      </c>
      <c r="U37" s="1094">
        <f t="shared" si="10"/>
        <v>100</v>
      </c>
      <c r="V37" s="1093" t="s">
        <v>1367</v>
      </c>
      <c r="W37" s="1094">
        <f t="shared" si="11"/>
        <v>100</v>
      </c>
      <c r="X37" s="1087"/>
      <c r="Y37" s="3296"/>
      <c r="Z37" s="1077" t="str">
        <f t="shared" si="12"/>
        <v>内部装修状况</v>
      </c>
      <c r="AA37" s="1104">
        <f t="shared" si="3"/>
        <v>1</v>
      </c>
      <c r="AB37" s="1104">
        <f t="shared" si="4"/>
        <v>1</v>
      </c>
      <c r="AC37" s="1104">
        <f t="shared" si="5"/>
        <v>1</v>
      </c>
    </row>
    <row r="38" spans="1:29" s="882" customFormat="1" ht="15">
      <c r="A38" s="977"/>
      <c r="B38" s="1241">
        <v>111</v>
      </c>
      <c r="C38" s="1287"/>
      <c r="D38" s="930">
        <v>100</v>
      </c>
      <c r="E38" s="929"/>
      <c r="F38" s="1293">
        <f>SUMIF(108:108,E38,109:109)-SUMIF(108:108,C38,109:109)+100</f>
        <v>100</v>
      </c>
      <c r="G38" s="1287"/>
      <c r="H38" s="930">
        <f>SUMIF(108:108,G38,109:109)-SUMIF(108:108,C38,109:109)+100</f>
        <v>100</v>
      </c>
      <c r="I38" s="1287"/>
      <c r="J38" s="930">
        <f>SUMIF(108:108,I38,109:1038)-SUMIF(108:108,C38,109:109)+100</f>
        <v>100</v>
      </c>
      <c r="K38" s="1062"/>
      <c r="L38" s="1417"/>
      <c r="M38" s="1420"/>
      <c r="N38" s="1420"/>
      <c r="O38" s="1421"/>
      <c r="P38" s="3296"/>
      <c r="Q38" s="1332">
        <f t="shared" si="8"/>
        <v>111</v>
      </c>
      <c r="R38" s="1095" t="s">
        <v>1367</v>
      </c>
      <c r="S38" s="1096">
        <f t="shared" si="9"/>
        <v>100</v>
      </c>
      <c r="T38" s="1095" t="s">
        <v>1367</v>
      </c>
      <c r="U38" s="1096">
        <f t="shared" si="10"/>
        <v>100</v>
      </c>
      <c r="V38" s="1095" t="s">
        <v>1367</v>
      </c>
      <c r="W38" s="1096">
        <f t="shared" si="11"/>
        <v>100</v>
      </c>
      <c r="X38" s="1097"/>
      <c r="Y38" s="3296"/>
      <c r="Z38" s="1105">
        <f t="shared" si="12"/>
        <v>111</v>
      </c>
      <c r="AA38" s="1104">
        <f t="shared" si="3"/>
        <v>1</v>
      </c>
      <c r="AB38" s="1104">
        <f t="shared" si="4"/>
        <v>1</v>
      </c>
      <c r="AC38" s="1104">
        <f t="shared" si="5"/>
        <v>1</v>
      </c>
    </row>
    <row r="39" spans="1:29" ht="15">
      <c r="A39" s="972"/>
      <c r="B39" s="1241">
        <v>111</v>
      </c>
      <c r="C39" s="1287"/>
      <c r="D39" s="930">
        <v>100</v>
      </c>
      <c r="E39" s="929"/>
      <c r="F39" s="1293">
        <f>SUMIF(110:110,E39,111:111)-SUMIF(110:110,C39,111:111)+100</f>
        <v>100</v>
      </c>
      <c r="G39" s="1287"/>
      <c r="H39" s="930">
        <f>SUMIF(110:110,G39,111:111)-SUMIF(110:110,C39,111:111)+100</f>
        <v>100</v>
      </c>
      <c r="I39" s="1287"/>
      <c r="J39" s="930">
        <f>SUMIF(110:110,I39,111:111)-SUMIF(110:110,C39,111:111)+100</f>
        <v>100</v>
      </c>
      <c r="K39" s="1062"/>
      <c r="L39" s="1419"/>
      <c r="M39" s="1410"/>
      <c r="N39" s="1410"/>
      <c r="O39" s="1418"/>
      <c r="P39" s="3296"/>
      <c r="Q39" s="656">
        <f t="shared" si="8"/>
        <v>111</v>
      </c>
      <c r="R39" s="1093" t="s">
        <v>1367</v>
      </c>
      <c r="S39" s="1094">
        <f t="shared" si="9"/>
        <v>100</v>
      </c>
      <c r="T39" s="1093" t="s">
        <v>1367</v>
      </c>
      <c r="U39" s="1094">
        <f t="shared" si="10"/>
        <v>100</v>
      </c>
      <c r="V39" s="1093" t="s">
        <v>1367</v>
      </c>
      <c r="W39" s="1094">
        <f t="shared" si="11"/>
        <v>100</v>
      </c>
      <c r="X39" s="1087"/>
      <c r="Y39" s="3296"/>
      <c r="Z39" s="1077">
        <f t="shared" si="12"/>
        <v>111</v>
      </c>
      <c r="AA39" s="1104">
        <f t="shared" si="3"/>
        <v>1</v>
      </c>
      <c r="AB39" s="1104">
        <f t="shared" si="4"/>
        <v>1</v>
      </c>
      <c r="AC39" s="1104">
        <f t="shared" si="5"/>
        <v>1</v>
      </c>
    </row>
    <row r="40" spans="1:29" ht="15">
      <c r="A40" s="1305"/>
      <c r="B40" s="932">
        <v>111</v>
      </c>
      <c r="C40" s="933"/>
      <c r="D40" s="934">
        <v>100</v>
      </c>
      <c r="E40" s="929"/>
      <c r="F40" s="1306">
        <f>SUMIF(112:112,E40,113:113)-SUMIF(112:112,C40,113:113)+100</f>
        <v>100</v>
      </c>
      <c r="G40" s="1287"/>
      <c r="H40" s="934">
        <f>SUMIF(112:112,G40,113:113)-SUMIF(112:112,C40,113:113)+100</f>
        <v>100</v>
      </c>
      <c r="I40" s="1287"/>
      <c r="J40" s="934">
        <f>SUMIF(112:112,I40,113:113)-SUMIF(112:112,C40,113:113)+100</f>
        <v>100</v>
      </c>
      <c r="K40" s="1062"/>
      <c r="L40" s="1419"/>
      <c r="M40" s="1410"/>
      <c r="N40" s="1410"/>
      <c r="O40" s="1418"/>
      <c r="P40" s="3320"/>
      <c r="Q40" s="656">
        <f t="shared" si="8"/>
        <v>111</v>
      </c>
      <c r="R40" s="1093" t="s">
        <v>1367</v>
      </c>
      <c r="S40" s="1094">
        <f t="shared" si="9"/>
        <v>100</v>
      </c>
      <c r="T40" s="1093" t="s">
        <v>1367</v>
      </c>
      <c r="U40" s="1094">
        <f t="shared" si="10"/>
        <v>100</v>
      </c>
      <c r="V40" s="1093" t="s">
        <v>1367</v>
      </c>
      <c r="W40" s="1094">
        <f t="shared" si="11"/>
        <v>100</v>
      </c>
      <c r="X40" s="1087"/>
      <c r="Y40" s="3320"/>
      <c r="Z40" s="1077">
        <f t="shared" si="12"/>
        <v>111</v>
      </c>
      <c r="AA40" s="1104">
        <f t="shared" si="3"/>
        <v>1</v>
      </c>
      <c r="AB40" s="1104">
        <f t="shared" si="4"/>
        <v>1</v>
      </c>
      <c r="AC40" s="1104">
        <f t="shared" si="5"/>
        <v>1</v>
      </c>
    </row>
    <row r="41" spans="1:29" ht="15">
      <c r="A41" s="979" t="s">
        <v>1399</v>
      </c>
      <c r="B41" s="1307"/>
      <c r="C41" s="1308" t="s">
        <v>124</v>
      </c>
      <c r="D41" s="1309"/>
      <c r="E41" s="1310"/>
      <c r="F41" s="1311"/>
      <c r="G41" s="1312"/>
      <c r="H41" s="1313"/>
      <c r="I41" s="1310"/>
      <c r="J41" s="1313"/>
      <c r="K41" s="1068"/>
      <c r="L41" s="1422"/>
      <c r="M41" s="1028"/>
      <c r="N41" s="1410"/>
      <c r="O41" s="1028"/>
      <c r="P41" s="3276" t="str">
        <f>A41</f>
        <v>成交单价（元/平方米）</v>
      </c>
      <c r="Q41" s="3276"/>
      <c r="R41" s="3313">
        <f>E41</f>
        <v>0</v>
      </c>
      <c r="S41" s="3313"/>
      <c r="T41" s="3313">
        <f>G41</f>
        <v>0</v>
      </c>
      <c r="U41" s="3313"/>
      <c r="V41" s="3313">
        <f>I41</f>
        <v>0</v>
      </c>
      <c r="W41" s="3313"/>
      <c r="X41" s="1033"/>
      <c r="Y41" s="1106"/>
      <c r="Z41" s="1033"/>
      <c r="AA41" s="1033"/>
      <c r="AB41" s="1033"/>
      <c r="AC41" s="1033"/>
    </row>
    <row r="42" spans="1:29" ht="15">
      <c r="A42" s="987" t="s">
        <v>1400</v>
      </c>
      <c r="B42" s="1314"/>
      <c r="C42" s="1315" t="e">
        <f>R43</f>
        <v>#DIV/0!</v>
      </c>
      <c r="D42" s="990" t="s">
        <v>1401</v>
      </c>
      <c r="E42" s="1316" t="e">
        <f>R42</f>
        <v>#DIV/0!</v>
      </c>
      <c r="F42" s="991"/>
      <c r="G42" s="1315" t="e">
        <f>T42</f>
        <v>#DIV/0!</v>
      </c>
      <c r="H42" s="991"/>
      <c r="I42" s="1316" t="e">
        <f>V42</f>
        <v>#DIV/0!</v>
      </c>
      <c r="J42" s="991"/>
      <c r="K42" s="1070">
        <f>F42+H42+J42</f>
        <v>0</v>
      </c>
      <c r="L42" s="1422"/>
      <c r="M42" s="1028"/>
      <c r="N42" s="1410"/>
      <c r="O42" s="1028"/>
      <c r="P42" s="3276" t="str">
        <f>A42</f>
        <v>比较价值（元/平方米）</v>
      </c>
      <c r="Q42" s="3276"/>
      <c r="R42" s="3313" t="e">
        <f>IF(F1="售价",ROUND(PRODUCT(R41,AA7:AA40),0),ROUND(PRODUCT(R41,AA7:AA40),1))</f>
        <v>#DIV/0!</v>
      </c>
      <c r="S42" s="3313"/>
      <c r="T42" s="3313" t="e">
        <f>IF(F1="售价",ROUND(PRODUCT(T41,AB7:AB40),0),ROUND(PRODUCT(T41,AB7:AB40),1))</f>
        <v>#DIV/0!</v>
      </c>
      <c r="U42" s="3313"/>
      <c r="V42" s="3313" t="e">
        <f>IF(F1="售价",ROUND(PRODUCT(V41,AC7:AC40),0),ROUND(PRODUCT(V41,AC7:AC40),1))</f>
        <v>#DIV/0!</v>
      </c>
      <c r="W42" s="3313"/>
      <c r="X42" s="1033"/>
      <c r="Y42" s="1033"/>
      <c r="Z42" s="1033"/>
      <c r="AA42" s="1033"/>
      <c r="AB42" s="1033"/>
      <c r="AC42" s="1033"/>
    </row>
    <row r="43" spans="1:29" ht="15">
      <c r="A43" s="993" t="s">
        <v>1402</v>
      </c>
      <c r="B43" s="994"/>
      <c r="C43" s="1317" t="e">
        <f>R43</f>
        <v>#DIV/0!</v>
      </c>
      <c r="D43" s="1317"/>
      <c r="E43" s="1317"/>
      <c r="F43" s="1317"/>
      <c r="G43" s="1317"/>
      <c r="H43" s="1317"/>
      <c r="I43" s="1317"/>
      <c r="J43" s="1317"/>
      <c r="K43" s="1071"/>
      <c r="L43" s="1422"/>
      <c r="M43" s="1028"/>
      <c r="N43" s="1028"/>
      <c r="O43" s="1028"/>
      <c r="P43" s="3298" t="str">
        <f>A43</f>
        <v>估价对象XX用房的比较价值（楼面单价，元/平方米）</v>
      </c>
      <c r="Q43" s="3299"/>
      <c r="R43" s="3314" t="e">
        <f>IF(F1="售价",ROUND(IF(D42="简单平均",AVERAGE(R42:V42),R42*F42+T42*H42+V42*J42),0),ROUND(IF(D42="简单平均",AVERAGE(R42:V42),R42*F42+T42*H42+V42*J42),1))</f>
        <v>#DIV/0!</v>
      </c>
      <c r="S43" s="3314"/>
      <c r="T43" s="3314"/>
      <c r="U43" s="3314"/>
      <c r="V43" s="3314"/>
      <c r="W43" s="3314"/>
      <c r="X43" s="1033"/>
      <c r="Y43" s="1033"/>
      <c r="Z43" s="1033"/>
      <c r="AA43" s="1033"/>
      <c r="AB43" s="1033"/>
      <c r="AC43" s="1033"/>
    </row>
    <row r="44" spans="1:29">
      <c r="A44" s="996"/>
      <c r="B44" s="996"/>
      <c r="C44" s="996"/>
      <c r="D44" s="996"/>
      <c r="E44" s="996"/>
      <c r="F44" s="996"/>
      <c r="G44" s="997"/>
      <c r="H44" s="996"/>
      <c r="I44" s="996"/>
      <c r="J44" s="996"/>
      <c r="K44" s="1073"/>
      <c r="L44" s="1082"/>
      <c r="M44" s="1028"/>
      <c r="N44" s="1028"/>
      <c r="O44" s="1028"/>
    </row>
    <row r="45" spans="1:29">
      <c r="A45" s="996"/>
      <c r="B45" s="996"/>
      <c r="C45" s="996"/>
      <c r="D45" s="996"/>
      <c r="E45" s="996"/>
      <c r="F45" s="996"/>
      <c r="G45" s="996"/>
      <c r="H45" s="996"/>
      <c r="I45" s="996"/>
      <c r="J45" s="996"/>
      <c r="K45" s="1073"/>
      <c r="L45" s="1082"/>
      <c r="M45" s="1028"/>
      <c r="N45" s="1028"/>
      <c r="O45" s="1028"/>
    </row>
    <row r="46" spans="1:29" ht="13.5" customHeight="1">
      <c r="A46" s="996"/>
      <c r="B46" s="996"/>
      <c r="C46" s="998" t="s">
        <v>1403</v>
      </c>
      <c r="D46" s="698"/>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3"/>
      <c r="L46" s="1082"/>
      <c r="M46" s="1028"/>
      <c r="N46" s="1028"/>
      <c r="O46" s="1028"/>
    </row>
    <row r="47" spans="1:29" ht="13.5" customHeight="1">
      <c r="A47" s="996"/>
      <c r="B47" s="996"/>
      <c r="C47" s="998" t="s">
        <v>1404</v>
      </c>
      <c r="D47" s="697"/>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3"/>
      <c r="L47" s="1082"/>
      <c r="M47" s="1028"/>
      <c r="N47" s="1028"/>
      <c r="O47" s="1028"/>
    </row>
    <row r="48" spans="1:29" s="883" customFormat="1" ht="13.5" customHeight="1">
      <c r="A48" s="1001"/>
      <c r="B48" s="1001"/>
      <c r="C48" s="998" t="s">
        <v>1405</v>
      </c>
      <c r="D48" s="697"/>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5"/>
      <c r="L48" s="1423"/>
      <c r="M48" s="1424"/>
      <c r="N48" s="1424"/>
      <c r="O48" s="1424"/>
    </row>
    <row r="49" spans="1:17" s="883" customFormat="1">
      <c r="A49" s="1001"/>
      <c r="B49" s="1002"/>
      <c r="C49" s="1318"/>
      <c r="D49" s="1001"/>
      <c r="E49" s="1001"/>
      <c r="F49" s="1001"/>
      <c r="G49" s="1001"/>
      <c r="H49" s="1001"/>
      <c r="I49" s="1001"/>
      <c r="J49" s="1001"/>
      <c r="K49" s="1075"/>
      <c r="L49" s="1423"/>
      <c r="M49" s="1424"/>
      <c r="N49" s="1424"/>
      <c r="O49" s="1424"/>
    </row>
    <row r="50" spans="1:17">
      <c r="A50" s="996"/>
      <c r="B50" s="1002"/>
      <c r="C50" s="1318"/>
      <c r="D50" s="996"/>
      <c r="E50" s="996"/>
      <c r="F50" s="996"/>
      <c r="G50" s="996"/>
      <c r="H50" s="996"/>
      <c r="I50" s="996"/>
      <c r="J50" s="996"/>
      <c r="K50" s="1073"/>
      <c r="L50" s="1082"/>
      <c r="M50" s="1028"/>
      <c r="N50" s="1028"/>
      <c r="O50" s="1028"/>
    </row>
    <row r="51" spans="1:17" ht="21">
      <c r="A51" s="1032" t="s">
        <v>1406</v>
      </c>
      <c r="B51" s="1033"/>
      <c r="C51" s="1034"/>
      <c r="D51" s="1034"/>
      <c r="E51" s="1034"/>
      <c r="F51" s="1035"/>
      <c r="G51" s="1035"/>
      <c r="H51" s="1034"/>
      <c r="I51" s="1034"/>
      <c r="J51" s="1034"/>
      <c r="K51" s="1264"/>
      <c r="L51" s="1265"/>
      <c r="M51" s="1085"/>
      <c r="N51" s="1085"/>
      <c r="O51" s="1085"/>
      <c r="P51" s="1425"/>
      <c r="Q51" s="1427"/>
    </row>
    <row r="52" spans="1:17" s="885" customFormat="1" ht="15">
      <c r="A52" s="1319" t="s">
        <v>1365</v>
      </c>
      <c r="B52" s="1320"/>
      <c r="C52" s="1321" t="str">
        <f>YEAR(C7)&amp;"-"&amp;MONTH(C7)</f>
        <v>2021-4</v>
      </c>
      <c r="D52" s="1322">
        <f>EDATE(C52,-1)</f>
        <v>44256</v>
      </c>
      <c r="E52" s="1322">
        <f t="shared" ref="E52:O52" si="13">EDATE(D52,-1)</f>
        <v>44228</v>
      </c>
      <c r="F52" s="1322">
        <f t="shared" si="13"/>
        <v>44197</v>
      </c>
      <c r="G52" s="1322">
        <f t="shared" si="13"/>
        <v>44166</v>
      </c>
      <c r="H52" s="1322">
        <f t="shared" si="13"/>
        <v>44136</v>
      </c>
      <c r="I52" s="1322">
        <f t="shared" si="13"/>
        <v>44105</v>
      </c>
      <c r="J52" s="1322">
        <f t="shared" si="13"/>
        <v>44075</v>
      </c>
      <c r="K52" s="1322">
        <f t="shared" si="13"/>
        <v>44044</v>
      </c>
      <c r="L52" s="1322">
        <f t="shared" si="13"/>
        <v>44013</v>
      </c>
      <c r="M52" s="1322">
        <f t="shared" si="13"/>
        <v>43983</v>
      </c>
      <c r="N52" s="1322">
        <f t="shared" si="13"/>
        <v>43952</v>
      </c>
      <c r="O52" s="1322">
        <f t="shared" si="13"/>
        <v>43922</v>
      </c>
      <c r="P52" s="1426"/>
    </row>
    <row r="53" spans="1:17" s="880" customFormat="1" ht="15">
      <c r="A53" s="1323"/>
      <c r="B53" s="1118"/>
      <c r="C53" s="1324">
        <v>100</v>
      </c>
      <c r="D53" s="1122"/>
      <c r="E53" s="1122"/>
      <c r="F53" s="1122"/>
      <c r="G53" s="1122"/>
      <c r="H53" s="1122"/>
      <c r="I53" s="1122"/>
      <c r="J53" s="1122"/>
      <c r="K53" s="1122"/>
      <c r="L53" s="1122"/>
      <c r="M53" s="1331"/>
      <c r="N53" s="1122"/>
      <c r="O53" s="1170"/>
      <c r="P53" s="1427"/>
    </row>
    <row r="54" spans="1:17" s="880" customFormat="1" ht="15">
      <c r="A54" s="1113" t="s">
        <v>1407</v>
      </c>
      <c r="B54" s="1114"/>
      <c r="C54" s="1115"/>
      <c r="D54" s="1116"/>
      <c r="E54" s="1116"/>
      <c r="F54" s="1116"/>
      <c r="G54" s="1116"/>
      <c r="H54" s="1116"/>
      <c r="I54" s="1116"/>
      <c r="J54" s="1116"/>
      <c r="K54" s="1116"/>
      <c r="L54" s="1116"/>
      <c r="M54" s="1164"/>
      <c r="N54" s="1428"/>
      <c r="O54" s="1429"/>
      <c r="P54" s="1427"/>
      <c r="Q54" s="1427"/>
    </row>
    <row r="55" spans="1:17" s="880" customFormat="1" ht="15">
      <c r="A55" s="1117" t="s">
        <v>1368</v>
      </c>
      <c r="B55" s="1118"/>
      <c r="C55" s="1119" t="s">
        <v>1369</v>
      </c>
      <c r="D55" s="1120"/>
      <c r="E55" s="1120"/>
      <c r="F55" s="1120"/>
      <c r="G55" s="1120"/>
      <c r="H55" s="1120"/>
      <c r="I55" s="1120"/>
      <c r="J55" s="1120"/>
      <c r="K55" s="1120"/>
      <c r="L55" s="1166"/>
      <c r="M55" s="1167"/>
      <c r="N55" s="1430"/>
      <c r="O55" s="1430"/>
      <c r="P55" s="1431"/>
      <c r="Q55" s="1427"/>
    </row>
    <row r="56" spans="1:17" s="880" customFormat="1" ht="15">
      <c r="A56" s="1117"/>
      <c r="B56" s="1118"/>
      <c r="C56" s="1121">
        <v>100</v>
      </c>
      <c r="D56" s="1122"/>
      <c r="E56" s="1122"/>
      <c r="F56" s="1122"/>
      <c r="G56" s="1122"/>
      <c r="H56" s="1122"/>
      <c r="I56" s="1122"/>
      <c r="J56" s="1122"/>
      <c r="K56" s="1122"/>
      <c r="L56" s="1122"/>
      <c r="M56" s="1170"/>
      <c r="N56" s="1430"/>
      <c r="O56" s="1430"/>
      <c r="P56" s="1427"/>
      <c r="Q56" s="1427"/>
    </row>
    <row r="57" spans="1:17">
      <c r="A57" s="1123" t="s">
        <v>1408</v>
      </c>
      <c r="B57" s="1124" t="s">
        <v>1372</v>
      </c>
      <c r="C57" s="1146">
        <f>C9</f>
        <v>0</v>
      </c>
      <c r="D57" s="1066"/>
      <c r="E57" s="1066"/>
      <c r="F57" s="1066"/>
      <c r="G57" s="1066"/>
      <c r="H57" s="1066"/>
      <c r="I57" s="1066"/>
      <c r="J57" s="1066"/>
      <c r="K57" s="1171"/>
      <c r="L57" s="1172"/>
      <c r="M57" s="1173"/>
      <c r="N57" s="1432"/>
      <c r="O57" s="1432"/>
      <c r="P57" s="1433"/>
      <c r="Q57" s="1427"/>
    </row>
    <row r="58" spans="1:17" ht="15">
      <c r="A58" s="1125"/>
      <c r="B58" s="1126"/>
      <c r="C58" s="1127">
        <v>100</v>
      </c>
      <c r="D58" s="1127"/>
      <c r="E58" s="1127"/>
      <c r="F58" s="1127"/>
      <c r="G58" s="1127"/>
      <c r="H58" s="1127"/>
      <c r="I58" s="1127"/>
      <c r="J58" s="1127"/>
      <c r="K58" s="1127"/>
      <c r="L58" s="1127"/>
      <c r="M58" s="1176"/>
      <c r="N58" s="1434"/>
      <c r="O58" s="1434"/>
      <c r="P58" s="1433"/>
      <c r="Q58" s="1427"/>
    </row>
    <row r="59" spans="1:17" ht="27">
      <c r="A59" s="1125"/>
      <c r="B59" s="1128" t="s">
        <v>1375</v>
      </c>
      <c r="C59" s="1129" t="s">
        <v>1409</v>
      </c>
      <c r="D59" s="1129" t="s">
        <v>1410</v>
      </c>
      <c r="E59" s="1129" t="s">
        <v>1411</v>
      </c>
      <c r="F59" s="1129" t="s">
        <v>1412</v>
      </c>
      <c r="G59" s="1129" t="s">
        <v>1413</v>
      </c>
      <c r="H59" s="1129" t="s">
        <v>1414</v>
      </c>
      <c r="I59" s="1129" t="s">
        <v>1415</v>
      </c>
      <c r="J59" s="1129"/>
      <c r="K59" s="1178"/>
      <c r="L59" s="1179"/>
      <c r="M59" s="1180"/>
      <c r="N59" s="1432"/>
      <c r="O59" s="1432"/>
      <c r="P59" s="1433"/>
      <c r="Q59" s="1427"/>
    </row>
    <row r="60" spans="1:17" ht="15">
      <c r="A60" s="1125"/>
      <c r="B60" s="1130"/>
      <c r="C60" s="1131" t="s">
        <v>1457</v>
      </c>
      <c r="D60" s="1131" t="s">
        <v>1457</v>
      </c>
      <c r="E60" s="1131">
        <v>100</v>
      </c>
      <c r="F60" s="1131">
        <f>E60-$K10</f>
        <v>100</v>
      </c>
      <c r="G60" s="1131">
        <f>F60-$K10</f>
        <v>100</v>
      </c>
      <c r="H60" s="1131">
        <f>G60-$K10</f>
        <v>100</v>
      </c>
      <c r="I60" s="1131">
        <f>H60-$K10</f>
        <v>100</v>
      </c>
      <c r="J60" s="1131"/>
      <c r="K60" s="1131"/>
      <c r="L60" s="1131"/>
      <c r="M60" s="1181"/>
      <c r="N60" s="1434"/>
      <c r="O60" s="1434"/>
      <c r="P60" s="1433"/>
      <c r="Q60" s="1427"/>
    </row>
    <row r="61" spans="1:17" ht="15">
      <c r="A61" s="1125"/>
      <c r="B61" s="1132" t="s">
        <v>1376</v>
      </c>
      <c r="C61" s="1133" t="str">
        <f>C62&amp;"（含）"&amp;"-"&amp;D62</f>
        <v>（含）-</v>
      </c>
      <c r="D61" s="1133" t="str">
        <f t="shared" ref="D61:L61" si="14">D62&amp;"（含）"&amp;"-"&amp;E62</f>
        <v>（含）-</v>
      </c>
      <c r="E61" s="1133" t="str">
        <f t="shared" si="14"/>
        <v>（含）-</v>
      </c>
      <c r="F61" s="1133" t="str">
        <f t="shared" si="14"/>
        <v>（含）-</v>
      </c>
      <c r="G61" s="1133" t="str">
        <f t="shared" si="14"/>
        <v>（含）-</v>
      </c>
      <c r="H61" s="1133" t="str">
        <f t="shared" si="14"/>
        <v>（含）-</v>
      </c>
      <c r="I61" s="1133" t="str">
        <f t="shared" si="14"/>
        <v>（含）-</v>
      </c>
      <c r="J61" s="1133" t="str">
        <f t="shared" si="14"/>
        <v>（含）-</v>
      </c>
      <c r="K61" s="1133" t="str">
        <f t="shared" si="14"/>
        <v>（含）-</v>
      </c>
      <c r="L61" s="1133" t="str">
        <f t="shared" si="14"/>
        <v>（含）-</v>
      </c>
      <c r="M61" s="942" t="str">
        <f>M62&amp;"（含）"&amp;"-"&amp;P62</f>
        <v>（含）-</v>
      </c>
      <c r="N61" s="1434"/>
      <c r="O61" s="1434"/>
      <c r="P61" s="1433"/>
      <c r="Q61" s="1427"/>
    </row>
    <row r="62" spans="1:17" ht="15">
      <c r="A62" s="1125"/>
      <c r="B62" s="1134"/>
      <c r="C62" s="927"/>
      <c r="D62" s="927"/>
      <c r="E62" s="927"/>
      <c r="F62" s="927"/>
      <c r="G62" s="927"/>
      <c r="H62" s="927"/>
      <c r="I62" s="927"/>
      <c r="J62" s="927"/>
      <c r="K62" s="1182"/>
      <c r="L62" s="1183"/>
      <c r="M62" s="1184"/>
      <c r="N62" s="1432"/>
      <c r="O62" s="1432"/>
      <c r="P62" s="1433"/>
      <c r="Q62" s="1427"/>
    </row>
    <row r="63" spans="1:17" ht="15">
      <c r="A63" s="1125"/>
      <c r="B63" s="1126"/>
      <c r="C63" s="1131">
        <v>100</v>
      </c>
      <c r="D63" s="1131">
        <f t="shared" ref="D63:M63" si="15">C63-$K11</f>
        <v>100</v>
      </c>
      <c r="E63" s="1131">
        <f t="shared" si="15"/>
        <v>100</v>
      </c>
      <c r="F63" s="1131">
        <f t="shared" si="15"/>
        <v>100</v>
      </c>
      <c r="G63" s="1131">
        <f t="shared" si="15"/>
        <v>100</v>
      </c>
      <c r="H63" s="1131">
        <f t="shared" si="15"/>
        <v>100</v>
      </c>
      <c r="I63" s="1131">
        <f t="shared" si="15"/>
        <v>100</v>
      </c>
      <c r="J63" s="1131">
        <f t="shared" si="15"/>
        <v>100</v>
      </c>
      <c r="K63" s="1131">
        <f t="shared" si="15"/>
        <v>100</v>
      </c>
      <c r="L63" s="1131">
        <f t="shared" si="15"/>
        <v>100</v>
      </c>
      <c r="M63" s="1181">
        <f t="shared" si="15"/>
        <v>100</v>
      </c>
      <c r="N63" s="1434"/>
      <c r="O63" s="1434"/>
      <c r="P63" s="1433"/>
      <c r="Q63" s="1427"/>
    </row>
    <row r="64" spans="1:17" s="882" customFormat="1" ht="15">
      <c r="A64" s="1135"/>
      <c r="B64" s="1128">
        <f>B12</f>
        <v>111</v>
      </c>
      <c r="C64" s="1136"/>
      <c r="D64" s="1136"/>
      <c r="E64" s="1136"/>
      <c r="F64" s="1136"/>
      <c r="G64" s="1136"/>
      <c r="H64" s="1137"/>
      <c r="I64" s="1137"/>
      <c r="J64" s="1137"/>
      <c r="K64" s="1137"/>
      <c r="L64" s="1185"/>
      <c r="M64" s="1186"/>
      <c r="N64" s="1435"/>
      <c r="O64" s="1435"/>
      <c r="P64" s="1436"/>
      <c r="Q64" s="1437"/>
    </row>
    <row r="65" spans="1:17" s="882" customFormat="1" ht="15">
      <c r="A65" s="1135"/>
      <c r="B65" s="1130"/>
      <c r="C65" s="1138"/>
      <c r="D65" s="1127"/>
      <c r="E65" s="1127"/>
      <c r="F65" s="1127"/>
      <c r="G65" s="1127"/>
      <c r="H65" s="1127"/>
      <c r="I65" s="1127"/>
      <c r="J65" s="1127"/>
      <c r="K65" s="1127"/>
      <c r="L65" s="1127"/>
      <c r="M65" s="1176"/>
      <c r="N65" s="1434"/>
      <c r="O65" s="1434"/>
      <c r="P65" s="1436"/>
      <c r="Q65" s="1437"/>
    </row>
    <row r="66" spans="1:17" s="882" customFormat="1" ht="15">
      <c r="A66" s="1135"/>
      <c r="B66" s="1128">
        <f>B13</f>
        <v>111</v>
      </c>
      <c r="C66" s="1136"/>
      <c r="D66" s="1136"/>
      <c r="E66" s="1136"/>
      <c r="F66" s="1136"/>
      <c r="G66" s="1136"/>
      <c r="H66" s="1137"/>
      <c r="I66" s="1137"/>
      <c r="J66" s="1137"/>
      <c r="K66" s="1137"/>
      <c r="L66" s="1185"/>
      <c r="M66" s="1186"/>
      <c r="N66" s="1435"/>
      <c r="O66" s="1435"/>
      <c r="P66" s="1439"/>
      <c r="Q66" s="1443"/>
    </row>
    <row r="67" spans="1:17" s="882" customFormat="1" ht="15">
      <c r="A67" s="1135"/>
      <c r="B67" s="1130"/>
      <c r="C67" s="1138"/>
      <c r="D67" s="1127"/>
      <c r="E67" s="1127"/>
      <c r="F67" s="1127"/>
      <c r="G67" s="1138"/>
      <c r="H67" s="1139"/>
      <c r="I67" s="1139"/>
      <c r="J67" s="1139"/>
      <c r="K67" s="1139"/>
      <c r="L67" s="1139"/>
      <c r="M67" s="1189"/>
      <c r="N67" s="1435"/>
      <c r="O67" s="1435"/>
      <c r="P67" s="1436"/>
      <c r="Q67" s="1437"/>
    </row>
    <row r="68" spans="1:17" s="882" customFormat="1" ht="15">
      <c r="A68" s="1135"/>
      <c r="B68" s="1132">
        <f>B14</f>
        <v>111</v>
      </c>
      <c r="C68" s="1120"/>
      <c r="D68" s="1120"/>
      <c r="E68" s="1120"/>
      <c r="F68" s="1120"/>
      <c r="G68" s="1120"/>
      <c r="H68" s="1140"/>
      <c r="I68" s="1140"/>
      <c r="J68" s="1140"/>
      <c r="K68" s="1140"/>
      <c r="L68" s="1190"/>
      <c r="M68" s="1191"/>
      <c r="N68" s="1435"/>
      <c r="O68" s="1435"/>
      <c r="P68" s="1440"/>
      <c r="Q68" s="1437"/>
    </row>
    <row r="69" spans="1:17" s="882" customFormat="1" ht="15">
      <c r="A69" s="1141"/>
      <c r="B69" s="1142"/>
      <c r="C69" s="1143"/>
      <c r="D69" s="1143"/>
      <c r="E69" s="1143"/>
      <c r="F69" s="1143"/>
      <c r="G69" s="1143"/>
      <c r="H69" s="1144"/>
      <c r="I69" s="1144"/>
      <c r="J69" s="1144"/>
      <c r="K69" s="1144"/>
      <c r="L69" s="1144"/>
      <c r="M69" s="1193"/>
      <c r="N69" s="1435"/>
      <c r="O69" s="1435"/>
      <c r="P69" s="1436"/>
      <c r="Q69" s="1437"/>
    </row>
    <row r="70" spans="1:17">
      <c r="A70" s="1123" t="s">
        <v>1377</v>
      </c>
      <c r="B70" s="1124" t="s">
        <v>1467</v>
      </c>
      <c r="C70" s="1145" t="s">
        <v>1416</v>
      </c>
      <c r="D70" s="1145" t="s">
        <v>1417</v>
      </c>
      <c r="E70" s="1145" t="s">
        <v>1418</v>
      </c>
      <c r="F70" s="1145" t="s">
        <v>1419</v>
      </c>
      <c r="G70" s="1145" t="s">
        <v>1420</v>
      </c>
      <c r="H70" s="1146"/>
      <c r="I70" s="1146"/>
      <c r="J70" s="1146"/>
      <c r="K70" s="1194"/>
      <c r="L70" s="1195"/>
      <c r="M70" s="1196"/>
      <c r="N70" s="1432"/>
      <c r="O70" s="1432"/>
      <c r="P70" s="1441"/>
      <c r="Q70" s="1427"/>
    </row>
    <row r="71" spans="1:17" ht="15">
      <c r="A71" s="1125"/>
      <c r="B71" s="1130"/>
      <c r="C71" s="1131">
        <v>100</v>
      </c>
      <c r="D71" s="1131">
        <f>C71-$K15</f>
        <v>100</v>
      </c>
      <c r="E71" s="1131">
        <f>D71-$K15</f>
        <v>100</v>
      </c>
      <c r="F71" s="1131">
        <f>E71-$K15</f>
        <v>100</v>
      </c>
      <c r="G71" s="1131">
        <f>F71-$K15</f>
        <v>100</v>
      </c>
      <c r="H71" s="1131"/>
      <c r="I71" s="1131"/>
      <c r="J71" s="1131"/>
      <c r="K71" s="1131"/>
      <c r="L71" s="1131"/>
      <c r="M71" s="1181"/>
      <c r="N71" s="1434"/>
      <c r="O71" s="1434"/>
      <c r="P71" s="1433"/>
      <c r="Q71" s="1427"/>
    </row>
    <row r="72" spans="1:17" ht="15">
      <c r="A72" s="1125"/>
      <c r="B72" s="1128" t="s">
        <v>1380</v>
      </c>
      <c r="C72" s="1147" t="s">
        <v>1416</v>
      </c>
      <c r="D72" s="1147" t="s">
        <v>1417</v>
      </c>
      <c r="E72" s="1147" t="s">
        <v>1418</v>
      </c>
      <c r="F72" s="1147" t="s">
        <v>1419</v>
      </c>
      <c r="G72" s="1147" t="s">
        <v>1420</v>
      </c>
      <c r="H72" s="1129"/>
      <c r="I72" s="1129"/>
      <c r="J72" s="1129"/>
      <c r="K72" s="1178"/>
      <c r="L72" s="1179"/>
      <c r="M72" s="1180"/>
      <c r="N72" s="1432"/>
      <c r="O72" s="1432"/>
      <c r="P72" s="1433"/>
      <c r="Q72" s="1427"/>
    </row>
    <row r="73" spans="1:17" ht="15">
      <c r="A73" s="1125"/>
      <c r="B73" s="1130"/>
      <c r="C73" s="1131">
        <v>100</v>
      </c>
      <c r="D73" s="1131">
        <f>C73-$K17</f>
        <v>100</v>
      </c>
      <c r="E73" s="1131">
        <f>D73-$K17</f>
        <v>100</v>
      </c>
      <c r="F73" s="1131">
        <f>E73-$K17</f>
        <v>100</v>
      </c>
      <c r="G73" s="1131">
        <f>F73-$K17</f>
        <v>100</v>
      </c>
      <c r="H73" s="1131"/>
      <c r="I73" s="1131"/>
      <c r="J73" s="1131"/>
      <c r="K73" s="1131"/>
      <c r="L73" s="1131"/>
      <c r="M73" s="1181"/>
      <c r="N73" s="1434"/>
      <c r="O73" s="1434"/>
      <c r="P73" s="1433"/>
      <c r="Q73" s="1427"/>
    </row>
    <row r="74" spans="1:17" ht="15">
      <c r="A74" s="1125"/>
      <c r="B74" s="1128" t="s">
        <v>1381</v>
      </c>
      <c r="C74" s="1147" t="s">
        <v>1416</v>
      </c>
      <c r="D74" s="1147" t="s">
        <v>1417</v>
      </c>
      <c r="E74" s="1147" t="s">
        <v>1418</v>
      </c>
      <c r="F74" s="1147" t="s">
        <v>1419</v>
      </c>
      <c r="G74" s="1147" t="s">
        <v>1420</v>
      </c>
      <c r="H74" s="1129"/>
      <c r="I74" s="1129"/>
      <c r="J74" s="1129"/>
      <c r="K74" s="1178"/>
      <c r="L74" s="1179"/>
      <c r="M74" s="1180"/>
      <c r="N74" s="1432"/>
      <c r="O74" s="1432"/>
      <c r="P74" s="1433"/>
      <c r="Q74" s="1427"/>
    </row>
    <row r="75" spans="1:17" ht="15">
      <c r="A75" s="1125"/>
      <c r="B75" s="1130"/>
      <c r="C75" s="1131">
        <v>100</v>
      </c>
      <c r="D75" s="1131">
        <f>C75-$K19</f>
        <v>100</v>
      </c>
      <c r="E75" s="1131">
        <f>D75-$K19</f>
        <v>100</v>
      </c>
      <c r="F75" s="1131">
        <f>E75-$K19</f>
        <v>100</v>
      </c>
      <c r="G75" s="1131">
        <f>F75-$K19</f>
        <v>100</v>
      </c>
      <c r="H75" s="1131"/>
      <c r="I75" s="1131"/>
      <c r="J75" s="1131"/>
      <c r="K75" s="1131"/>
      <c r="L75" s="1131"/>
      <c r="M75" s="1181"/>
      <c r="N75" s="1434"/>
      <c r="O75" s="1434"/>
      <c r="P75" s="1433"/>
      <c r="Q75" s="1427"/>
    </row>
    <row r="76" spans="1:17" ht="15">
      <c r="A76" s="1125"/>
      <c r="B76" s="1132" t="s">
        <v>1382</v>
      </c>
      <c r="C76" s="1152" t="s">
        <v>1421</v>
      </c>
      <c r="D76" s="1152" t="s">
        <v>1422</v>
      </c>
      <c r="E76" s="1152" t="s">
        <v>1423</v>
      </c>
      <c r="F76" s="1152" t="s">
        <v>1424</v>
      </c>
      <c r="G76" s="1152" t="s">
        <v>1425</v>
      </c>
      <c r="H76" s="1129"/>
      <c r="I76" s="1129"/>
      <c r="J76" s="1129"/>
      <c r="K76" s="1129"/>
      <c r="L76" s="1129"/>
      <c r="M76" s="1336"/>
      <c r="N76" s="1434"/>
      <c r="O76" s="1434"/>
      <c r="P76" s="1433"/>
      <c r="Q76" s="1427"/>
    </row>
    <row r="77" spans="1:17" ht="15">
      <c r="A77" s="1125"/>
      <c r="B77" s="1132"/>
      <c r="C77" s="1131">
        <v>100</v>
      </c>
      <c r="D77" s="1131">
        <f>C77-$K21</f>
        <v>100</v>
      </c>
      <c r="E77" s="1131">
        <f>D77-$K21</f>
        <v>100</v>
      </c>
      <c r="F77" s="1131">
        <f>E77-$K21</f>
        <v>100</v>
      </c>
      <c r="G77" s="1131">
        <f>F77-$K21</f>
        <v>100</v>
      </c>
      <c r="H77" s="1152"/>
      <c r="I77" s="1152"/>
      <c r="J77" s="1152"/>
      <c r="K77" s="1152"/>
      <c r="L77" s="1152"/>
      <c r="M77" s="944"/>
      <c r="N77" s="1434"/>
      <c r="O77" s="1434"/>
      <c r="P77" s="1433"/>
      <c r="Q77" s="1427"/>
    </row>
    <row r="78" spans="1:17" ht="15">
      <c r="A78" s="1125"/>
      <c r="B78" s="1128" t="s">
        <v>1461</v>
      </c>
      <c r="C78" s="1147" t="s">
        <v>1416</v>
      </c>
      <c r="D78" s="1147" t="s">
        <v>1417</v>
      </c>
      <c r="E78" s="1147" t="s">
        <v>1418</v>
      </c>
      <c r="F78" s="1147" t="s">
        <v>1419</v>
      </c>
      <c r="G78" s="1147" t="s">
        <v>1420</v>
      </c>
      <c r="H78" s="1129"/>
      <c r="I78" s="1129"/>
      <c r="J78" s="1129"/>
      <c r="K78" s="1178"/>
      <c r="L78" s="1179"/>
      <c r="M78" s="1180"/>
      <c r="N78" s="1432"/>
      <c r="O78" s="1432"/>
      <c r="P78" s="1433"/>
      <c r="Q78" s="1427"/>
    </row>
    <row r="79" spans="1:17" ht="15">
      <c r="A79" s="1125"/>
      <c r="B79" s="1130"/>
      <c r="C79" s="1131">
        <v>100</v>
      </c>
      <c r="D79" s="1131">
        <f>C79-$K23</f>
        <v>100</v>
      </c>
      <c r="E79" s="1131">
        <f>D79-$K23</f>
        <v>100</v>
      </c>
      <c r="F79" s="1131">
        <f>E79-$K23</f>
        <v>100</v>
      </c>
      <c r="G79" s="1131">
        <f>F79-$K23</f>
        <v>100</v>
      </c>
      <c r="H79" s="1131"/>
      <c r="I79" s="1131"/>
      <c r="J79" s="1131"/>
      <c r="K79" s="1131"/>
      <c r="L79" s="1131"/>
      <c r="M79" s="1181"/>
      <c r="N79" s="1434"/>
      <c r="O79" s="1434"/>
      <c r="P79" s="1433"/>
      <c r="Q79" s="1427"/>
    </row>
    <row r="80" spans="1:17" s="880" customFormat="1" ht="15">
      <c r="A80" s="1148"/>
      <c r="B80" s="1128">
        <f>B25</f>
        <v>111</v>
      </c>
      <c r="C80" s="1136"/>
      <c r="D80" s="1136"/>
      <c r="E80" s="1136"/>
      <c r="F80" s="1136"/>
      <c r="G80" s="1136"/>
      <c r="H80" s="1136"/>
      <c r="I80" s="1136"/>
      <c r="J80" s="1136"/>
      <c r="K80" s="1136"/>
      <c r="L80" s="1337"/>
      <c r="M80" s="1338"/>
      <c r="N80" s="1430"/>
      <c r="O80" s="1430"/>
      <c r="P80" s="1433"/>
      <c r="Q80" s="1427"/>
    </row>
    <row r="81" spans="1:17" s="880" customFormat="1" ht="15">
      <c r="A81" s="1148"/>
      <c r="B81" s="1130"/>
      <c r="C81" s="1138"/>
      <c r="D81" s="1127"/>
      <c r="E81" s="1127"/>
      <c r="F81" s="1127"/>
      <c r="G81" s="1127"/>
      <c r="H81" s="1127"/>
      <c r="I81" s="1127"/>
      <c r="J81" s="1127"/>
      <c r="K81" s="1127"/>
      <c r="L81" s="1127"/>
      <c r="M81" s="1176"/>
      <c r="N81" s="1434"/>
      <c r="O81" s="1434"/>
      <c r="P81" s="1433"/>
      <c r="Q81" s="1427"/>
    </row>
    <row r="82" spans="1:17" s="880" customFormat="1" ht="15">
      <c r="A82" s="1148"/>
      <c r="B82" s="1128">
        <f>B26</f>
        <v>111</v>
      </c>
      <c r="C82" s="1136"/>
      <c r="D82" s="1136"/>
      <c r="E82" s="1136"/>
      <c r="F82" s="1136"/>
      <c r="G82" s="1136"/>
      <c r="H82" s="1136"/>
      <c r="I82" s="1136"/>
      <c r="J82" s="1136"/>
      <c r="K82" s="1136"/>
      <c r="L82" s="1337"/>
      <c r="M82" s="1338"/>
      <c r="N82" s="1430"/>
      <c r="O82" s="1430"/>
      <c r="P82" s="1433"/>
      <c r="Q82" s="1427"/>
    </row>
    <row r="83" spans="1:17" s="880" customFormat="1" ht="15">
      <c r="A83" s="1148"/>
      <c r="B83" s="1130"/>
      <c r="C83" s="1138"/>
      <c r="D83" s="1127"/>
      <c r="E83" s="1127"/>
      <c r="F83" s="1127"/>
      <c r="G83" s="1127"/>
      <c r="H83" s="1127"/>
      <c r="I83" s="1127"/>
      <c r="J83" s="1127"/>
      <c r="K83" s="1127"/>
      <c r="L83" s="1127"/>
      <c r="M83" s="1176"/>
      <c r="N83" s="1434"/>
      <c r="O83" s="1434"/>
      <c r="P83" s="1433"/>
      <c r="Q83" s="1427"/>
    </row>
    <row r="84" spans="1:17" s="882" customFormat="1" ht="15">
      <c r="A84" s="1135"/>
      <c r="B84" s="1128">
        <f>B27</f>
        <v>111</v>
      </c>
      <c r="C84" s="1136"/>
      <c r="D84" s="1136"/>
      <c r="E84" s="1136"/>
      <c r="F84" s="1136"/>
      <c r="G84" s="1136"/>
      <c r="H84" s="1136"/>
      <c r="I84" s="1136"/>
      <c r="J84" s="1136"/>
      <c r="K84" s="1136"/>
      <c r="L84" s="1337"/>
      <c r="M84" s="1338"/>
      <c r="N84" s="1435"/>
      <c r="O84" s="1435"/>
      <c r="P84" s="1436"/>
      <c r="Q84" s="1437"/>
    </row>
    <row r="85" spans="1:17" s="882" customFormat="1" ht="15">
      <c r="A85" s="1135"/>
      <c r="B85" s="1130"/>
      <c r="C85" s="1138"/>
      <c r="D85" s="1127"/>
      <c r="E85" s="1127"/>
      <c r="F85" s="1127"/>
      <c r="G85" s="1127"/>
      <c r="H85" s="1127"/>
      <c r="I85" s="1127"/>
      <c r="J85" s="1127"/>
      <c r="K85" s="1127"/>
      <c r="L85" s="1127"/>
      <c r="M85" s="1176"/>
      <c r="N85" s="1435"/>
      <c r="O85" s="1435"/>
      <c r="P85" s="1436"/>
      <c r="Q85" s="1437"/>
    </row>
    <row r="86" spans="1:17" ht="15">
      <c r="A86" s="1125"/>
      <c r="B86" s="1132">
        <f>B28</f>
        <v>111</v>
      </c>
      <c r="C86" s="1120"/>
      <c r="D86" s="1120"/>
      <c r="E86" s="1120"/>
      <c r="F86" s="1120"/>
      <c r="G86" s="1154"/>
      <c r="H86" s="1154"/>
      <c r="I86" s="1154"/>
      <c r="J86" s="1154"/>
      <c r="K86" s="1207"/>
      <c r="L86" s="1208"/>
      <c r="M86" s="1209"/>
      <c r="N86" s="1432"/>
      <c r="O86" s="1432"/>
      <c r="P86" s="1433"/>
      <c r="Q86" s="1427"/>
    </row>
    <row r="87" spans="1:17" ht="15">
      <c r="A87" s="1438"/>
      <c r="B87" s="1142"/>
      <c r="C87" s="1143"/>
      <c r="D87" s="1143"/>
      <c r="E87" s="1143"/>
      <c r="F87" s="1143"/>
      <c r="G87" s="1155"/>
      <c r="H87" s="1155"/>
      <c r="I87" s="1155"/>
      <c r="J87" s="1155"/>
      <c r="K87" s="1155"/>
      <c r="L87" s="1155"/>
      <c r="M87" s="1210"/>
      <c r="N87" s="1434"/>
      <c r="O87" s="1434"/>
      <c r="P87" s="1433"/>
      <c r="Q87" s="1427"/>
    </row>
    <row r="88" spans="1:17">
      <c r="A88" s="1123" t="s">
        <v>1386</v>
      </c>
      <c r="B88" s="1124" t="s">
        <v>1387</v>
      </c>
      <c r="C88" s="1066"/>
      <c r="D88" s="1066"/>
      <c r="E88" s="1066"/>
      <c r="F88" s="1066"/>
      <c r="G88" s="1066"/>
      <c r="H88" s="1066"/>
      <c r="I88" s="1066"/>
      <c r="J88" s="1066"/>
      <c r="K88" s="1171"/>
      <c r="L88" s="1172"/>
      <c r="M88" s="1173"/>
      <c r="N88" s="1432"/>
      <c r="O88" s="1432"/>
      <c r="P88" s="1433"/>
      <c r="Q88" s="1427"/>
    </row>
    <row r="89" spans="1:17" ht="15">
      <c r="A89" s="1125"/>
      <c r="B89" s="1130"/>
      <c r="C89" s="1131">
        <v>100</v>
      </c>
      <c r="D89" s="1131">
        <f t="shared" ref="D89:M89" si="16">C89-$K29</f>
        <v>100</v>
      </c>
      <c r="E89" s="1131">
        <f t="shared" si="16"/>
        <v>100</v>
      </c>
      <c r="F89" s="1131">
        <f t="shared" si="16"/>
        <v>100</v>
      </c>
      <c r="G89" s="1131">
        <f t="shared" si="16"/>
        <v>100</v>
      </c>
      <c r="H89" s="1131">
        <f t="shared" si="16"/>
        <v>100</v>
      </c>
      <c r="I89" s="1131">
        <f t="shared" si="16"/>
        <v>100</v>
      </c>
      <c r="J89" s="1131">
        <f t="shared" si="16"/>
        <v>100</v>
      </c>
      <c r="K89" s="1131">
        <f t="shared" si="16"/>
        <v>100</v>
      </c>
      <c r="L89" s="1131">
        <f t="shared" si="16"/>
        <v>100</v>
      </c>
      <c r="M89" s="1181">
        <f t="shared" si="16"/>
        <v>100</v>
      </c>
      <c r="N89" s="1434"/>
      <c r="O89" s="1434"/>
      <c r="P89" s="1433"/>
      <c r="Q89" s="1427"/>
    </row>
    <row r="90" spans="1:17" ht="15">
      <c r="A90" s="1125"/>
      <c r="B90" s="1128" t="s">
        <v>1389</v>
      </c>
      <c r="C90" s="1147" t="str">
        <f>C91&amp;"(含)"&amp;"-"&amp;D91</f>
        <v>(含)-</v>
      </c>
      <c r="D90" s="1147" t="str">
        <f t="shared" ref="D90:L90" si="17">D91&amp;"(含)"&amp;"-"&amp;E91</f>
        <v>(含)-</v>
      </c>
      <c r="E90" s="1147" t="str">
        <f t="shared" si="17"/>
        <v>(含)-</v>
      </c>
      <c r="F90" s="1147" t="str">
        <f t="shared" si="17"/>
        <v>(含)-</v>
      </c>
      <c r="G90" s="1147" t="str">
        <f t="shared" si="17"/>
        <v>(含)-</v>
      </c>
      <c r="H90" s="1147" t="str">
        <f t="shared" si="17"/>
        <v>(含)-</v>
      </c>
      <c r="I90" s="1147" t="str">
        <f t="shared" si="17"/>
        <v>(含)-</v>
      </c>
      <c r="J90" s="1147" t="str">
        <f t="shared" si="17"/>
        <v>(含)-</v>
      </c>
      <c r="K90" s="1147" t="str">
        <f t="shared" si="17"/>
        <v>(含)-</v>
      </c>
      <c r="L90" s="1147" t="str">
        <f t="shared" si="17"/>
        <v>(含)-</v>
      </c>
      <c r="M90" s="1199" t="str">
        <f>M91&amp;"(含)"&amp;"-"&amp;P91</f>
        <v>(含)-</v>
      </c>
      <c r="N90" s="1430"/>
      <c r="O90" s="1430"/>
      <c r="P90" s="1433"/>
      <c r="Q90" s="1427"/>
    </row>
    <row r="91" spans="1:17" s="882" customFormat="1">
      <c r="A91" s="1156"/>
      <c r="B91" s="1157"/>
      <c r="C91" s="1112"/>
      <c r="D91" s="1112"/>
      <c r="E91" s="1112"/>
      <c r="F91" s="1112"/>
      <c r="G91" s="1112"/>
      <c r="H91" s="1112"/>
      <c r="I91" s="1112"/>
      <c r="J91" s="1211"/>
      <c r="K91" s="1211"/>
      <c r="L91" s="1212"/>
      <c r="M91" s="1213"/>
      <c r="N91" s="1435"/>
      <c r="O91" s="1435"/>
      <c r="P91" s="1436"/>
      <c r="Q91" s="1437"/>
    </row>
    <row r="92" spans="1:17" s="882" customFormat="1" ht="15">
      <c r="A92" s="1135"/>
      <c r="B92" s="1130"/>
      <c r="C92" s="1138"/>
      <c r="D92" s="1127"/>
      <c r="E92" s="1127"/>
      <c r="F92" s="1127"/>
      <c r="G92" s="1127"/>
      <c r="H92" s="1127"/>
      <c r="I92" s="1127"/>
      <c r="J92" s="1127"/>
      <c r="K92" s="1127"/>
      <c r="L92" s="1127"/>
      <c r="M92" s="1176"/>
      <c r="N92" s="1434"/>
      <c r="O92" s="1434"/>
      <c r="P92" s="1436"/>
      <c r="Q92" s="1437"/>
    </row>
    <row r="93" spans="1:17">
      <c r="A93" s="1159"/>
      <c r="B93" s="1128" t="s">
        <v>1390</v>
      </c>
      <c r="C93" s="1136"/>
      <c r="D93" s="1136"/>
      <c r="E93" s="1153"/>
      <c r="F93" s="1153"/>
      <c r="G93" s="1153"/>
      <c r="H93" s="1153"/>
      <c r="I93" s="1153"/>
      <c r="J93" s="1153"/>
      <c r="K93" s="1204"/>
      <c r="L93" s="1205"/>
      <c r="M93" s="1206"/>
      <c r="N93" s="1432"/>
      <c r="O93" s="1432"/>
      <c r="P93" s="1433"/>
      <c r="Q93" s="1427"/>
    </row>
    <row r="94" spans="1:17" ht="15">
      <c r="A94" s="1125"/>
      <c r="B94" s="1130"/>
      <c r="C94" s="1131">
        <v>100</v>
      </c>
      <c r="D94" s="1131">
        <f t="shared" ref="D94:M94" si="18">C94-$K31</f>
        <v>100</v>
      </c>
      <c r="E94" s="1131">
        <f t="shared" si="18"/>
        <v>100</v>
      </c>
      <c r="F94" s="1131">
        <f t="shared" si="18"/>
        <v>100</v>
      </c>
      <c r="G94" s="1131">
        <f t="shared" si="18"/>
        <v>100</v>
      </c>
      <c r="H94" s="1131">
        <f t="shared" si="18"/>
        <v>100</v>
      </c>
      <c r="I94" s="1131">
        <f t="shared" si="18"/>
        <v>100</v>
      </c>
      <c r="J94" s="1131">
        <f t="shared" si="18"/>
        <v>100</v>
      </c>
      <c r="K94" s="1131">
        <f t="shared" si="18"/>
        <v>100</v>
      </c>
      <c r="L94" s="1131">
        <f t="shared" si="18"/>
        <v>100</v>
      </c>
      <c r="M94" s="1181">
        <f t="shared" si="18"/>
        <v>100</v>
      </c>
      <c r="N94" s="1434"/>
      <c r="O94" s="1434"/>
      <c r="P94" s="1433"/>
      <c r="Q94" s="1427"/>
    </row>
    <row r="95" spans="1:17">
      <c r="A95" s="1159"/>
      <c r="B95" s="1128" t="s">
        <v>1392</v>
      </c>
      <c r="C95" s="1136"/>
      <c r="D95" s="1136"/>
      <c r="E95" s="1136"/>
      <c r="F95" s="1153"/>
      <c r="G95" s="1153"/>
      <c r="H95" s="1153"/>
      <c r="I95" s="1153"/>
      <c r="J95" s="1153"/>
      <c r="K95" s="1204"/>
      <c r="L95" s="1205"/>
      <c r="M95" s="1206"/>
      <c r="N95" s="1432"/>
      <c r="O95" s="1432"/>
      <c r="P95" s="1433"/>
      <c r="Q95" s="1427"/>
    </row>
    <row r="96" spans="1:17" ht="15">
      <c r="A96" s="1125"/>
      <c r="B96" s="1130"/>
      <c r="C96" s="1131">
        <v>100</v>
      </c>
      <c r="D96" s="1131">
        <f t="shared" ref="D96:M96" si="19">C96-$K32</f>
        <v>100</v>
      </c>
      <c r="E96" s="1131">
        <f t="shared" si="19"/>
        <v>100</v>
      </c>
      <c r="F96" s="1131">
        <f t="shared" si="19"/>
        <v>100</v>
      </c>
      <c r="G96" s="1131">
        <f t="shared" si="19"/>
        <v>100</v>
      </c>
      <c r="H96" s="1131">
        <f t="shared" si="19"/>
        <v>100</v>
      </c>
      <c r="I96" s="1131">
        <f t="shared" si="19"/>
        <v>100</v>
      </c>
      <c r="J96" s="1131">
        <f t="shared" si="19"/>
        <v>100</v>
      </c>
      <c r="K96" s="1131">
        <f t="shared" si="19"/>
        <v>100</v>
      </c>
      <c r="L96" s="1131">
        <f t="shared" si="19"/>
        <v>100</v>
      </c>
      <c r="M96" s="1181">
        <f t="shared" si="19"/>
        <v>100</v>
      </c>
      <c r="N96" s="1434"/>
      <c r="O96" s="1434"/>
      <c r="P96" s="1433"/>
      <c r="Q96" s="1427"/>
    </row>
    <row r="97" spans="1:17">
      <c r="A97" s="1159"/>
      <c r="B97" s="1128" t="s">
        <v>576</v>
      </c>
      <c r="C97" s="1147" t="str">
        <f>C98&amp;"(含)"&amp;"-"&amp;D98</f>
        <v>0.5(含)-0.6</v>
      </c>
      <c r="D97" s="1147" t="str">
        <f>D98&amp;"(含)"&amp;"-"&amp;E98</f>
        <v>0.6(含)-0.7</v>
      </c>
      <c r="E97" s="1147" t="str">
        <f>E98&amp;"(含)"&amp;"-"&amp;F98</f>
        <v>0.7(含)-0.8</v>
      </c>
      <c r="F97" s="1147" t="str">
        <f>F98&amp;"(含)"&amp;"-"&amp;G98</f>
        <v>0.8(含)-0.9</v>
      </c>
      <c r="G97" s="1147" t="str">
        <f>G98&amp;"(含)"&amp;"-"&amp;ROUND(H98,0)&amp;"(含)"</f>
        <v>0.9(含)-1(含)</v>
      </c>
      <c r="H97" s="1147"/>
      <c r="I97" s="1153"/>
      <c r="J97" s="1153"/>
      <c r="K97" s="1204"/>
      <c r="L97" s="1205"/>
      <c r="M97" s="1206"/>
      <c r="N97" s="1432"/>
      <c r="O97" s="1432"/>
      <c r="P97" s="1433"/>
      <c r="Q97" s="1427"/>
    </row>
    <row r="98" spans="1:17">
      <c r="A98" s="1159"/>
      <c r="B98" s="1132"/>
      <c r="C98" s="815">
        <v>0.5</v>
      </c>
      <c r="D98" s="815">
        <v>0.6</v>
      </c>
      <c r="E98" s="815">
        <v>0.7</v>
      </c>
      <c r="F98" s="815">
        <v>0.8</v>
      </c>
      <c r="G98" s="815">
        <v>0.9</v>
      </c>
      <c r="H98" s="815">
        <v>1.0001</v>
      </c>
      <c r="I98" s="1398"/>
      <c r="J98" s="1398"/>
      <c r="K98" s="1399"/>
      <c r="L98" s="1400"/>
      <c r="M98" s="1401"/>
      <c r="N98" s="1432"/>
      <c r="O98" s="1432"/>
      <c r="P98" s="1433"/>
      <c r="Q98" s="1427"/>
    </row>
    <row r="99" spans="1:17" ht="15">
      <c r="A99" s="1125"/>
      <c r="B99" s="1130"/>
      <c r="C99" s="1149">
        <v>100</v>
      </c>
      <c r="D99" s="1131">
        <f>C99+$K33</f>
        <v>100</v>
      </c>
      <c r="E99" s="1131">
        <f t="shared" ref="E99:M99" si="20">D99+$K33</f>
        <v>100</v>
      </c>
      <c r="F99" s="1131">
        <f t="shared" si="20"/>
        <v>100</v>
      </c>
      <c r="G99" s="1131">
        <f t="shared" si="20"/>
        <v>100</v>
      </c>
      <c r="H99" s="1131">
        <f t="shared" si="20"/>
        <v>100</v>
      </c>
      <c r="I99" s="1131">
        <f t="shared" si="20"/>
        <v>100</v>
      </c>
      <c r="J99" s="1131">
        <f t="shared" si="20"/>
        <v>100</v>
      </c>
      <c r="K99" s="1131">
        <f t="shared" si="20"/>
        <v>100</v>
      </c>
      <c r="L99" s="1131">
        <f t="shared" si="20"/>
        <v>100</v>
      </c>
      <c r="M99" s="1131">
        <f t="shared" si="20"/>
        <v>100</v>
      </c>
      <c r="N99" s="1434"/>
      <c r="O99" s="1434"/>
      <c r="P99" s="1433"/>
      <c r="Q99" s="1427"/>
    </row>
    <row r="100" spans="1:17" s="882" customFormat="1">
      <c r="A100" s="1156"/>
      <c r="B100" s="1128" t="s">
        <v>1393</v>
      </c>
      <c r="C100" s="1136"/>
      <c r="D100" s="1136"/>
      <c r="E100" s="1136"/>
      <c r="F100" s="1136"/>
      <c r="G100" s="1136"/>
      <c r="H100" s="1153"/>
      <c r="I100" s="1153"/>
      <c r="J100" s="1153"/>
      <c r="K100" s="1204"/>
      <c r="L100" s="1205"/>
      <c r="M100" s="1206"/>
      <c r="N100" s="1435"/>
      <c r="O100" s="1435"/>
      <c r="P100" s="1436"/>
      <c r="Q100" s="1437"/>
    </row>
    <row r="101" spans="1:17" s="882" customFormat="1" ht="15">
      <c r="A101" s="1135"/>
      <c r="B101" s="1130"/>
      <c r="C101" s="1131">
        <v>100</v>
      </c>
      <c r="D101" s="1131">
        <f>C101-$K34</f>
        <v>100</v>
      </c>
      <c r="E101" s="1131">
        <f t="shared" ref="E101:M101" si="21">D101-$K34</f>
        <v>100</v>
      </c>
      <c r="F101" s="1131">
        <f t="shared" si="21"/>
        <v>100</v>
      </c>
      <c r="G101" s="1131">
        <f t="shared" si="21"/>
        <v>100</v>
      </c>
      <c r="H101" s="1131">
        <f t="shared" si="21"/>
        <v>100</v>
      </c>
      <c r="I101" s="1131">
        <f t="shared" si="21"/>
        <v>100</v>
      </c>
      <c r="J101" s="1131">
        <f t="shared" si="21"/>
        <v>100</v>
      </c>
      <c r="K101" s="1131">
        <f t="shared" si="21"/>
        <v>100</v>
      </c>
      <c r="L101" s="1131">
        <f t="shared" si="21"/>
        <v>100</v>
      </c>
      <c r="M101" s="1131">
        <f t="shared" si="21"/>
        <v>100</v>
      </c>
      <c r="N101" s="1435"/>
      <c r="O101" s="1435"/>
      <c r="P101" s="1436"/>
      <c r="Q101" s="1437"/>
    </row>
    <row r="102" spans="1:17">
      <c r="A102" s="1159"/>
      <c r="B102" s="1128" t="s">
        <v>1394</v>
      </c>
      <c r="C102" s="1136"/>
      <c r="D102" s="1136"/>
      <c r="E102" s="1136"/>
      <c r="F102" s="1136"/>
      <c r="G102" s="1136"/>
      <c r="H102" s="1153"/>
      <c r="I102" s="1153"/>
      <c r="J102" s="1153"/>
      <c r="K102" s="1204"/>
      <c r="L102" s="1205"/>
      <c r="M102" s="1206"/>
      <c r="N102" s="1432"/>
      <c r="O102" s="1432"/>
      <c r="P102" s="1433"/>
      <c r="Q102" s="1427"/>
    </row>
    <row r="103" spans="1:17" ht="15">
      <c r="A103" s="1125"/>
      <c r="B103" s="1130"/>
      <c r="C103" s="1131">
        <v>100</v>
      </c>
      <c r="D103" s="1131">
        <f t="shared" ref="D103:M103" si="22">C103-$K35</f>
        <v>100</v>
      </c>
      <c r="E103" s="1131">
        <f t="shared" si="22"/>
        <v>100</v>
      </c>
      <c r="F103" s="1131">
        <f t="shared" si="22"/>
        <v>100</v>
      </c>
      <c r="G103" s="1131">
        <f t="shared" si="22"/>
        <v>100</v>
      </c>
      <c r="H103" s="1131">
        <f t="shared" si="22"/>
        <v>100</v>
      </c>
      <c r="I103" s="1131">
        <f t="shared" si="22"/>
        <v>100</v>
      </c>
      <c r="J103" s="1131">
        <f t="shared" si="22"/>
        <v>100</v>
      </c>
      <c r="K103" s="1131">
        <f t="shared" si="22"/>
        <v>100</v>
      </c>
      <c r="L103" s="1131">
        <f t="shared" si="22"/>
        <v>100</v>
      </c>
      <c r="M103" s="1181">
        <f t="shared" si="22"/>
        <v>100</v>
      </c>
      <c r="N103" s="1434"/>
      <c r="O103" s="1434"/>
      <c r="P103" s="1433"/>
      <c r="Q103" s="1427"/>
    </row>
    <row r="104" spans="1:17">
      <c r="A104" s="1159"/>
      <c r="B104" s="1128" t="s">
        <v>1397</v>
      </c>
      <c r="C104" s="1136"/>
      <c r="D104" s="1136"/>
      <c r="E104" s="1136"/>
      <c r="F104" s="1136"/>
      <c r="G104" s="1136"/>
      <c r="H104" s="1153"/>
      <c r="I104" s="1153"/>
      <c r="J104" s="1153"/>
      <c r="K104" s="1204"/>
      <c r="L104" s="1205"/>
      <c r="M104" s="1206"/>
      <c r="N104" s="1432"/>
      <c r="O104" s="1432"/>
      <c r="P104" s="1433"/>
      <c r="Q104" s="1427"/>
    </row>
    <row r="105" spans="1:17" ht="15">
      <c r="A105" s="1125"/>
      <c r="B105" s="1130"/>
      <c r="C105" s="1131">
        <v>100</v>
      </c>
      <c r="D105" s="1131">
        <f>C105-$K36</f>
        <v>100</v>
      </c>
      <c r="E105" s="1131">
        <f>D105-$K36</f>
        <v>100</v>
      </c>
      <c r="F105" s="1131">
        <f>E105-$K36</f>
        <v>100</v>
      </c>
      <c r="G105" s="1131">
        <f>F105-$K36</f>
        <v>100</v>
      </c>
      <c r="H105" s="1131"/>
      <c r="I105" s="1131"/>
      <c r="J105" s="1131"/>
      <c r="K105" s="1131"/>
      <c r="L105" s="1131"/>
      <c r="M105" s="1181"/>
      <c r="N105" s="1434"/>
      <c r="O105" s="1434"/>
      <c r="P105" s="1433"/>
      <c r="Q105" s="1427"/>
    </row>
    <row r="106" spans="1:17">
      <c r="A106" s="1159"/>
      <c r="B106" s="1334" t="s">
        <v>1469</v>
      </c>
      <c r="C106" s="1147" t="s">
        <v>1416</v>
      </c>
      <c r="D106" s="1147" t="s">
        <v>1417</v>
      </c>
      <c r="E106" s="1147" t="s">
        <v>1418</v>
      </c>
      <c r="F106" s="1147" t="s">
        <v>1419</v>
      </c>
      <c r="G106" s="1147" t="s">
        <v>1420</v>
      </c>
      <c r="H106" s="1129"/>
      <c r="I106" s="1129"/>
      <c r="J106" s="1129"/>
      <c r="K106" s="1178"/>
      <c r="L106" s="1179"/>
      <c r="M106" s="1180"/>
      <c r="N106" s="1434"/>
      <c r="O106" s="1434"/>
      <c r="P106" s="1442"/>
      <c r="Q106" s="1444"/>
    </row>
    <row r="107" spans="1:17" ht="15">
      <c r="A107" s="1125"/>
      <c r="B107" s="1130"/>
      <c r="C107" s="1149">
        <v>100</v>
      </c>
      <c r="D107" s="1131">
        <f t="shared" ref="D107:M107" si="23">C107-$K37</f>
        <v>100</v>
      </c>
      <c r="E107" s="1131">
        <f t="shared" si="23"/>
        <v>100</v>
      </c>
      <c r="F107" s="1131">
        <f t="shared" si="23"/>
        <v>100</v>
      </c>
      <c r="G107" s="1131">
        <f t="shared" si="23"/>
        <v>100</v>
      </c>
      <c r="H107" s="1131">
        <f t="shared" si="23"/>
        <v>100</v>
      </c>
      <c r="I107" s="1131">
        <f t="shared" si="23"/>
        <v>100</v>
      </c>
      <c r="J107" s="1131">
        <f t="shared" si="23"/>
        <v>100</v>
      </c>
      <c r="K107" s="1131">
        <f t="shared" si="23"/>
        <v>100</v>
      </c>
      <c r="L107" s="1131">
        <f t="shared" si="23"/>
        <v>100</v>
      </c>
      <c r="M107" s="1131">
        <f t="shared" si="23"/>
        <v>100</v>
      </c>
      <c r="N107" s="1434"/>
      <c r="O107" s="1434"/>
      <c r="P107" s="1433"/>
      <c r="Q107" s="1427"/>
    </row>
    <row r="108" spans="1:17" s="882" customFormat="1">
      <c r="A108" s="1156"/>
      <c r="B108" s="1128">
        <f>B38</f>
        <v>111</v>
      </c>
      <c r="C108" s="1136"/>
      <c r="D108" s="1136"/>
      <c r="E108" s="1136"/>
      <c r="F108" s="1136"/>
      <c r="G108" s="1136"/>
      <c r="H108" s="1137"/>
      <c r="I108" s="1137"/>
      <c r="J108" s="1137"/>
      <c r="K108" s="1137"/>
      <c r="L108" s="1185"/>
      <c r="M108" s="1186"/>
      <c r="N108" s="1435"/>
      <c r="O108" s="1435"/>
      <c r="P108" s="1436"/>
      <c r="Q108" s="1437"/>
    </row>
    <row r="109" spans="1:17" s="882" customFormat="1" ht="15">
      <c r="A109" s="1135"/>
      <c r="B109" s="1126"/>
      <c r="C109" s="1138"/>
      <c r="D109" s="1127"/>
      <c r="E109" s="1127"/>
      <c r="F109" s="1127"/>
      <c r="G109" s="1138"/>
      <c r="H109" s="1139"/>
      <c r="I109" s="1139"/>
      <c r="J109" s="1139"/>
      <c r="K109" s="1139"/>
      <c r="L109" s="1139"/>
      <c r="M109" s="1189"/>
      <c r="N109" s="1435"/>
      <c r="O109" s="1435"/>
      <c r="P109" s="1436"/>
      <c r="Q109" s="1437"/>
    </row>
    <row r="110" spans="1:17">
      <c r="A110" s="1159"/>
      <c r="B110" s="1128">
        <f>B39</f>
        <v>111</v>
      </c>
      <c r="C110" s="1136"/>
      <c r="D110" s="1136"/>
      <c r="E110" s="1136"/>
      <c r="F110" s="1136"/>
      <c r="G110" s="1136"/>
      <c r="H110" s="1137"/>
      <c r="I110" s="1137"/>
      <c r="J110" s="1137"/>
      <c r="K110" s="1137"/>
      <c r="L110" s="1185"/>
      <c r="M110" s="1186"/>
      <c r="N110" s="1432"/>
      <c r="O110" s="1432"/>
      <c r="P110" s="1433"/>
      <c r="Q110" s="1427"/>
    </row>
    <row r="111" spans="1:17" ht="15">
      <c r="A111" s="1125"/>
      <c r="B111" s="1130"/>
      <c r="C111" s="1138"/>
      <c r="D111" s="1127"/>
      <c r="E111" s="1127"/>
      <c r="F111" s="1127"/>
      <c r="G111" s="1138"/>
      <c r="H111" s="1139"/>
      <c r="I111" s="1139"/>
      <c r="J111" s="1139"/>
      <c r="K111" s="1139"/>
      <c r="L111" s="1139"/>
      <c r="M111" s="1189"/>
      <c r="N111" s="1434"/>
      <c r="O111" s="1434"/>
      <c r="P111" s="1433"/>
      <c r="Q111" s="1427"/>
    </row>
    <row r="112" spans="1:17">
      <c r="A112" s="1159"/>
      <c r="B112" s="1132">
        <f>B40</f>
        <v>111</v>
      </c>
      <c r="C112" s="1120"/>
      <c r="D112" s="1120"/>
      <c r="E112" s="1120"/>
      <c r="F112" s="1120"/>
      <c r="G112" s="1154"/>
      <c r="H112" s="1154"/>
      <c r="I112" s="1154"/>
      <c r="J112" s="1154"/>
      <c r="K112" s="1120"/>
      <c r="L112" s="1166"/>
      <c r="M112" s="1209"/>
      <c r="N112" s="1432"/>
      <c r="O112" s="1432"/>
      <c r="P112" s="1433"/>
      <c r="Q112" s="1427"/>
    </row>
    <row r="113" spans="1:17" ht="15">
      <c r="A113" s="1438"/>
      <c r="B113" s="1142"/>
      <c r="C113" s="1143"/>
      <c r="D113" s="1143"/>
      <c r="E113" s="1143"/>
      <c r="F113" s="1143"/>
      <c r="G113" s="1155"/>
      <c r="H113" s="1155"/>
      <c r="I113" s="1155"/>
      <c r="J113" s="1155"/>
      <c r="K113" s="1155"/>
      <c r="L113" s="1155"/>
      <c r="M113" s="1210"/>
      <c r="N113" s="1434"/>
      <c r="O113" s="1434"/>
      <c r="P113" s="1433"/>
      <c r="Q113"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C2" xr:uid="{00000000-0002-0000-1D00-000001000000}">
      <formula1>"需扣减承租人权益,——"</formula1>
    </dataValidation>
    <dataValidation type="list" allowBlank="1" showInputMessage="1" showErrorMessage="1" sqref="D1" xr:uid="{00000000-0002-0000-1D00-000002000000}">
      <formula1>项目类型</formula1>
    </dataValidation>
    <dataValidation type="list" allowBlank="1" showInputMessage="1" showErrorMessage="1" sqref="E9 G9 I9" xr:uid="{00000000-0002-0000-1D00-000003000000}">
      <formula1>工业用途</formula1>
    </dataValidation>
    <dataValidation type="list" allowBlank="1" showInputMessage="1" showErrorMessage="1" sqref="D42" xr:uid="{00000000-0002-0000-1D00-000004000000}">
      <formula1>"简单平均,加权平均"</formula1>
    </dataValidation>
    <dataValidation type="list" allowBlank="1" showInputMessage="1" showErrorMessage="1" sqref="F1" xr:uid="{00000000-0002-0000-1D00-000005000000}">
      <formula1>"售价,租金"</formula1>
    </dataValidation>
    <dataValidation type="list" allowBlank="1" showInputMessage="1" showErrorMessage="1" sqref="F2" xr:uid="{00000000-0002-0000-1D00-000006000000}">
      <formula1>估价方法</formula1>
    </dataValidation>
    <dataValidation type="list" allowBlank="1" showInputMessage="1" showErrorMessage="1" sqref="C8 E8 G8 I8" xr:uid="{00000000-0002-0000-1D00-000007000000}">
      <formula1>工业交易情况</formula1>
    </dataValidation>
    <dataValidation type="list" allowBlank="1" showInputMessage="1" showErrorMessage="1" sqref="C16 E16 G16 I16" xr:uid="{00000000-0002-0000-1D00-000008000000}">
      <formula1>产业集聚程度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9 E29 G29 I29" xr:uid="{00000000-0002-0000-1D00-00000D000000}">
      <formula1>工业建筑类型</formula1>
    </dataValidation>
    <dataValidation type="list" allowBlank="1" showInputMessage="1" showErrorMessage="1" sqref="C31 E31 G31 I31" xr:uid="{00000000-0002-0000-1D00-00000E000000}">
      <formula1>工业建筑结构</formula1>
    </dataValidation>
    <dataValidation type="list" allowBlank="1" showInputMessage="1" showErrorMessage="1" sqref="C32 E32 G32 I32" xr:uid="{00000000-0002-0000-1D00-00000F000000}">
      <formula1>工业公共部分装修</formula1>
    </dataValidation>
    <dataValidation type="list" allowBlank="1" showInputMessage="1" showErrorMessage="1" sqref="C34 E34 G34 I34" xr:uid="{00000000-0002-0000-1D00-000010000000}">
      <formula1>工业物业管理</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6 E36 G36 I36" xr:uid="{00000000-0002-0000-1D00-000012000000}">
      <formula1>工业内部装修</formula1>
    </dataValidation>
    <dataValidation type="list" allowBlank="1" showInputMessage="1" showErrorMessage="1" sqref="C37 E37 G37 I37" xr:uid="{00000000-0002-0000-1D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5.5" style="886" customWidth="1"/>
    <col min="10" max="10" width="12.25" style="886" customWidth="1"/>
    <col min="11" max="11" width="12.25" style="887" customWidth="1"/>
    <col min="12" max="12" width="12.25" style="888" customWidth="1"/>
    <col min="13" max="15" width="12.25" style="886" customWidth="1"/>
    <col min="16" max="16" width="4.75" style="134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67" customFormat="1" ht="28.5" customHeight="1">
      <c r="A1" s="1268" t="s">
        <v>1470</v>
      </c>
      <c r="B1" s="1269"/>
      <c r="C1" s="1270" t="s">
        <v>1348</v>
      </c>
      <c r="D1" s="1271"/>
      <c r="E1" s="1347"/>
      <c r="F1" s="1273"/>
      <c r="G1" s="1348" t="s">
        <v>1350</v>
      </c>
      <c r="H1" s="1347"/>
      <c r="I1" s="1347"/>
      <c r="J1" s="1347"/>
      <c r="K1" s="1377"/>
      <c r="L1" s="1378"/>
      <c r="M1" s="1379"/>
      <c r="N1" s="1379"/>
      <c r="O1" s="1379"/>
      <c r="P1" s="1380"/>
      <c r="Q1" s="1270"/>
      <c r="R1" s="1270"/>
      <c r="S1" s="1270"/>
      <c r="T1" s="1270"/>
      <c r="U1" s="1270"/>
      <c r="V1" s="1270"/>
      <c r="W1" s="1270"/>
      <c r="X1" s="1270"/>
      <c r="Y1" s="1270"/>
      <c r="Z1" s="1270"/>
      <c r="AA1" s="1270"/>
      <c r="AB1" s="1270"/>
      <c r="AC1" s="1333"/>
    </row>
    <row r="2" spans="1:29" s="879" customFormat="1" ht="28.5" customHeight="1">
      <c r="A2" s="1275" t="s">
        <v>926</v>
      </c>
      <c r="B2" s="1276" t="e">
        <f ca="1">IF(C2="——",IF(B37="元/平方米",ROUND(C39*D3/10000,0),ROUND(F3*C39/10000,0)),IF(B37="元/平方米",ROUND(C39*D3/10000,0),ROUND(F3*C39/10000,0))-D2)</f>
        <v>#DIV/0!</v>
      </c>
      <c r="C2" s="1277"/>
      <c r="D2" s="1222" t="e">
        <f ca="1">SUMIF(INDIRECT("'"&amp;F2&amp;"'"&amp;"!A:A"),"承租人权益价值",INDIRECT("'"&amp;F2&amp;"'"&amp;"!c:c"))</f>
        <v>#REF!</v>
      </c>
      <c r="E2" s="1278" t="s">
        <v>927</v>
      </c>
      <c r="F2" s="1279"/>
      <c r="G2" s="895"/>
      <c r="H2" s="895"/>
      <c r="I2" s="895"/>
      <c r="J2" s="895"/>
      <c r="K2" s="1040"/>
      <c r="L2" s="1041"/>
      <c r="M2" s="1042"/>
      <c r="N2" s="1042"/>
      <c r="O2" s="1042"/>
      <c r="P2" s="1381"/>
      <c r="Q2" s="1039"/>
      <c r="R2" s="1039"/>
      <c r="S2" s="1039"/>
      <c r="T2" s="1039"/>
      <c r="U2" s="1039"/>
      <c r="V2" s="1039"/>
      <c r="W2" s="1039"/>
      <c r="X2" s="1039"/>
      <c r="Y2" s="1039"/>
      <c r="Z2" s="1039"/>
      <c r="AA2" s="1039"/>
      <c r="AB2" s="1039"/>
      <c r="AC2" s="1099"/>
    </row>
    <row r="3" spans="1:29" s="879" customFormat="1" ht="28.5" customHeight="1">
      <c r="A3" s="148" t="s">
        <v>928</v>
      </c>
      <c r="B3" s="897" t="e">
        <f ca="1">IF(AND(C2="——",B37="元/平方米"),C39,ROUND(B2*10000/D3,0))</f>
        <v>#DIV/0!</v>
      </c>
      <c r="C3" s="1280" t="s">
        <v>1351</v>
      </c>
      <c r="D3" s="1281">
        <f>SUMIF('数据-汇总表'!$C19:$C33,D1,'数据-汇总表'!$E19:$E33)</f>
        <v>0</v>
      </c>
      <c r="E3" s="1280" t="s">
        <v>1471</v>
      </c>
      <c r="F3" s="1281">
        <f>SUMIF('数据-取费表'!A5:A15,D1,'数据-取费表'!AH5:AH15)</f>
        <v>0</v>
      </c>
      <c r="G3" s="895"/>
      <c r="H3" s="895"/>
      <c r="I3" s="895"/>
      <c r="J3" s="895"/>
      <c r="K3" s="1040"/>
      <c r="L3" s="1041"/>
      <c r="M3" s="1042"/>
      <c r="N3" s="1042"/>
      <c r="O3" s="1042"/>
      <c r="P3" s="1381"/>
      <c r="Q3" s="1039"/>
      <c r="R3" s="1039"/>
      <c r="S3" s="1039"/>
      <c r="T3" s="1039"/>
      <c r="U3" s="1039"/>
      <c r="V3" s="1039"/>
      <c r="W3" s="1039"/>
      <c r="X3" s="1039"/>
      <c r="Y3" s="1039"/>
      <c r="Z3" s="1039"/>
      <c r="AA3" s="1039"/>
      <c r="AB3" s="1100"/>
      <c r="AC3" s="1101"/>
    </row>
    <row r="4" spans="1:29" ht="15">
      <c r="A4" s="899" t="s">
        <v>1352</v>
      </c>
      <c r="B4" s="900"/>
      <c r="C4" s="3273" t="s">
        <v>1353</v>
      </c>
      <c r="D4" s="3306"/>
      <c r="E4" s="3307" t="s">
        <v>1354</v>
      </c>
      <c r="F4" s="3308"/>
      <c r="G4" s="3273" t="s">
        <v>1355</v>
      </c>
      <c r="H4" s="3306"/>
      <c r="I4" s="3273" t="s">
        <v>1356</v>
      </c>
      <c r="J4" s="3306"/>
      <c r="K4" s="1043" t="s">
        <v>1357</v>
      </c>
      <c r="L4" s="1044"/>
      <c r="M4" s="1045"/>
      <c r="N4" s="1045"/>
      <c r="O4" s="1045"/>
      <c r="P4" s="3277" t="s">
        <v>1358</v>
      </c>
      <c r="Q4" s="3278"/>
      <c r="R4" s="3283" t="s">
        <v>1354</v>
      </c>
      <c r="S4" s="3284"/>
      <c r="T4" s="3283" t="s">
        <v>1355</v>
      </c>
      <c r="U4" s="3284"/>
      <c r="V4" s="3289" t="s">
        <v>1356</v>
      </c>
      <c r="W4" s="3289"/>
      <c r="X4" s="1087"/>
      <c r="Y4" s="3283" t="s">
        <v>1358</v>
      </c>
      <c r="Z4" s="3284"/>
      <c r="AA4" s="3270" t="s">
        <v>1354</v>
      </c>
      <c r="AB4" s="3271" t="s">
        <v>1355</v>
      </c>
      <c r="AC4" s="3270" t="s">
        <v>1356</v>
      </c>
    </row>
    <row r="5" spans="1:29" ht="15">
      <c r="A5" s="901"/>
      <c r="B5" s="902"/>
      <c r="C5" s="3309" t="s">
        <v>1359</v>
      </c>
      <c r="D5" s="3310"/>
      <c r="E5" s="3311" t="s">
        <v>1360</v>
      </c>
      <c r="F5" s="3312"/>
      <c r="G5" s="3309" t="s">
        <v>1361</v>
      </c>
      <c r="H5" s="3310"/>
      <c r="I5" s="3309" t="s">
        <v>1362</v>
      </c>
      <c r="J5" s="3310"/>
      <c r="K5" s="1043"/>
      <c r="L5" s="1044"/>
      <c r="M5" s="1045"/>
      <c r="N5" s="1045"/>
      <c r="O5" s="1045"/>
      <c r="P5" s="3279"/>
      <c r="Q5" s="3280"/>
      <c r="R5" s="3285"/>
      <c r="S5" s="3286"/>
      <c r="T5" s="3285"/>
      <c r="U5" s="3286"/>
      <c r="V5" s="3289"/>
      <c r="W5" s="3289"/>
      <c r="X5" s="1087"/>
      <c r="Y5" s="3285"/>
      <c r="Z5" s="3286"/>
      <c r="AA5" s="3271"/>
      <c r="AB5" s="3271"/>
      <c r="AC5" s="3271"/>
    </row>
    <row r="6" spans="1:29" ht="15">
      <c r="A6" s="903"/>
      <c r="B6" s="904"/>
      <c r="C6" s="3301" t="s">
        <v>1363</v>
      </c>
      <c r="D6" s="3302"/>
      <c r="E6" s="3303" t="s">
        <v>1363</v>
      </c>
      <c r="F6" s="3304"/>
      <c r="G6" s="3301" t="s">
        <v>1363</v>
      </c>
      <c r="H6" s="3302"/>
      <c r="I6" s="3301" t="s">
        <v>1363</v>
      </c>
      <c r="J6" s="3302"/>
      <c r="K6" s="1043" t="s">
        <v>1364</v>
      </c>
      <c r="L6" s="1044"/>
      <c r="M6" s="1045"/>
      <c r="N6" s="1045"/>
      <c r="O6" s="1045"/>
      <c r="P6" s="3281"/>
      <c r="Q6" s="3282"/>
      <c r="R6" s="3285"/>
      <c r="S6" s="3286"/>
      <c r="T6" s="3287"/>
      <c r="U6" s="3288"/>
      <c r="V6" s="3289"/>
      <c r="W6" s="3289"/>
      <c r="X6" s="1087"/>
      <c r="Y6" s="3287"/>
      <c r="Z6" s="3288"/>
      <c r="AA6" s="3272"/>
      <c r="AB6" s="3272"/>
      <c r="AC6" s="3272"/>
    </row>
    <row r="7" spans="1:29" s="880" customFormat="1" ht="15">
      <c r="A7" s="905" t="s">
        <v>1365</v>
      </c>
      <c r="B7" s="906"/>
      <c r="C7" s="907">
        <f>'数据-取费表'!B2</f>
        <v>44288</v>
      </c>
      <c r="D7" s="908">
        <v>100</v>
      </c>
      <c r="E7" s="909"/>
      <c r="F7" s="910">
        <f>SUMIF(48:48,YEAR(E7)&amp;"-"&amp;MONTH(E7),49:49)</f>
        <v>0</v>
      </c>
      <c r="G7" s="909"/>
      <c r="H7" s="908">
        <f>SUMIF(48:48,YEAR(G7)&amp;"-"&amp;MONTH(G7),49:49)</f>
        <v>0</v>
      </c>
      <c r="I7" s="909"/>
      <c r="J7" s="908">
        <f>SUMIF(48:48,YEAR(I7)&amp;"-"&amp;MONTH(I7),49:49)</f>
        <v>0</v>
      </c>
      <c r="K7" s="1046"/>
      <c r="L7" s="1047"/>
      <c r="M7" s="1048"/>
      <c r="N7" s="1048"/>
      <c r="O7" s="1048"/>
      <c r="P7" s="3290" t="s">
        <v>1366</v>
      </c>
      <c r="Q7" s="3305"/>
      <c r="R7" s="1088" t="s">
        <v>1367</v>
      </c>
      <c r="S7" s="1089">
        <f t="shared" ref="S7:S14" si="0">F7</f>
        <v>0</v>
      </c>
      <c r="T7" s="1088" t="s">
        <v>1367</v>
      </c>
      <c r="U7" s="1089">
        <f t="shared" ref="U7:U14" si="1">H7</f>
        <v>0</v>
      </c>
      <c r="V7" s="1088" t="s">
        <v>1367</v>
      </c>
      <c r="W7" s="1089">
        <f t="shared" ref="W7:W14" si="2">J7</f>
        <v>0</v>
      </c>
      <c r="X7" s="1090"/>
      <c r="Y7" s="3290" t="s">
        <v>1366</v>
      </c>
      <c r="Z7" s="3291"/>
      <c r="AA7" s="1102" t="e">
        <f>D7/F7</f>
        <v>#DIV/0!</v>
      </c>
      <c r="AB7" s="1102" t="e">
        <f>D7/H7</f>
        <v>#DIV/0!</v>
      </c>
      <c r="AC7" s="1102" t="e">
        <f>D7/J7</f>
        <v>#DIV/0!</v>
      </c>
    </row>
    <row r="8" spans="1:29" s="880" customFormat="1" ht="15">
      <c r="A8" s="905" t="s">
        <v>1368</v>
      </c>
      <c r="B8" s="906"/>
      <c r="C8" s="912" t="s">
        <v>1369</v>
      </c>
      <c r="D8" s="908">
        <v>100</v>
      </c>
      <c r="E8" s="912"/>
      <c r="F8" s="910">
        <f>SUMIF(51:51,E8,52:52)-SUMIF(51:51,C8,52:52)+100</f>
        <v>0</v>
      </c>
      <c r="G8" s="912"/>
      <c r="H8" s="908">
        <f>SUMIF(51:51,G8,52:52)-SUMIF(51:51,C8,52:52)+100</f>
        <v>0</v>
      </c>
      <c r="I8" s="912"/>
      <c r="J8" s="908">
        <f>SUMIF(51:51,I8,52:52)-SUMIF(51:51,C8,52:52)+100</f>
        <v>0</v>
      </c>
      <c r="K8" s="1046"/>
      <c r="L8" s="1047"/>
      <c r="M8" s="1048"/>
      <c r="N8" s="1048"/>
      <c r="O8" s="1048"/>
      <c r="P8" s="3290" t="s">
        <v>1370</v>
      </c>
      <c r="Q8" s="3291"/>
      <c r="R8" s="1088" t="s">
        <v>1367</v>
      </c>
      <c r="S8" s="1089">
        <f t="shared" si="0"/>
        <v>0</v>
      </c>
      <c r="T8" s="1088" t="s">
        <v>1367</v>
      </c>
      <c r="U8" s="1089">
        <f t="shared" si="1"/>
        <v>0</v>
      </c>
      <c r="V8" s="1088" t="s">
        <v>1367</v>
      </c>
      <c r="W8" s="1089">
        <f t="shared" si="2"/>
        <v>0</v>
      </c>
      <c r="X8" s="1090"/>
      <c r="Y8" s="3290" t="s">
        <v>1370</v>
      </c>
      <c r="Z8" s="3291"/>
      <c r="AA8" s="1102" t="e">
        <f t="shared" ref="AA8:AA36" si="3">D8/F8</f>
        <v>#DIV/0!</v>
      </c>
      <c r="AB8" s="1102" t="e">
        <f t="shared" ref="AB8:AB36" si="4">D8/H8</f>
        <v>#DIV/0!</v>
      </c>
      <c r="AC8" s="1102" t="e">
        <f t="shared" ref="AC8:AC36" si="5">D8/J8</f>
        <v>#DIV/0!</v>
      </c>
    </row>
    <row r="9" spans="1:29" s="880" customFormat="1">
      <c r="A9" s="1349" t="s">
        <v>1371</v>
      </c>
      <c r="B9" s="1350" t="s">
        <v>1372</v>
      </c>
      <c r="C9" s="1282"/>
      <c r="D9" s="916">
        <v>100</v>
      </c>
      <c r="E9" s="1283"/>
      <c r="F9" s="916">
        <f>SUMIF(53:53,E9,54:54)-SUMIF(53:53,C9,54:54)+100</f>
        <v>100</v>
      </c>
      <c r="G9" s="1351"/>
      <c r="H9" s="916">
        <f>SUMIF(53:53,G9,54:54)-SUMIF(53:53,C9,54:54)+100</f>
        <v>100</v>
      </c>
      <c r="I9" s="1351"/>
      <c r="J9" s="916">
        <f>SUMIF(53:53,I9,54:54)-SUMIF(53:53,C9,54:54)+100</f>
        <v>100</v>
      </c>
      <c r="K9" s="1046"/>
      <c r="L9" s="1047"/>
      <c r="M9" s="1048"/>
      <c r="N9" s="1048"/>
      <c r="O9" s="1048"/>
      <c r="P9" s="3276" t="s">
        <v>1373</v>
      </c>
      <c r="Q9" s="1092" t="str">
        <f t="shared" ref="Q9:Q14" si="6">B9</f>
        <v>用途</v>
      </c>
      <c r="R9" s="1088" t="s">
        <v>1367</v>
      </c>
      <c r="S9" s="1089">
        <f t="shared" si="0"/>
        <v>100</v>
      </c>
      <c r="T9" s="1088" t="s">
        <v>1367</v>
      </c>
      <c r="U9" s="1089">
        <f t="shared" si="1"/>
        <v>100</v>
      </c>
      <c r="V9" s="1088" t="s">
        <v>1367</v>
      </c>
      <c r="W9" s="1089">
        <f t="shared" si="2"/>
        <v>100</v>
      </c>
      <c r="X9" s="1090"/>
      <c r="Y9" s="3179" t="s">
        <v>1374</v>
      </c>
      <c r="Z9" s="1103" t="str">
        <f t="shared" ref="Z9:Z14" si="7">Q9</f>
        <v>用途</v>
      </c>
      <c r="AA9" s="1102">
        <f t="shared" si="3"/>
        <v>1</v>
      </c>
      <c r="AB9" s="1102">
        <f t="shared" si="4"/>
        <v>1</v>
      </c>
      <c r="AC9" s="1102">
        <f t="shared" si="5"/>
        <v>1</v>
      </c>
    </row>
    <row r="10" spans="1:29" s="881" customFormat="1" ht="27">
      <c r="A10" s="1352"/>
      <c r="B10" s="1353" t="s">
        <v>1375</v>
      </c>
      <c r="C10" s="1285"/>
      <c r="D10" s="920">
        <v>100</v>
      </c>
      <c r="E10" s="1285"/>
      <c r="F10" s="920">
        <f>SUMIF(55:55,E10,56:56)-SUMIF(55:55,C10,56:56)+100</f>
        <v>100</v>
      </c>
      <c r="G10" s="1354"/>
      <c r="H10" s="920">
        <f>SUMIF(55:55,G10,56:56)-SUMIF(55:55,C10,56:56)+100</f>
        <v>100</v>
      </c>
      <c r="I10" s="1285"/>
      <c r="J10" s="920">
        <f>SUMIF(55:55,I10,56:56)-SUMIF(55:55,C10,56:56)+100</f>
        <v>100</v>
      </c>
      <c r="K10" s="1063"/>
      <c r="L10" s="1051"/>
      <c r="M10" s="1052"/>
      <c r="N10" s="1052"/>
      <c r="O10" s="1052"/>
      <c r="P10" s="3276"/>
      <c r="Q10" s="1092" t="str">
        <f t="shared" si="6"/>
        <v>土地使用年限（年）</v>
      </c>
      <c r="R10" s="1088" t="s">
        <v>1367</v>
      </c>
      <c r="S10" s="1089">
        <f t="shared" si="0"/>
        <v>100</v>
      </c>
      <c r="T10" s="1088" t="s">
        <v>1367</v>
      </c>
      <c r="U10" s="1089">
        <f t="shared" si="1"/>
        <v>100</v>
      </c>
      <c r="V10" s="1088" t="s">
        <v>1367</v>
      </c>
      <c r="W10" s="1089">
        <f t="shared" si="2"/>
        <v>100</v>
      </c>
      <c r="X10" s="1090"/>
      <c r="Y10" s="3179"/>
      <c r="Z10" s="1103" t="str">
        <f t="shared" si="7"/>
        <v>土地使用年限（年）</v>
      </c>
      <c r="AA10" s="1102">
        <f t="shared" si="3"/>
        <v>1</v>
      </c>
      <c r="AB10" s="1102">
        <f t="shared" si="4"/>
        <v>1</v>
      </c>
      <c r="AC10" s="1102">
        <f t="shared" si="5"/>
        <v>1</v>
      </c>
    </row>
    <row r="11" spans="1:29" ht="15">
      <c r="A11" s="1355"/>
      <c r="B11" s="1356">
        <v>111</v>
      </c>
      <c r="C11" s="919"/>
      <c r="D11" s="920">
        <v>100</v>
      </c>
      <c r="E11" s="919"/>
      <c r="F11" s="920">
        <f>SUMIF(57:57,E11,58:58)-SUMIF(57:57,C11,58:58)+100</f>
        <v>100</v>
      </c>
      <c r="G11" s="919"/>
      <c r="H11" s="920">
        <f>SUMIF(57:57,G11,58:58)-SUMIF(57:57,C11,58:58)+100</f>
        <v>100</v>
      </c>
      <c r="I11" s="919"/>
      <c r="J11" s="920">
        <f>SUMIF(57:57,I11,58:58)-SUMIF(57:57,C11,58:58)+100</f>
        <v>100</v>
      </c>
      <c r="K11" s="1062"/>
      <c r="L11" s="1055"/>
      <c r="M11" s="1045"/>
      <c r="N11" s="1045"/>
      <c r="O11" s="1045"/>
      <c r="P11" s="3276"/>
      <c r="Q11" s="1092">
        <f t="shared" si="6"/>
        <v>111</v>
      </c>
      <c r="R11" s="1088" t="s">
        <v>1367</v>
      </c>
      <c r="S11" s="1089">
        <f t="shared" si="0"/>
        <v>100</v>
      </c>
      <c r="T11" s="1088" t="s">
        <v>1367</v>
      </c>
      <c r="U11" s="1089">
        <f t="shared" si="1"/>
        <v>100</v>
      </c>
      <c r="V11" s="1088" t="s">
        <v>1367</v>
      </c>
      <c r="W11" s="1089">
        <f t="shared" si="2"/>
        <v>100</v>
      </c>
      <c r="X11" s="1090"/>
      <c r="Y11" s="3179"/>
      <c r="Z11" s="1103">
        <f t="shared" si="7"/>
        <v>111</v>
      </c>
      <c r="AA11" s="1102">
        <f t="shared" si="3"/>
        <v>1</v>
      </c>
      <c r="AB11" s="1102">
        <f t="shared" si="4"/>
        <v>1</v>
      </c>
      <c r="AC11" s="1102">
        <f t="shared" si="5"/>
        <v>1</v>
      </c>
    </row>
    <row r="12" spans="1:29" s="880" customFormat="1" ht="15">
      <c r="A12" s="1357"/>
      <c r="B12" s="1356">
        <v>111</v>
      </c>
      <c r="C12" s="919"/>
      <c r="D12" s="926">
        <v>100</v>
      </c>
      <c r="E12" s="919"/>
      <c r="F12" s="920">
        <f>SUMIF(59:59,E12,60:60)-SUMIF(59:59,C12,60:60)+100</f>
        <v>100</v>
      </c>
      <c r="G12" s="919"/>
      <c r="H12" s="920">
        <f>SUMIF(59:59,G12,60:60)-SUMIF(59:59,C12,60:60)+100</f>
        <v>100</v>
      </c>
      <c r="I12" s="919"/>
      <c r="J12" s="920">
        <f>SUMIF(59:59,I12,60:60)-SUMIF(59:59,C12,60:60)+100</f>
        <v>100</v>
      </c>
      <c r="K12" s="1062"/>
      <c r="L12" s="1047"/>
      <c r="M12" s="1048"/>
      <c r="N12" s="1048"/>
      <c r="O12" s="1048"/>
      <c r="P12" s="3276"/>
      <c r="Q12" s="1092">
        <f t="shared" si="6"/>
        <v>111</v>
      </c>
      <c r="R12" s="1088" t="s">
        <v>1367</v>
      </c>
      <c r="S12" s="1089">
        <f t="shared" si="0"/>
        <v>100</v>
      </c>
      <c r="T12" s="1088" t="s">
        <v>1367</v>
      </c>
      <c r="U12" s="1089">
        <f t="shared" si="1"/>
        <v>100</v>
      </c>
      <c r="V12" s="1088" t="s">
        <v>1367</v>
      </c>
      <c r="W12" s="1089">
        <f t="shared" si="2"/>
        <v>100</v>
      </c>
      <c r="X12" s="1090"/>
      <c r="Y12" s="3179"/>
      <c r="Z12" s="1103">
        <f t="shared" si="7"/>
        <v>111</v>
      </c>
      <c r="AA12" s="1102">
        <f t="shared" si="3"/>
        <v>1</v>
      </c>
      <c r="AB12" s="1102">
        <f t="shared" si="4"/>
        <v>1</v>
      </c>
      <c r="AC12" s="1102">
        <f t="shared" si="5"/>
        <v>1</v>
      </c>
    </row>
    <row r="13" spans="1:29" ht="15">
      <c r="A13" s="1358"/>
      <c r="B13" s="1356">
        <v>111</v>
      </c>
      <c r="C13" s="929"/>
      <c r="D13" s="930">
        <v>100</v>
      </c>
      <c r="E13" s="919"/>
      <c r="F13" s="920">
        <f>SUMIF(61:61,E13,62:62)-SUMIF(61:61,C13,62:62)+100</f>
        <v>100</v>
      </c>
      <c r="G13" s="919"/>
      <c r="H13" s="930">
        <f>SUMIF(61:61,G13,62:62)-SUMIF(61:61,C13,62:62)+100</f>
        <v>100</v>
      </c>
      <c r="I13" s="919"/>
      <c r="J13" s="930">
        <f>SUMIF(61:61,I13,62:62)-SUMIF(61:61,C13,62:62)+100</f>
        <v>100</v>
      </c>
      <c r="K13" s="1062"/>
      <c r="L13" s="1057"/>
      <c r="M13" s="1045"/>
      <c r="N13" s="1045"/>
      <c r="O13" s="1045"/>
      <c r="P13" s="3276"/>
      <c r="Q13" s="1092">
        <f t="shared" si="6"/>
        <v>111</v>
      </c>
      <c r="R13" s="1088" t="s">
        <v>1367</v>
      </c>
      <c r="S13" s="1089">
        <f t="shared" si="0"/>
        <v>100</v>
      </c>
      <c r="T13" s="1088" t="s">
        <v>1367</v>
      </c>
      <c r="U13" s="1089">
        <f t="shared" si="1"/>
        <v>100</v>
      </c>
      <c r="V13" s="1088" t="s">
        <v>1367</v>
      </c>
      <c r="W13" s="1089">
        <f t="shared" si="2"/>
        <v>100</v>
      </c>
      <c r="X13" s="1090"/>
      <c r="Y13" s="3179"/>
      <c r="Z13" s="1103">
        <f t="shared" si="7"/>
        <v>111</v>
      </c>
      <c r="AA13" s="1102">
        <f t="shared" si="3"/>
        <v>1</v>
      </c>
      <c r="AB13" s="1102">
        <f t="shared" si="4"/>
        <v>1</v>
      </c>
      <c r="AC13" s="1102">
        <f t="shared" si="5"/>
        <v>1</v>
      </c>
    </row>
    <row r="14" spans="1:29" ht="85.5">
      <c r="A14" s="899" t="s">
        <v>1377</v>
      </c>
      <c r="B14" s="936" t="s">
        <v>1380</v>
      </c>
      <c r="C14" s="937" t="str">
        <f>IF(B1="工业",估价对象房地状况!G4,估价对象房地状况!C6)</f>
        <v>估价对象周边道路状况、公共交通通达情况、停车便捷程度，综合评价交通便捷度较好</v>
      </c>
      <c r="D14" s="938">
        <v>100</v>
      </c>
      <c r="E14" s="939"/>
      <c r="F14" s="1289">
        <f>SUMIF(63:63,E15,64:64)-SUMIF(63:63,C15,64:64)+100</f>
        <v>100</v>
      </c>
      <c r="G14" s="1058"/>
      <c r="H14" s="938">
        <f>SUMIF(63:63,G15,64:64)-SUMIF(63:63,C15,64:64)+100</f>
        <v>100</v>
      </c>
      <c r="I14" s="939"/>
      <c r="J14" s="938">
        <f>SUMIF(63:63,I15,64:64)-SUMIF(63:63,C15,64:64)+100</f>
        <v>100</v>
      </c>
      <c r="K14" s="1328"/>
      <c r="L14" s="1057"/>
      <c r="M14" s="1045"/>
      <c r="N14" s="1045"/>
      <c r="O14" s="1045"/>
      <c r="P14" s="3293" t="s">
        <v>1379</v>
      </c>
      <c r="Q14" s="656" t="str">
        <f t="shared" si="6"/>
        <v>交通便捷度</v>
      </c>
      <c r="R14" s="1093" t="s">
        <v>1367</v>
      </c>
      <c r="S14" s="1094">
        <f t="shared" si="0"/>
        <v>100</v>
      </c>
      <c r="T14" s="1093" t="s">
        <v>1367</v>
      </c>
      <c r="U14" s="1094">
        <f t="shared" si="1"/>
        <v>100</v>
      </c>
      <c r="V14" s="1093" t="s">
        <v>1367</v>
      </c>
      <c r="W14" s="1094">
        <f t="shared" si="2"/>
        <v>100</v>
      </c>
      <c r="X14" s="1087"/>
      <c r="Y14" s="3293" t="s">
        <v>1379</v>
      </c>
      <c r="Z14" s="1077" t="str">
        <f t="shared" si="7"/>
        <v>交通便捷度</v>
      </c>
      <c r="AA14" s="1104">
        <f t="shared" si="3"/>
        <v>1</v>
      </c>
      <c r="AB14" s="1104">
        <f t="shared" si="4"/>
        <v>1</v>
      </c>
      <c r="AC14" s="1104">
        <f t="shared" si="5"/>
        <v>1</v>
      </c>
    </row>
    <row r="15" spans="1:29" ht="15">
      <c r="A15" s="901"/>
      <c r="B15" s="1359"/>
      <c r="C15" s="941"/>
      <c r="D15" s="942"/>
      <c r="E15" s="941"/>
      <c r="F15" s="1290"/>
      <c r="G15" s="941"/>
      <c r="H15" s="944"/>
      <c r="I15" s="941"/>
      <c r="J15" s="942"/>
      <c r="K15" s="1329"/>
      <c r="L15" s="1057"/>
      <c r="M15" s="1045"/>
      <c r="N15" s="1045"/>
      <c r="O15" s="1045"/>
      <c r="P15" s="3294"/>
      <c r="Q15" s="656"/>
      <c r="R15" s="1093"/>
      <c r="S15" s="1094"/>
      <c r="T15" s="1093"/>
      <c r="U15" s="1094"/>
      <c r="V15" s="1093"/>
      <c r="W15" s="1094"/>
      <c r="X15" s="1087"/>
      <c r="Y15" s="3294"/>
      <c r="Z15" s="1077"/>
      <c r="AA15" s="1104">
        <v>1</v>
      </c>
      <c r="AB15" s="1104">
        <v>1</v>
      </c>
      <c r="AC15" s="1104">
        <v>1</v>
      </c>
    </row>
    <row r="16" spans="1:29" ht="42.75">
      <c r="A16" s="901"/>
      <c r="B16" s="945" t="s">
        <v>1381</v>
      </c>
      <c r="C16" s="946" t="str">
        <f>IF(B1="工业",估价对象房地状况!G5,估价对象房地状况!C7)</f>
        <v>估价对象所在区域公共配套设施齐备情况</v>
      </c>
      <c r="D16" s="948">
        <v>100</v>
      </c>
      <c r="E16" s="1239"/>
      <c r="F16" s="1291">
        <f>SUMIF(65:65,E17,66:66)-SUMIF(65:65,C17,66:66)+100</f>
        <v>100</v>
      </c>
      <c r="G16" s="1248"/>
      <c r="H16" s="948">
        <f>SUMIF(65:65,G17,66:66)-SUMIF(65:65,C17,66:66)+100</f>
        <v>100</v>
      </c>
      <c r="I16" s="1239"/>
      <c r="J16" s="948">
        <f>SUMIF(65:65,I17,66:66)-SUMIF(65:65,C17,66:66)+100</f>
        <v>100</v>
      </c>
      <c r="K16" s="1328"/>
      <c r="L16" s="1057"/>
      <c r="M16" s="1045"/>
      <c r="N16" s="1045"/>
      <c r="O16" s="1045"/>
      <c r="P16" s="3294"/>
      <c r="Q16" s="656" t="str">
        <f>B16</f>
        <v>公共配套设施</v>
      </c>
      <c r="R16" s="1093" t="s">
        <v>1367</v>
      </c>
      <c r="S16" s="1094">
        <f>F16</f>
        <v>100</v>
      </c>
      <c r="T16" s="1093" t="s">
        <v>1367</v>
      </c>
      <c r="U16" s="1094">
        <f>H16</f>
        <v>100</v>
      </c>
      <c r="V16" s="1093" t="s">
        <v>1367</v>
      </c>
      <c r="W16" s="1094">
        <f>J16</f>
        <v>100</v>
      </c>
      <c r="X16" s="1087"/>
      <c r="Y16" s="3294"/>
      <c r="Z16" s="1077" t="str">
        <f>Q16</f>
        <v>公共配套设施</v>
      </c>
      <c r="AA16" s="1104">
        <f t="shared" si="3"/>
        <v>1</v>
      </c>
      <c r="AB16" s="1104">
        <f t="shared" si="4"/>
        <v>1</v>
      </c>
      <c r="AC16" s="1104">
        <f t="shared" si="5"/>
        <v>1</v>
      </c>
    </row>
    <row r="17" spans="1:29" ht="15">
      <c r="A17" s="901"/>
      <c r="B17" s="949"/>
      <c r="C17" s="1237"/>
      <c r="D17" s="942"/>
      <c r="E17" s="941"/>
      <c r="F17" s="1290"/>
      <c r="G17" s="941"/>
      <c r="H17" s="942"/>
      <c r="I17" s="941"/>
      <c r="J17" s="942"/>
      <c r="K17" s="1329"/>
      <c r="L17" s="1057"/>
      <c r="M17" s="1045"/>
      <c r="N17" s="1045"/>
      <c r="O17" s="1045"/>
      <c r="P17" s="3294"/>
      <c r="Q17" s="656"/>
      <c r="R17" s="1093"/>
      <c r="S17" s="1094"/>
      <c r="T17" s="1093"/>
      <c r="U17" s="1094"/>
      <c r="V17" s="1093"/>
      <c r="W17" s="1094"/>
      <c r="X17" s="1087"/>
      <c r="Y17" s="3294"/>
      <c r="Z17" s="1077"/>
      <c r="AA17" s="1104">
        <v>1</v>
      </c>
      <c r="AB17" s="1104">
        <v>1</v>
      </c>
      <c r="AC17" s="1104">
        <v>1</v>
      </c>
    </row>
    <row r="18" spans="1:29" ht="28.5">
      <c r="A18" s="901"/>
      <c r="B18" s="952" t="s">
        <v>1382</v>
      </c>
      <c r="C18" s="946" t="str">
        <f>IF(B1="工业",估价对象房地状况!G6,估价对象房地状况!C8)</f>
        <v>估价对象所在区域基础设施水平</v>
      </c>
      <c r="D18" s="944">
        <v>100</v>
      </c>
      <c r="E18" s="947"/>
      <c r="F18" s="1291">
        <f>SUMIF(67:67,E19,68:68)-SUMIF(67:67,C19,68:68)+100</f>
        <v>100</v>
      </c>
      <c r="G18" s="1059"/>
      <c r="H18" s="948">
        <f>SUMIF(67:67,G19,68:68)-SUMIF(67:67,C19,68:68)+100</f>
        <v>100</v>
      </c>
      <c r="I18" s="947"/>
      <c r="J18" s="948">
        <f>SUMIF(67:67,I19,68:68)-SUMIF(67:67,C19,68:68)+100</f>
        <v>100</v>
      </c>
      <c r="K18" s="1328"/>
      <c r="L18" s="1057"/>
      <c r="M18" s="1045"/>
      <c r="N18" s="1045"/>
      <c r="O18" s="1045"/>
      <c r="P18" s="3294"/>
      <c r="Q18" s="656" t="str">
        <f>B18</f>
        <v>基础设施水平</v>
      </c>
      <c r="R18" s="1093" t="s">
        <v>1367</v>
      </c>
      <c r="S18" s="1094">
        <f>F18</f>
        <v>100</v>
      </c>
      <c r="T18" s="1093" t="s">
        <v>1367</v>
      </c>
      <c r="U18" s="1094">
        <f>H18</f>
        <v>100</v>
      </c>
      <c r="V18" s="1093" t="s">
        <v>1367</v>
      </c>
      <c r="W18" s="1094">
        <f>J18</f>
        <v>100</v>
      </c>
      <c r="X18" s="1087"/>
      <c r="Y18" s="3294"/>
      <c r="Z18" s="1077" t="str">
        <f>Q18</f>
        <v>基础设施水平</v>
      </c>
      <c r="AA18" s="1104">
        <f>D18/F18</f>
        <v>1</v>
      </c>
      <c r="AB18" s="1104">
        <f>D18/H18</f>
        <v>1</v>
      </c>
      <c r="AC18" s="1104">
        <f>D18/J18</f>
        <v>1</v>
      </c>
    </row>
    <row r="19" spans="1:29" ht="15">
      <c r="A19" s="901"/>
      <c r="B19" s="952"/>
      <c r="C19" s="1237"/>
      <c r="D19" s="944"/>
      <c r="E19" s="1237"/>
      <c r="F19" s="1292"/>
      <c r="G19" s="1237"/>
      <c r="H19" s="942"/>
      <c r="I19" s="941"/>
      <c r="J19" s="942"/>
      <c r="K19" s="1330"/>
      <c r="L19" s="1057"/>
      <c r="M19" s="1045"/>
      <c r="N19" s="1045"/>
      <c r="O19" s="1045"/>
      <c r="P19" s="3294"/>
      <c r="Q19" s="656"/>
      <c r="R19" s="1093"/>
      <c r="S19" s="1094"/>
      <c r="T19" s="1093"/>
      <c r="U19" s="1094"/>
      <c r="V19" s="1093"/>
      <c r="W19" s="1094"/>
      <c r="X19" s="1087"/>
      <c r="Y19" s="3294"/>
      <c r="Z19" s="1077"/>
      <c r="AA19" s="1104">
        <v>1</v>
      </c>
      <c r="AB19" s="1104">
        <v>1</v>
      </c>
      <c r="AC19" s="1104">
        <v>1</v>
      </c>
    </row>
    <row r="20" spans="1:29" ht="57">
      <c r="A20" s="901"/>
      <c r="B20" s="945" t="s">
        <v>1383</v>
      </c>
      <c r="C20" s="946" t="str">
        <f>IF(B1="工业",估价对象房地状况!G7,估价对象房地状况!C9)</f>
        <v>区域自然环境：；人文环境；综合评价环境状况一般</v>
      </c>
      <c r="D20" s="948">
        <v>100</v>
      </c>
      <c r="E20" s="1239"/>
      <c r="F20" s="1291">
        <f>SUMIF(69:69,E21,70:70)-SUMIF(69:69,C21,70:70)+100</f>
        <v>100</v>
      </c>
      <c r="G20" s="1248"/>
      <c r="H20" s="944">
        <f>SUMIF(69:69,G21,70:70)-SUMIF(69:69,C21,70:70)+100</f>
        <v>100</v>
      </c>
      <c r="I20" s="947"/>
      <c r="J20" s="944">
        <f>SUMIF(69:69,I21,70:70)-SUMIF(69:69,C21,70:70)+100</f>
        <v>100</v>
      </c>
      <c r="K20" s="1328"/>
      <c r="L20" s="1057"/>
      <c r="M20" s="1045"/>
      <c r="N20" s="1045"/>
      <c r="O20" s="1045"/>
      <c r="P20" s="3294"/>
      <c r="Q20" s="656" t="str">
        <f>B20</f>
        <v>自然及人文环境</v>
      </c>
      <c r="R20" s="1093" t="s">
        <v>1367</v>
      </c>
      <c r="S20" s="1094">
        <f>F20</f>
        <v>100</v>
      </c>
      <c r="T20" s="1093" t="s">
        <v>1367</v>
      </c>
      <c r="U20" s="1094">
        <f>H20</f>
        <v>100</v>
      </c>
      <c r="V20" s="1093" t="s">
        <v>1367</v>
      </c>
      <c r="W20" s="1094">
        <f>J20</f>
        <v>100</v>
      </c>
      <c r="X20" s="1087"/>
      <c r="Y20" s="3294"/>
      <c r="Z20" s="1077" t="str">
        <f>Q20</f>
        <v>自然及人文环境</v>
      </c>
      <c r="AA20" s="1104">
        <f t="shared" si="3"/>
        <v>1</v>
      </c>
      <c r="AB20" s="1104">
        <f t="shared" si="4"/>
        <v>1</v>
      </c>
      <c r="AC20" s="1104">
        <f t="shared" si="5"/>
        <v>1</v>
      </c>
    </row>
    <row r="21" spans="1:29" ht="15">
      <c r="A21" s="901"/>
      <c r="B21" s="949"/>
      <c r="C21" s="941"/>
      <c r="D21" s="942"/>
      <c r="E21" s="941"/>
      <c r="F21" s="1290"/>
      <c r="G21" s="941"/>
      <c r="H21" s="942"/>
      <c r="I21" s="941"/>
      <c r="J21" s="942"/>
      <c r="K21" s="1329"/>
      <c r="L21" s="1057"/>
      <c r="M21" s="1045"/>
      <c r="N21" s="1045"/>
      <c r="O21" s="1045"/>
      <c r="P21" s="3294"/>
      <c r="Q21" s="656"/>
      <c r="R21" s="1093"/>
      <c r="S21" s="1094"/>
      <c r="T21" s="1093"/>
      <c r="U21" s="1094"/>
      <c r="V21" s="1093"/>
      <c r="W21" s="1094"/>
      <c r="X21" s="1087"/>
      <c r="Y21" s="3294"/>
      <c r="Z21" s="1077"/>
      <c r="AA21" s="1104">
        <v>1</v>
      </c>
      <c r="AB21" s="1104">
        <v>1</v>
      </c>
      <c r="AC21" s="1104">
        <v>1</v>
      </c>
    </row>
    <row r="22" spans="1:29" ht="15">
      <c r="A22" s="901"/>
      <c r="B22" s="945" t="s">
        <v>1451</v>
      </c>
      <c r="C22" s="955"/>
      <c r="D22" s="944">
        <v>100</v>
      </c>
      <c r="E22" s="955"/>
      <c r="F22" s="1293">
        <f>SUMIF(71:71,E22,72:72)-SUMIF(71:71,C22,72:72)+100</f>
        <v>100</v>
      </c>
      <c r="G22" s="955"/>
      <c r="H22" s="930">
        <f>SUMIF(71:71,G22,72:72)-SUMIF(71:71,C22,72:72)+100</f>
        <v>100</v>
      </c>
      <c r="I22" s="955"/>
      <c r="J22" s="930">
        <f>SUMIF(71:71,I22,72:72)-SUMIF(71:71,C22,72:72)+100</f>
        <v>100</v>
      </c>
      <c r="K22" s="1063"/>
      <c r="L22" s="1057"/>
      <c r="M22" s="1045"/>
      <c r="N22" s="1045"/>
      <c r="O22" s="1045"/>
      <c r="P22" s="3294"/>
      <c r="Q22" s="656" t="str">
        <f>B22</f>
        <v>楼层</v>
      </c>
      <c r="R22" s="1093" t="s">
        <v>1367</v>
      </c>
      <c r="S22" s="1094">
        <f>F22</f>
        <v>100</v>
      </c>
      <c r="T22" s="1093" t="s">
        <v>1367</v>
      </c>
      <c r="U22" s="1094">
        <f>H22</f>
        <v>100</v>
      </c>
      <c r="V22" s="1093" t="s">
        <v>1367</v>
      </c>
      <c r="W22" s="1094">
        <f>J22</f>
        <v>100</v>
      </c>
      <c r="X22" s="1087"/>
      <c r="Y22" s="3294"/>
      <c r="Z22" s="1077" t="str">
        <f>Q22</f>
        <v>楼层</v>
      </c>
      <c r="AA22" s="1104">
        <f t="shared" si="3"/>
        <v>1</v>
      </c>
      <c r="AB22" s="1104">
        <f t="shared" si="4"/>
        <v>1</v>
      </c>
      <c r="AC22" s="1104">
        <f t="shared" si="5"/>
        <v>1</v>
      </c>
    </row>
    <row r="23" spans="1:29" ht="15">
      <c r="A23" s="901"/>
      <c r="B23" s="1360">
        <v>111</v>
      </c>
      <c r="C23" s="919"/>
      <c r="D23" s="930">
        <v>100</v>
      </c>
      <c r="E23" s="919"/>
      <c r="F23" s="1293">
        <f>SUMIF(73:73,E23,74:74)-SUMIF(73:73,C23,74:74)+100</f>
        <v>100</v>
      </c>
      <c r="G23" s="919"/>
      <c r="H23" s="930">
        <f>SUMIF(73:73,G23,74:74)-SUMIF(73:73,C23,74:74)+100</f>
        <v>100</v>
      </c>
      <c r="I23" s="919"/>
      <c r="J23" s="930">
        <f>SUMIF(73:73,I23,74:74)-SUMIF(73:73,C23,74:74)+100</f>
        <v>100</v>
      </c>
      <c r="K23" s="1062"/>
      <c r="L23" s="1057"/>
      <c r="M23" s="1045"/>
      <c r="N23" s="1045"/>
      <c r="O23" s="1045"/>
      <c r="P23" s="3294"/>
      <c r="Q23" s="656">
        <f>B23</f>
        <v>111</v>
      </c>
      <c r="R23" s="1093" t="s">
        <v>1367</v>
      </c>
      <c r="S23" s="1094">
        <f>F23</f>
        <v>100</v>
      </c>
      <c r="T23" s="1093" t="s">
        <v>1367</v>
      </c>
      <c r="U23" s="1094">
        <f>H23</f>
        <v>100</v>
      </c>
      <c r="V23" s="1093" t="s">
        <v>1367</v>
      </c>
      <c r="W23" s="1094">
        <f>J23</f>
        <v>100</v>
      </c>
      <c r="X23" s="1087"/>
      <c r="Y23" s="3294"/>
      <c r="Z23" s="1077">
        <f>Q23</f>
        <v>111</v>
      </c>
      <c r="AA23" s="1104">
        <f t="shared" si="3"/>
        <v>1</v>
      </c>
      <c r="AB23" s="1104">
        <f t="shared" si="4"/>
        <v>1</v>
      </c>
      <c r="AC23" s="1104">
        <f t="shared" si="5"/>
        <v>1</v>
      </c>
    </row>
    <row r="24" spans="1:29" ht="15">
      <c r="A24" s="901"/>
      <c r="B24" s="1360">
        <v>111</v>
      </c>
      <c r="C24" s="919"/>
      <c r="D24" s="930">
        <v>100</v>
      </c>
      <c r="E24" s="919"/>
      <c r="F24" s="1293">
        <f>SUMIF(75:75,E24,76:76)-SUMIF(75:75,C24,76:76)+100</f>
        <v>100</v>
      </c>
      <c r="G24" s="919"/>
      <c r="H24" s="930">
        <f>SUMIF(75:75,G24,76:76)-SUMIF(75:75,C24,76:76)+100</f>
        <v>100</v>
      </c>
      <c r="I24" s="919"/>
      <c r="J24" s="930">
        <f>SUMIF(75:75,I24,76:76)-SUMIF(75:75,C24,76:76)+100</f>
        <v>100</v>
      </c>
      <c r="K24" s="1062"/>
      <c r="L24" s="1057"/>
      <c r="M24" s="1045"/>
      <c r="N24" s="1045"/>
      <c r="O24" s="1045"/>
      <c r="P24" s="3294"/>
      <c r="Q24" s="656">
        <f t="shared" ref="Q24:Q36" si="8">B24</f>
        <v>111</v>
      </c>
      <c r="R24" s="1093" t="s">
        <v>1367</v>
      </c>
      <c r="S24" s="1094">
        <f>F24</f>
        <v>100</v>
      </c>
      <c r="T24" s="1093" t="s">
        <v>1367</v>
      </c>
      <c r="U24" s="1094">
        <f>H24</f>
        <v>100</v>
      </c>
      <c r="V24" s="1093" t="s">
        <v>1367</v>
      </c>
      <c r="W24" s="1094">
        <f>J24</f>
        <v>100</v>
      </c>
      <c r="X24" s="1087"/>
      <c r="Y24" s="3294"/>
      <c r="Z24" s="1077">
        <f>Q24</f>
        <v>111</v>
      </c>
      <c r="AA24" s="1104">
        <f t="shared" si="3"/>
        <v>1</v>
      </c>
      <c r="AB24" s="1104">
        <f t="shared" si="4"/>
        <v>1</v>
      </c>
      <c r="AC24" s="1104">
        <f t="shared" si="5"/>
        <v>1</v>
      </c>
    </row>
    <row r="25" spans="1:29" s="880" customFormat="1" ht="15">
      <c r="A25" s="951"/>
      <c r="B25" s="1361">
        <v>111</v>
      </c>
      <c r="C25" s="933"/>
      <c r="D25" s="1362">
        <v>100</v>
      </c>
      <c r="E25" s="1363"/>
      <c r="F25" s="1364">
        <f>SUMIF(77:77,E25,78:78)-SUMIF(77:77,C25,78:78)+100</f>
        <v>100</v>
      </c>
      <c r="G25" s="1363"/>
      <c r="H25" s="1362">
        <f>SUMIF(77:77,G25,78:78)-SUMIF(77:77,C25,78:78)+100</f>
        <v>100</v>
      </c>
      <c r="I25" s="1363"/>
      <c r="J25" s="1362">
        <f>SUMIF(77:77,I25,78:78)-SUMIF(77:77,C25,78:78)+100</f>
        <v>100</v>
      </c>
      <c r="K25" s="1062"/>
      <c r="L25" s="1047"/>
      <c r="M25" s="1048"/>
      <c r="N25" s="1048"/>
      <c r="O25" s="1048"/>
      <c r="P25" s="3294"/>
      <c r="Q25" s="1092">
        <f t="shared" si="8"/>
        <v>111</v>
      </c>
      <c r="R25" s="1088" t="s">
        <v>1367</v>
      </c>
      <c r="S25" s="1089">
        <f>F25</f>
        <v>100</v>
      </c>
      <c r="T25" s="1088" t="s">
        <v>1367</v>
      </c>
      <c r="U25" s="1089">
        <f>H25</f>
        <v>100</v>
      </c>
      <c r="V25" s="1088" t="s">
        <v>1367</v>
      </c>
      <c r="W25" s="1089">
        <f>J25</f>
        <v>100</v>
      </c>
      <c r="X25" s="1090"/>
      <c r="Y25" s="3294"/>
      <c r="Z25" s="1103">
        <f>Q25</f>
        <v>111</v>
      </c>
      <c r="AA25" s="1104">
        <f t="shared" si="3"/>
        <v>1</v>
      </c>
      <c r="AB25" s="1104">
        <f t="shared" si="4"/>
        <v>1</v>
      </c>
      <c r="AC25" s="1104">
        <f t="shared" si="5"/>
        <v>1</v>
      </c>
    </row>
    <row r="26" spans="1:29" ht="28.5">
      <c r="A26" s="1365" t="s">
        <v>1386</v>
      </c>
      <c r="B26" s="1366" t="s">
        <v>1472</v>
      </c>
      <c r="C26" s="1367">
        <f>B1</f>
        <v>0</v>
      </c>
      <c r="D26" s="942">
        <v>100</v>
      </c>
      <c r="E26" s="941"/>
      <c r="F26" s="1290">
        <f>SUMIF(79:79,E26,80:80)-SUMIF(79:79,C26,80:80)+100</f>
        <v>100</v>
      </c>
      <c r="G26" s="941"/>
      <c r="H26" s="942">
        <f>SUMIF(79:79,G26,80:80)-SUMIF(79:79,C26,80:80)+100</f>
        <v>100</v>
      </c>
      <c r="I26" s="941"/>
      <c r="J26" s="942">
        <f>SUMIF(79:79,I26,80:80)-SUMIF(79:79,C26,80:80)+100</f>
        <v>100</v>
      </c>
      <c r="K26" s="1063"/>
      <c r="L26" s="1057"/>
      <c r="M26" s="1045"/>
      <c r="N26" s="1045"/>
      <c r="O26" s="1045"/>
      <c r="P26" s="3295" t="s">
        <v>1388</v>
      </c>
      <c r="Q26" s="656" t="str">
        <f t="shared" si="8"/>
        <v>配套类型</v>
      </c>
      <c r="R26" s="1093" t="s">
        <v>1367</v>
      </c>
      <c r="S26" s="1094">
        <f t="shared" ref="S26:S36" si="9">F26</f>
        <v>100</v>
      </c>
      <c r="T26" s="1093" t="s">
        <v>1367</v>
      </c>
      <c r="U26" s="1094">
        <f t="shared" ref="U26:U36" si="10">H26</f>
        <v>100</v>
      </c>
      <c r="V26" s="1093" t="s">
        <v>1367</v>
      </c>
      <c r="W26" s="1094">
        <f t="shared" ref="W26:W36" si="11">J26</f>
        <v>100</v>
      </c>
      <c r="X26" s="1087"/>
      <c r="Y26" s="3296" t="s">
        <v>1388</v>
      </c>
      <c r="Z26" s="1077" t="str">
        <f t="shared" ref="Z26:Z36" si="12">Q26</f>
        <v>配套类型</v>
      </c>
      <c r="AA26" s="1104">
        <f t="shared" si="3"/>
        <v>1</v>
      </c>
      <c r="AB26" s="1104">
        <f t="shared" si="4"/>
        <v>1</v>
      </c>
      <c r="AC26" s="1104">
        <f t="shared" si="5"/>
        <v>1</v>
      </c>
    </row>
    <row r="27" spans="1:29" s="882" customFormat="1" ht="15">
      <c r="A27" s="1368"/>
      <c r="B27" s="958" t="s">
        <v>1473</v>
      </c>
      <c r="C27" s="1369"/>
      <c r="D27" s="920">
        <v>100</v>
      </c>
      <c r="E27" s="1369"/>
      <c r="F27" s="1293">
        <f>SUMIF(81:81,E27,82:82)-SUMIF(81:81,C27,82:82)+100</f>
        <v>100</v>
      </c>
      <c r="G27" s="1369"/>
      <c r="H27" s="930">
        <f>SUMIF(81:81,G27,82:82)-SUMIF(81:81,C27,82:82)+100</f>
        <v>100</v>
      </c>
      <c r="I27" s="1369"/>
      <c r="J27" s="930">
        <f>SUMIF(81:81,I27,82:82)-SUMIF(81:81,C27,82:82)+100</f>
        <v>100</v>
      </c>
      <c r="K27" s="1062"/>
      <c r="L27" s="1055"/>
      <c r="M27" s="1064"/>
      <c r="N27" s="1064"/>
      <c r="O27" s="1064"/>
      <c r="P27" s="3296"/>
      <c r="Q27" s="1332" t="str">
        <f t="shared" si="8"/>
        <v>项目停车位配比</v>
      </c>
      <c r="R27" s="1095" t="s">
        <v>1367</v>
      </c>
      <c r="S27" s="1096">
        <f t="shared" si="9"/>
        <v>100</v>
      </c>
      <c r="T27" s="1095" t="s">
        <v>1367</v>
      </c>
      <c r="U27" s="1096">
        <f t="shared" si="10"/>
        <v>100</v>
      </c>
      <c r="V27" s="1095" t="s">
        <v>1367</v>
      </c>
      <c r="W27" s="1096">
        <f t="shared" si="11"/>
        <v>100</v>
      </c>
      <c r="X27" s="1097"/>
      <c r="Y27" s="3296"/>
      <c r="Z27" s="1105" t="str">
        <f t="shared" si="12"/>
        <v>项目停车位配比</v>
      </c>
      <c r="AA27" s="1104">
        <f t="shared" si="3"/>
        <v>1</v>
      </c>
      <c r="AB27" s="1104">
        <f t="shared" si="4"/>
        <v>1</v>
      </c>
      <c r="AC27" s="1104">
        <f t="shared" si="5"/>
        <v>1</v>
      </c>
    </row>
    <row r="28" spans="1:29" ht="15">
      <c r="A28" s="1370"/>
      <c r="B28" s="958" t="s">
        <v>1392</v>
      </c>
      <c r="C28" s="1303"/>
      <c r="D28" s="930">
        <v>100</v>
      </c>
      <c r="E28" s="1303"/>
      <c r="F28" s="1293">
        <f>SUMIF(83:83,E28,84:84)-SUMIF(83:83,C28,84:84)+100</f>
        <v>100</v>
      </c>
      <c r="G28" s="1303"/>
      <c r="H28" s="930">
        <f>SUMIF(83:83,G28,84:84)-SUMIF(83:83,C28,84:84)+100</f>
        <v>100</v>
      </c>
      <c r="I28" s="1303"/>
      <c r="J28" s="930">
        <f>SUMIF(83:83,I28,84:84)-SUMIF(83:83,C28,84:84)+100</f>
        <v>100</v>
      </c>
      <c r="K28" s="1063"/>
      <c r="L28" s="1057"/>
      <c r="M28" s="1045"/>
      <c r="N28" s="1045"/>
      <c r="O28" s="1045"/>
      <c r="P28" s="3296"/>
      <c r="Q28" s="656" t="str">
        <f t="shared" si="8"/>
        <v>公共部分装修</v>
      </c>
      <c r="R28" s="1093" t="s">
        <v>1367</v>
      </c>
      <c r="S28" s="1094">
        <f t="shared" si="9"/>
        <v>100</v>
      </c>
      <c r="T28" s="1093" t="s">
        <v>1367</v>
      </c>
      <c r="U28" s="1094">
        <f t="shared" si="10"/>
        <v>100</v>
      </c>
      <c r="V28" s="1093" t="s">
        <v>1367</v>
      </c>
      <c r="W28" s="1094">
        <f t="shared" si="11"/>
        <v>100</v>
      </c>
      <c r="X28" s="1087"/>
      <c r="Y28" s="3296"/>
      <c r="Z28" s="1077" t="str">
        <f t="shared" si="12"/>
        <v>公共部分装修</v>
      </c>
      <c r="AA28" s="1104">
        <f t="shared" si="3"/>
        <v>1</v>
      </c>
      <c r="AB28" s="1104">
        <f t="shared" si="4"/>
        <v>1</v>
      </c>
      <c r="AC28" s="1104">
        <f t="shared" si="5"/>
        <v>1</v>
      </c>
    </row>
    <row r="29" spans="1:29" ht="15">
      <c r="A29" s="1370"/>
      <c r="B29" s="958" t="s">
        <v>1474</v>
      </c>
      <c r="C29" s="1287"/>
      <c r="D29" s="930">
        <v>100</v>
      </c>
      <c r="E29" s="1300"/>
      <c r="F29" s="1293" t="e">
        <f>LOOKUP(E29,86:86,87:87)-LOOKUP(C29,86:86,87:87)+100</f>
        <v>#N/A</v>
      </c>
      <c r="G29" s="1300"/>
      <c r="H29" s="1293" t="e">
        <f>LOOKUP(G29,86:86,87:87)-LOOKUP(C29,86:86,87:87)+100</f>
        <v>#N/A</v>
      </c>
      <c r="I29" s="1300"/>
      <c r="J29" s="930" t="e">
        <f>LOOKUP(I29,86:86,87:87)-LOOKUP(C29,86:86,87:87)+100</f>
        <v>#N/A</v>
      </c>
      <c r="K29" s="1063"/>
      <c r="L29" s="1057"/>
      <c r="M29" s="1045"/>
      <c r="N29" s="1045"/>
      <c r="O29" s="1045"/>
      <c r="P29" s="3296"/>
      <c r="Q29" s="656" t="str">
        <f t="shared" si="8"/>
        <v>成新率</v>
      </c>
      <c r="R29" s="1093" t="s">
        <v>1367</v>
      </c>
      <c r="S29" s="1094" t="e">
        <f t="shared" si="9"/>
        <v>#N/A</v>
      </c>
      <c r="T29" s="1093" t="s">
        <v>1367</v>
      </c>
      <c r="U29" s="1094" t="e">
        <f t="shared" si="10"/>
        <v>#N/A</v>
      </c>
      <c r="V29" s="1093" t="s">
        <v>1367</v>
      </c>
      <c r="W29" s="1094" t="e">
        <f t="shared" si="11"/>
        <v>#N/A</v>
      </c>
      <c r="X29" s="1087"/>
      <c r="Y29" s="3296"/>
      <c r="Z29" s="1077" t="str">
        <f t="shared" si="12"/>
        <v>成新率</v>
      </c>
      <c r="AA29" s="1104" t="e">
        <f t="shared" si="3"/>
        <v>#N/A</v>
      </c>
      <c r="AB29" s="1104" t="e">
        <f t="shared" si="4"/>
        <v>#N/A</v>
      </c>
      <c r="AC29" s="1104" t="e">
        <f t="shared" si="5"/>
        <v>#N/A</v>
      </c>
    </row>
    <row r="30" spans="1:29" ht="15">
      <c r="A30" s="1370"/>
      <c r="B30" s="958" t="s">
        <v>1475</v>
      </c>
      <c r="C30" s="1304"/>
      <c r="D30" s="930">
        <v>100</v>
      </c>
      <c r="E30" s="1304"/>
      <c r="F30" s="1293">
        <f>SUMIF(88:88,E30,89:89)-SUMIF(88:88,C30,89:89)+100</f>
        <v>100</v>
      </c>
      <c r="G30" s="1304"/>
      <c r="H30" s="930">
        <f>SUMIF(88:88,E30,89:89)-SUMIF(88:88,C30,89:89)+100</f>
        <v>100</v>
      </c>
      <c r="I30" s="1304"/>
      <c r="J30" s="930">
        <f>SUMIF(88:88,E30,89:89)-SUMIF(88:88,C30,89:89)+100</f>
        <v>100</v>
      </c>
      <c r="K30" s="1063"/>
      <c r="L30" s="1057"/>
      <c r="M30" s="1045"/>
      <c r="N30" s="1045"/>
      <c r="O30" s="1045"/>
      <c r="P30" s="3296"/>
      <c r="Q30" s="656" t="str">
        <f t="shared" si="8"/>
        <v>物业等级</v>
      </c>
      <c r="R30" s="1093" t="s">
        <v>1367</v>
      </c>
      <c r="S30" s="1094">
        <f t="shared" si="9"/>
        <v>100</v>
      </c>
      <c r="T30" s="1093" t="s">
        <v>1367</v>
      </c>
      <c r="U30" s="1094">
        <f t="shared" si="10"/>
        <v>100</v>
      </c>
      <c r="V30" s="1093" t="s">
        <v>1367</v>
      </c>
      <c r="W30" s="1094">
        <f t="shared" si="11"/>
        <v>100</v>
      </c>
      <c r="X30" s="1087"/>
      <c r="Y30" s="3296"/>
      <c r="Z30" s="1077" t="str">
        <f t="shared" si="12"/>
        <v>物业等级</v>
      </c>
      <c r="AA30" s="1104">
        <f t="shared" si="3"/>
        <v>1</v>
      </c>
      <c r="AB30" s="1104">
        <f t="shared" si="4"/>
        <v>1</v>
      </c>
      <c r="AC30" s="1104">
        <f t="shared" si="5"/>
        <v>1</v>
      </c>
    </row>
    <row r="31" spans="1:29" s="880" customFormat="1" ht="15">
      <c r="A31" s="1371"/>
      <c r="B31" s="958" t="s">
        <v>1476</v>
      </c>
      <c r="C31" s="1287"/>
      <c r="D31" s="920">
        <v>100</v>
      </c>
      <c r="E31" s="1287"/>
      <c r="F31" s="1293" t="e">
        <f>LOOKUP(E31,91:91,92:92)-LOOKUP(C31,91:91,92:92)+100</f>
        <v>#N/A</v>
      </c>
      <c r="G31" s="1287"/>
      <c r="H31" s="930" t="e">
        <f>LOOKUP(G31,91:91,92:92)-LOOKUP(C31,91:91,92:92)+100</f>
        <v>#N/A</v>
      </c>
      <c r="I31" s="1287"/>
      <c r="J31" s="930" t="e">
        <f>LOOKUP(I31,91:91,92:92)-LOOKUP(C31,91:91,92:92)+100</f>
        <v>#N/A</v>
      </c>
      <c r="K31" s="1063"/>
      <c r="L31" s="1047"/>
      <c r="M31" s="1048"/>
      <c r="N31" s="1048"/>
      <c r="O31" s="1048"/>
      <c r="P31" s="3296"/>
      <c r="Q31" s="1092" t="str">
        <f t="shared" si="8"/>
        <v>停车位面积</v>
      </c>
      <c r="R31" s="1088" t="s">
        <v>1367</v>
      </c>
      <c r="S31" s="1089" t="e">
        <f t="shared" si="9"/>
        <v>#N/A</v>
      </c>
      <c r="T31" s="1088" t="s">
        <v>1367</v>
      </c>
      <c r="U31" s="1089" t="e">
        <f t="shared" si="10"/>
        <v>#N/A</v>
      </c>
      <c r="V31" s="1088" t="s">
        <v>1367</v>
      </c>
      <c r="W31" s="1089" t="e">
        <f t="shared" si="11"/>
        <v>#N/A</v>
      </c>
      <c r="X31" s="1090"/>
      <c r="Y31" s="3296"/>
      <c r="Z31" s="1103" t="str">
        <f t="shared" si="12"/>
        <v>停车位面积</v>
      </c>
      <c r="AA31" s="1102" t="e">
        <f t="shared" si="3"/>
        <v>#N/A</v>
      </c>
      <c r="AB31" s="1102" t="e">
        <f t="shared" si="4"/>
        <v>#N/A</v>
      </c>
      <c r="AC31" s="1102" t="e">
        <f t="shared" si="5"/>
        <v>#N/A</v>
      </c>
    </row>
    <row r="32" spans="1:29" ht="15">
      <c r="A32" s="1370"/>
      <c r="B32" s="958" t="s">
        <v>1477</v>
      </c>
      <c r="C32" s="1303"/>
      <c r="D32" s="930">
        <v>100</v>
      </c>
      <c r="E32" s="1303"/>
      <c r="F32" s="1293">
        <f>SUMIF(93:93,E32,94:94)-SUMIF(93:93,C32,94:94)+100</f>
        <v>100</v>
      </c>
      <c r="G32" s="1303"/>
      <c r="H32" s="930">
        <f>SUMIF(93:93,G32,94:94)-SUMIF(93:93,C32,94:94)+100</f>
        <v>100</v>
      </c>
      <c r="I32" s="1303"/>
      <c r="J32" s="930">
        <f>SUMIF(93:93,I32,94:94)-SUMIF(93:93,C32,94:94)+100</f>
        <v>100</v>
      </c>
      <c r="K32" s="1063"/>
      <c r="L32" s="1057"/>
      <c r="M32" s="1045"/>
      <c r="N32" s="1045"/>
      <c r="O32" s="1045"/>
      <c r="P32" s="3296" t="s">
        <v>1388</v>
      </c>
      <c r="Q32" s="656" t="str">
        <f t="shared" si="8"/>
        <v>车位类型</v>
      </c>
      <c r="R32" s="1093" t="s">
        <v>1367</v>
      </c>
      <c r="S32" s="1094">
        <f t="shared" si="9"/>
        <v>100</v>
      </c>
      <c r="T32" s="1093" t="s">
        <v>1367</v>
      </c>
      <c r="U32" s="1094">
        <f t="shared" si="10"/>
        <v>100</v>
      </c>
      <c r="V32" s="1093" t="s">
        <v>1367</v>
      </c>
      <c r="W32" s="1094">
        <f t="shared" si="11"/>
        <v>100</v>
      </c>
      <c r="X32" s="1087"/>
      <c r="Y32" s="3296" t="s">
        <v>1388</v>
      </c>
      <c r="Z32" s="1077" t="str">
        <f t="shared" si="12"/>
        <v>车位类型</v>
      </c>
      <c r="AA32" s="1104">
        <f t="shared" si="3"/>
        <v>1</v>
      </c>
      <c r="AB32" s="1104">
        <f t="shared" si="4"/>
        <v>1</v>
      </c>
      <c r="AC32" s="1104">
        <f t="shared" si="5"/>
        <v>1</v>
      </c>
    </row>
    <row r="33" spans="1:29" ht="15">
      <c r="A33" s="1370"/>
      <c r="B33" s="958" t="s">
        <v>1478</v>
      </c>
      <c r="C33" s="1303"/>
      <c r="D33" s="930">
        <v>100</v>
      </c>
      <c r="E33" s="1303"/>
      <c r="F33" s="1293">
        <f>SUMIF(95:95,E33,96:96)-SUMIF(95:95,C33,96:96)+100</f>
        <v>100</v>
      </c>
      <c r="G33" s="1303"/>
      <c r="H33" s="930">
        <f>SUMIF(95:95,G33,96:96)-SUMIF(95:95,C33,96:96)+100</f>
        <v>100</v>
      </c>
      <c r="I33" s="1303"/>
      <c r="J33" s="930">
        <f>SUMIF(95:95,I33,96:96)-SUMIF(95:95,C33,96:96)+100</f>
        <v>100</v>
      </c>
      <c r="K33" s="1063"/>
      <c r="L33" s="1057"/>
      <c r="M33" s="1045"/>
      <c r="N33" s="1045"/>
      <c r="O33" s="1045"/>
      <c r="P33" s="3296"/>
      <c r="Q33" s="656" t="str">
        <f t="shared" si="8"/>
        <v>是否直接入户</v>
      </c>
      <c r="R33" s="1093" t="s">
        <v>1367</v>
      </c>
      <c r="S33" s="1094">
        <f t="shared" si="9"/>
        <v>100</v>
      </c>
      <c r="T33" s="1093" t="s">
        <v>1367</v>
      </c>
      <c r="U33" s="1094">
        <f t="shared" si="10"/>
        <v>100</v>
      </c>
      <c r="V33" s="1093" t="s">
        <v>1367</v>
      </c>
      <c r="W33" s="1094">
        <f t="shared" si="11"/>
        <v>100</v>
      </c>
      <c r="X33" s="1087"/>
      <c r="Y33" s="3296"/>
      <c r="Z33" s="1077" t="str">
        <f t="shared" si="12"/>
        <v>是否直接入户</v>
      </c>
      <c r="AA33" s="1104">
        <f t="shared" si="3"/>
        <v>1</v>
      </c>
      <c r="AB33" s="1104">
        <f t="shared" si="4"/>
        <v>1</v>
      </c>
      <c r="AC33" s="1104">
        <f t="shared" si="5"/>
        <v>1</v>
      </c>
    </row>
    <row r="34" spans="1:29" ht="15">
      <c r="A34" s="1370"/>
      <c r="B34" s="1360">
        <v>111</v>
      </c>
      <c r="C34" s="919"/>
      <c r="D34" s="930">
        <v>100</v>
      </c>
      <c r="E34" s="919"/>
      <c r="F34" s="1293">
        <f>SUMIF(97:97,E34,98:98)-SUMIF(97:97,C34,98:98)+100</f>
        <v>100</v>
      </c>
      <c r="G34" s="919"/>
      <c r="H34" s="930">
        <f>SUMIF(97:97,G34,98:98)-SUMIF(97:97,C34,98:98)+100</f>
        <v>100</v>
      </c>
      <c r="I34" s="919"/>
      <c r="J34" s="930">
        <f>SUMIF(97:97,I34,98:98)-SUMIF(97:97,C34,98:98)+100</f>
        <v>100</v>
      </c>
      <c r="K34" s="1062"/>
      <c r="L34" s="1057"/>
      <c r="M34" s="1045"/>
      <c r="N34" s="1045"/>
      <c r="O34" s="1045"/>
      <c r="P34" s="3296"/>
      <c r="Q34" s="656">
        <f t="shared" si="8"/>
        <v>111</v>
      </c>
      <c r="R34" s="1093" t="s">
        <v>1367</v>
      </c>
      <c r="S34" s="1094">
        <f t="shared" si="9"/>
        <v>100</v>
      </c>
      <c r="T34" s="1093" t="s">
        <v>1367</v>
      </c>
      <c r="U34" s="1094">
        <f t="shared" si="10"/>
        <v>100</v>
      </c>
      <c r="V34" s="1093" t="s">
        <v>1367</v>
      </c>
      <c r="W34" s="1094">
        <f t="shared" si="11"/>
        <v>100</v>
      </c>
      <c r="X34" s="1087"/>
      <c r="Y34" s="3296"/>
      <c r="Z34" s="1077">
        <f t="shared" si="12"/>
        <v>111</v>
      </c>
      <c r="AA34" s="1104">
        <f t="shared" si="3"/>
        <v>1</v>
      </c>
      <c r="AB34" s="1104">
        <f t="shared" si="4"/>
        <v>1</v>
      </c>
      <c r="AC34" s="1104">
        <f t="shared" si="5"/>
        <v>1</v>
      </c>
    </row>
    <row r="35" spans="1:29" s="882" customFormat="1" ht="15">
      <c r="A35" s="1368"/>
      <c r="B35" s="1360">
        <v>111</v>
      </c>
      <c r="C35" s="919"/>
      <c r="D35" s="930">
        <v>100</v>
      </c>
      <c r="E35" s="919"/>
      <c r="F35" s="1293">
        <f>SUMIF(99:99,E35,100:100)-SUMIF(99:99,C35,100:100)+100</f>
        <v>100</v>
      </c>
      <c r="G35" s="919"/>
      <c r="H35" s="930">
        <f>SUMIF(99:99,G35,100:100)-SUMIF(99:99,C35,100:100)+100</f>
        <v>100</v>
      </c>
      <c r="I35" s="919"/>
      <c r="J35" s="930">
        <f>SUMIF(99:99,I35,100:100)-SUMIF(99:99,C35,100:100)+100</f>
        <v>100</v>
      </c>
      <c r="K35" s="1062"/>
      <c r="L35" s="1055"/>
      <c r="M35" s="1064"/>
      <c r="N35" s="1064"/>
      <c r="O35" s="1064"/>
      <c r="P35" s="3296"/>
      <c r="Q35" s="1332">
        <f t="shared" si="8"/>
        <v>111</v>
      </c>
      <c r="R35" s="1095" t="s">
        <v>1367</v>
      </c>
      <c r="S35" s="1096">
        <f t="shared" si="9"/>
        <v>100</v>
      </c>
      <c r="T35" s="1095" t="s">
        <v>1367</v>
      </c>
      <c r="U35" s="1096">
        <f t="shared" si="10"/>
        <v>100</v>
      </c>
      <c r="V35" s="1095" t="s">
        <v>1367</v>
      </c>
      <c r="W35" s="1096">
        <f t="shared" si="11"/>
        <v>100</v>
      </c>
      <c r="X35" s="1097"/>
      <c r="Y35" s="3296"/>
      <c r="Z35" s="1105">
        <f t="shared" si="12"/>
        <v>111</v>
      </c>
      <c r="AA35" s="1104">
        <f t="shared" si="3"/>
        <v>1</v>
      </c>
      <c r="AB35" s="1104">
        <f t="shared" si="4"/>
        <v>1</v>
      </c>
      <c r="AC35" s="1104">
        <f t="shared" si="5"/>
        <v>1</v>
      </c>
    </row>
    <row r="36" spans="1:29" ht="15">
      <c r="A36" s="1372"/>
      <c r="B36" s="1361">
        <v>111</v>
      </c>
      <c r="C36" s="929"/>
      <c r="D36" s="930">
        <v>100</v>
      </c>
      <c r="E36" s="919"/>
      <c r="F36" s="1293">
        <f>SUMIF(101:101,E36,102:102)-SUMIF(101:101,C36,102:102)+100</f>
        <v>100</v>
      </c>
      <c r="G36" s="919"/>
      <c r="H36" s="930">
        <f>SUMIF(101:101,G36,102:102)-SUMIF(101:101,C36,102:102)+100</f>
        <v>100</v>
      </c>
      <c r="I36" s="919"/>
      <c r="J36" s="930">
        <f>SUMIF(101:101,I36,102:102)-SUMIF(101:101,C36,102:102)+100</f>
        <v>100</v>
      </c>
      <c r="K36" s="1062"/>
      <c r="L36" s="1057"/>
      <c r="M36" s="1045"/>
      <c r="N36" s="1045"/>
      <c r="O36" s="1045"/>
      <c r="P36" s="3296"/>
      <c r="Q36" s="656">
        <f t="shared" si="8"/>
        <v>111</v>
      </c>
      <c r="R36" s="1093" t="s">
        <v>1367</v>
      </c>
      <c r="S36" s="1094">
        <f t="shared" si="9"/>
        <v>100</v>
      </c>
      <c r="T36" s="1093" t="s">
        <v>1367</v>
      </c>
      <c r="U36" s="1094">
        <f t="shared" si="10"/>
        <v>100</v>
      </c>
      <c r="V36" s="1093" t="s">
        <v>1367</v>
      </c>
      <c r="W36" s="1094">
        <f t="shared" si="11"/>
        <v>100</v>
      </c>
      <c r="X36" s="1087"/>
      <c r="Y36" s="3296"/>
      <c r="Z36" s="1077">
        <f t="shared" si="12"/>
        <v>111</v>
      </c>
      <c r="AA36" s="1104">
        <f t="shared" si="3"/>
        <v>1</v>
      </c>
      <c r="AB36" s="1104">
        <f t="shared" si="4"/>
        <v>1</v>
      </c>
      <c r="AC36" s="1104">
        <f t="shared" si="5"/>
        <v>1</v>
      </c>
    </row>
    <row r="37" spans="1:29" ht="15">
      <c r="A37" s="979" t="s">
        <v>1479</v>
      </c>
      <c r="B37" s="1373" t="s">
        <v>1480</v>
      </c>
      <c r="C37" s="1308" t="s">
        <v>124</v>
      </c>
      <c r="D37" s="1309"/>
      <c r="E37" s="1310"/>
      <c r="F37" s="1311"/>
      <c r="G37" s="1312"/>
      <c r="H37" s="1313"/>
      <c r="I37" s="1310"/>
      <c r="J37" s="1313"/>
      <c r="K37" s="1382"/>
      <c r="L37" s="1069"/>
      <c r="M37" s="996"/>
      <c r="N37" s="1045"/>
      <c r="O37" s="996"/>
      <c r="P37" s="3276" t="str">
        <f>A37</f>
        <v>成交单价</v>
      </c>
      <c r="Q37" s="3276"/>
      <c r="R37" s="3313">
        <f>E37</f>
        <v>0</v>
      </c>
      <c r="S37" s="3313"/>
      <c r="T37" s="3313">
        <f>G37</f>
        <v>0</v>
      </c>
      <c r="U37" s="3313"/>
      <c r="V37" s="3313">
        <f>I37</f>
        <v>0</v>
      </c>
      <c r="W37" s="3313"/>
      <c r="X37" s="1033"/>
      <c r="Y37" s="1106"/>
      <c r="Z37" s="1033"/>
      <c r="AA37" s="1033"/>
      <c r="AB37" s="1033"/>
      <c r="AC37" s="1033"/>
    </row>
    <row r="38" spans="1:29" ht="15">
      <c r="A38" s="987" t="s">
        <v>1400</v>
      </c>
      <c r="B38" s="1314" t="str">
        <f>B37</f>
        <v>元/车位</v>
      </c>
      <c r="C38" s="1315" t="e">
        <f>R39</f>
        <v>#DIV/0!</v>
      </c>
      <c r="D38" s="990" t="s">
        <v>1401</v>
      </c>
      <c r="E38" s="1316" t="e">
        <f>R38</f>
        <v>#DIV/0!</v>
      </c>
      <c r="F38" s="991"/>
      <c r="G38" s="1315" t="e">
        <f>T38</f>
        <v>#DIV/0!</v>
      </c>
      <c r="H38" s="991"/>
      <c r="I38" s="1316" t="e">
        <f>V38</f>
        <v>#DIV/0!</v>
      </c>
      <c r="J38" s="991"/>
      <c r="K38" s="1070">
        <f>F38+H38+J38</f>
        <v>0</v>
      </c>
      <c r="L38" s="1069"/>
      <c r="M38" s="996"/>
      <c r="N38" s="996"/>
      <c r="O38" s="996"/>
      <c r="P38" s="3276" t="str">
        <f>A38</f>
        <v>比较价值（元/平方米）</v>
      </c>
      <c r="Q38" s="3276"/>
      <c r="R38" s="3313" t="e">
        <f>IF(F1="售价",ROUND(PRODUCT(R37,AA7:AA36),0),ROUND(PRODUCT(R37,AA7:AA36),1))</f>
        <v>#DIV/0!</v>
      </c>
      <c r="S38" s="3313"/>
      <c r="T38" s="3313" t="e">
        <f>IF(F1="售价",ROUND(PRODUCT(T37,AB7:AB36),0),ROUND(PRODUCT(T37,AB7:AB36),1))</f>
        <v>#DIV/0!</v>
      </c>
      <c r="U38" s="3313"/>
      <c r="V38" s="3313" t="e">
        <f>IF(F1="售价",ROUND(PRODUCT(V37,AC7:AC36),0),ROUND(PRODUCT(V37,AC7:AC36),1))</f>
        <v>#DIV/0!</v>
      </c>
      <c r="W38" s="3313"/>
      <c r="X38" s="1033"/>
      <c r="Y38" s="1033"/>
      <c r="Z38" s="1033"/>
      <c r="AA38" s="1033"/>
      <c r="AB38" s="1033"/>
      <c r="AC38" s="1033"/>
    </row>
    <row r="39" spans="1:29" ht="15">
      <c r="A39" s="993" t="s">
        <v>1481</v>
      </c>
      <c r="B39" s="994"/>
      <c r="C39" s="1317" t="e">
        <f>R39</f>
        <v>#DIV/0!</v>
      </c>
      <c r="D39" s="1317"/>
      <c r="E39" s="1317"/>
      <c r="F39" s="1317"/>
      <c r="G39" s="1317"/>
      <c r="H39" s="1317"/>
      <c r="I39" s="1317"/>
      <c r="J39" s="1317"/>
      <c r="K39" s="1383"/>
      <c r="L39" s="1069"/>
      <c r="M39" s="996"/>
      <c r="N39" s="996"/>
      <c r="O39" s="996"/>
      <c r="P39" s="3298" t="str">
        <f>A39</f>
        <v>估价对象XX用房的比较价值（楼面单价，元/平方米）</v>
      </c>
      <c r="Q39" s="3299"/>
      <c r="R39" s="3365" t="e">
        <f>IF(F1="售价",ROUND(IF(D38="简单平均",AVERAGE(R38:W38),R38*F38+T38*H38+V38*J38),0),ROUND(IF(D38="简单平均",AVERAGE(R38:V38),R38*F38+T38*H38+V38*J38),1))</f>
        <v>#DIV/0!</v>
      </c>
      <c r="S39" s="3365"/>
      <c r="T39" s="3365"/>
      <c r="U39" s="3365"/>
      <c r="V39" s="3365"/>
      <c r="W39" s="3365"/>
      <c r="X39" s="1033"/>
      <c r="Y39" s="1033"/>
      <c r="Z39" s="1033"/>
      <c r="AA39" s="1033"/>
      <c r="AB39" s="1033"/>
      <c r="AC39" s="1033"/>
    </row>
    <row r="40" spans="1:29">
      <c r="A40" s="996"/>
      <c r="B40" s="996"/>
      <c r="C40" s="996"/>
      <c r="D40" s="996"/>
      <c r="E40" s="996"/>
      <c r="F40" s="996"/>
      <c r="G40" s="997"/>
      <c r="H40" s="996"/>
      <c r="I40" s="996"/>
      <c r="J40" s="996"/>
      <c r="K40" s="1073"/>
      <c r="L40" s="1074"/>
      <c r="M40" s="996"/>
      <c r="N40" s="996"/>
      <c r="O40" s="996"/>
      <c r="P40" s="1384"/>
      <c r="Q40" s="996"/>
      <c r="R40" s="996"/>
      <c r="S40" s="996"/>
      <c r="T40" s="996"/>
      <c r="U40" s="996"/>
      <c r="V40" s="996"/>
      <c r="W40" s="996"/>
      <c r="X40" s="996"/>
      <c r="Y40" s="996"/>
      <c r="Z40" s="996"/>
      <c r="AA40" s="996"/>
      <c r="AB40" s="996"/>
      <c r="AC40" s="996"/>
    </row>
    <row r="41" spans="1:29">
      <c r="A41" s="996"/>
      <c r="B41" s="996"/>
      <c r="C41" s="996"/>
      <c r="D41" s="996"/>
      <c r="E41" s="996"/>
      <c r="F41" s="996"/>
      <c r="G41" s="996"/>
      <c r="H41" s="996"/>
      <c r="I41" s="996"/>
      <c r="J41" s="996"/>
      <c r="K41" s="1073"/>
      <c r="L41" s="1074"/>
      <c r="M41" s="996"/>
      <c r="N41" s="996"/>
      <c r="O41" s="996"/>
      <c r="P41" s="1384"/>
      <c r="Q41" s="996"/>
      <c r="R41" s="996"/>
      <c r="S41" s="996"/>
      <c r="T41" s="996"/>
      <c r="U41" s="996"/>
      <c r="V41" s="996"/>
      <c r="W41" s="996"/>
      <c r="X41" s="996"/>
      <c r="Y41" s="996"/>
      <c r="Z41" s="996"/>
      <c r="AA41" s="996"/>
      <c r="AB41" s="996"/>
      <c r="AC41" s="996"/>
    </row>
    <row r="42" spans="1:29" ht="13.5" customHeight="1">
      <c r="A42" s="996"/>
      <c r="B42" s="996"/>
      <c r="C42" s="998" t="s">
        <v>1403</v>
      </c>
      <c r="D42" s="698"/>
      <c r="E42" s="999" t="e">
        <f>IF(E37&lt;E38,E38/E37-1,E37/E38-1)</f>
        <v>#DIV/0!</v>
      </c>
      <c r="F42" s="1000" t="e">
        <f>IF(OR(E42&gt;=0.3,E42&lt;=-0.3),"超过30%","")</f>
        <v>#DIV/0!</v>
      </c>
      <c r="G42" s="999" t="e">
        <f>IF(G37&lt;G38,G38/G37-1,G37/G38-1)</f>
        <v>#DIV/0!</v>
      </c>
      <c r="H42" s="1000" t="e">
        <f>IF(OR(G42&gt;=0.3,G42&lt;=-0.3),"超过30%","")</f>
        <v>#DIV/0!</v>
      </c>
      <c r="I42" s="999" t="e">
        <f>IF(I37&lt;I38,I38/I37-1,I37/I38-1)</f>
        <v>#DIV/0!</v>
      </c>
      <c r="J42" s="1000" t="e">
        <f>IF(OR(I42&gt;=0.3,I42&lt;=-0.3),"超过30%","")</f>
        <v>#DIV/0!</v>
      </c>
      <c r="K42" s="1073"/>
      <c r="L42" s="1074"/>
      <c r="M42" s="996"/>
      <c r="N42" s="996"/>
      <c r="O42" s="996"/>
      <c r="P42" s="1384"/>
      <c r="Q42" s="996"/>
      <c r="R42" s="996"/>
      <c r="S42" s="996"/>
      <c r="T42" s="996"/>
      <c r="U42" s="996"/>
      <c r="V42" s="996"/>
      <c r="W42" s="996"/>
      <c r="X42" s="996"/>
      <c r="Y42" s="996"/>
      <c r="Z42" s="996"/>
      <c r="AA42" s="996"/>
      <c r="AB42" s="996"/>
      <c r="AC42" s="996"/>
    </row>
    <row r="43" spans="1:29" ht="13.5" customHeight="1">
      <c r="A43" s="996"/>
      <c r="B43" s="996"/>
      <c r="C43" s="998" t="s">
        <v>1404</v>
      </c>
      <c r="D43" s="697"/>
      <c r="E43" s="999" t="e">
        <f>IF(E38&lt;G38,G38/E38-1,E38/G38-1)</f>
        <v>#DIV/0!</v>
      </c>
      <c r="F43" s="1000" t="e">
        <f>IF(OR(E43&gt;=0.2,E43&lt;=-0.2),"超过20%","")</f>
        <v>#DIV/0!</v>
      </c>
      <c r="G43" s="999" t="e">
        <f>IF(G38&lt;I38,I38/G38-1,G38/I38-1)</f>
        <v>#DIV/0!</v>
      </c>
      <c r="H43" s="1000" t="e">
        <f>IF(OR(G43&gt;=0.2,G43&lt;=-0.2),"超过20%","")</f>
        <v>#DIV/0!</v>
      </c>
      <c r="I43" s="999" t="e">
        <f>IF(I38&lt;E38,E38/I38-1,I38/E38-1)</f>
        <v>#DIV/0!</v>
      </c>
      <c r="J43" s="1000" t="e">
        <f>IF(OR(I43&gt;=0.2,I43&lt;=-0.2),"超过20%","")</f>
        <v>#DIV/0!</v>
      </c>
      <c r="K43" s="1073"/>
      <c r="L43" s="1074"/>
      <c r="M43" s="996"/>
      <c r="N43" s="996"/>
      <c r="O43" s="996"/>
      <c r="P43" s="1384"/>
      <c r="Q43" s="996"/>
      <c r="R43" s="996"/>
      <c r="S43" s="996"/>
      <c r="T43" s="996"/>
      <c r="U43" s="996"/>
      <c r="V43" s="996"/>
      <c r="W43" s="996"/>
      <c r="X43" s="996"/>
      <c r="Y43" s="996"/>
      <c r="Z43" s="996"/>
      <c r="AA43" s="996"/>
      <c r="AB43" s="996"/>
      <c r="AC43" s="996"/>
    </row>
    <row r="44" spans="1:29" s="883" customFormat="1" ht="13.5" customHeight="1">
      <c r="A44" s="1001"/>
      <c r="B44" s="1001"/>
      <c r="C44" s="998" t="s">
        <v>1405</v>
      </c>
      <c r="D44" s="697"/>
      <c r="E44" s="999" t="e">
        <f>IF(E37&lt;G37,G37/E37-1,E37/G37-1)</f>
        <v>#DIV/0!</v>
      </c>
      <c r="F44" s="1000" t="e">
        <f>IF(OR(E44&gt;=0.3,E44&lt;=-0.3),"超过30%","")</f>
        <v>#DIV/0!</v>
      </c>
      <c r="G44" s="999" t="e">
        <f>IF(G37&lt;I37,I37/G37-1,G37/I37-1)</f>
        <v>#DIV/0!</v>
      </c>
      <c r="H44" s="1000" t="e">
        <f>IF(OR(G44&gt;=0.3,G44&lt;=-0.3),"超过30%","")</f>
        <v>#DIV/0!</v>
      </c>
      <c r="I44" s="999" t="e">
        <f>IF(I37&lt;E37,E37/I37-1,I37/E37-1)</f>
        <v>#DIV/0!</v>
      </c>
      <c r="J44" s="1000" t="e">
        <f>IF(OR(I44&gt;=0.3,I44&lt;=-0.3),"超过30%","")</f>
        <v>#DIV/0!</v>
      </c>
      <c r="K44" s="1075"/>
      <c r="L44" s="1076"/>
      <c r="M44" s="1001"/>
      <c r="N44" s="1001"/>
      <c r="O44" s="1001"/>
      <c r="P44" s="1385"/>
      <c r="Q44" s="1001"/>
      <c r="R44" s="1001"/>
      <c r="S44" s="1001"/>
      <c r="T44" s="1001"/>
      <c r="U44" s="1001"/>
      <c r="V44" s="1001"/>
      <c r="W44" s="1001"/>
      <c r="X44" s="1001"/>
      <c r="Y44" s="1001"/>
      <c r="Z44" s="1001"/>
      <c r="AA44" s="1001"/>
      <c r="AB44" s="1001"/>
      <c r="AC44" s="1001"/>
    </row>
    <row r="45" spans="1:29" s="883" customFormat="1">
      <c r="A45" s="1001"/>
      <c r="B45" s="1002"/>
      <c r="C45" s="1318"/>
      <c r="D45" s="1001"/>
      <c r="E45" s="1001"/>
      <c r="F45" s="1001"/>
      <c r="G45" s="1001"/>
      <c r="H45" s="1001"/>
      <c r="I45" s="1001"/>
      <c r="J45" s="1001"/>
      <c r="K45" s="1075"/>
      <c r="L45" s="1076"/>
      <c r="M45" s="1001"/>
      <c r="N45" s="1001"/>
      <c r="O45" s="1001"/>
      <c r="P45" s="1385"/>
      <c r="Q45" s="1001"/>
      <c r="R45" s="1001"/>
      <c r="S45" s="1001"/>
      <c r="T45" s="1001"/>
      <c r="U45" s="1001"/>
      <c r="V45" s="1001"/>
      <c r="W45" s="1001"/>
      <c r="X45" s="1001"/>
      <c r="Y45" s="1001"/>
      <c r="Z45" s="1001"/>
      <c r="AA45" s="1001"/>
      <c r="AB45" s="1001"/>
      <c r="AC45" s="1001"/>
    </row>
    <row r="46" spans="1:29">
      <c r="A46" s="996"/>
      <c r="B46" s="1002"/>
      <c r="C46" s="1318"/>
      <c r="D46" s="996"/>
      <c r="E46" s="996"/>
      <c r="F46" s="996"/>
      <c r="G46" s="996"/>
      <c r="H46" s="996"/>
      <c r="I46" s="996"/>
      <c r="J46" s="996"/>
      <c r="K46" s="1073"/>
      <c r="L46" s="1074"/>
      <c r="M46" s="996"/>
      <c r="N46" s="996"/>
      <c r="O46" s="996"/>
      <c r="P46" s="1384"/>
      <c r="Q46" s="996"/>
      <c r="R46" s="996"/>
      <c r="S46" s="996"/>
      <c r="T46" s="996"/>
      <c r="U46" s="996"/>
      <c r="V46" s="996"/>
      <c r="W46" s="996"/>
      <c r="X46" s="996"/>
      <c r="Y46" s="996"/>
      <c r="Z46" s="996"/>
      <c r="AA46" s="996"/>
      <c r="AB46" s="996"/>
      <c r="AC46" s="996"/>
    </row>
    <row r="47" spans="1:29" ht="21">
      <c r="A47" s="1374" t="s">
        <v>1406</v>
      </c>
      <c r="B47" s="1028"/>
      <c r="C47" s="1085"/>
      <c r="D47" s="1085"/>
      <c r="E47" s="1085"/>
      <c r="F47" s="1375"/>
      <c r="G47" s="1375"/>
      <c r="H47" s="1085"/>
      <c r="I47" s="1085"/>
      <c r="J47" s="1085"/>
      <c r="K47" s="1264"/>
      <c r="L47" s="1265"/>
      <c r="M47" s="1085"/>
      <c r="N47" s="1086"/>
      <c r="O47" s="1086"/>
      <c r="P47" s="1386"/>
      <c r="Q47" s="1098"/>
      <c r="R47" s="996"/>
      <c r="S47" s="996"/>
      <c r="T47" s="996"/>
      <c r="U47" s="996"/>
      <c r="V47" s="996"/>
      <c r="W47" s="996"/>
      <c r="X47" s="996"/>
      <c r="Y47" s="996"/>
      <c r="Z47" s="996"/>
      <c r="AA47" s="996"/>
      <c r="AB47" s="996"/>
      <c r="AC47" s="996"/>
    </row>
    <row r="48" spans="1:29" s="885" customFormat="1" ht="15">
      <c r="A48" s="1319" t="s">
        <v>1365</v>
      </c>
      <c r="B48" s="1320"/>
      <c r="C48" s="1321" t="str">
        <f>YEAR(C7)&amp;"-"&amp;MONTH(C7)</f>
        <v>2021-4</v>
      </c>
      <c r="D48" s="1322">
        <f>EDATE(C48,-1)</f>
        <v>44256</v>
      </c>
      <c r="E48" s="1322">
        <f t="shared" ref="E48:O48" si="13">EDATE(D48,-1)</f>
        <v>44228</v>
      </c>
      <c r="F48" s="1322">
        <f t="shared" si="13"/>
        <v>44197</v>
      </c>
      <c r="G48" s="1322">
        <f t="shared" si="13"/>
        <v>44166</v>
      </c>
      <c r="H48" s="1322">
        <f t="shared" si="13"/>
        <v>44136</v>
      </c>
      <c r="I48" s="1322">
        <f t="shared" si="13"/>
        <v>44105</v>
      </c>
      <c r="J48" s="1322">
        <f t="shared" si="13"/>
        <v>44075</v>
      </c>
      <c r="K48" s="1322">
        <f t="shared" si="13"/>
        <v>44044</v>
      </c>
      <c r="L48" s="1322">
        <f t="shared" si="13"/>
        <v>44013</v>
      </c>
      <c r="M48" s="1322">
        <f t="shared" si="13"/>
        <v>43983</v>
      </c>
      <c r="N48" s="1322">
        <f t="shared" si="13"/>
        <v>43952</v>
      </c>
      <c r="O48" s="1322">
        <f t="shared" si="13"/>
        <v>43922</v>
      </c>
      <c r="P48" s="1387"/>
      <c r="Q48" s="1217"/>
      <c r="R48" s="1217"/>
      <c r="S48" s="1217"/>
      <c r="T48" s="1217"/>
      <c r="U48" s="1217"/>
      <c r="V48" s="1217"/>
      <c r="W48" s="1217"/>
      <c r="X48" s="1217"/>
      <c r="Y48" s="1217"/>
      <c r="Z48" s="1217"/>
      <c r="AA48" s="1217"/>
      <c r="AB48" s="1217"/>
      <c r="AC48" s="1217"/>
    </row>
    <row r="49" spans="1:29" s="880" customFormat="1" ht="15">
      <c r="A49" s="1323"/>
      <c r="B49" s="1118"/>
      <c r="C49" s="1376">
        <v>100</v>
      </c>
      <c r="D49" s="1122"/>
      <c r="E49" s="1122"/>
      <c r="F49" s="1122"/>
      <c r="G49" s="1122"/>
      <c r="H49" s="1122"/>
      <c r="I49" s="1122"/>
      <c r="J49" s="1122"/>
      <c r="K49" s="1122"/>
      <c r="L49" s="1122"/>
      <c r="M49" s="1331"/>
      <c r="N49" s="1122"/>
      <c r="O49" s="1331"/>
      <c r="P49" s="1388"/>
      <c r="Q49" s="1218"/>
      <c r="R49" s="1218"/>
      <c r="S49" s="1218"/>
      <c r="T49" s="1218"/>
      <c r="U49" s="1218"/>
      <c r="V49" s="1218"/>
      <c r="W49" s="1218"/>
      <c r="X49" s="1218"/>
      <c r="Y49" s="1218"/>
      <c r="Z49" s="1218"/>
      <c r="AA49" s="1218"/>
      <c r="AB49" s="1218"/>
      <c r="AC49" s="1218"/>
    </row>
    <row r="50" spans="1:29" s="880" customFormat="1" ht="15">
      <c r="A50" s="1113" t="s">
        <v>1407</v>
      </c>
      <c r="B50" s="1114"/>
      <c r="C50" s="1115"/>
      <c r="D50" s="1116"/>
      <c r="E50" s="1116"/>
      <c r="F50" s="1116"/>
      <c r="G50" s="1116"/>
      <c r="H50" s="1116"/>
      <c r="I50" s="1116"/>
      <c r="J50" s="1116"/>
      <c r="K50" s="1116"/>
      <c r="L50" s="1116"/>
      <c r="M50" s="1164"/>
      <c r="N50" s="1116"/>
      <c r="O50" s="1164"/>
      <c r="P50" s="1388"/>
      <c r="Q50" s="1098"/>
      <c r="R50" s="1218"/>
      <c r="S50" s="1218"/>
      <c r="T50" s="1218"/>
      <c r="U50" s="1218"/>
      <c r="V50" s="1218"/>
      <c r="W50" s="1218"/>
      <c r="X50" s="1218"/>
      <c r="Y50" s="1218"/>
      <c r="Z50" s="1218"/>
      <c r="AA50" s="1218"/>
      <c r="AB50" s="1218"/>
      <c r="AC50" s="1218"/>
    </row>
    <row r="51" spans="1:29" s="880" customFormat="1" ht="15">
      <c r="A51" s="1117" t="s">
        <v>1368</v>
      </c>
      <c r="B51" s="1118"/>
      <c r="C51" s="1119" t="s">
        <v>1369</v>
      </c>
      <c r="D51" s="1120"/>
      <c r="E51" s="1120"/>
      <c r="F51" s="1120"/>
      <c r="G51" s="1120"/>
      <c r="H51" s="1120"/>
      <c r="I51" s="1120"/>
      <c r="J51" s="1120"/>
      <c r="K51" s="1120"/>
      <c r="L51" s="1166"/>
      <c r="M51" s="1167"/>
      <c r="N51" s="1168"/>
      <c r="O51" s="1168"/>
      <c r="P51" s="1389"/>
      <c r="Q51" s="1098"/>
      <c r="R51" s="1218"/>
      <c r="S51" s="1218"/>
      <c r="T51" s="1218"/>
      <c r="U51" s="1218"/>
      <c r="V51" s="1218"/>
      <c r="W51" s="1218"/>
      <c r="X51" s="1218"/>
      <c r="Y51" s="1218"/>
      <c r="Z51" s="1218"/>
      <c r="AA51" s="1218"/>
      <c r="AB51" s="1218"/>
      <c r="AC51" s="1218"/>
    </row>
    <row r="52" spans="1:29" s="880" customFormat="1" ht="15">
      <c r="A52" s="1117"/>
      <c r="B52" s="1118"/>
      <c r="C52" s="1121">
        <v>100</v>
      </c>
      <c r="D52" s="1122"/>
      <c r="E52" s="1122"/>
      <c r="F52" s="1122"/>
      <c r="G52" s="1122"/>
      <c r="H52" s="1122"/>
      <c r="I52" s="1122"/>
      <c r="J52" s="1122"/>
      <c r="K52" s="1122"/>
      <c r="L52" s="1122"/>
      <c r="M52" s="1170"/>
      <c r="N52" s="1168"/>
      <c r="O52" s="1168"/>
      <c r="P52" s="1388"/>
      <c r="Q52" s="1098"/>
      <c r="R52" s="1218"/>
      <c r="S52" s="1218"/>
      <c r="T52" s="1218"/>
      <c r="U52" s="1218"/>
      <c r="V52" s="1218"/>
      <c r="W52" s="1218"/>
      <c r="X52" s="1218"/>
      <c r="Y52" s="1218"/>
      <c r="Z52" s="1218"/>
      <c r="AA52" s="1218"/>
      <c r="AB52" s="1218"/>
      <c r="AC52" s="1218"/>
    </row>
    <row r="53" spans="1:29">
      <c r="A53" s="1123" t="s">
        <v>1408</v>
      </c>
      <c r="B53" s="1124" t="s">
        <v>1372</v>
      </c>
      <c r="C53" s="1146">
        <f>C9</f>
        <v>0</v>
      </c>
      <c r="D53" s="1066"/>
      <c r="E53" s="1066"/>
      <c r="F53" s="1066"/>
      <c r="G53" s="1066"/>
      <c r="H53" s="1066"/>
      <c r="I53" s="1066"/>
      <c r="J53" s="1066"/>
      <c r="K53" s="1171"/>
      <c r="L53" s="1172"/>
      <c r="M53" s="1173"/>
      <c r="N53" s="1174"/>
      <c r="O53" s="1174"/>
      <c r="P53" s="1390"/>
      <c r="Q53" s="1098"/>
      <c r="R53" s="996"/>
      <c r="S53" s="996"/>
      <c r="T53" s="996"/>
      <c r="U53" s="996"/>
      <c r="V53" s="996"/>
      <c r="W53" s="996"/>
      <c r="X53" s="996"/>
      <c r="Y53" s="996"/>
      <c r="Z53" s="996"/>
      <c r="AA53" s="996"/>
      <c r="AB53" s="996"/>
      <c r="AC53" s="996"/>
    </row>
    <row r="54" spans="1:29" ht="15">
      <c r="A54" s="1125"/>
      <c r="B54" s="1126"/>
      <c r="C54" s="1127">
        <v>100</v>
      </c>
      <c r="D54" s="1127"/>
      <c r="E54" s="1127"/>
      <c r="F54" s="1127"/>
      <c r="G54" s="1127"/>
      <c r="H54" s="1127"/>
      <c r="I54" s="1127"/>
      <c r="J54" s="1127"/>
      <c r="K54" s="1127"/>
      <c r="L54" s="1127"/>
      <c r="M54" s="1176"/>
      <c r="N54" s="1177"/>
      <c r="O54" s="1177"/>
      <c r="P54" s="1390"/>
      <c r="Q54" s="1098"/>
      <c r="R54" s="996"/>
      <c r="S54" s="996"/>
      <c r="T54" s="996"/>
      <c r="U54" s="996"/>
      <c r="V54" s="996"/>
      <c r="W54" s="996"/>
      <c r="X54" s="996"/>
      <c r="Y54" s="996"/>
      <c r="Z54" s="996"/>
      <c r="AA54" s="996"/>
      <c r="AB54" s="996"/>
      <c r="AC54" s="996"/>
    </row>
    <row r="55" spans="1:29" ht="27">
      <c r="A55" s="1125"/>
      <c r="B55" s="1128" t="s">
        <v>1375</v>
      </c>
      <c r="C55" s="1129" t="s">
        <v>1409</v>
      </c>
      <c r="D55" s="1129" t="s">
        <v>1410</v>
      </c>
      <c r="E55" s="1129" t="s">
        <v>1411</v>
      </c>
      <c r="F55" s="1129" t="s">
        <v>1412</v>
      </c>
      <c r="G55" s="1129" t="s">
        <v>1413</v>
      </c>
      <c r="H55" s="1129" t="s">
        <v>1414</v>
      </c>
      <c r="I55" s="1129" t="s">
        <v>1415</v>
      </c>
      <c r="J55" s="1129"/>
      <c r="K55" s="1178"/>
      <c r="L55" s="1179"/>
      <c r="M55" s="1180"/>
      <c r="N55" s="1174"/>
      <c r="O55" s="1174"/>
      <c r="P55" s="1390"/>
      <c r="Q55" s="1098"/>
      <c r="R55" s="996"/>
      <c r="S55" s="996"/>
      <c r="T55" s="996"/>
      <c r="U55" s="996"/>
      <c r="V55" s="996"/>
      <c r="W55" s="996"/>
      <c r="X55" s="996"/>
      <c r="Y55" s="996"/>
      <c r="Z55" s="996"/>
      <c r="AA55" s="996"/>
      <c r="AB55" s="996"/>
      <c r="AC55" s="996"/>
    </row>
    <row r="56" spans="1:29" ht="15">
      <c r="A56" s="1125"/>
      <c r="B56" s="1130"/>
      <c r="C56" s="1131" t="s">
        <v>1457</v>
      </c>
      <c r="D56" s="1131" t="s">
        <v>1457</v>
      </c>
      <c r="E56" s="1131">
        <v>100</v>
      </c>
      <c r="F56" s="1131">
        <f>E56-$K10</f>
        <v>100</v>
      </c>
      <c r="G56" s="1131">
        <f>F56-$K10</f>
        <v>100</v>
      </c>
      <c r="H56" s="1131">
        <f>G56-$K10</f>
        <v>100</v>
      </c>
      <c r="I56" s="1131">
        <f>H56-$K10</f>
        <v>100</v>
      </c>
      <c r="J56" s="1131"/>
      <c r="K56" s="1131"/>
      <c r="L56" s="1131"/>
      <c r="M56" s="1181"/>
      <c r="N56" s="1177"/>
      <c r="O56" s="1177"/>
      <c r="P56" s="1390"/>
      <c r="Q56" s="1098"/>
      <c r="R56" s="996"/>
      <c r="S56" s="996"/>
      <c r="T56" s="996"/>
      <c r="U56" s="996"/>
      <c r="V56" s="996"/>
      <c r="W56" s="996"/>
      <c r="X56" s="996"/>
      <c r="Y56" s="996"/>
      <c r="Z56" s="996"/>
      <c r="AA56" s="996"/>
      <c r="AB56" s="996"/>
      <c r="AC56" s="996"/>
    </row>
    <row r="57" spans="1:29" ht="15">
      <c r="A57" s="1125"/>
      <c r="B57" s="1152">
        <f>B11</f>
        <v>111</v>
      </c>
      <c r="C57" s="927"/>
      <c r="D57" s="927"/>
      <c r="E57" s="927"/>
      <c r="F57" s="927"/>
      <c r="G57" s="927"/>
      <c r="H57" s="927"/>
      <c r="I57" s="927"/>
      <c r="J57" s="927"/>
      <c r="K57" s="1182"/>
      <c r="L57" s="1183"/>
      <c r="M57" s="1184"/>
      <c r="N57" s="1174"/>
      <c r="O57" s="1174"/>
      <c r="P57" s="1390"/>
      <c r="Q57" s="1098"/>
      <c r="R57" s="996"/>
      <c r="S57" s="996"/>
      <c r="T57" s="996"/>
      <c r="U57" s="996"/>
      <c r="V57" s="996"/>
      <c r="W57" s="996"/>
      <c r="X57" s="996"/>
      <c r="Y57" s="996"/>
      <c r="Z57" s="996"/>
      <c r="AA57" s="996"/>
      <c r="AB57" s="996"/>
      <c r="AC57" s="996"/>
    </row>
    <row r="58" spans="1:29" ht="15">
      <c r="A58" s="1125"/>
      <c r="B58" s="1126"/>
      <c r="C58" s="1138"/>
      <c r="D58" s="1127"/>
      <c r="E58" s="1127"/>
      <c r="F58" s="1127"/>
      <c r="G58" s="1127"/>
      <c r="H58" s="1127"/>
      <c r="I58" s="1127"/>
      <c r="J58" s="1127"/>
      <c r="K58" s="1127"/>
      <c r="L58" s="1127"/>
      <c r="M58" s="1176"/>
      <c r="N58" s="1177"/>
      <c r="O58" s="1177"/>
      <c r="P58" s="1390"/>
      <c r="Q58" s="1098"/>
      <c r="R58" s="996"/>
      <c r="S58" s="996"/>
      <c r="T58" s="996"/>
      <c r="U58" s="996"/>
      <c r="V58" s="996"/>
      <c r="W58" s="996"/>
      <c r="X58" s="996"/>
      <c r="Y58" s="996"/>
      <c r="Z58" s="996"/>
      <c r="AA58" s="996"/>
      <c r="AB58" s="996"/>
      <c r="AC58" s="996"/>
    </row>
    <row r="59" spans="1:29" s="882" customFormat="1" ht="15">
      <c r="A59" s="1135"/>
      <c r="B59" s="1128">
        <f>B12</f>
        <v>111</v>
      </c>
      <c r="C59" s="927"/>
      <c r="D59" s="927"/>
      <c r="E59" s="927"/>
      <c r="F59" s="927"/>
      <c r="G59" s="1136"/>
      <c r="H59" s="1137"/>
      <c r="I59" s="1137"/>
      <c r="J59" s="1137"/>
      <c r="K59" s="1137"/>
      <c r="L59" s="1185"/>
      <c r="M59" s="1186"/>
      <c r="N59" s="1187"/>
      <c r="O59" s="1187"/>
      <c r="P59" s="1391"/>
      <c r="Q59" s="1219"/>
      <c r="R59" s="1220"/>
      <c r="S59" s="1220"/>
      <c r="T59" s="1220"/>
      <c r="U59" s="1220"/>
      <c r="V59" s="1220"/>
      <c r="W59" s="1220"/>
      <c r="X59" s="1220"/>
      <c r="Y59" s="1220"/>
      <c r="Z59" s="1220"/>
      <c r="AA59" s="1220"/>
      <c r="AB59" s="1220"/>
      <c r="AC59" s="1220"/>
    </row>
    <row r="60" spans="1:29" s="882" customFormat="1" ht="15">
      <c r="A60" s="1135"/>
      <c r="B60" s="1130"/>
      <c r="C60" s="1138"/>
      <c r="D60" s="1127"/>
      <c r="E60" s="1127"/>
      <c r="F60" s="1127"/>
      <c r="G60" s="1127"/>
      <c r="H60" s="1127"/>
      <c r="I60" s="1127"/>
      <c r="J60" s="1127"/>
      <c r="K60" s="1127"/>
      <c r="L60" s="1127"/>
      <c r="M60" s="1176"/>
      <c r="N60" s="1177"/>
      <c r="O60" s="1177"/>
      <c r="P60" s="1391"/>
      <c r="Q60" s="1219"/>
      <c r="R60" s="1220"/>
      <c r="S60" s="1220"/>
      <c r="T60" s="1220"/>
      <c r="U60" s="1220"/>
      <c r="V60" s="1220"/>
      <c r="W60" s="1220"/>
      <c r="X60" s="1220"/>
      <c r="Y60" s="1220"/>
      <c r="Z60" s="1220"/>
      <c r="AA60" s="1220"/>
      <c r="AB60" s="1220"/>
      <c r="AC60" s="1220"/>
    </row>
    <row r="61" spans="1:29" s="882" customFormat="1" ht="15">
      <c r="A61" s="1135"/>
      <c r="B61" s="1128">
        <f>B13</f>
        <v>111</v>
      </c>
      <c r="C61" s="1136"/>
      <c r="D61" s="1136"/>
      <c r="E61" s="1136"/>
      <c r="F61" s="1136"/>
      <c r="G61" s="1136"/>
      <c r="H61" s="1137"/>
      <c r="I61" s="1137"/>
      <c r="J61" s="1137"/>
      <c r="K61" s="1137"/>
      <c r="L61" s="1185"/>
      <c r="M61" s="1186"/>
      <c r="N61" s="1187"/>
      <c r="O61" s="1187"/>
      <c r="P61" s="1392"/>
      <c r="Q61" s="1221"/>
      <c r="R61" s="1220"/>
      <c r="S61" s="1220"/>
      <c r="T61" s="1220"/>
      <c r="U61" s="1220"/>
      <c r="V61" s="1220"/>
      <c r="W61" s="1220"/>
      <c r="X61" s="1220"/>
      <c r="Y61" s="1220"/>
      <c r="Z61" s="1220"/>
      <c r="AA61" s="1220"/>
      <c r="AB61" s="1220"/>
      <c r="AC61" s="1220"/>
    </row>
    <row r="62" spans="1:29" s="882" customFormat="1" ht="15">
      <c r="A62" s="1135"/>
      <c r="B62" s="1130"/>
      <c r="C62" s="1138"/>
      <c r="D62" s="1138"/>
      <c r="E62" s="1138"/>
      <c r="F62" s="1138"/>
      <c r="G62" s="1138"/>
      <c r="H62" s="1139"/>
      <c r="I62" s="1139"/>
      <c r="J62" s="1139"/>
      <c r="K62" s="1139"/>
      <c r="L62" s="1139"/>
      <c r="M62" s="1189"/>
      <c r="N62" s="1187"/>
      <c r="O62" s="1187"/>
      <c r="P62" s="1391"/>
      <c r="Q62" s="1219"/>
      <c r="R62" s="1220"/>
      <c r="S62" s="1220"/>
      <c r="T62" s="1220"/>
      <c r="U62" s="1220"/>
      <c r="V62" s="1220"/>
      <c r="W62" s="1220"/>
      <c r="X62" s="1220"/>
      <c r="Y62" s="1220"/>
      <c r="Z62" s="1220"/>
      <c r="AA62" s="1220"/>
      <c r="AB62" s="1220"/>
      <c r="AC62" s="1220"/>
    </row>
    <row r="63" spans="1:29">
      <c r="A63" s="1123" t="s">
        <v>1377</v>
      </c>
      <c r="B63" s="1124" t="s">
        <v>1380</v>
      </c>
      <c r="C63" s="1145" t="s">
        <v>1416</v>
      </c>
      <c r="D63" s="1145" t="s">
        <v>1417</v>
      </c>
      <c r="E63" s="1145" t="s">
        <v>1418</v>
      </c>
      <c r="F63" s="1145" t="s">
        <v>1419</v>
      </c>
      <c r="G63" s="1145" t="s">
        <v>1420</v>
      </c>
      <c r="H63" s="1146"/>
      <c r="I63" s="1146"/>
      <c r="J63" s="1146"/>
      <c r="K63" s="1194"/>
      <c r="L63" s="1195"/>
      <c r="M63" s="1196"/>
      <c r="N63" s="1174"/>
      <c r="O63" s="1174"/>
      <c r="P63" s="1393"/>
      <c r="Q63" s="1098"/>
      <c r="R63" s="996"/>
      <c r="S63" s="996"/>
      <c r="T63" s="996"/>
      <c r="U63" s="996"/>
      <c r="V63" s="996"/>
      <c r="W63" s="996"/>
      <c r="X63" s="996"/>
      <c r="Y63" s="996"/>
      <c r="Z63" s="996"/>
      <c r="AA63" s="996"/>
      <c r="AB63" s="996"/>
      <c r="AC63" s="996"/>
    </row>
    <row r="64" spans="1:29" ht="15">
      <c r="A64" s="1125"/>
      <c r="B64" s="1130"/>
      <c r="C64" s="1131">
        <v>100</v>
      </c>
      <c r="D64" s="1131">
        <f>C64-$K14</f>
        <v>100</v>
      </c>
      <c r="E64" s="1131">
        <f>D64-$K14</f>
        <v>100</v>
      </c>
      <c r="F64" s="1131">
        <f>E64-$K14</f>
        <v>100</v>
      </c>
      <c r="G64" s="1131">
        <f>F64-$K14</f>
        <v>100</v>
      </c>
      <c r="H64" s="1131"/>
      <c r="I64" s="1131"/>
      <c r="J64" s="1131"/>
      <c r="K64" s="1131"/>
      <c r="L64" s="1131"/>
      <c r="M64" s="1181"/>
      <c r="N64" s="1177"/>
      <c r="O64" s="1177"/>
      <c r="P64" s="1390"/>
      <c r="Q64" s="1098"/>
      <c r="R64" s="996"/>
      <c r="S64" s="996"/>
      <c r="T64" s="996"/>
      <c r="U64" s="996"/>
      <c r="V64" s="996"/>
      <c r="W64" s="996"/>
      <c r="X64" s="996"/>
      <c r="Y64" s="996"/>
      <c r="Z64" s="996"/>
      <c r="AA64" s="996"/>
      <c r="AB64" s="996"/>
      <c r="AC64" s="996"/>
    </row>
    <row r="65" spans="1:29" ht="15">
      <c r="A65" s="1125"/>
      <c r="B65" s="1128" t="s">
        <v>1381</v>
      </c>
      <c r="C65" s="1147" t="s">
        <v>1416</v>
      </c>
      <c r="D65" s="1147" t="s">
        <v>1417</v>
      </c>
      <c r="E65" s="1147" t="s">
        <v>1418</v>
      </c>
      <c r="F65" s="1147" t="s">
        <v>1419</v>
      </c>
      <c r="G65" s="1147" t="s">
        <v>1420</v>
      </c>
      <c r="H65" s="1129"/>
      <c r="I65" s="1129"/>
      <c r="J65" s="1129"/>
      <c r="K65" s="1178"/>
      <c r="L65" s="1179"/>
      <c r="M65" s="1180"/>
      <c r="N65" s="1174"/>
      <c r="O65" s="1174"/>
      <c r="P65" s="1390"/>
      <c r="Q65" s="1098"/>
      <c r="R65" s="996"/>
      <c r="S65" s="996"/>
      <c r="T65" s="996"/>
      <c r="U65" s="996"/>
      <c r="V65" s="996"/>
      <c r="W65" s="996"/>
      <c r="X65" s="996"/>
      <c r="Y65" s="996"/>
      <c r="Z65" s="996"/>
      <c r="AA65" s="996"/>
      <c r="AB65" s="996"/>
      <c r="AC65" s="996"/>
    </row>
    <row r="66" spans="1:29" ht="15">
      <c r="A66" s="1125"/>
      <c r="B66" s="1130"/>
      <c r="C66" s="1131">
        <v>100</v>
      </c>
      <c r="D66" s="1131">
        <f>C66-$K16</f>
        <v>100</v>
      </c>
      <c r="E66" s="1131">
        <f>D66-$K16</f>
        <v>100</v>
      </c>
      <c r="F66" s="1131">
        <f>E66-$K16</f>
        <v>100</v>
      </c>
      <c r="G66" s="1131">
        <f>F66-$K16</f>
        <v>100</v>
      </c>
      <c r="H66" s="1131"/>
      <c r="I66" s="1131"/>
      <c r="J66" s="1131"/>
      <c r="K66" s="1131"/>
      <c r="L66" s="1131"/>
      <c r="M66" s="1181"/>
      <c r="N66" s="1177"/>
      <c r="O66" s="1177"/>
      <c r="P66" s="1390"/>
      <c r="Q66" s="1098"/>
      <c r="R66" s="996"/>
      <c r="S66" s="996"/>
      <c r="T66" s="996"/>
      <c r="U66" s="996"/>
      <c r="V66" s="996"/>
      <c r="W66" s="996"/>
      <c r="X66" s="996"/>
      <c r="Y66" s="996"/>
      <c r="Z66" s="996"/>
      <c r="AA66" s="996"/>
      <c r="AB66" s="996"/>
      <c r="AC66" s="996"/>
    </row>
    <row r="67" spans="1:29" ht="15">
      <c r="A67" s="1125"/>
      <c r="B67" s="1132" t="s">
        <v>1382</v>
      </c>
      <c r="C67" s="1152" t="s">
        <v>1421</v>
      </c>
      <c r="D67" s="1152" t="s">
        <v>1422</v>
      </c>
      <c r="E67" s="1152" t="s">
        <v>1423</v>
      </c>
      <c r="F67" s="1152" t="s">
        <v>1424</v>
      </c>
      <c r="G67" s="1152" t="s">
        <v>1425</v>
      </c>
      <c r="H67" s="1129"/>
      <c r="I67" s="1129"/>
      <c r="J67" s="1129"/>
      <c r="K67" s="1129"/>
      <c r="L67" s="1129"/>
      <c r="M67" s="1336"/>
      <c r="N67" s="1177"/>
      <c r="O67" s="1177"/>
      <c r="P67" s="1390"/>
      <c r="Q67" s="1098"/>
      <c r="R67" s="996"/>
      <c r="S67" s="996"/>
      <c r="T67" s="996"/>
      <c r="U67" s="996"/>
      <c r="V67" s="996"/>
      <c r="W67" s="996"/>
      <c r="X67" s="996"/>
      <c r="Y67" s="996"/>
      <c r="Z67" s="996"/>
      <c r="AA67" s="996"/>
      <c r="AB67" s="996"/>
      <c r="AC67" s="996"/>
    </row>
    <row r="68" spans="1:29" ht="15">
      <c r="A68" s="1125"/>
      <c r="B68" s="1132"/>
      <c r="C68" s="1131">
        <v>100</v>
      </c>
      <c r="D68" s="1131">
        <f>C68-$K18</f>
        <v>100</v>
      </c>
      <c r="E68" s="1131">
        <f>D68-$K18</f>
        <v>100</v>
      </c>
      <c r="F68" s="1131">
        <f>E68-$K18</f>
        <v>100</v>
      </c>
      <c r="G68" s="1131">
        <f>F68-$K18</f>
        <v>100</v>
      </c>
      <c r="H68" s="1152"/>
      <c r="I68" s="1152"/>
      <c r="J68" s="1152"/>
      <c r="K68" s="1152"/>
      <c r="L68" s="1152"/>
      <c r="M68" s="944"/>
      <c r="N68" s="1177"/>
      <c r="O68" s="1177"/>
      <c r="P68" s="1390"/>
      <c r="Q68" s="1098"/>
      <c r="R68" s="996"/>
      <c r="S68" s="996"/>
      <c r="T68" s="996"/>
      <c r="U68" s="996"/>
      <c r="V68" s="996"/>
      <c r="W68" s="996"/>
      <c r="X68" s="996"/>
      <c r="Y68" s="996"/>
      <c r="Z68" s="996"/>
      <c r="AA68" s="996"/>
      <c r="AB68" s="996"/>
      <c r="AC68" s="996"/>
    </row>
    <row r="69" spans="1:29" ht="15">
      <c r="A69" s="1125"/>
      <c r="B69" s="1128" t="s">
        <v>1383</v>
      </c>
      <c r="C69" s="1147" t="s">
        <v>1416</v>
      </c>
      <c r="D69" s="1147" t="s">
        <v>1417</v>
      </c>
      <c r="E69" s="1147" t="s">
        <v>1418</v>
      </c>
      <c r="F69" s="1147" t="s">
        <v>1419</v>
      </c>
      <c r="G69" s="1147" t="s">
        <v>1420</v>
      </c>
      <c r="H69" s="1129"/>
      <c r="I69" s="1129"/>
      <c r="J69" s="1129"/>
      <c r="K69" s="1178"/>
      <c r="L69" s="1179"/>
      <c r="M69" s="1180"/>
      <c r="N69" s="1174"/>
      <c r="O69" s="1174"/>
      <c r="P69" s="1390"/>
      <c r="Q69" s="1098"/>
      <c r="R69" s="996"/>
      <c r="S69" s="996"/>
      <c r="T69" s="996"/>
      <c r="U69" s="996"/>
      <c r="V69" s="996"/>
      <c r="W69" s="996"/>
      <c r="X69" s="996"/>
      <c r="Y69" s="996"/>
      <c r="Z69" s="996"/>
      <c r="AA69" s="996"/>
      <c r="AB69" s="996"/>
      <c r="AC69" s="996"/>
    </row>
    <row r="70" spans="1:29" ht="15">
      <c r="A70" s="1125"/>
      <c r="B70" s="1130"/>
      <c r="C70" s="1131">
        <v>100</v>
      </c>
      <c r="D70" s="1131">
        <f>C70-$K20</f>
        <v>100</v>
      </c>
      <c r="E70" s="1131">
        <f>D70-$K20</f>
        <v>100</v>
      </c>
      <c r="F70" s="1131">
        <f>E70-$K20</f>
        <v>100</v>
      </c>
      <c r="G70" s="1131">
        <f>F70-$K20</f>
        <v>100</v>
      </c>
      <c r="H70" s="1131"/>
      <c r="I70" s="1131"/>
      <c r="J70" s="1131"/>
      <c r="K70" s="1131"/>
      <c r="L70" s="1131"/>
      <c r="M70" s="1181"/>
      <c r="N70" s="1177"/>
      <c r="O70" s="1177"/>
      <c r="P70" s="1390"/>
      <c r="Q70" s="1098"/>
      <c r="R70" s="996"/>
      <c r="S70" s="996"/>
      <c r="T70" s="996"/>
      <c r="U70" s="996"/>
      <c r="V70" s="996"/>
      <c r="W70" s="996"/>
      <c r="X70" s="996"/>
      <c r="Y70" s="996"/>
      <c r="Z70" s="996"/>
      <c r="AA70" s="996"/>
      <c r="AB70" s="996"/>
      <c r="AC70" s="996"/>
    </row>
    <row r="71" spans="1:29" ht="15">
      <c r="A71" s="1125"/>
      <c r="B71" s="1128" t="s">
        <v>1451</v>
      </c>
      <c r="C71" s="1136"/>
      <c r="D71" s="1136"/>
      <c r="E71" s="1136"/>
      <c r="F71" s="1136"/>
      <c r="G71" s="1136"/>
      <c r="H71" s="1153"/>
      <c r="I71" s="1153"/>
      <c r="J71" s="1153"/>
      <c r="K71" s="1204"/>
      <c r="L71" s="1205"/>
      <c r="M71" s="1206"/>
      <c r="N71" s="1174"/>
      <c r="O71" s="1174"/>
      <c r="P71" s="1390"/>
      <c r="Q71" s="1098"/>
      <c r="R71" s="996"/>
      <c r="S71" s="996"/>
      <c r="T71" s="996"/>
      <c r="U71" s="996"/>
      <c r="V71" s="996"/>
      <c r="W71" s="996"/>
      <c r="X71" s="996"/>
      <c r="Y71" s="996"/>
      <c r="Z71" s="996"/>
      <c r="AA71" s="996"/>
      <c r="AB71" s="996"/>
      <c r="AC71" s="996"/>
    </row>
    <row r="72" spans="1:29" ht="15">
      <c r="A72" s="1125"/>
      <c r="B72" s="1130"/>
      <c r="C72" s="1131">
        <v>100</v>
      </c>
      <c r="D72" s="1131">
        <f>C72-$K22</f>
        <v>100</v>
      </c>
      <c r="E72" s="1131">
        <f>D72-$K22</f>
        <v>100</v>
      </c>
      <c r="F72" s="1131">
        <f>E72-$K22</f>
        <v>100</v>
      </c>
      <c r="G72" s="1131">
        <f>F72-$K22</f>
        <v>100</v>
      </c>
      <c r="H72" s="1131"/>
      <c r="I72" s="1131"/>
      <c r="J72" s="1131"/>
      <c r="K72" s="1131"/>
      <c r="L72" s="1131"/>
      <c r="M72" s="1181"/>
      <c r="N72" s="1177"/>
      <c r="O72" s="1177"/>
      <c r="P72" s="1390"/>
      <c r="Q72" s="1098"/>
      <c r="R72" s="996"/>
      <c r="S72" s="996"/>
      <c r="T72" s="996"/>
      <c r="U72" s="996"/>
      <c r="V72" s="996"/>
      <c r="W72" s="996"/>
      <c r="X72" s="996"/>
      <c r="Y72" s="996"/>
      <c r="Z72" s="996"/>
      <c r="AA72" s="996"/>
      <c r="AB72" s="996"/>
      <c r="AC72" s="996"/>
    </row>
    <row r="73" spans="1:29" s="880" customFormat="1" ht="15">
      <c r="A73" s="1148"/>
      <c r="B73" s="1128">
        <f>B23</f>
        <v>111</v>
      </c>
      <c r="C73" s="927"/>
      <c r="D73" s="927"/>
      <c r="E73" s="927"/>
      <c r="F73" s="927"/>
      <c r="G73" s="1136"/>
      <c r="H73" s="1136"/>
      <c r="I73" s="1136"/>
      <c r="J73" s="1136"/>
      <c r="K73" s="1136"/>
      <c r="L73" s="1337"/>
      <c r="M73" s="1338"/>
      <c r="N73" s="1168"/>
      <c r="O73" s="1168"/>
      <c r="P73" s="1390"/>
      <c r="Q73" s="1098"/>
      <c r="R73" s="1218"/>
      <c r="S73" s="1218"/>
      <c r="T73" s="1218"/>
      <c r="U73" s="1218"/>
      <c r="V73" s="1218"/>
      <c r="W73" s="1218"/>
      <c r="X73" s="1218"/>
      <c r="Y73" s="1218"/>
      <c r="Z73" s="1218"/>
      <c r="AA73" s="1218"/>
      <c r="AB73" s="1218"/>
      <c r="AC73" s="1218"/>
    </row>
    <row r="74" spans="1:29" s="880" customFormat="1" ht="15">
      <c r="A74" s="1148"/>
      <c r="B74" s="1130"/>
      <c r="C74" s="1138"/>
      <c r="D74" s="1127"/>
      <c r="E74" s="1127"/>
      <c r="F74" s="1127"/>
      <c r="G74" s="1127"/>
      <c r="H74" s="1127"/>
      <c r="I74" s="1127"/>
      <c r="J74" s="1127"/>
      <c r="K74" s="1127"/>
      <c r="L74" s="1127"/>
      <c r="M74" s="1176"/>
      <c r="N74" s="1177"/>
      <c r="O74" s="1177"/>
      <c r="P74" s="1390"/>
      <c r="Q74" s="1098"/>
      <c r="R74" s="1218"/>
      <c r="S74" s="1218"/>
      <c r="T74" s="1218"/>
      <c r="U74" s="1218"/>
      <c r="V74" s="1218"/>
      <c r="W74" s="1218"/>
      <c r="X74" s="1218"/>
      <c r="Y74" s="1218"/>
      <c r="Z74" s="1218"/>
      <c r="AA74" s="1218"/>
      <c r="AB74" s="1218"/>
      <c r="AC74" s="1218"/>
    </row>
    <row r="75" spans="1:29" s="880" customFormat="1" ht="15">
      <c r="A75" s="1148"/>
      <c r="B75" s="1128">
        <f>B24</f>
        <v>111</v>
      </c>
      <c r="C75" s="927"/>
      <c r="D75" s="927"/>
      <c r="E75" s="927"/>
      <c r="F75" s="927"/>
      <c r="G75" s="1136"/>
      <c r="H75" s="1136"/>
      <c r="I75" s="1136"/>
      <c r="J75" s="1136"/>
      <c r="K75" s="1136"/>
      <c r="L75" s="1136"/>
      <c r="M75" s="1338"/>
      <c r="N75" s="1168"/>
      <c r="O75" s="1168"/>
      <c r="P75" s="1390"/>
      <c r="Q75" s="1098"/>
      <c r="R75" s="1218"/>
      <c r="S75" s="1218"/>
      <c r="T75" s="1218"/>
      <c r="U75" s="1218"/>
      <c r="V75" s="1218"/>
      <c r="W75" s="1218"/>
      <c r="X75" s="1218"/>
      <c r="Y75" s="1218"/>
      <c r="Z75" s="1218"/>
      <c r="AA75" s="1218"/>
      <c r="AB75" s="1218"/>
      <c r="AC75" s="1218"/>
    </row>
    <row r="76" spans="1:29" s="880" customFormat="1" ht="15">
      <c r="A76" s="1148"/>
      <c r="B76" s="1130"/>
      <c r="C76" s="1138"/>
      <c r="D76" s="1127"/>
      <c r="E76" s="1127"/>
      <c r="F76" s="1127"/>
      <c r="G76" s="1127"/>
      <c r="H76" s="1127"/>
      <c r="I76" s="1127"/>
      <c r="J76" s="1127"/>
      <c r="K76" s="1127"/>
      <c r="L76" s="1127"/>
      <c r="M76" s="1176"/>
      <c r="N76" s="1177"/>
      <c r="O76" s="1177"/>
      <c r="P76" s="1390"/>
      <c r="Q76" s="1098"/>
      <c r="R76" s="1218"/>
      <c r="S76" s="1218"/>
      <c r="T76" s="1218"/>
      <c r="U76" s="1218"/>
      <c r="V76" s="1218"/>
      <c r="W76" s="1218"/>
      <c r="X76" s="1218"/>
      <c r="Y76" s="1218"/>
      <c r="Z76" s="1218"/>
      <c r="AA76" s="1218"/>
      <c r="AB76" s="1218"/>
      <c r="AC76" s="1218"/>
    </row>
    <row r="77" spans="1:29" s="882" customFormat="1" ht="15">
      <c r="A77" s="1135"/>
      <c r="B77" s="1128">
        <f>B25</f>
        <v>111</v>
      </c>
      <c r="C77" s="1136"/>
      <c r="D77" s="1136"/>
      <c r="E77" s="1136"/>
      <c r="F77" s="1136"/>
      <c r="G77" s="1136"/>
      <c r="H77" s="1137"/>
      <c r="I77" s="1137"/>
      <c r="J77" s="1137"/>
      <c r="K77" s="1137"/>
      <c r="L77" s="1185"/>
      <c r="M77" s="1186"/>
      <c r="N77" s="1187"/>
      <c r="O77" s="1187"/>
      <c r="P77" s="1391"/>
      <c r="Q77" s="1219"/>
      <c r="R77" s="1220"/>
      <c r="S77" s="1220"/>
      <c r="T77" s="1220"/>
      <c r="U77" s="1220"/>
      <c r="V77" s="1220"/>
      <c r="W77" s="1220"/>
      <c r="X77" s="1220"/>
      <c r="Y77" s="1220"/>
      <c r="Z77" s="1220"/>
      <c r="AA77" s="1220"/>
      <c r="AB77" s="1220"/>
      <c r="AC77" s="1220"/>
    </row>
    <row r="78" spans="1:29" s="882" customFormat="1" ht="15">
      <c r="A78" s="1135"/>
      <c r="B78" s="1130"/>
      <c r="C78" s="1138"/>
      <c r="D78" s="1138"/>
      <c r="E78" s="1138"/>
      <c r="F78" s="1138"/>
      <c r="G78" s="1127"/>
      <c r="H78" s="1127"/>
      <c r="I78" s="1127"/>
      <c r="J78" s="1127"/>
      <c r="K78" s="1127"/>
      <c r="L78" s="1127"/>
      <c r="M78" s="1176"/>
      <c r="N78" s="1187"/>
      <c r="O78" s="1187"/>
      <c r="P78" s="1391"/>
      <c r="Q78" s="1219"/>
      <c r="R78" s="1220"/>
      <c r="S78" s="1220"/>
      <c r="T78" s="1220"/>
      <c r="U78" s="1220"/>
      <c r="V78" s="1220"/>
      <c r="W78" s="1220"/>
      <c r="X78" s="1220"/>
      <c r="Y78" s="1220"/>
      <c r="Z78" s="1220"/>
      <c r="AA78" s="1220"/>
      <c r="AB78" s="1220"/>
      <c r="AC78" s="1220"/>
    </row>
    <row r="79" spans="1:29" ht="27">
      <c r="A79" s="1123" t="s">
        <v>1386</v>
      </c>
      <c r="B79" s="1124" t="s">
        <v>1482</v>
      </c>
      <c r="C79" s="1146">
        <f>C26</f>
        <v>0</v>
      </c>
      <c r="D79" s="1066"/>
      <c r="E79" s="1066"/>
      <c r="F79" s="1066"/>
      <c r="G79" s="1066"/>
      <c r="H79" s="1066"/>
      <c r="I79" s="1066"/>
      <c r="J79" s="1066"/>
      <c r="K79" s="1171"/>
      <c r="L79" s="1172"/>
      <c r="M79" s="1173"/>
      <c r="N79" s="1174"/>
      <c r="O79" s="1174"/>
      <c r="P79" s="1390"/>
      <c r="Q79" s="1098"/>
      <c r="R79" s="996"/>
      <c r="S79" s="996"/>
      <c r="T79" s="996"/>
      <c r="U79" s="996"/>
      <c r="V79" s="996"/>
      <c r="W79" s="996"/>
      <c r="X79" s="996"/>
      <c r="Y79" s="996"/>
      <c r="Z79" s="996"/>
      <c r="AA79" s="996"/>
      <c r="AB79" s="996"/>
      <c r="AC79" s="996"/>
    </row>
    <row r="80" spans="1:29" ht="15">
      <c r="A80" s="1125"/>
      <c r="B80" s="1130"/>
      <c r="C80" s="1131">
        <v>100</v>
      </c>
      <c r="D80" s="1131">
        <f t="shared" ref="D80:M80" si="14">C80-$K26</f>
        <v>100</v>
      </c>
      <c r="E80" s="1131">
        <f t="shared" si="14"/>
        <v>100</v>
      </c>
      <c r="F80" s="1131">
        <f t="shared" si="14"/>
        <v>100</v>
      </c>
      <c r="G80" s="1131">
        <f t="shared" si="14"/>
        <v>100</v>
      </c>
      <c r="H80" s="1131">
        <f t="shared" si="14"/>
        <v>100</v>
      </c>
      <c r="I80" s="1131">
        <f t="shared" si="14"/>
        <v>100</v>
      </c>
      <c r="J80" s="1131">
        <f t="shared" si="14"/>
        <v>100</v>
      </c>
      <c r="K80" s="1131">
        <f t="shared" si="14"/>
        <v>100</v>
      </c>
      <c r="L80" s="1131">
        <f t="shared" si="14"/>
        <v>100</v>
      </c>
      <c r="M80" s="1181">
        <f t="shared" si="14"/>
        <v>100</v>
      </c>
      <c r="N80" s="1177"/>
      <c r="O80" s="1177"/>
      <c r="P80" s="1390"/>
      <c r="Q80" s="1098"/>
      <c r="R80" s="996"/>
      <c r="S80" s="996"/>
      <c r="T80" s="996"/>
      <c r="U80" s="996"/>
      <c r="V80" s="996"/>
      <c r="W80" s="996"/>
      <c r="X80" s="996"/>
      <c r="Y80" s="996"/>
      <c r="Z80" s="996"/>
      <c r="AA80" s="996"/>
      <c r="AB80" s="996"/>
      <c r="AC80" s="996"/>
    </row>
    <row r="81" spans="1:29" ht="15">
      <c r="A81" s="1125"/>
      <c r="B81" s="1128" t="s">
        <v>1473</v>
      </c>
      <c r="C81" s="1394"/>
      <c r="D81" s="1394"/>
      <c r="E81" s="1394"/>
      <c r="F81" s="1394"/>
      <c r="G81" s="1394"/>
      <c r="H81" s="1394"/>
      <c r="I81" s="1394"/>
      <c r="J81" s="1394"/>
      <c r="K81" s="1395"/>
      <c r="L81" s="1396"/>
      <c r="M81" s="1397"/>
      <c r="N81" s="1168"/>
      <c r="O81" s="1168"/>
      <c r="P81" s="1390"/>
      <c r="Q81" s="1098"/>
      <c r="R81" s="996"/>
      <c r="S81" s="996"/>
      <c r="T81" s="996"/>
      <c r="U81" s="996"/>
      <c r="V81" s="996"/>
      <c r="W81" s="996"/>
      <c r="X81" s="996"/>
      <c r="Y81" s="996"/>
      <c r="Z81" s="996"/>
      <c r="AA81" s="996"/>
      <c r="AB81" s="996"/>
      <c r="AC81" s="996"/>
    </row>
    <row r="82" spans="1:29" s="882" customFormat="1" ht="15">
      <c r="A82" s="1135"/>
      <c r="B82" s="1130"/>
      <c r="C82" s="1138"/>
      <c r="D82" s="1127"/>
      <c r="E82" s="1127"/>
      <c r="F82" s="1127"/>
      <c r="G82" s="1127"/>
      <c r="H82" s="1127"/>
      <c r="I82" s="1127"/>
      <c r="J82" s="1127"/>
      <c r="K82" s="1127"/>
      <c r="L82" s="1127"/>
      <c r="M82" s="1176"/>
      <c r="N82" s="1177"/>
      <c r="O82" s="1177"/>
      <c r="P82" s="1391"/>
      <c r="Q82" s="1219"/>
      <c r="R82" s="1220"/>
      <c r="S82" s="1220"/>
      <c r="T82" s="1220"/>
      <c r="U82" s="1220"/>
      <c r="V82" s="1220"/>
      <c r="W82" s="1220"/>
      <c r="X82" s="1220"/>
      <c r="Y82" s="1220"/>
      <c r="Z82" s="1220"/>
      <c r="AA82" s="1220"/>
      <c r="AB82" s="1220"/>
      <c r="AC82" s="1220"/>
    </row>
    <row r="83" spans="1:29">
      <c r="A83" s="1159"/>
      <c r="B83" s="1128" t="s">
        <v>1392</v>
      </c>
      <c r="C83" s="1136"/>
      <c r="D83" s="1136"/>
      <c r="E83" s="1153"/>
      <c r="F83" s="1153"/>
      <c r="G83" s="1153"/>
      <c r="H83" s="1153"/>
      <c r="I83" s="1153"/>
      <c r="J83" s="1153"/>
      <c r="K83" s="1204"/>
      <c r="L83" s="1205"/>
      <c r="M83" s="1206"/>
      <c r="N83" s="1174"/>
      <c r="O83" s="1174"/>
      <c r="P83" s="1390"/>
      <c r="Q83" s="1098"/>
      <c r="R83" s="996"/>
      <c r="S83" s="996"/>
      <c r="T83" s="996"/>
      <c r="U83" s="996"/>
      <c r="V83" s="996"/>
      <c r="W83" s="996"/>
      <c r="X83" s="996"/>
      <c r="Y83" s="996"/>
      <c r="Z83" s="996"/>
      <c r="AA83" s="996"/>
      <c r="AB83" s="996"/>
      <c r="AC83" s="996"/>
    </row>
    <row r="84" spans="1:29" ht="15">
      <c r="A84" s="1125"/>
      <c r="B84" s="1130"/>
      <c r="C84" s="1131">
        <v>100</v>
      </c>
      <c r="D84" s="1131">
        <f t="shared" ref="D84:M84" si="15">C84-$K28</f>
        <v>100</v>
      </c>
      <c r="E84" s="1131">
        <f t="shared" si="15"/>
        <v>100</v>
      </c>
      <c r="F84" s="1131">
        <f t="shared" si="15"/>
        <v>100</v>
      </c>
      <c r="G84" s="1131">
        <f t="shared" si="15"/>
        <v>100</v>
      </c>
      <c r="H84" s="1131">
        <f t="shared" si="15"/>
        <v>100</v>
      </c>
      <c r="I84" s="1131">
        <f t="shared" si="15"/>
        <v>100</v>
      </c>
      <c r="J84" s="1131">
        <f t="shared" si="15"/>
        <v>100</v>
      </c>
      <c r="K84" s="1131">
        <f t="shared" si="15"/>
        <v>100</v>
      </c>
      <c r="L84" s="1131">
        <f t="shared" si="15"/>
        <v>100</v>
      </c>
      <c r="M84" s="1181">
        <f t="shared" si="15"/>
        <v>100</v>
      </c>
      <c r="N84" s="1177"/>
      <c r="O84" s="1177"/>
      <c r="P84" s="1390"/>
      <c r="Q84" s="1098"/>
      <c r="R84" s="996"/>
      <c r="S84" s="996"/>
      <c r="T84" s="996"/>
      <c r="U84" s="996"/>
      <c r="V84" s="996"/>
      <c r="W84" s="996"/>
      <c r="X84" s="996"/>
      <c r="Y84" s="996"/>
      <c r="Z84" s="996"/>
      <c r="AA84" s="996"/>
      <c r="AB84" s="996"/>
      <c r="AC84" s="996"/>
    </row>
    <row r="85" spans="1:29">
      <c r="A85" s="1159"/>
      <c r="B85" s="1128" t="s">
        <v>1474</v>
      </c>
      <c r="C85" s="1147" t="str">
        <f>C86&amp;"(含)"&amp;"-"&amp;D86</f>
        <v>0.5(含)-0.6</v>
      </c>
      <c r="D85" s="1147" t="str">
        <f>D86&amp;"(含)"&amp;"-"&amp;E86</f>
        <v>0.6(含)-0.7</v>
      </c>
      <c r="E85" s="1147" t="str">
        <f>E86&amp;"(含)"&amp;"-"&amp;F86</f>
        <v>0.7(含)-0.8</v>
      </c>
      <c r="F85" s="1147" t="str">
        <f>F86&amp;"(含)"&amp;"-"&amp;G86</f>
        <v>0.8(含)-0.9</v>
      </c>
      <c r="G85" s="1147" t="str">
        <f>G86&amp;"(含)"&amp;"-"&amp;ROUND(H86,0)&amp;"(含)"</f>
        <v>0.9(含)-1(含)</v>
      </c>
      <c r="H85" s="1147"/>
      <c r="I85" s="1153"/>
      <c r="J85" s="1153"/>
      <c r="K85" s="1204"/>
      <c r="L85" s="1205"/>
      <c r="M85" s="1206"/>
      <c r="N85" s="1174"/>
      <c r="O85" s="1174"/>
      <c r="P85" s="1390"/>
      <c r="Q85" s="1098"/>
      <c r="R85" s="996"/>
      <c r="S85" s="996"/>
      <c r="T85" s="996"/>
      <c r="U85" s="996"/>
      <c r="V85" s="996"/>
      <c r="W85" s="996"/>
      <c r="X85" s="996"/>
      <c r="Y85" s="996"/>
      <c r="Z85" s="996"/>
      <c r="AA85" s="996"/>
      <c r="AB85" s="996"/>
      <c r="AC85" s="996"/>
    </row>
    <row r="86" spans="1:29">
      <c r="A86" s="1159"/>
      <c r="B86" s="1132"/>
      <c r="C86" s="815">
        <v>0.5</v>
      </c>
      <c r="D86" s="815">
        <v>0.6</v>
      </c>
      <c r="E86" s="815">
        <v>0.7</v>
      </c>
      <c r="F86" s="815">
        <v>0.8</v>
      </c>
      <c r="G86" s="815">
        <v>0.9</v>
      </c>
      <c r="H86" s="815">
        <v>1.0001</v>
      </c>
      <c r="I86" s="1398"/>
      <c r="J86" s="1398"/>
      <c r="K86" s="1399"/>
      <c r="L86" s="1400"/>
      <c r="M86" s="1401"/>
      <c r="N86" s="1174"/>
      <c r="O86" s="1174"/>
      <c r="P86" s="1390"/>
      <c r="Q86" s="1098"/>
      <c r="R86" s="996"/>
      <c r="S86" s="996"/>
      <c r="T86" s="996"/>
      <c r="U86" s="996"/>
      <c r="V86" s="996"/>
      <c r="W86" s="996"/>
      <c r="X86" s="996"/>
      <c r="Y86" s="996"/>
      <c r="Z86" s="996"/>
      <c r="AA86" s="996"/>
      <c r="AB86" s="996"/>
      <c r="AC86" s="996"/>
    </row>
    <row r="87" spans="1:29" ht="15">
      <c r="A87" s="1125"/>
      <c r="B87" s="1130"/>
      <c r="C87" s="1149">
        <v>100</v>
      </c>
      <c r="D87" s="1131">
        <f>C87+$K$29</f>
        <v>100</v>
      </c>
      <c r="E87" s="1131">
        <f t="shared" ref="E87:M87" si="16">D87+$K$29</f>
        <v>100</v>
      </c>
      <c r="F87" s="1131">
        <f t="shared" si="16"/>
        <v>100</v>
      </c>
      <c r="G87" s="1131">
        <f t="shared" si="16"/>
        <v>100</v>
      </c>
      <c r="H87" s="1131">
        <f t="shared" si="16"/>
        <v>100</v>
      </c>
      <c r="I87" s="1131">
        <f t="shared" si="16"/>
        <v>100</v>
      </c>
      <c r="J87" s="1131">
        <f t="shared" si="16"/>
        <v>100</v>
      </c>
      <c r="K87" s="1131">
        <f t="shared" si="16"/>
        <v>100</v>
      </c>
      <c r="L87" s="1131">
        <f t="shared" si="16"/>
        <v>100</v>
      </c>
      <c r="M87" s="1131">
        <f t="shared" si="16"/>
        <v>100</v>
      </c>
      <c r="N87" s="1177"/>
      <c r="O87" s="1177"/>
      <c r="P87" s="1390"/>
      <c r="Q87" s="1098"/>
      <c r="R87" s="996"/>
      <c r="S87" s="996"/>
      <c r="T87" s="996"/>
      <c r="U87" s="996"/>
      <c r="V87" s="996"/>
      <c r="W87" s="996"/>
      <c r="X87" s="996"/>
      <c r="Y87" s="996"/>
      <c r="Z87" s="996"/>
      <c r="AA87" s="996"/>
      <c r="AB87" s="996"/>
      <c r="AC87" s="996"/>
    </row>
    <row r="88" spans="1:29">
      <c r="A88" s="1159"/>
      <c r="B88" s="1132" t="s">
        <v>1475</v>
      </c>
      <c r="C88" s="1066"/>
      <c r="D88" s="1066"/>
      <c r="E88" s="1066"/>
      <c r="F88" s="1066"/>
      <c r="G88" s="1066"/>
      <c r="H88" s="1066"/>
      <c r="I88" s="1066"/>
      <c r="J88" s="1066"/>
      <c r="K88" s="1171"/>
      <c r="L88" s="1172"/>
      <c r="M88" s="1173"/>
      <c r="N88" s="1174"/>
      <c r="O88" s="1174"/>
      <c r="P88" s="1390"/>
      <c r="Q88" s="1098"/>
      <c r="R88" s="996"/>
      <c r="S88" s="996"/>
      <c r="T88" s="996"/>
      <c r="U88" s="996"/>
      <c r="V88" s="996"/>
      <c r="W88" s="996"/>
      <c r="X88" s="996"/>
      <c r="Y88" s="996"/>
      <c r="Z88" s="996"/>
      <c r="AA88" s="996"/>
      <c r="AB88" s="996"/>
      <c r="AC88" s="996"/>
    </row>
    <row r="89" spans="1:29" ht="15">
      <c r="A89" s="1125"/>
      <c r="B89" s="1130"/>
      <c r="C89" s="1149">
        <v>100</v>
      </c>
      <c r="D89" s="1131">
        <f t="shared" ref="D89:M89" si="17">C89+$K30</f>
        <v>100</v>
      </c>
      <c r="E89" s="1131">
        <f t="shared" si="17"/>
        <v>100</v>
      </c>
      <c r="F89" s="1131">
        <f t="shared" si="17"/>
        <v>100</v>
      </c>
      <c r="G89" s="1131">
        <f t="shared" si="17"/>
        <v>100</v>
      </c>
      <c r="H89" s="1131">
        <f t="shared" si="17"/>
        <v>100</v>
      </c>
      <c r="I89" s="1131">
        <f t="shared" si="17"/>
        <v>100</v>
      </c>
      <c r="J89" s="1131">
        <f t="shared" si="17"/>
        <v>100</v>
      </c>
      <c r="K89" s="1131">
        <f t="shared" si="17"/>
        <v>100</v>
      </c>
      <c r="L89" s="1131">
        <f t="shared" si="17"/>
        <v>100</v>
      </c>
      <c r="M89" s="1131">
        <f t="shared" si="17"/>
        <v>100</v>
      </c>
      <c r="N89" s="1177"/>
      <c r="O89" s="1177"/>
      <c r="P89" s="1390"/>
      <c r="Q89" s="1098"/>
      <c r="R89" s="996"/>
      <c r="S89" s="996"/>
      <c r="T89" s="996"/>
      <c r="U89" s="996"/>
      <c r="V89" s="996"/>
      <c r="W89" s="996"/>
      <c r="X89" s="996"/>
      <c r="Y89" s="996"/>
      <c r="Z89" s="996"/>
      <c r="AA89" s="996"/>
      <c r="AB89" s="996"/>
      <c r="AC89" s="996"/>
    </row>
    <row r="90" spans="1:29" s="882" customFormat="1">
      <c r="A90" s="1156"/>
      <c r="B90" s="1128" t="s">
        <v>1476</v>
      </c>
      <c r="C90" s="1147" t="str">
        <f>C91&amp;"(含)"&amp;"-"&amp;D91</f>
        <v>(含)-</v>
      </c>
      <c r="D90" s="1147" t="str">
        <f t="shared" ref="D90:L90" si="18">D91&amp;"(含)"&amp;"-"&amp;E91</f>
        <v>(含)-</v>
      </c>
      <c r="E90" s="1147" t="str">
        <f t="shared" si="18"/>
        <v>(含)-</v>
      </c>
      <c r="F90" s="1147" t="str">
        <f t="shared" si="18"/>
        <v>(含)-</v>
      </c>
      <c r="G90" s="1147" t="str">
        <f t="shared" si="18"/>
        <v>(含)-</v>
      </c>
      <c r="H90" s="1147" t="str">
        <f t="shared" si="18"/>
        <v>(含)-</v>
      </c>
      <c r="I90" s="1147" t="str">
        <f t="shared" si="18"/>
        <v>(含)-</v>
      </c>
      <c r="J90" s="1147" t="str">
        <f t="shared" si="18"/>
        <v>(含)-</v>
      </c>
      <c r="K90" s="1147" t="str">
        <f t="shared" si="18"/>
        <v>(含)-</v>
      </c>
      <c r="L90" s="1147" t="str">
        <f t="shared" si="18"/>
        <v>(含)-</v>
      </c>
      <c r="M90" s="1199" t="str">
        <f>M91&amp;"(含)"&amp;"-"&amp;P91</f>
        <v>(含)-</v>
      </c>
      <c r="N90" s="1187"/>
      <c r="O90" s="1187"/>
      <c r="P90" s="1391"/>
      <c r="Q90" s="1219"/>
      <c r="R90" s="1220"/>
      <c r="S90" s="1220"/>
      <c r="T90" s="1220"/>
      <c r="U90" s="1220"/>
      <c r="V90" s="1220"/>
      <c r="W90" s="1220"/>
      <c r="X90" s="1220"/>
      <c r="Y90" s="1220"/>
      <c r="Z90" s="1220"/>
      <c r="AA90" s="1220"/>
      <c r="AB90" s="1220"/>
      <c r="AC90" s="1220"/>
    </row>
    <row r="91" spans="1:29" s="882" customFormat="1">
      <c r="A91" s="1156"/>
      <c r="B91" s="1132"/>
      <c r="C91" s="1112"/>
      <c r="D91" s="1112"/>
      <c r="E91" s="1112"/>
      <c r="F91" s="1112"/>
      <c r="G91" s="1112"/>
      <c r="H91" s="1112"/>
      <c r="I91" s="1112"/>
      <c r="J91" s="1211"/>
      <c r="K91" s="1211"/>
      <c r="L91" s="1212"/>
      <c r="M91" s="1213"/>
      <c r="N91" s="1187"/>
      <c r="O91" s="1187"/>
      <c r="P91" s="1391"/>
      <c r="Q91" s="1219"/>
      <c r="R91" s="1220"/>
      <c r="S91" s="1220"/>
      <c r="T91" s="1220"/>
      <c r="U91" s="1220"/>
      <c r="V91" s="1220"/>
      <c r="W91" s="1220"/>
      <c r="X91" s="1220"/>
      <c r="Y91" s="1220"/>
      <c r="Z91" s="1220"/>
      <c r="AA91" s="1220"/>
      <c r="AB91" s="1220"/>
      <c r="AC91" s="1220"/>
    </row>
    <row r="92" spans="1:29" s="882" customFormat="1" ht="15">
      <c r="A92" s="1135"/>
      <c r="B92" s="1130"/>
      <c r="C92" s="1138"/>
      <c r="D92" s="1127"/>
      <c r="E92" s="1127"/>
      <c r="F92" s="1127"/>
      <c r="G92" s="1127"/>
      <c r="H92" s="1127"/>
      <c r="I92" s="1127"/>
      <c r="J92" s="1127"/>
      <c r="K92" s="1127"/>
      <c r="L92" s="1127"/>
      <c r="M92" s="1176"/>
      <c r="N92" s="1187"/>
      <c r="O92" s="1187"/>
      <c r="P92" s="1391"/>
      <c r="Q92" s="1219"/>
      <c r="R92" s="1220"/>
      <c r="S92" s="1220"/>
      <c r="T92" s="1220"/>
      <c r="U92" s="1220"/>
      <c r="V92" s="1220"/>
      <c r="W92" s="1220"/>
      <c r="X92" s="1220"/>
      <c r="Y92" s="1220"/>
      <c r="Z92" s="1220"/>
      <c r="AA92" s="1220"/>
      <c r="AB92" s="1220"/>
      <c r="AC92" s="1220"/>
    </row>
    <row r="93" spans="1:29">
      <c r="A93" s="1159"/>
      <c r="B93" s="1128" t="s">
        <v>1477</v>
      </c>
      <c r="C93" s="1136"/>
      <c r="D93" s="1136"/>
      <c r="E93" s="1153"/>
      <c r="F93" s="1153"/>
      <c r="G93" s="1153"/>
      <c r="H93" s="1153"/>
      <c r="I93" s="1153"/>
      <c r="J93" s="1153"/>
      <c r="K93" s="1204"/>
      <c r="L93" s="1205"/>
      <c r="M93" s="1206"/>
      <c r="N93" s="1174"/>
      <c r="O93" s="1174"/>
      <c r="P93" s="1390"/>
      <c r="Q93" s="1098"/>
      <c r="R93" s="996"/>
      <c r="S93" s="996"/>
      <c r="T93" s="996"/>
      <c r="U93" s="996"/>
      <c r="V93" s="996"/>
      <c r="W93" s="996"/>
      <c r="X93" s="996"/>
      <c r="Y93" s="996"/>
      <c r="Z93" s="996"/>
      <c r="AA93" s="996"/>
      <c r="AB93" s="996"/>
      <c r="AC93" s="996"/>
    </row>
    <row r="94" spans="1:29" ht="15">
      <c r="A94" s="1125"/>
      <c r="B94" s="1130"/>
      <c r="C94" s="1131">
        <v>100</v>
      </c>
      <c r="D94" s="1131">
        <f t="shared" ref="D94:M94" si="19">C94-$K32</f>
        <v>100</v>
      </c>
      <c r="E94" s="1131">
        <f t="shared" si="19"/>
        <v>100</v>
      </c>
      <c r="F94" s="1131">
        <f t="shared" si="19"/>
        <v>100</v>
      </c>
      <c r="G94" s="1131">
        <f t="shared" si="19"/>
        <v>100</v>
      </c>
      <c r="H94" s="1131">
        <f t="shared" si="19"/>
        <v>100</v>
      </c>
      <c r="I94" s="1131">
        <f t="shared" si="19"/>
        <v>100</v>
      </c>
      <c r="J94" s="1131">
        <f t="shared" si="19"/>
        <v>100</v>
      </c>
      <c r="K94" s="1131">
        <f t="shared" si="19"/>
        <v>100</v>
      </c>
      <c r="L94" s="1131">
        <f t="shared" si="19"/>
        <v>100</v>
      </c>
      <c r="M94" s="1181">
        <f t="shared" si="19"/>
        <v>100</v>
      </c>
      <c r="N94" s="1177"/>
      <c r="O94" s="1177"/>
      <c r="P94" s="1390"/>
      <c r="Q94" s="1098"/>
      <c r="R94" s="996"/>
      <c r="S94" s="996"/>
      <c r="T94" s="996"/>
      <c r="U94" s="996"/>
      <c r="V94" s="996"/>
      <c r="W94" s="996"/>
      <c r="X94" s="996"/>
      <c r="Y94" s="996"/>
      <c r="Z94" s="996"/>
      <c r="AA94" s="996"/>
      <c r="AB94" s="996"/>
      <c r="AC94" s="996"/>
    </row>
    <row r="95" spans="1:29">
      <c r="A95" s="1159"/>
      <c r="B95" s="1128" t="s">
        <v>1478</v>
      </c>
      <c r="C95" s="1066"/>
      <c r="D95" s="1066"/>
      <c r="E95" s="1066"/>
      <c r="F95" s="1066"/>
      <c r="G95" s="1066"/>
      <c r="H95" s="1066"/>
      <c r="I95" s="1066"/>
      <c r="J95" s="1066"/>
      <c r="K95" s="1171"/>
      <c r="L95" s="1172"/>
      <c r="M95" s="1173"/>
      <c r="N95" s="1174"/>
      <c r="O95" s="1174"/>
      <c r="P95" s="1390"/>
      <c r="Q95" s="1098"/>
      <c r="R95" s="996"/>
      <c r="S95" s="996"/>
      <c r="T95" s="996"/>
      <c r="U95" s="996"/>
      <c r="V95" s="996"/>
      <c r="W95" s="996"/>
      <c r="X95" s="996"/>
      <c r="Y95" s="996"/>
      <c r="Z95" s="996"/>
      <c r="AA95" s="996"/>
      <c r="AB95" s="996"/>
      <c r="AC95" s="996"/>
    </row>
    <row r="96" spans="1:29" ht="15">
      <c r="A96" s="1125"/>
      <c r="B96" s="1130"/>
      <c r="C96" s="1131">
        <v>100</v>
      </c>
      <c r="D96" s="1131">
        <f>C96-$K33</f>
        <v>100</v>
      </c>
      <c r="E96" s="1131">
        <f>D96-$K33</f>
        <v>100</v>
      </c>
      <c r="F96" s="1131">
        <f>E96-$K33</f>
        <v>100</v>
      </c>
      <c r="G96" s="1131">
        <f>F96-$K33</f>
        <v>100</v>
      </c>
      <c r="H96" s="1131"/>
      <c r="I96" s="1131"/>
      <c r="J96" s="1131"/>
      <c r="K96" s="1131"/>
      <c r="L96" s="1131"/>
      <c r="M96" s="1181"/>
      <c r="N96" s="1177"/>
      <c r="O96" s="1177"/>
      <c r="P96" s="1390"/>
      <c r="Q96" s="1098"/>
      <c r="R96" s="996"/>
      <c r="S96" s="996"/>
      <c r="T96" s="996"/>
      <c r="U96" s="996"/>
      <c r="V96" s="996"/>
      <c r="W96" s="996"/>
      <c r="X96" s="996"/>
      <c r="Y96" s="996"/>
      <c r="Z96" s="996"/>
      <c r="AA96" s="996"/>
      <c r="AB96" s="996"/>
      <c r="AC96" s="996"/>
    </row>
    <row r="97" spans="1:29">
      <c r="A97" s="1159"/>
      <c r="B97" s="1334">
        <f>B34</f>
        <v>111</v>
      </c>
      <c r="C97" s="927"/>
      <c r="D97" s="927"/>
      <c r="E97" s="927"/>
      <c r="F97" s="927"/>
      <c r="G97" s="1136"/>
      <c r="H97" s="1137"/>
      <c r="I97" s="1137"/>
      <c r="J97" s="1137"/>
      <c r="K97" s="1137"/>
      <c r="L97" s="1185"/>
      <c r="M97" s="1186"/>
      <c r="N97" s="1177"/>
      <c r="O97" s="1177"/>
      <c r="P97" s="1402"/>
      <c r="Q97" s="1345"/>
      <c r="R97" s="996"/>
      <c r="S97" s="996"/>
      <c r="T97" s="996"/>
      <c r="U97" s="996"/>
      <c r="V97" s="996"/>
      <c r="W97" s="996"/>
      <c r="X97" s="996"/>
      <c r="Y97" s="996"/>
      <c r="Z97" s="996"/>
      <c r="AA97" s="996"/>
      <c r="AB97" s="996"/>
      <c r="AC97" s="996"/>
    </row>
    <row r="98" spans="1:29" ht="15">
      <c r="A98" s="1125"/>
      <c r="B98" s="1130"/>
      <c r="C98" s="1138"/>
      <c r="D98" s="1127"/>
      <c r="E98" s="1127"/>
      <c r="F98" s="1127"/>
      <c r="G98" s="1138"/>
      <c r="H98" s="1139"/>
      <c r="I98" s="1139"/>
      <c r="J98" s="1139"/>
      <c r="K98" s="1139"/>
      <c r="L98" s="1139"/>
      <c r="M98" s="1189"/>
      <c r="N98" s="1177"/>
      <c r="O98" s="1177"/>
      <c r="P98" s="1390"/>
      <c r="Q98" s="1098"/>
      <c r="R98" s="996"/>
      <c r="S98" s="996"/>
      <c r="T98" s="996"/>
      <c r="U98" s="996"/>
      <c r="V98" s="996"/>
      <c r="W98" s="996"/>
      <c r="X98" s="996"/>
      <c r="Y98" s="996"/>
      <c r="Z98" s="996"/>
      <c r="AA98" s="996"/>
      <c r="AB98" s="996"/>
      <c r="AC98" s="996"/>
    </row>
    <row r="99" spans="1:29" s="882" customFormat="1">
      <c r="A99" s="1156"/>
      <c r="B99" s="1128">
        <f>B35</f>
        <v>111</v>
      </c>
      <c r="C99" s="927"/>
      <c r="D99" s="927"/>
      <c r="E99" s="927"/>
      <c r="F99" s="927"/>
      <c r="G99" s="1136"/>
      <c r="H99" s="1137"/>
      <c r="I99" s="1137"/>
      <c r="J99" s="1137"/>
      <c r="K99" s="1137"/>
      <c r="L99" s="1185"/>
      <c r="M99" s="1186"/>
      <c r="N99" s="1187"/>
      <c r="O99" s="1187"/>
      <c r="P99" s="1391"/>
      <c r="Q99" s="1219"/>
      <c r="R99" s="1220"/>
      <c r="S99" s="1220"/>
      <c r="T99" s="1220"/>
      <c r="U99" s="1220"/>
      <c r="V99" s="1220"/>
      <c r="W99" s="1220"/>
      <c r="X99" s="1220"/>
      <c r="Y99" s="1220"/>
      <c r="Z99" s="1220"/>
      <c r="AA99" s="1220"/>
      <c r="AB99" s="1220"/>
      <c r="AC99" s="1220"/>
    </row>
    <row r="100" spans="1:29" s="882" customFormat="1" ht="15">
      <c r="A100" s="1135"/>
      <c r="B100" s="1126"/>
      <c r="C100" s="1138"/>
      <c r="D100" s="1127"/>
      <c r="E100" s="1127"/>
      <c r="F100" s="1127"/>
      <c r="G100" s="1138"/>
      <c r="H100" s="1139"/>
      <c r="I100" s="1139"/>
      <c r="J100" s="1139"/>
      <c r="K100" s="1139"/>
      <c r="L100" s="1139"/>
      <c r="M100" s="1189"/>
      <c r="N100" s="1187"/>
      <c r="O100" s="1187"/>
      <c r="P100" s="1391"/>
      <c r="Q100" s="1219"/>
      <c r="R100" s="1220"/>
      <c r="S100" s="1220"/>
      <c r="T100" s="1220"/>
      <c r="U100" s="1220"/>
      <c r="V100" s="1220"/>
      <c r="W100" s="1220"/>
      <c r="X100" s="1220"/>
      <c r="Y100" s="1220"/>
      <c r="Z100" s="1220"/>
      <c r="AA100" s="1220"/>
      <c r="AB100" s="1220"/>
      <c r="AC100" s="1220"/>
    </row>
    <row r="101" spans="1:29">
      <c r="A101" s="1159"/>
      <c r="B101" s="1128">
        <f>B36</f>
        <v>111</v>
      </c>
      <c r="C101" s="1136"/>
      <c r="D101" s="1136"/>
      <c r="E101" s="1136"/>
      <c r="F101" s="1136"/>
      <c r="G101" s="1136"/>
      <c r="H101" s="1137"/>
      <c r="I101" s="1137"/>
      <c r="J101" s="1137"/>
      <c r="K101" s="1137"/>
      <c r="L101" s="1185"/>
      <c r="M101" s="1186"/>
      <c r="N101" s="1174"/>
      <c r="O101" s="1174"/>
      <c r="P101" s="1390"/>
      <c r="Q101" s="1098"/>
      <c r="R101" s="996"/>
      <c r="S101" s="996"/>
      <c r="T101" s="996"/>
      <c r="U101" s="996"/>
      <c r="V101" s="996"/>
      <c r="W101" s="996"/>
      <c r="X101" s="996"/>
      <c r="Y101" s="996"/>
      <c r="Z101" s="996"/>
      <c r="AA101" s="996"/>
      <c r="AB101" s="996"/>
      <c r="AC101" s="996"/>
    </row>
    <row r="102" spans="1:29" ht="15">
      <c r="A102" s="1125"/>
      <c r="B102" s="1130"/>
      <c r="C102" s="1138"/>
      <c r="D102" s="1138"/>
      <c r="E102" s="1138"/>
      <c r="F102" s="1138"/>
      <c r="G102" s="1138"/>
      <c r="H102" s="1139"/>
      <c r="I102" s="1139"/>
      <c r="J102" s="1139"/>
      <c r="K102" s="1139"/>
      <c r="L102" s="1139"/>
      <c r="M102" s="1189"/>
      <c r="N102" s="1177"/>
      <c r="O102" s="1177"/>
      <c r="P102" s="1390"/>
      <c r="Q102" s="1098"/>
      <c r="R102" s="996"/>
      <c r="S102" s="996"/>
      <c r="T102" s="996"/>
      <c r="U102" s="996"/>
      <c r="V102" s="996"/>
      <c r="W102" s="996"/>
      <c r="X102" s="996"/>
      <c r="Y102" s="996"/>
      <c r="Z102" s="996"/>
      <c r="AA102" s="996"/>
      <c r="AB102" s="996"/>
      <c r="AC102" s="996"/>
    </row>
    <row r="103" spans="1:29">
      <c r="N103" s="996"/>
      <c r="O103" s="996"/>
      <c r="P103" s="1384"/>
      <c r="Q103" s="996"/>
      <c r="R103" s="996"/>
      <c r="S103" s="996"/>
      <c r="T103" s="996"/>
      <c r="U103" s="996"/>
      <c r="V103" s="996"/>
      <c r="W103" s="996"/>
      <c r="X103" s="996"/>
      <c r="Y103" s="996"/>
      <c r="Z103" s="996"/>
      <c r="AA103" s="996"/>
      <c r="AB103" s="996"/>
      <c r="AC103" s="9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xr:uid="{00000000-0002-0000-1E00-000000000000}">
      <formula1>车位交易情况</formula1>
    </dataValidation>
    <dataValidation type="list" allowBlank="1" showInputMessage="1" showErrorMessage="1" sqref="B1" xr:uid="{00000000-0002-0000-1E00-000001000000}">
      <formula1>地类判定</formula1>
    </dataValidation>
    <dataValidation type="list" allowBlank="1" showInputMessage="1" showErrorMessage="1" sqref="C10 E10 G10 I10" xr:uid="{00000000-0002-0000-1E00-000002000000}">
      <formula1>土地年限区间</formula1>
    </dataValidation>
    <dataValidation type="list" allowBlank="1" showInputMessage="1" showErrorMessage="1" sqref="C2" xr:uid="{00000000-0002-0000-1E00-000003000000}">
      <formula1>"需扣减承租人权益,——"</formula1>
    </dataValidation>
    <dataValidation type="list" allowBlank="1" showInputMessage="1" showErrorMessage="1" sqref="D1" xr:uid="{00000000-0002-0000-1E00-000004000000}">
      <formula1>项目类型</formula1>
    </dataValidation>
    <dataValidation type="list" allowBlank="1" showInputMessage="1" showErrorMessage="1" sqref="D38" xr:uid="{00000000-0002-0000-1E00-000005000000}">
      <formula1>"简单平均,加权平均"</formula1>
    </dataValidation>
    <dataValidation type="list" allowBlank="1" showInputMessage="1" showErrorMessage="1" sqref="F1" xr:uid="{00000000-0002-0000-1E00-000006000000}">
      <formula1>"售价,租金"</formula1>
    </dataValidation>
    <dataValidation type="list" allowBlank="1" showInputMessage="1" showErrorMessage="1" sqref="E9 G9 I9" xr:uid="{00000000-0002-0000-1E00-000007000000}">
      <formula1>车位用途</formula1>
    </dataValidation>
    <dataValidation type="list" allowBlank="1" showInputMessage="1" showErrorMessage="1" sqref="F2" xr:uid="{00000000-0002-0000-1E00-000008000000}">
      <formula1>估价方法</formula1>
    </dataValidation>
    <dataValidation type="list" allowBlank="1" showInputMessage="1" showErrorMessage="1" sqref="C15 E15 G15 I15" xr:uid="{00000000-0002-0000-1E00-000009000000}">
      <formula1>交通便捷度</formula1>
    </dataValidation>
    <dataValidation type="list" allowBlank="1" showInputMessage="1" showErrorMessage="1" sqref="C17 E17 G17 I17" xr:uid="{00000000-0002-0000-1E00-00000A000000}">
      <formula1>公共配套设施</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E26 G26 I26" xr:uid="{00000000-0002-0000-1E00-00000C000000}">
      <formula1>车位配套类型</formula1>
    </dataValidation>
    <dataValidation type="list" allowBlank="1" showInputMessage="1" showErrorMessage="1" sqref="C21 E21 G21 I21" xr:uid="{00000000-0002-0000-1E00-00000D000000}">
      <formula1>环境</formula1>
    </dataValidation>
    <dataValidation type="list" allowBlank="1" showInputMessage="1" showErrorMessage="1" sqref="C22 E22 G22 I22" xr:uid="{00000000-0002-0000-1E00-00000E000000}">
      <formula1>车位楼层</formula1>
    </dataValidation>
    <dataValidation type="list" allowBlank="1" showInputMessage="1" showErrorMessage="1" sqref="C28 E28 G28 I28" xr:uid="{00000000-0002-0000-1E00-00000F000000}">
      <formula1>车位公共部分装修</formula1>
    </dataValidation>
    <dataValidation type="list" allowBlank="1" showInputMessage="1" showErrorMessage="1" sqref="C30 E30 G30 I30" xr:uid="{00000000-0002-0000-1E00-000010000000}">
      <formula1>车位物业等级</formula1>
    </dataValidation>
    <dataValidation type="list" allowBlank="1" showInputMessage="1" showErrorMessage="1" sqref="C32 E32 G32 I32" xr:uid="{00000000-0002-0000-1E00-000011000000}">
      <formula1>车位类型</formula1>
    </dataValidation>
    <dataValidation type="list" allowBlank="1" showInputMessage="1" showErrorMessage="1" sqref="C33 E33 G33 I33" xr:uid="{00000000-0002-0000-1E00-000012000000}">
      <formula1>是否直接入户</formula1>
    </dataValidation>
    <dataValidation type="list" allowBlank="1" showInputMessage="1" showErrorMessage="1" sqref="B37" xr:uid="{00000000-0002-0000-1E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67" customFormat="1" ht="28.5" customHeight="1">
      <c r="A1" s="1268" t="s">
        <v>1470</v>
      </c>
      <c r="B1" s="1269"/>
      <c r="C1" s="1270" t="s">
        <v>1348</v>
      </c>
      <c r="D1" s="1271"/>
      <c r="E1" s="1272"/>
      <c r="F1" s="1273"/>
      <c r="G1" s="1274" t="s">
        <v>1350</v>
      </c>
      <c r="H1" s="1272"/>
      <c r="I1" s="1272"/>
      <c r="J1" s="1272"/>
      <c r="K1" s="1325"/>
      <c r="L1" s="1326"/>
      <c r="M1" s="1327"/>
      <c r="N1" s="1327"/>
      <c r="O1" s="1327"/>
      <c r="P1" s="1270"/>
      <c r="Q1" s="1270"/>
      <c r="R1" s="1270"/>
      <c r="S1" s="1270"/>
      <c r="T1" s="1270"/>
      <c r="U1" s="1270"/>
      <c r="V1" s="1270"/>
      <c r="W1" s="1270"/>
      <c r="X1" s="1270"/>
      <c r="Y1" s="1270"/>
      <c r="Z1" s="1270"/>
      <c r="AA1" s="1270"/>
      <c r="AB1" s="1270"/>
      <c r="AC1" s="1333"/>
    </row>
    <row r="2" spans="1:29" s="879" customFormat="1" ht="28.5" customHeight="1">
      <c r="A2" s="1275" t="s">
        <v>926</v>
      </c>
      <c r="B2" s="1276" t="e">
        <f ca="1">IF(C2="——",ROUND(C37*D3/10000,0),ROUND(C37*D3/10000,0)-D2)</f>
        <v>#DIV/0!</v>
      </c>
      <c r="C2" s="1277"/>
      <c r="D2" s="1222" t="e">
        <f ca="1">SUMIF(INDIRECT("'"&amp;F2&amp;"'"&amp;"!A:A"),"承租人权益价值",INDIRECT("'"&amp;F2&amp;"'"&amp;"!c:c"))</f>
        <v>#REF!</v>
      </c>
      <c r="E2" s="1278" t="s">
        <v>927</v>
      </c>
      <c r="F2" s="1279"/>
      <c r="G2" s="895"/>
      <c r="H2" s="895"/>
      <c r="I2" s="895"/>
      <c r="J2" s="895"/>
      <c r="K2" s="1040"/>
      <c r="L2" s="1041"/>
      <c r="M2" s="1042"/>
      <c r="N2" s="1042"/>
      <c r="O2" s="1042"/>
      <c r="P2" s="1039"/>
      <c r="Q2" s="1039"/>
      <c r="R2" s="1039"/>
      <c r="S2" s="1039"/>
      <c r="T2" s="1039"/>
      <c r="U2" s="1039"/>
      <c r="V2" s="1039"/>
      <c r="W2" s="1039"/>
      <c r="X2" s="1039"/>
      <c r="Y2" s="1039"/>
      <c r="Z2" s="1039"/>
      <c r="AA2" s="1039"/>
      <c r="AB2" s="1039"/>
      <c r="AC2" s="1099"/>
    </row>
    <row r="3" spans="1:29" s="879" customFormat="1" ht="28.5" customHeight="1">
      <c r="A3" s="148" t="s">
        <v>928</v>
      </c>
      <c r="B3" s="897" t="e">
        <f ca="1">IF(C2="——",C37,ROUND(B2*10000/D3,0))</f>
        <v>#DIV/0!</v>
      </c>
      <c r="C3" s="1280" t="s">
        <v>1351</v>
      </c>
      <c r="D3" s="1281">
        <f>SUMIF('数据-汇总表'!$C19:$C33,D1,'数据-汇总表'!$E19:$E33)</f>
        <v>0</v>
      </c>
      <c r="E3" s="895"/>
      <c r="F3" s="896"/>
      <c r="G3" s="895"/>
      <c r="H3" s="895"/>
      <c r="I3" s="895"/>
      <c r="J3" s="895"/>
      <c r="K3" s="1040"/>
      <c r="L3" s="1041"/>
      <c r="M3" s="1042"/>
      <c r="N3" s="1042"/>
      <c r="O3" s="1042"/>
      <c r="P3" s="1039"/>
      <c r="Q3" s="1039"/>
      <c r="R3" s="1039"/>
      <c r="S3" s="1039"/>
      <c r="T3" s="1039"/>
      <c r="U3" s="1039"/>
      <c r="V3" s="1039"/>
      <c r="W3" s="1039"/>
      <c r="X3" s="1039"/>
      <c r="Y3" s="1039"/>
      <c r="Z3" s="1039"/>
      <c r="AA3" s="1039"/>
      <c r="AB3" s="1100"/>
      <c r="AC3" s="1101"/>
    </row>
    <row r="4" spans="1:29" ht="15">
      <c r="A4" s="899" t="s">
        <v>1352</v>
      </c>
      <c r="B4" s="900"/>
      <c r="C4" s="3273" t="s">
        <v>1353</v>
      </c>
      <c r="D4" s="3306"/>
      <c r="E4" s="3307" t="s">
        <v>1354</v>
      </c>
      <c r="F4" s="3308"/>
      <c r="G4" s="3273" t="s">
        <v>1355</v>
      </c>
      <c r="H4" s="3306"/>
      <c r="I4" s="3273" t="s">
        <v>1356</v>
      </c>
      <c r="J4" s="3306"/>
      <c r="K4" s="1043" t="s">
        <v>1357</v>
      </c>
      <c r="L4" s="1044"/>
      <c r="M4" s="1045"/>
      <c r="N4" s="1045"/>
      <c r="O4" s="1045"/>
      <c r="P4" s="3277" t="s">
        <v>1358</v>
      </c>
      <c r="Q4" s="3278"/>
      <c r="R4" s="3283" t="s">
        <v>1354</v>
      </c>
      <c r="S4" s="3284"/>
      <c r="T4" s="3283" t="s">
        <v>1355</v>
      </c>
      <c r="U4" s="3284"/>
      <c r="V4" s="3289" t="s">
        <v>1356</v>
      </c>
      <c r="W4" s="3289"/>
      <c r="X4" s="1087"/>
      <c r="Y4" s="3283" t="s">
        <v>1358</v>
      </c>
      <c r="Z4" s="3284"/>
      <c r="AA4" s="3270" t="s">
        <v>1354</v>
      </c>
      <c r="AB4" s="3271" t="s">
        <v>1355</v>
      </c>
      <c r="AC4" s="3270" t="s">
        <v>1356</v>
      </c>
    </row>
    <row r="5" spans="1:29" ht="15">
      <c r="A5" s="901"/>
      <c r="B5" s="902"/>
      <c r="C5" s="3309" t="s">
        <v>1359</v>
      </c>
      <c r="D5" s="3310"/>
      <c r="E5" s="3311" t="s">
        <v>1360</v>
      </c>
      <c r="F5" s="3312"/>
      <c r="G5" s="3309" t="s">
        <v>1361</v>
      </c>
      <c r="H5" s="3310"/>
      <c r="I5" s="3309" t="s">
        <v>1362</v>
      </c>
      <c r="J5" s="3310"/>
      <c r="K5" s="1043"/>
      <c r="L5" s="1044"/>
      <c r="M5" s="1045"/>
      <c r="N5" s="1045"/>
      <c r="O5" s="1045"/>
      <c r="P5" s="3279"/>
      <c r="Q5" s="3280"/>
      <c r="R5" s="3285"/>
      <c r="S5" s="3286"/>
      <c r="T5" s="3285"/>
      <c r="U5" s="3286"/>
      <c r="V5" s="3289"/>
      <c r="W5" s="3289"/>
      <c r="X5" s="1087"/>
      <c r="Y5" s="3285"/>
      <c r="Z5" s="3286"/>
      <c r="AA5" s="3271"/>
      <c r="AB5" s="3271"/>
      <c r="AC5" s="3271"/>
    </row>
    <row r="6" spans="1:29" ht="15">
      <c r="A6" s="903"/>
      <c r="B6" s="904"/>
      <c r="C6" s="3301" t="s">
        <v>1363</v>
      </c>
      <c r="D6" s="3302"/>
      <c r="E6" s="3303" t="s">
        <v>1363</v>
      </c>
      <c r="F6" s="3304"/>
      <c r="G6" s="3301" t="s">
        <v>1363</v>
      </c>
      <c r="H6" s="3302"/>
      <c r="I6" s="3301" t="s">
        <v>1363</v>
      </c>
      <c r="J6" s="3302"/>
      <c r="K6" s="1043" t="s">
        <v>1364</v>
      </c>
      <c r="L6" s="1044"/>
      <c r="M6" s="1045"/>
      <c r="N6" s="1045"/>
      <c r="O6" s="1045"/>
      <c r="P6" s="3281"/>
      <c r="Q6" s="3282"/>
      <c r="R6" s="3285"/>
      <c r="S6" s="3286"/>
      <c r="T6" s="3287"/>
      <c r="U6" s="3288"/>
      <c r="V6" s="3289"/>
      <c r="W6" s="3289"/>
      <c r="X6" s="1087"/>
      <c r="Y6" s="3287"/>
      <c r="Z6" s="3288"/>
      <c r="AA6" s="3272"/>
      <c r="AB6" s="3272"/>
      <c r="AC6" s="3272"/>
    </row>
    <row r="7" spans="1:29" s="880" customFormat="1" ht="15">
      <c r="A7" s="905" t="s">
        <v>1365</v>
      </c>
      <c r="B7" s="906"/>
      <c r="C7" s="907">
        <f>'数据-取费表'!B2</f>
        <v>44288</v>
      </c>
      <c r="D7" s="908">
        <v>100</v>
      </c>
      <c r="E7" s="909"/>
      <c r="F7" s="910">
        <f>SUMIF(46:46,YEAR(E7)&amp;"-"&amp;MONTH(E7),47:47)</f>
        <v>0</v>
      </c>
      <c r="G7" s="911"/>
      <c r="H7" s="908">
        <f>SUMIF(46:46,YEAR(G7)&amp;"-"&amp;MONTH(G7),47:47)</f>
        <v>0</v>
      </c>
      <c r="I7" s="909"/>
      <c r="J7" s="908">
        <f>SUMIF(46:46,YEAR(I7)&amp;"-"&amp;MONTH(I7),47:47)</f>
        <v>0</v>
      </c>
      <c r="K7" s="1046"/>
      <c r="L7" s="1047"/>
      <c r="M7" s="1048"/>
      <c r="N7" s="1048"/>
      <c r="O7" s="1048"/>
      <c r="P7" s="3290" t="s">
        <v>1366</v>
      </c>
      <c r="Q7" s="3305"/>
      <c r="R7" s="1088" t="s">
        <v>1367</v>
      </c>
      <c r="S7" s="1089">
        <f t="shared" ref="S7:S14" si="0">F7</f>
        <v>0</v>
      </c>
      <c r="T7" s="1088" t="s">
        <v>1367</v>
      </c>
      <c r="U7" s="1089">
        <f t="shared" ref="U7:U14" si="1">H7</f>
        <v>0</v>
      </c>
      <c r="V7" s="1088" t="s">
        <v>1367</v>
      </c>
      <c r="W7" s="1089">
        <f t="shared" ref="W7:W14" si="2">J7</f>
        <v>0</v>
      </c>
      <c r="X7" s="1090"/>
      <c r="Y7" s="3290" t="s">
        <v>1366</v>
      </c>
      <c r="Z7" s="3291"/>
      <c r="AA7" s="1102" t="e">
        <f>D7/F7</f>
        <v>#DIV/0!</v>
      </c>
      <c r="AB7" s="1102" t="e">
        <f>D7/H7</f>
        <v>#DIV/0!</v>
      </c>
      <c r="AC7" s="1102" t="e">
        <f>D7/J7</f>
        <v>#DIV/0!</v>
      </c>
    </row>
    <row r="8" spans="1:29" s="880" customFormat="1" ht="15">
      <c r="A8" s="905" t="s">
        <v>1368</v>
      </c>
      <c r="B8" s="906"/>
      <c r="C8" s="912" t="s">
        <v>1369</v>
      </c>
      <c r="D8" s="908">
        <v>100</v>
      </c>
      <c r="E8" s="912"/>
      <c r="F8" s="910">
        <f>SUMIF(49:49,E8,50:50)-SUMIF(49:49,C8,50:50)+100</f>
        <v>0</v>
      </c>
      <c r="G8" s="912"/>
      <c r="H8" s="908">
        <f>SUMIF(49:49,G8,50:50)-SUMIF(49:49,C8,50:50)+100</f>
        <v>0</v>
      </c>
      <c r="I8" s="912"/>
      <c r="J8" s="908">
        <f>SUMIF(49:49,I8,50:50)-SUMIF(49:49,C8,50:50)+100</f>
        <v>0</v>
      </c>
      <c r="K8" s="1046"/>
      <c r="L8" s="1047"/>
      <c r="M8" s="1048"/>
      <c r="N8" s="1048"/>
      <c r="O8" s="1048"/>
      <c r="P8" s="3290" t="s">
        <v>1370</v>
      </c>
      <c r="Q8" s="3291"/>
      <c r="R8" s="1088" t="s">
        <v>1367</v>
      </c>
      <c r="S8" s="1089">
        <f t="shared" si="0"/>
        <v>0</v>
      </c>
      <c r="T8" s="1088" t="s">
        <v>1367</v>
      </c>
      <c r="U8" s="1089">
        <f t="shared" si="1"/>
        <v>0</v>
      </c>
      <c r="V8" s="1088" t="s">
        <v>1367</v>
      </c>
      <c r="W8" s="1089">
        <f t="shared" si="2"/>
        <v>0</v>
      </c>
      <c r="X8" s="1090"/>
      <c r="Y8" s="3290" t="s">
        <v>1370</v>
      </c>
      <c r="Z8" s="3291"/>
      <c r="AA8" s="1102" t="e">
        <f t="shared" ref="AA8:AA34" si="3">D8/F8</f>
        <v>#DIV/0!</v>
      </c>
      <c r="AB8" s="1102" t="e">
        <f t="shared" ref="AB8:AB34" si="4">D8/H8</f>
        <v>#DIV/0!</v>
      </c>
      <c r="AC8" s="1102" t="e">
        <f t="shared" ref="AC8:AC34" si="5">D8/J8</f>
        <v>#DIV/0!</v>
      </c>
    </row>
    <row r="9" spans="1:29" s="880" customFormat="1">
      <c r="A9" s="913" t="s">
        <v>1371</v>
      </c>
      <c r="B9" s="914" t="s">
        <v>1372</v>
      </c>
      <c r="C9" s="1282"/>
      <c r="D9" s="916">
        <v>100</v>
      </c>
      <c r="E9" s="1283"/>
      <c r="F9" s="1284">
        <f>SUMIF(51:51,E9,52:52)-SUMIF(51:51,C9,52:52)+100</f>
        <v>100</v>
      </c>
      <c r="G9" s="1283"/>
      <c r="H9" s="916">
        <f>SUMIF(51:51,G9,52:52)-SUMIF(51:51,C9,52:52)+100</f>
        <v>100</v>
      </c>
      <c r="I9" s="1283"/>
      <c r="J9" s="916">
        <f>SUMIF(51:51,I9,52:52)-SUMIF(51:51,C9,52:52)+100</f>
        <v>100</v>
      </c>
      <c r="K9" s="1046"/>
      <c r="L9" s="1047"/>
      <c r="M9" s="1048"/>
      <c r="N9" s="1048"/>
      <c r="O9" s="1049"/>
      <c r="P9" s="3276" t="s">
        <v>1373</v>
      </c>
      <c r="Q9" s="1092" t="str">
        <f t="shared" ref="Q9:Q14" si="6">B9</f>
        <v>用途</v>
      </c>
      <c r="R9" s="1088" t="s">
        <v>1367</v>
      </c>
      <c r="S9" s="1089">
        <f t="shared" si="0"/>
        <v>100</v>
      </c>
      <c r="T9" s="1088" t="s">
        <v>1367</v>
      </c>
      <c r="U9" s="1089">
        <f t="shared" si="1"/>
        <v>100</v>
      </c>
      <c r="V9" s="1088" t="s">
        <v>1367</v>
      </c>
      <c r="W9" s="1089">
        <f t="shared" si="2"/>
        <v>100</v>
      </c>
      <c r="X9" s="1090"/>
      <c r="Y9" s="3179" t="s">
        <v>1374</v>
      </c>
      <c r="Z9" s="1103" t="str">
        <f t="shared" ref="Z9:Z14" si="7">Q9</f>
        <v>用途</v>
      </c>
      <c r="AA9" s="1102">
        <f t="shared" si="3"/>
        <v>1</v>
      </c>
      <c r="AB9" s="1102">
        <f t="shared" si="4"/>
        <v>1</v>
      </c>
      <c r="AC9" s="1102">
        <f t="shared" si="5"/>
        <v>1</v>
      </c>
    </row>
    <row r="10" spans="1:29" s="881" customFormat="1" ht="27">
      <c r="A10" s="917"/>
      <c r="B10" s="918" t="s">
        <v>1375</v>
      </c>
      <c r="C10" s="1285"/>
      <c r="D10" s="920">
        <v>100</v>
      </c>
      <c r="E10" s="1285"/>
      <c r="F10" s="1286">
        <f>SUMIF(53:53,E10,54:54)-SUMIF(53:53,C10,54:54)+100</f>
        <v>100</v>
      </c>
      <c r="G10" s="1285"/>
      <c r="H10" s="920">
        <f>SUMIF(53:53,G10,54:54)-SUMIF(53:53,C10,54:54)+100</f>
        <v>100</v>
      </c>
      <c r="I10" s="1285"/>
      <c r="J10" s="920">
        <f>SUMIF(53:53,I10,54:54)-SUMIF(53:53,C10,54:54)+100</f>
        <v>100</v>
      </c>
      <c r="K10" s="1063"/>
      <c r="L10" s="1051"/>
      <c r="M10" s="1052"/>
      <c r="N10" s="1052"/>
      <c r="O10" s="1053"/>
      <c r="P10" s="3276"/>
      <c r="Q10" s="1092" t="str">
        <f t="shared" si="6"/>
        <v>土地使用年限（年）</v>
      </c>
      <c r="R10" s="1088" t="s">
        <v>1367</v>
      </c>
      <c r="S10" s="1089">
        <f t="shared" si="0"/>
        <v>100</v>
      </c>
      <c r="T10" s="1088" t="s">
        <v>1367</v>
      </c>
      <c r="U10" s="1089">
        <f t="shared" si="1"/>
        <v>100</v>
      </c>
      <c r="V10" s="1088" t="s">
        <v>1367</v>
      </c>
      <c r="W10" s="1089">
        <f t="shared" si="2"/>
        <v>100</v>
      </c>
      <c r="X10" s="1090"/>
      <c r="Y10" s="3179"/>
      <c r="Z10" s="1103" t="str">
        <f t="shared" si="7"/>
        <v>土地使用年限（年）</v>
      </c>
      <c r="AA10" s="1102">
        <f t="shared" si="3"/>
        <v>1</v>
      </c>
      <c r="AB10" s="1102">
        <f t="shared" si="4"/>
        <v>1</v>
      </c>
      <c r="AC10" s="1102">
        <f t="shared" si="5"/>
        <v>1</v>
      </c>
    </row>
    <row r="11" spans="1:29" ht="15">
      <c r="A11" s="921"/>
      <c r="B11" s="925">
        <v>111</v>
      </c>
      <c r="C11" s="919"/>
      <c r="D11" s="920">
        <v>100</v>
      </c>
      <c r="E11" s="1287"/>
      <c r="F11" s="1286">
        <f>SUMIF(55:55,E11,56:56)-SUMIF(55:55,C11,56:56)+100</f>
        <v>100</v>
      </c>
      <c r="G11" s="1287"/>
      <c r="H11" s="920">
        <f>SUMIF(55:55,G11,56:56)-SUMIF(55:55,C11,56:56)+100</f>
        <v>100</v>
      </c>
      <c r="I11" s="1287"/>
      <c r="J11" s="920">
        <f>SUMIF(55:55,I11,56:56)-SUMIF(55:55,C11,56:56)+100</f>
        <v>100</v>
      </c>
      <c r="K11" s="1062"/>
      <c r="L11" s="1055"/>
      <c r="M11" s="1045"/>
      <c r="N11" s="1045"/>
      <c r="O11" s="1056"/>
      <c r="P11" s="3276"/>
      <c r="Q11" s="1092">
        <f t="shared" si="6"/>
        <v>111</v>
      </c>
      <c r="R11" s="1088" t="s">
        <v>1367</v>
      </c>
      <c r="S11" s="1089">
        <f t="shared" si="0"/>
        <v>100</v>
      </c>
      <c r="T11" s="1088" t="s">
        <v>1367</v>
      </c>
      <c r="U11" s="1089">
        <f t="shared" si="1"/>
        <v>100</v>
      </c>
      <c r="V11" s="1088" t="s">
        <v>1367</v>
      </c>
      <c r="W11" s="1089">
        <f t="shared" si="2"/>
        <v>100</v>
      </c>
      <c r="X11" s="1090"/>
      <c r="Y11" s="3179"/>
      <c r="Z11" s="1103">
        <f t="shared" si="7"/>
        <v>111</v>
      </c>
      <c r="AA11" s="1102">
        <f t="shared" si="3"/>
        <v>1</v>
      </c>
      <c r="AB11" s="1102">
        <f t="shared" si="4"/>
        <v>1</v>
      </c>
      <c r="AC11" s="1102">
        <f t="shared" si="5"/>
        <v>1</v>
      </c>
    </row>
    <row r="12" spans="1:29" s="880" customFormat="1" ht="15">
      <c r="A12" s="924"/>
      <c r="B12" s="925">
        <v>111</v>
      </c>
      <c r="C12" s="919"/>
      <c r="D12" s="926">
        <v>100</v>
      </c>
      <c r="E12" s="1287"/>
      <c r="F12" s="1286">
        <f>SUMIF(57:57,E12,58:58)-SUMIF(57:57,C12,58:58)+100</f>
        <v>100</v>
      </c>
      <c r="G12" s="1287"/>
      <c r="H12" s="920">
        <f>SUMIF(57:57,G12,58:58)-SUMIF(57:57,C12,58:58)+100</f>
        <v>100</v>
      </c>
      <c r="I12" s="1287"/>
      <c r="J12" s="920">
        <f>SUMIF(57:57,I12,58:58)-SUMIF(57:57,C12,58:58)+100</f>
        <v>100</v>
      </c>
      <c r="K12" s="1062"/>
      <c r="L12" s="1047"/>
      <c r="M12" s="1048"/>
      <c r="N12" s="1048"/>
      <c r="O12" s="1049"/>
      <c r="P12" s="3276"/>
      <c r="Q12" s="1092">
        <f t="shared" si="6"/>
        <v>111</v>
      </c>
      <c r="R12" s="1088" t="s">
        <v>1367</v>
      </c>
      <c r="S12" s="1089">
        <f t="shared" si="0"/>
        <v>100</v>
      </c>
      <c r="T12" s="1088" t="s">
        <v>1367</v>
      </c>
      <c r="U12" s="1089">
        <f t="shared" si="1"/>
        <v>100</v>
      </c>
      <c r="V12" s="1088" t="s">
        <v>1367</v>
      </c>
      <c r="W12" s="1089">
        <f t="shared" si="2"/>
        <v>100</v>
      </c>
      <c r="X12" s="1090"/>
      <c r="Y12" s="3179"/>
      <c r="Z12" s="1103">
        <f t="shared" si="7"/>
        <v>111</v>
      </c>
      <c r="AA12" s="1102">
        <f t="shared" si="3"/>
        <v>1</v>
      </c>
      <c r="AB12" s="1102">
        <f t="shared" si="4"/>
        <v>1</v>
      </c>
      <c r="AC12" s="1102">
        <f t="shared" si="5"/>
        <v>1</v>
      </c>
    </row>
    <row r="13" spans="1:29" ht="15">
      <c r="A13" s="921"/>
      <c r="B13" s="925">
        <v>111</v>
      </c>
      <c r="C13" s="929"/>
      <c r="D13" s="930">
        <v>100</v>
      </c>
      <c r="E13" s="1287"/>
      <c r="F13" s="1286">
        <f>SUMIF(59:59,E13,60:60)-SUMIF(59:59,C13,60:60)+100</f>
        <v>100</v>
      </c>
      <c r="G13" s="1288"/>
      <c r="H13" s="934">
        <f>SUMIF(59:59,G13,60:60)-SUMIF(59:59,C13,60:60)+100</f>
        <v>100</v>
      </c>
      <c r="I13" s="1287"/>
      <c r="J13" s="930">
        <f>SUMIF(59:59,I13,60:60)-SUMIF(59:59,C13,60:60)+100</f>
        <v>100</v>
      </c>
      <c r="K13" s="1062"/>
      <c r="L13" s="1057"/>
      <c r="M13" s="1045"/>
      <c r="N13" s="1045"/>
      <c r="O13" s="1056"/>
      <c r="P13" s="3276"/>
      <c r="Q13" s="1092">
        <f t="shared" si="6"/>
        <v>111</v>
      </c>
      <c r="R13" s="1088" t="s">
        <v>1367</v>
      </c>
      <c r="S13" s="1089">
        <f t="shared" si="0"/>
        <v>100</v>
      </c>
      <c r="T13" s="1088" t="s">
        <v>1367</v>
      </c>
      <c r="U13" s="1089">
        <f t="shared" si="1"/>
        <v>100</v>
      </c>
      <c r="V13" s="1088" t="s">
        <v>1367</v>
      </c>
      <c r="W13" s="1089">
        <f t="shared" si="2"/>
        <v>100</v>
      </c>
      <c r="X13" s="1090"/>
      <c r="Y13" s="3179"/>
      <c r="Z13" s="1103">
        <f t="shared" si="7"/>
        <v>111</v>
      </c>
      <c r="AA13" s="1102">
        <f t="shared" si="3"/>
        <v>1</v>
      </c>
      <c r="AB13" s="1102">
        <f t="shared" si="4"/>
        <v>1</v>
      </c>
      <c r="AC13" s="1102">
        <f t="shared" si="5"/>
        <v>1</v>
      </c>
    </row>
    <row r="14" spans="1:29" ht="85.5">
      <c r="A14" s="935" t="s">
        <v>1377</v>
      </c>
      <c r="B14" s="1233" t="s">
        <v>1380</v>
      </c>
      <c r="C14" s="937" t="str">
        <f>IF(B1="工业",估价对象房地状况!G4,估价对象房地状况!C6)</f>
        <v>估价对象周边道路状况、公共交通通达情况、停车便捷程度，综合评价交通便捷度较好</v>
      </c>
      <c r="D14" s="938">
        <v>100</v>
      </c>
      <c r="E14" s="939"/>
      <c r="F14" s="1289">
        <f>SUMIF(61:61,E15,62:62)-SUMIF(61:61,C15,62:62)+100</f>
        <v>100</v>
      </c>
      <c r="G14" s="1058"/>
      <c r="H14" s="938">
        <f>SUMIF(61:61,G15,62:62)-SUMIF(61:61,C15,62:62)+100</f>
        <v>100</v>
      </c>
      <c r="I14" s="939"/>
      <c r="J14" s="938">
        <f>SUMIF(61:61,I15,62:62)-SUMIF(61:61,C15,62:62)+100</f>
        <v>100</v>
      </c>
      <c r="K14" s="1328"/>
      <c r="L14" s="1057"/>
      <c r="M14" s="1045"/>
      <c r="N14" s="1045"/>
      <c r="O14" s="1056"/>
      <c r="P14" s="3293" t="s">
        <v>1379</v>
      </c>
      <c r="Q14" s="656" t="str">
        <f t="shared" si="6"/>
        <v>交通便捷度</v>
      </c>
      <c r="R14" s="1093" t="s">
        <v>1367</v>
      </c>
      <c r="S14" s="1094">
        <f t="shared" si="0"/>
        <v>100</v>
      </c>
      <c r="T14" s="1093" t="s">
        <v>1367</v>
      </c>
      <c r="U14" s="1094">
        <f t="shared" si="1"/>
        <v>100</v>
      </c>
      <c r="V14" s="1093" t="s">
        <v>1367</v>
      </c>
      <c r="W14" s="1094">
        <f t="shared" si="2"/>
        <v>100</v>
      </c>
      <c r="X14" s="1087"/>
      <c r="Y14" s="3293" t="s">
        <v>1379</v>
      </c>
      <c r="Z14" s="1077" t="str">
        <f t="shared" si="7"/>
        <v>交通便捷度</v>
      </c>
      <c r="AA14" s="1104">
        <f t="shared" si="3"/>
        <v>1</v>
      </c>
      <c r="AB14" s="1104">
        <f t="shared" si="4"/>
        <v>1</v>
      </c>
      <c r="AC14" s="1104">
        <f t="shared" si="5"/>
        <v>1</v>
      </c>
    </row>
    <row r="15" spans="1:29" ht="15">
      <c r="A15" s="921"/>
      <c r="B15" s="1235"/>
      <c r="C15" s="941"/>
      <c r="D15" s="942"/>
      <c r="E15" s="941"/>
      <c r="F15" s="1290"/>
      <c r="G15" s="941"/>
      <c r="H15" s="944"/>
      <c r="I15" s="941"/>
      <c r="J15" s="942"/>
      <c r="K15" s="1329"/>
      <c r="L15" s="1057"/>
      <c r="M15" s="1045"/>
      <c r="N15" s="1045"/>
      <c r="O15" s="1056"/>
      <c r="P15" s="3294"/>
      <c r="Q15" s="656"/>
      <c r="R15" s="1093"/>
      <c r="S15" s="1094"/>
      <c r="T15" s="1093"/>
      <c r="U15" s="1094"/>
      <c r="V15" s="1093"/>
      <c r="W15" s="1094"/>
      <c r="X15" s="1087"/>
      <c r="Y15" s="3294"/>
      <c r="Z15" s="1077"/>
      <c r="AA15" s="1104">
        <v>1</v>
      </c>
      <c r="AB15" s="1104">
        <v>1</v>
      </c>
      <c r="AC15" s="1104">
        <v>1</v>
      </c>
    </row>
    <row r="16" spans="1:29" ht="42.75">
      <c r="A16" s="921"/>
      <c r="B16" s="1236" t="s">
        <v>1381</v>
      </c>
      <c r="C16" s="946" t="str">
        <f>IF(B1="工业",估价对象房地状况!G5,估价对象房地状况!C7)</f>
        <v>估价对象所在区域公共配套设施齐备情况</v>
      </c>
      <c r="D16" s="948">
        <v>100</v>
      </c>
      <c r="E16" s="1239"/>
      <c r="F16" s="1291">
        <f>SUMIF(63:63,E17,64:64)-SUMIF(63:63,C17,64:64)+100</f>
        <v>100</v>
      </c>
      <c r="G16" s="1248"/>
      <c r="H16" s="948">
        <f>SUMIF(63:63,G17,64:64)-SUMIF(63:63,C17,64:64)+100</f>
        <v>100</v>
      </c>
      <c r="I16" s="1239"/>
      <c r="J16" s="948">
        <f>SUMIF(63:63,I17,64:64)-SUMIF(63:63,C17,64:64)+100</f>
        <v>100</v>
      </c>
      <c r="K16" s="1328"/>
      <c r="L16" s="1057"/>
      <c r="M16" s="1045"/>
      <c r="N16" s="1045"/>
      <c r="O16" s="1056"/>
      <c r="P16" s="3294"/>
      <c r="Q16" s="656" t="str">
        <f>B16</f>
        <v>公共配套设施</v>
      </c>
      <c r="R16" s="1093" t="s">
        <v>1367</v>
      </c>
      <c r="S16" s="1094">
        <f>F16</f>
        <v>100</v>
      </c>
      <c r="T16" s="1093" t="s">
        <v>1367</v>
      </c>
      <c r="U16" s="1094">
        <f>H16</f>
        <v>100</v>
      </c>
      <c r="V16" s="1093" t="s">
        <v>1367</v>
      </c>
      <c r="W16" s="1094">
        <f>J16</f>
        <v>100</v>
      </c>
      <c r="X16" s="1087"/>
      <c r="Y16" s="3294"/>
      <c r="Z16" s="1077" t="str">
        <f>Q16</f>
        <v>公共配套设施</v>
      </c>
      <c r="AA16" s="1104">
        <f t="shared" si="3"/>
        <v>1</v>
      </c>
      <c r="AB16" s="1104">
        <f t="shared" si="4"/>
        <v>1</v>
      </c>
      <c r="AC16" s="1104">
        <f t="shared" si="5"/>
        <v>1</v>
      </c>
    </row>
    <row r="17" spans="1:29" ht="15">
      <c r="A17" s="921"/>
      <c r="B17" s="969"/>
      <c r="C17" s="1237"/>
      <c r="D17" s="942"/>
      <c r="E17" s="941"/>
      <c r="F17" s="1290"/>
      <c r="G17" s="941"/>
      <c r="H17" s="942"/>
      <c r="I17" s="941"/>
      <c r="J17" s="942"/>
      <c r="K17" s="1329"/>
      <c r="L17" s="1057"/>
      <c r="M17" s="1045"/>
      <c r="N17" s="1045"/>
      <c r="O17" s="1056"/>
      <c r="P17" s="3294"/>
      <c r="Q17" s="656"/>
      <c r="R17" s="1093"/>
      <c r="S17" s="1094"/>
      <c r="T17" s="1093"/>
      <c r="U17" s="1094"/>
      <c r="V17" s="1093"/>
      <c r="W17" s="1094"/>
      <c r="X17" s="1087"/>
      <c r="Y17" s="3294"/>
      <c r="Z17" s="1077"/>
      <c r="AA17" s="1104">
        <v>1</v>
      </c>
      <c r="AB17" s="1104">
        <v>1</v>
      </c>
      <c r="AC17" s="1104">
        <v>1</v>
      </c>
    </row>
    <row r="18" spans="1:29" ht="28.5">
      <c r="A18" s="921"/>
      <c r="B18" s="1240" t="s">
        <v>1382</v>
      </c>
      <c r="C18" s="946" t="str">
        <f>IF(B1="工业",估价对象房地状况!G6,估价对象房地状况!C8)</f>
        <v>估价对象所在区域基础设施水平</v>
      </c>
      <c r="D18" s="948">
        <v>100</v>
      </c>
      <c r="E18" s="947"/>
      <c r="F18" s="1291">
        <f>SUMIF(65:65,E19,66:66)-SUMIF(65:65,C19,66:66)+100</f>
        <v>100</v>
      </c>
      <c r="G18" s="1059"/>
      <c r="H18" s="948">
        <f>SUMIF(65:65,G19,66:66)-SUMIF(65:65,C19,66:66)+100</f>
        <v>100</v>
      </c>
      <c r="I18" s="1239"/>
      <c r="J18" s="948">
        <f>SUMIF(65:65,I19,66:66)-SUMIF(65:65,C19,66:66)+100</f>
        <v>100</v>
      </c>
      <c r="K18" s="1328"/>
      <c r="L18" s="1057"/>
      <c r="M18" s="1045"/>
      <c r="N18" s="1045"/>
      <c r="O18" s="1056"/>
      <c r="P18" s="3294"/>
      <c r="Q18" s="656" t="str">
        <f>B18</f>
        <v>基础设施水平</v>
      </c>
      <c r="R18" s="1093" t="s">
        <v>1367</v>
      </c>
      <c r="S18" s="1094">
        <f>F18</f>
        <v>100</v>
      </c>
      <c r="T18" s="1093" t="s">
        <v>1367</v>
      </c>
      <c r="U18" s="1094">
        <f>H18</f>
        <v>100</v>
      </c>
      <c r="V18" s="1093" t="s">
        <v>1367</v>
      </c>
      <c r="W18" s="1094">
        <f>J18</f>
        <v>100</v>
      </c>
      <c r="X18" s="1087"/>
      <c r="Y18" s="3294"/>
      <c r="Z18" s="1077" t="str">
        <f>Q18</f>
        <v>基础设施水平</v>
      </c>
      <c r="AA18" s="1104">
        <f>D18/F18</f>
        <v>1</v>
      </c>
      <c r="AB18" s="1104">
        <f>D18/H18</f>
        <v>1</v>
      </c>
      <c r="AC18" s="1104">
        <f>D18/J18</f>
        <v>1</v>
      </c>
    </row>
    <row r="19" spans="1:29" ht="15">
      <c r="A19" s="921"/>
      <c r="B19" s="1240"/>
      <c r="C19" s="1237"/>
      <c r="D19" s="944"/>
      <c r="E19" s="1237"/>
      <c r="F19" s="1292"/>
      <c r="G19" s="1237"/>
      <c r="H19" s="942"/>
      <c r="I19" s="941"/>
      <c r="J19" s="942"/>
      <c r="K19" s="1330"/>
      <c r="L19" s="1057"/>
      <c r="M19" s="1045"/>
      <c r="N19" s="1045"/>
      <c r="O19" s="1056"/>
      <c r="P19" s="3294"/>
      <c r="Q19" s="656"/>
      <c r="R19" s="1093"/>
      <c r="S19" s="1094"/>
      <c r="T19" s="1093"/>
      <c r="U19" s="1094"/>
      <c r="V19" s="1093"/>
      <c r="W19" s="1094"/>
      <c r="X19" s="1087"/>
      <c r="Y19" s="3294"/>
      <c r="Z19" s="1077"/>
      <c r="AA19" s="1104">
        <v>1</v>
      </c>
      <c r="AB19" s="1104">
        <v>1</v>
      </c>
      <c r="AC19" s="1104">
        <v>1</v>
      </c>
    </row>
    <row r="20" spans="1:29" ht="57">
      <c r="A20" s="921"/>
      <c r="B20" s="1236" t="s">
        <v>1383</v>
      </c>
      <c r="C20" s="946" t="str">
        <f>IF(B1="工业",估价对象房地状况!G7,估价对象房地状况!C9)</f>
        <v>区域自然环境：；人文环境；综合评价环境状况一般</v>
      </c>
      <c r="D20" s="948">
        <v>100</v>
      </c>
      <c r="E20" s="1239"/>
      <c r="F20" s="1291">
        <f>SUMIF(67:67,E21,68:68)-SUMIF(67:67,C21,68:68)+100</f>
        <v>100</v>
      </c>
      <c r="G20" s="1248"/>
      <c r="H20" s="944">
        <f>SUMIF(67:67,G21,68:68)-SUMIF(67:67,C21,68:68)+100</f>
        <v>100</v>
      </c>
      <c r="I20" s="947"/>
      <c r="J20" s="944">
        <f>SUMIF(67:67,I21,68:68)-SUMIF(67:67,C21,68:68)+100</f>
        <v>100</v>
      </c>
      <c r="K20" s="1328"/>
      <c r="L20" s="1057"/>
      <c r="M20" s="1045"/>
      <c r="N20" s="1045"/>
      <c r="O20" s="1056"/>
      <c r="P20" s="3294"/>
      <c r="Q20" s="656" t="str">
        <f>B20</f>
        <v>自然及人文环境</v>
      </c>
      <c r="R20" s="1093" t="s">
        <v>1367</v>
      </c>
      <c r="S20" s="1094">
        <f>F20</f>
        <v>100</v>
      </c>
      <c r="T20" s="1093" t="s">
        <v>1367</v>
      </c>
      <c r="U20" s="1094">
        <f>H20</f>
        <v>100</v>
      </c>
      <c r="V20" s="1093" t="s">
        <v>1367</v>
      </c>
      <c r="W20" s="1094">
        <f>J20</f>
        <v>100</v>
      </c>
      <c r="X20" s="1087"/>
      <c r="Y20" s="3294"/>
      <c r="Z20" s="1077" t="str">
        <f>Q20</f>
        <v>自然及人文环境</v>
      </c>
      <c r="AA20" s="1104">
        <f t="shared" si="3"/>
        <v>1</v>
      </c>
      <c r="AB20" s="1104">
        <f t="shared" si="4"/>
        <v>1</v>
      </c>
      <c r="AC20" s="1104">
        <f t="shared" si="5"/>
        <v>1</v>
      </c>
    </row>
    <row r="21" spans="1:29" ht="15">
      <c r="A21" s="921"/>
      <c r="B21" s="969"/>
      <c r="C21" s="941"/>
      <c r="D21" s="942"/>
      <c r="E21" s="941"/>
      <c r="F21" s="1290"/>
      <c r="G21" s="941"/>
      <c r="H21" s="942"/>
      <c r="I21" s="941"/>
      <c r="J21" s="942"/>
      <c r="K21" s="1329"/>
      <c r="L21" s="1057"/>
      <c r="M21" s="1045"/>
      <c r="N21" s="1045"/>
      <c r="O21" s="1056"/>
      <c r="P21" s="3294"/>
      <c r="Q21" s="656"/>
      <c r="R21" s="1093"/>
      <c r="S21" s="1094"/>
      <c r="T21" s="1093"/>
      <c r="U21" s="1094"/>
      <c r="V21" s="1093"/>
      <c r="W21" s="1094"/>
      <c r="X21" s="1087"/>
      <c r="Y21" s="3294"/>
      <c r="Z21" s="1077"/>
      <c r="AA21" s="1104">
        <v>1</v>
      </c>
      <c r="AB21" s="1104">
        <v>1</v>
      </c>
      <c r="AC21" s="1104">
        <v>1</v>
      </c>
    </row>
    <row r="22" spans="1:29" ht="15">
      <c r="A22" s="921"/>
      <c r="B22" s="1236" t="s">
        <v>1451</v>
      </c>
      <c r="C22" s="955"/>
      <c r="D22" s="944">
        <v>100</v>
      </c>
      <c r="E22" s="955"/>
      <c r="F22" s="1293">
        <f>SUMIF(69:69,E22,70:70)-SUMIF(69:69,C22,70:70)+100</f>
        <v>100</v>
      </c>
      <c r="G22" s="955"/>
      <c r="H22" s="930">
        <f>SUMIF(69:69,G22,70:70)-SUMIF(69:69,C22,70:70)+100</f>
        <v>100</v>
      </c>
      <c r="I22" s="955"/>
      <c r="J22" s="930">
        <f>SUMIF(69:69,I22,70:70)-SUMIF(69:69,C22,70:70)+100</f>
        <v>100</v>
      </c>
      <c r="K22" s="1063"/>
      <c r="L22" s="1057"/>
      <c r="M22" s="1045"/>
      <c r="N22" s="1045"/>
      <c r="O22" s="1056"/>
      <c r="P22" s="3294"/>
      <c r="Q22" s="656" t="str">
        <f>B22</f>
        <v>楼层</v>
      </c>
      <c r="R22" s="1093" t="s">
        <v>1367</v>
      </c>
      <c r="S22" s="1094">
        <f>F22</f>
        <v>100</v>
      </c>
      <c r="T22" s="1093" t="s">
        <v>1367</v>
      </c>
      <c r="U22" s="1094">
        <f>H22</f>
        <v>100</v>
      </c>
      <c r="V22" s="1093" t="s">
        <v>1367</v>
      </c>
      <c r="W22" s="1094">
        <f>J22</f>
        <v>100</v>
      </c>
      <c r="X22" s="1087"/>
      <c r="Y22" s="3294"/>
      <c r="Z22" s="1077" t="str">
        <f>Q22</f>
        <v>楼层</v>
      </c>
      <c r="AA22" s="1104">
        <f t="shared" si="3"/>
        <v>1</v>
      </c>
      <c r="AB22" s="1104">
        <f t="shared" si="4"/>
        <v>1</v>
      </c>
      <c r="AC22" s="1104">
        <f t="shared" si="5"/>
        <v>1</v>
      </c>
    </row>
    <row r="23" spans="1:29" ht="15">
      <c r="A23" s="901"/>
      <c r="B23" s="925">
        <v>111</v>
      </c>
      <c r="C23" s="919"/>
      <c r="D23" s="930">
        <v>100</v>
      </c>
      <c r="E23" s="929"/>
      <c r="F23" s="1293">
        <f>SUMIF(71:71,E23,72:72)-SUMIF(71:71,C23,72:72)+100</f>
        <v>100</v>
      </c>
      <c r="G23" s="929"/>
      <c r="H23" s="930">
        <f>SUMIF(71:71,G23,72:72)-SUMIF(71:71,C23,72:72)+100</f>
        <v>100</v>
      </c>
      <c r="I23" s="929"/>
      <c r="J23" s="930">
        <f>SUMIF(71:71,I23,72:72)-SUMIF(71:71,C23,72:72)+100</f>
        <v>100</v>
      </c>
      <c r="K23" s="1062"/>
      <c r="L23" s="1057"/>
      <c r="M23" s="1045"/>
      <c r="N23" s="1045"/>
      <c r="O23" s="1056"/>
      <c r="P23" s="3294"/>
      <c r="Q23" s="656">
        <f>B23</f>
        <v>111</v>
      </c>
      <c r="R23" s="1093" t="s">
        <v>1367</v>
      </c>
      <c r="S23" s="1094">
        <f>F23</f>
        <v>100</v>
      </c>
      <c r="T23" s="1093" t="s">
        <v>1367</v>
      </c>
      <c r="U23" s="1094">
        <f>H23</f>
        <v>100</v>
      </c>
      <c r="V23" s="1093" t="s">
        <v>1367</v>
      </c>
      <c r="W23" s="1094">
        <f>J23</f>
        <v>100</v>
      </c>
      <c r="X23" s="1087"/>
      <c r="Y23" s="3294"/>
      <c r="Z23" s="1077">
        <f>Q23</f>
        <v>111</v>
      </c>
      <c r="AA23" s="1104">
        <f t="shared" si="3"/>
        <v>1</v>
      </c>
      <c r="AB23" s="1104">
        <f t="shared" si="4"/>
        <v>1</v>
      </c>
      <c r="AC23" s="1104">
        <f t="shared" si="5"/>
        <v>1</v>
      </c>
    </row>
    <row r="24" spans="1:29" ht="15">
      <c r="A24" s="921"/>
      <c r="B24" s="925">
        <v>111</v>
      </c>
      <c r="C24" s="919"/>
      <c r="D24" s="930">
        <v>100</v>
      </c>
      <c r="E24" s="929"/>
      <c r="F24" s="1293">
        <f>SUMIF(73:73,E24,74:74)-SUMIF(73:73,C24,74:74)+100</f>
        <v>100</v>
      </c>
      <c r="G24" s="929"/>
      <c r="H24" s="930">
        <f>SUMIF(73:73,G24,74:74)-SUMIF(73:73,C24,74:74)+100</f>
        <v>100</v>
      </c>
      <c r="I24" s="929"/>
      <c r="J24" s="930">
        <f>SUMIF(73:73,I24,74:74)-SUMIF(73:73,C24,74:74)+100</f>
        <v>100</v>
      </c>
      <c r="K24" s="1062"/>
      <c r="L24" s="1057"/>
      <c r="M24" s="1045"/>
      <c r="N24" s="1045"/>
      <c r="O24" s="1056"/>
      <c r="P24" s="3294"/>
      <c r="Q24" s="656">
        <f t="shared" ref="Q24:Q34" si="8">B24</f>
        <v>111</v>
      </c>
      <c r="R24" s="1093" t="s">
        <v>1367</v>
      </c>
      <c r="S24" s="1094">
        <f>F24</f>
        <v>100</v>
      </c>
      <c r="T24" s="1093" t="s">
        <v>1367</v>
      </c>
      <c r="U24" s="1094">
        <f>H24</f>
        <v>100</v>
      </c>
      <c r="V24" s="1093" t="s">
        <v>1367</v>
      </c>
      <c r="W24" s="1094">
        <f>J24</f>
        <v>100</v>
      </c>
      <c r="X24" s="1087"/>
      <c r="Y24" s="3294"/>
      <c r="Z24" s="1077">
        <f>Q24</f>
        <v>111</v>
      </c>
      <c r="AA24" s="1104">
        <f t="shared" si="3"/>
        <v>1</v>
      </c>
      <c r="AB24" s="1104">
        <f t="shared" si="4"/>
        <v>1</v>
      </c>
      <c r="AC24" s="1104">
        <f t="shared" si="5"/>
        <v>1</v>
      </c>
    </row>
    <row r="25" spans="1:29" s="880" customFormat="1" ht="15">
      <c r="A25" s="924"/>
      <c r="B25" s="925">
        <v>111</v>
      </c>
      <c r="C25" s="1294"/>
      <c r="D25" s="1295">
        <v>100</v>
      </c>
      <c r="E25" s="1294"/>
      <c r="F25" s="1296">
        <f>SUMIF(75:75,E25,76:76)-SUMIF(75:75,C25,76:76)+100</f>
        <v>100</v>
      </c>
      <c r="G25" s="1294"/>
      <c r="H25" s="1295">
        <f>SUMIF(75:75,G25,76:76)-SUMIF(75:75,C25,76:76)+100</f>
        <v>100</v>
      </c>
      <c r="I25" s="1294"/>
      <c r="J25" s="1295">
        <f>SUMIF(75:75,I25,76:76)-SUMIF(75:75,C25,76:76)+100</f>
        <v>100</v>
      </c>
      <c r="K25" s="1062"/>
      <c r="L25" s="1047"/>
      <c r="M25" s="1048"/>
      <c r="N25" s="1048"/>
      <c r="O25" s="1049"/>
      <c r="P25" s="3294"/>
      <c r="Q25" s="1092">
        <f t="shared" si="8"/>
        <v>111</v>
      </c>
      <c r="R25" s="1088" t="s">
        <v>1367</v>
      </c>
      <c r="S25" s="1089">
        <f>F25</f>
        <v>100</v>
      </c>
      <c r="T25" s="1088" t="s">
        <v>1367</v>
      </c>
      <c r="U25" s="1089">
        <f>H25</f>
        <v>100</v>
      </c>
      <c r="V25" s="1088" t="s">
        <v>1367</v>
      </c>
      <c r="W25" s="1089">
        <f>J25</f>
        <v>100</v>
      </c>
      <c r="X25" s="1090"/>
      <c r="Y25" s="3294"/>
      <c r="Z25" s="1103">
        <f>Q25</f>
        <v>111</v>
      </c>
      <c r="AA25" s="1104">
        <f t="shared" si="3"/>
        <v>1</v>
      </c>
      <c r="AB25" s="1104">
        <f t="shared" si="4"/>
        <v>1</v>
      </c>
      <c r="AC25" s="1104">
        <f t="shared" si="5"/>
        <v>1</v>
      </c>
    </row>
    <row r="26" spans="1:29" ht="28.5">
      <c r="A26" s="1297" t="s">
        <v>1386</v>
      </c>
      <c r="B26" s="914" t="s">
        <v>1392</v>
      </c>
      <c r="C26" s="1298"/>
      <c r="D26" s="971">
        <v>100</v>
      </c>
      <c r="E26" s="1298"/>
      <c r="F26" s="1299">
        <f>SUMIF(77:77,E26,78:78)-SUMIF(77:77,C26,78:78)+100</f>
        <v>100</v>
      </c>
      <c r="G26" s="1298"/>
      <c r="H26" s="971">
        <f>SUMIF(77:77,G26,78:78)-SUMIF(77:77,C26,78:78)+100</f>
        <v>100</v>
      </c>
      <c r="I26" s="1298"/>
      <c r="J26" s="971">
        <f>SUMIF(77:77,I26,78:78)-SUMIF(77:77,C26,78:78)+100</f>
        <v>100</v>
      </c>
      <c r="K26" s="1063"/>
      <c r="L26" s="1057"/>
      <c r="M26" s="1045"/>
      <c r="N26" s="1045"/>
      <c r="O26" s="1056"/>
      <c r="P26" s="3295" t="s">
        <v>1388</v>
      </c>
      <c r="Q26" s="656" t="str">
        <f t="shared" si="8"/>
        <v>公共部分装修</v>
      </c>
      <c r="R26" s="1093" t="s">
        <v>1367</v>
      </c>
      <c r="S26" s="1094">
        <f t="shared" ref="S26:S34" si="9">F26</f>
        <v>100</v>
      </c>
      <c r="T26" s="1093" t="s">
        <v>1367</v>
      </c>
      <c r="U26" s="1094">
        <f t="shared" ref="U26:U34" si="10">H26</f>
        <v>100</v>
      </c>
      <c r="V26" s="1093" t="s">
        <v>1367</v>
      </c>
      <c r="W26" s="1094">
        <f t="shared" ref="W26:W34" si="11">J26</f>
        <v>100</v>
      </c>
      <c r="X26" s="1087"/>
      <c r="Y26" s="3296" t="s">
        <v>1388</v>
      </c>
      <c r="Z26" s="1077" t="str">
        <f t="shared" ref="Z26:Z34" si="12">Q26</f>
        <v>公共部分装修</v>
      </c>
      <c r="AA26" s="1104">
        <f t="shared" si="3"/>
        <v>1</v>
      </c>
      <c r="AB26" s="1104">
        <f t="shared" si="4"/>
        <v>1</v>
      </c>
      <c r="AC26" s="1104">
        <f t="shared" si="5"/>
        <v>1</v>
      </c>
    </row>
    <row r="27" spans="1:29" s="882" customFormat="1" ht="15">
      <c r="A27" s="977"/>
      <c r="B27" s="918" t="s">
        <v>1474</v>
      </c>
      <c r="C27" s="1300"/>
      <c r="D27" s="920">
        <v>100</v>
      </c>
      <c r="E27" s="1301"/>
      <c r="F27" s="1293" t="e">
        <f>LOOKUP(E27,80:80,81:81)-LOOKUP(C27,80:80,81:81)+100</f>
        <v>#N/A</v>
      </c>
      <c r="G27" s="1302"/>
      <c r="H27" s="930" t="e">
        <f>LOOKUP(G27,80:80,81:81)-LOOKUP(C27,80:80,81:81)+100</f>
        <v>#N/A</v>
      </c>
      <c r="I27" s="1302"/>
      <c r="J27" s="930" t="e">
        <f>LOOKUP(I27,80:80,81:81)-LOOKUP(C27,80:80,81:81)+100</f>
        <v>#N/A</v>
      </c>
      <c r="K27" s="1063"/>
      <c r="L27" s="1055"/>
      <c r="M27" s="1064"/>
      <c r="N27" s="1064"/>
      <c r="O27" s="1065"/>
      <c r="P27" s="3296"/>
      <c r="Q27" s="1332" t="str">
        <f t="shared" si="8"/>
        <v>成新率</v>
      </c>
      <c r="R27" s="1095" t="s">
        <v>1367</v>
      </c>
      <c r="S27" s="1096" t="e">
        <f t="shared" si="9"/>
        <v>#N/A</v>
      </c>
      <c r="T27" s="1095" t="s">
        <v>1367</v>
      </c>
      <c r="U27" s="1096" t="e">
        <f t="shared" si="10"/>
        <v>#N/A</v>
      </c>
      <c r="V27" s="1095" t="s">
        <v>1367</v>
      </c>
      <c r="W27" s="1096" t="e">
        <f t="shared" si="11"/>
        <v>#N/A</v>
      </c>
      <c r="X27" s="1097"/>
      <c r="Y27" s="3296"/>
      <c r="Z27" s="1105" t="str">
        <f t="shared" si="12"/>
        <v>成新率</v>
      </c>
      <c r="AA27" s="1104" t="e">
        <f t="shared" si="3"/>
        <v>#N/A</v>
      </c>
      <c r="AB27" s="1104" t="e">
        <f t="shared" si="4"/>
        <v>#N/A</v>
      </c>
      <c r="AC27" s="1104" t="e">
        <f t="shared" si="5"/>
        <v>#N/A</v>
      </c>
    </row>
    <row r="28" spans="1:29" ht="15">
      <c r="A28" s="972"/>
      <c r="B28" s="918" t="s">
        <v>1475</v>
      </c>
      <c r="C28" s="1303"/>
      <c r="D28" s="930">
        <v>100</v>
      </c>
      <c r="E28" s="1303"/>
      <c r="F28" s="1293">
        <f>SUMIF(82:82,E28,83:83)-SUMIF(82:82,C28,83:83)+100</f>
        <v>100</v>
      </c>
      <c r="G28" s="1303"/>
      <c r="H28" s="930">
        <f>SUMIF(82:82,G28,83:83)-SUMIF(82:82,C28,83:83)+100</f>
        <v>100</v>
      </c>
      <c r="I28" s="1303"/>
      <c r="J28" s="930">
        <f>SUMIF(82:82,I28,83:83)-SUMIF(82:82,C28,83:83)+100</f>
        <v>100</v>
      </c>
      <c r="K28" s="1063"/>
      <c r="L28" s="1057"/>
      <c r="M28" s="1045"/>
      <c r="N28" s="1045"/>
      <c r="O28" s="1056"/>
      <c r="P28" s="3296"/>
      <c r="Q28" s="656" t="str">
        <f t="shared" si="8"/>
        <v>物业等级</v>
      </c>
      <c r="R28" s="1093" t="s">
        <v>1367</v>
      </c>
      <c r="S28" s="1094">
        <f t="shared" si="9"/>
        <v>100</v>
      </c>
      <c r="T28" s="1093" t="s">
        <v>1367</v>
      </c>
      <c r="U28" s="1094">
        <f t="shared" si="10"/>
        <v>100</v>
      </c>
      <c r="V28" s="1093" t="s">
        <v>1367</v>
      </c>
      <c r="W28" s="1094">
        <f t="shared" si="11"/>
        <v>100</v>
      </c>
      <c r="X28" s="1087"/>
      <c r="Y28" s="3296"/>
      <c r="Z28" s="1077" t="str">
        <f t="shared" si="12"/>
        <v>物业等级</v>
      </c>
      <c r="AA28" s="1104">
        <f t="shared" si="3"/>
        <v>1</v>
      </c>
      <c r="AB28" s="1104">
        <f t="shared" si="4"/>
        <v>1</v>
      </c>
      <c r="AC28" s="1104">
        <f t="shared" si="5"/>
        <v>1</v>
      </c>
    </row>
    <row r="29" spans="1:29" ht="15">
      <c r="A29" s="972"/>
      <c r="B29" s="918" t="s">
        <v>1483</v>
      </c>
      <c r="C29" s="1304"/>
      <c r="D29" s="930">
        <v>100</v>
      </c>
      <c r="E29" s="1304"/>
      <c r="F29" s="1293">
        <f>SUMIF(84:84,E29,85:85)-SUMIF(84:84,C29,85:85)+100</f>
        <v>100</v>
      </c>
      <c r="G29" s="1304"/>
      <c r="H29" s="930">
        <f>SUMIF(84:84,G29,85:85)-SUMIF(84:84,C29,85:85)+100</f>
        <v>100</v>
      </c>
      <c r="I29" s="1304"/>
      <c r="J29" s="930">
        <f>SUMIF(84:84,I29,85:85)-SUMIF(84:84,C29,85:85)+100</f>
        <v>100</v>
      </c>
      <c r="K29" s="1063"/>
      <c r="L29" s="1057"/>
      <c r="M29" s="1045"/>
      <c r="N29" s="1045"/>
      <c r="O29" s="1056"/>
      <c r="P29" s="3296"/>
      <c r="Q29" s="656" t="str">
        <f t="shared" si="8"/>
        <v>有无电梯</v>
      </c>
      <c r="R29" s="1093" t="s">
        <v>1367</v>
      </c>
      <c r="S29" s="1094">
        <f t="shared" si="9"/>
        <v>100</v>
      </c>
      <c r="T29" s="1093" t="s">
        <v>1367</v>
      </c>
      <c r="U29" s="1094">
        <f t="shared" si="10"/>
        <v>100</v>
      </c>
      <c r="V29" s="1093" t="s">
        <v>1367</v>
      </c>
      <c r="W29" s="1094">
        <f t="shared" si="11"/>
        <v>100</v>
      </c>
      <c r="X29" s="1087"/>
      <c r="Y29" s="3296"/>
      <c r="Z29" s="1077" t="str">
        <f t="shared" si="12"/>
        <v>有无电梯</v>
      </c>
      <c r="AA29" s="1104">
        <f t="shared" si="3"/>
        <v>1</v>
      </c>
      <c r="AB29" s="1104">
        <f t="shared" si="4"/>
        <v>1</v>
      </c>
      <c r="AC29" s="1104">
        <f t="shared" si="5"/>
        <v>1</v>
      </c>
    </row>
    <row r="30" spans="1:29" ht="15">
      <c r="A30" s="972"/>
      <c r="B30" s="918" t="s">
        <v>537</v>
      </c>
      <c r="C30" s="1287"/>
      <c r="D30" s="930">
        <v>100</v>
      </c>
      <c r="E30" s="1287"/>
      <c r="F30" s="1293" t="e">
        <f>LOOKUP(E30,87:87,88:88)-LOOKUP(C30,87:87,88:88)+100</f>
        <v>#N/A</v>
      </c>
      <c r="G30" s="1287"/>
      <c r="H30" s="930" t="e">
        <f>LOOKUP(G30,87:87,88:88)-LOOKUP(C30,87:87,88:88)+100</f>
        <v>#N/A</v>
      </c>
      <c r="I30" s="1287"/>
      <c r="J30" s="930" t="e">
        <f>LOOKUP(I30,87:87,88:88)-LOOKUP(C30,87:87,88:88)+100</f>
        <v>#N/A</v>
      </c>
      <c r="K30" s="1062"/>
      <c r="L30" s="1057"/>
      <c r="M30" s="1045"/>
      <c r="N30" s="1045"/>
      <c r="O30" s="1056"/>
      <c r="P30" s="3296"/>
      <c r="Q30" s="656" t="str">
        <f t="shared" si="8"/>
        <v>建筑面积</v>
      </c>
      <c r="R30" s="1093" t="s">
        <v>1367</v>
      </c>
      <c r="S30" s="1094" t="e">
        <f t="shared" si="9"/>
        <v>#N/A</v>
      </c>
      <c r="T30" s="1093" t="s">
        <v>1367</v>
      </c>
      <c r="U30" s="1094" t="e">
        <f t="shared" si="10"/>
        <v>#N/A</v>
      </c>
      <c r="V30" s="1093" t="s">
        <v>1367</v>
      </c>
      <c r="W30" s="1094" t="e">
        <f t="shared" si="11"/>
        <v>#N/A</v>
      </c>
      <c r="X30" s="1087"/>
      <c r="Y30" s="3296"/>
      <c r="Z30" s="1077" t="str">
        <f t="shared" si="12"/>
        <v>建筑面积</v>
      </c>
      <c r="AA30" s="1104" t="e">
        <f t="shared" si="3"/>
        <v>#N/A</v>
      </c>
      <c r="AB30" s="1104" t="e">
        <f t="shared" si="4"/>
        <v>#N/A</v>
      </c>
      <c r="AC30" s="1104" t="e">
        <f t="shared" si="5"/>
        <v>#N/A</v>
      </c>
    </row>
    <row r="31" spans="1:29" s="880" customFormat="1" ht="15">
      <c r="A31" s="974"/>
      <c r="B31" s="918" t="s">
        <v>1484</v>
      </c>
      <c r="C31" s="1304"/>
      <c r="D31" s="920">
        <v>100</v>
      </c>
      <c r="E31" s="1304"/>
      <c r="F31" s="1293">
        <f>SUMIF(89:89,E31,90:90)-SUMIF(89:89,C31,90:90)+100</f>
        <v>100</v>
      </c>
      <c r="G31" s="1304"/>
      <c r="H31" s="930">
        <f>SUMIF(89:89,G31,90:90)-SUMIF(89:89,C31,90:90)+100</f>
        <v>100</v>
      </c>
      <c r="I31" s="1304"/>
      <c r="J31" s="930">
        <f>SUMIF(89:89,I31,90:90)-SUMIF(89:89,C31,90:90)+100</f>
        <v>100</v>
      </c>
      <c r="K31" s="1063"/>
      <c r="L31" s="1047"/>
      <c r="M31" s="1048"/>
      <c r="N31" s="1048"/>
      <c r="O31" s="1049"/>
      <c r="P31" s="3296"/>
      <c r="Q31" s="1092" t="str">
        <f t="shared" si="8"/>
        <v>是否封闭</v>
      </c>
      <c r="R31" s="1088" t="s">
        <v>1367</v>
      </c>
      <c r="S31" s="1089">
        <f t="shared" si="9"/>
        <v>100</v>
      </c>
      <c r="T31" s="1088" t="s">
        <v>1367</v>
      </c>
      <c r="U31" s="1089">
        <f t="shared" si="10"/>
        <v>100</v>
      </c>
      <c r="V31" s="1088" t="s">
        <v>1367</v>
      </c>
      <c r="W31" s="1089">
        <f t="shared" si="11"/>
        <v>100</v>
      </c>
      <c r="X31" s="1090"/>
      <c r="Y31" s="3296"/>
      <c r="Z31" s="1103" t="str">
        <f t="shared" si="12"/>
        <v>是否封闭</v>
      </c>
      <c r="AA31" s="1102">
        <f t="shared" si="3"/>
        <v>1</v>
      </c>
      <c r="AB31" s="1102">
        <f t="shared" si="4"/>
        <v>1</v>
      </c>
      <c r="AC31" s="1102">
        <f t="shared" si="5"/>
        <v>1</v>
      </c>
    </row>
    <row r="32" spans="1:29" ht="15">
      <c r="A32" s="972"/>
      <c r="B32" s="925">
        <v>111</v>
      </c>
      <c r="C32" s="919"/>
      <c r="D32" s="930">
        <v>100</v>
      </c>
      <c r="E32" s="1287"/>
      <c r="F32" s="1293">
        <f>SUMIF(91:91,E32,92:92)-SUMIF(91:91,C32,92:92)+100</f>
        <v>100</v>
      </c>
      <c r="G32" s="1287"/>
      <c r="H32" s="930">
        <f>SUMIF(91:91,G32,92:92)-SUMIF(91:91,C32,92:92)+100</f>
        <v>100</v>
      </c>
      <c r="I32" s="1287"/>
      <c r="J32" s="930">
        <f>SUMIF(91:91,I32,92:92)-SUMIF(91:91,C32,92:92)+100</f>
        <v>100</v>
      </c>
      <c r="K32" s="1062"/>
      <c r="L32" s="1057"/>
      <c r="M32" s="1045"/>
      <c r="N32" s="1045"/>
      <c r="O32" s="1056"/>
      <c r="P32" s="3296" t="s">
        <v>1388</v>
      </c>
      <c r="Q32" s="656">
        <f t="shared" si="8"/>
        <v>111</v>
      </c>
      <c r="R32" s="1093" t="s">
        <v>1367</v>
      </c>
      <c r="S32" s="1094">
        <f t="shared" si="9"/>
        <v>100</v>
      </c>
      <c r="T32" s="1093" t="s">
        <v>1367</v>
      </c>
      <c r="U32" s="1094">
        <f t="shared" si="10"/>
        <v>100</v>
      </c>
      <c r="V32" s="1093" t="s">
        <v>1367</v>
      </c>
      <c r="W32" s="1094">
        <f t="shared" si="11"/>
        <v>100</v>
      </c>
      <c r="X32" s="1087"/>
      <c r="Y32" s="3296" t="s">
        <v>1388</v>
      </c>
      <c r="Z32" s="1077">
        <f t="shared" si="12"/>
        <v>111</v>
      </c>
      <c r="AA32" s="1104">
        <f t="shared" si="3"/>
        <v>1</v>
      </c>
      <c r="AB32" s="1104">
        <f t="shared" si="4"/>
        <v>1</v>
      </c>
      <c r="AC32" s="1104">
        <f t="shared" si="5"/>
        <v>1</v>
      </c>
    </row>
    <row r="33" spans="1:30" ht="15">
      <c r="A33" s="972"/>
      <c r="B33" s="925">
        <v>111</v>
      </c>
      <c r="C33" s="919"/>
      <c r="D33" s="930">
        <v>100</v>
      </c>
      <c r="E33" s="1287"/>
      <c r="F33" s="1293">
        <f>SUMIF(93:93,E33,94:94)-SUMIF(93:93,C33,94:94)+100</f>
        <v>100</v>
      </c>
      <c r="G33" s="1287"/>
      <c r="H33" s="930">
        <f>SUMIF(93:93,G33,94:94)-SUMIF(93:93,C33,94:94)+100</f>
        <v>100</v>
      </c>
      <c r="I33" s="1287"/>
      <c r="J33" s="930">
        <f>SUMIF(93:93,I33,94:94)-SUMIF(93:93,C33,94:94)+100</f>
        <v>100</v>
      </c>
      <c r="K33" s="1062"/>
      <c r="L33" s="1057"/>
      <c r="M33" s="1045"/>
      <c r="N33" s="1045"/>
      <c r="O33" s="1056"/>
      <c r="P33" s="3296"/>
      <c r="Q33" s="656">
        <f t="shared" si="8"/>
        <v>111</v>
      </c>
      <c r="R33" s="1093" t="s">
        <v>1367</v>
      </c>
      <c r="S33" s="1094">
        <f t="shared" si="9"/>
        <v>100</v>
      </c>
      <c r="T33" s="1093" t="s">
        <v>1367</v>
      </c>
      <c r="U33" s="1094">
        <f t="shared" si="10"/>
        <v>100</v>
      </c>
      <c r="V33" s="1093" t="s">
        <v>1367</v>
      </c>
      <c r="W33" s="1094">
        <f t="shared" si="11"/>
        <v>100</v>
      </c>
      <c r="X33" s="1087"/>
      <c r="Y33" s="3296"/>
      <c r="Z33" s="1077">
        <f t="shared" si="12"/>
        <v>111</v>
      </c>
      <c r="AA33" s="1104">
        <f t="shared" si="3"/>
        <v>1</v>
      </c>
      <c r="AB33" s="1104">
        <f t="shared" si="4"/>
        <v>1</v>
      </c>
      <c r="AC33" s="1104">
        <f t="shared" si="5"/>
        <v>1</v>
      </c>
    </row>
    <row r="34" spans="1:30" ht="15">
      <c r="A34" s="1305"/>
      <c r="B34" s="932">
        <v>111</v>
      </c>
      <c r="C34" s="933"/>
      <c r="D34" s="934">
        <v>100</v>
      </c>
      <c r="E34" s="1288"/>
      <c r="F34" s="1306">
        <f>SUMIF(95:95,E34,96:96)-SUMIF(95:95,C34,96:96)+100</f>
        <v>100</v>
      </c>
      <c r="G34" s="1288"/>
      <c r="H34" s="934">
        <f>SUMIF(95:95,G34,96:96)-SUMIF(95:95,C34,96:96)+100</f>
        <v>100</v>
      </c>
      <c r="I34" s="1288"/>
      <c r="J34" s="934">
        <f>SUMIF(95:95,I34,96:96)-SUMIF(95:95,C34,96:96)+100</f>
        <v>100</v>
      </c>
      <c r="K34" s="1062"/>
      <c r="L34" s="1057"/>
      <c r="M34" s="1045"/>
      <c r="N34" s="1045"/>
      <c r="O34" s="1056"/>
      <c r="P34" s="3296"/>
      <c r="Q34" s="656">
        <f t="shared" si="8"/>
        <v>111</v>
      </c>
      <c r="R34" s="1093" t="s">
        <v>1367</v>
      </c>
      <c r="S34" s="1094">
        <f t="shared" si="9"/>
        <v>100</v>
      </c>
      <c r="T34" s="1093" t="s">
        <v>1367</v>
      </c>
      <c r="U34" s="1094">
        <f t="shared" si="10"/>
        <v>100</v>
      </c>
      <c r="V34" s="1093" t="s">
        <v>1367</v>
      </c>
      <c r="W34" s="1094">
        <f t="shared" si="11"/>
        <v>100</v>
      </c>
      <c r="X34" s="1087"/>
      <c r="Y34" s="3296"/>
      <c r="Z34" s="1077">
        <f t="shared" si="12"/>
        <v>111</v>
      </c>
      <c r="AA34" s="1104">
        <f t="shared" si="3"/>
        <v>1</v>
      </c>
      <c r="AB34" s="1104">
        <f t="shared" si="4"/>
        <v>1</v>
      </c>
      <c r="AC34" s="1104">
        <f t="shared" si="5"/>
        <v>1</v>
      </c>
    </row>
    <row r="35" spans="1:30" ht="15">
      <c r="A35" s="979" t="s">
        <v>1399</v>
      </c>
      <c r="B35" s="1307"/>
      <c r="C35" s="1308" t="s">
        <v>124</v>
      </c>
      <c r="D35" s="1309"/>
      <c r="E35" s="1310"/>
      <c r="F35" s="1311"/>
      <c r="G35" s="1312"/>
      <c r="H35" s="1313"/>
      <c r="I35" s="1310"/>
      <c r="J35" s="1313"/>
      <c r="K35" s="1068"/>
      <c r="L35" s="1069"/>
      <c r="M35" s="996"/>
      <c r="N35" s="1045"/>
      <c r="O35" s="996"/>
      <c r="P35" s="3276" t="str">
        <f>A35</f>
        <v>成交单价（元/平方米）</v>
      </c>
      <c r="Q35" s="3276"/>
      <c r="R35" s="3313">
        <f>E35</f>
        <v>0</v>
      </c>
      <c r="S35" s="3313"/>
      <c r="T35" s="3313">
        <f>G35</f>
        <v>0</v>
      </c>
      <c r="U35" s="3313"/>
      <c r="V35" s="3313">
        <f>I35</f>
        <v>0</v>
      </c>
      <c r="W35" s="3313"/>
      <c r="X35" s="1033"/>
      <c r="Y35" s="1106"/>
      <c r="Z35" s="1033"/>
      <c r="AA35" s="1033"/>
      <c r="AB35" s="1033"/>
      <c r="AC35" s="1033"/>
    </row>
    <row r="36" spans="1:30" ht="15">
      <c r="A36" s="987" t="s">
        <v>1400</v>
      </c>
      <c r="B36" s="1314"/>
      <c r="C36" s="1315" t="e">
        <f>R37</f>
        <v>#DIV/0!</v>
      </c>
      <c r="D36" s="990" t="s">
        <v>1401</v>
      </c>
      <c r="E36" s="1316" t="e">
        <f>R36</f>
        <v>#DIV/0!</v>
      </c>
      <c r="F36" s="991"/>
      <c r="G36" s="1315" t="e">
        <f>T36</f>
        <v>#DIV/0!</v>
      </c>
      <c r="H36" s="991"/>
      <c r="I36" s="1316" t="e">
        <f>V36</f>
        <v>#DIV/0!</v>
      </c>
      <c r="J36" s="991"/>
      <c r="K36" s="1070">
        <f>F36+H36+J36</f>
        <v>0</v>
      </c>
      <c r="L36" s="1069"/>
      <c r="M36" s="996"/>
      <c r="N36" s="1045"/>
      <c r="O36" s="996"/>
      <c r="P36" s="3276" t="str">
        <f>A36</f>
        <v>比较价值（元/平方米）</v>
      </c>
      <c r="Q36" s="3276"/>
      <c r="R36" s="3313" t="e">
        <f>IF(F1="售价",ROUND(PRODUCT(R35,AA7:AA34),0),ROUND(PRODUCT(R35,AA7:AA34),1))</f>
        <v>#DIV/0!</v>
      </c>
      <c r="S36" s="3313"/>
      <c r="T36" s="3313" t="e">
        <f>IF(F1="售价",ROUND(PRODUCT(T35,AB7:AB34),0),ROUND(PRODUCT(T35,AB7:AB34),1))</f>
        <v>#DIV/0!</v>
      </c>
      <c r="U36" s="3313"/>
      <c r="V36" s="3313" t="e">
        <f>IF(F1="售价",ROUND(PRODUCT(V35,AC7:AC34),0),ROUND(PRODUCT(V35,AC7:AC34),1))</f>
        <v>#DIV/0!</v>
      </c>
      <c r="W36" s="3313"/>
      <c r="X36" s="1033"/>
      <c r="Y36" s="1033"/>
      <c r="Z36" s="1033"/>
      <c r="AA36" s="1033"/>
      <c r="AB36" s="1033"/>
      <c r="AC36" s="1033"/>
    </row>
    <row r="37" spans="1:30" ht="15">
      <c r="A37" s="993" t="s">
        <v>1402</v>
      </c>
      <c r="B37" s="994"/>
      <c r="C37" s="1317" t="e">
        <f>R37</f>
        <v>#DIV/0!</v>
      </c>
      <c r="D37" s="1317"/>
      <c r="E37" s="1317"/>
      <c r="F37" s="1317"/>
      <c r="G37" s="1317"/>
      <c r="H37" s="1317"/>
      <c r="I37" s="1317"/>
      <c r="J37" s="1317"/>
      <c r="K37" s="1071"/>
      <c r="L37" s="1069"/>
      <c r="M37" s="996"/>
      <c r="N37" s="996"/>
      <c r="O37" s="996"/>
      <c r="P37" s="3298" t="str">
        <f>A37</f>
        <v>估价对象XX用房的比较价值（楼面单价，元/平方米）</v>
      </c>
      <c r="Q37" s="3299"/>
      <c r="R37" s="3365" t="e">
        <f>IF(F1="售价",ROUND(IF(D36="简单平均",AVERAGE(R36:W36),R36*F36+T36*H36+V36*J36),0),ROUND(IF(D36="简单平均",AVERAGE(R36:V36),R36*F36+T36*H36+V36*J36),1))</f>
        <v>#DIV/0!</v>
      </c>
      <c r="S37" s="3365"/>
      <c r="T37" s="3365"/>
      <c r="U37" s="3365"/>
      <c r="V37" s="3365"/>
      <c r="W37" s="3365"/>
      <c r="X37" s="1033"/>
      <c r="Y37" s="1033"/>
      <c r="Z37" s="1033"/>
      <c r="AA37" s="1033"/>
      <c r="AB37" s="1033"/>
      <c r="AC37" s="1033"/>
    </row>
    <row r="38" spans="1:30">
      <c r="A38" s="996"/>
      <c r="B38" s="996"/>
      <c r="C38" s="996"/>
      <c r="D38" s="996"/>
      <c r="E38" s="996"/>
      <c r="F38" s="996"/>
      <c r="G38" s="997"/>
      <c r="H38" s="996"/>
      <c r="I38" s="996"/>
      <c r="J38" s="996"/>
      <c r="K38" s="1073"/>
      <c r="L38" s="1074"/>
      <c r="M38" s="996"/>
      <c r="N38" s="996"/>
      <c r="O38" s="996"/>
      <c r="P38" s="996"/>
      <c r="Q38" s="996"/>
      <c r="R38" s="996"/>
      <c r="S38" s="996"/>
      <c r="T38" s="996"/>
      <c r="U38" s="996"/>
      <c r="V38" s="996"/>
      <c r="W38" s="996"/>
      <c r="X38" s="996"/>
      <c r="Y38" s="996"/>
      <c r="Z38" s="996"/>
      <c r="AA38" s="996"/>
      <c r="AB38" s="996"/>
      <c r="AC38" s="996"/>
      <c r="AD38" s="996"/>
    </row>
    <row r="39" spans="1:30">
      <c r="A39" s="996"/>
      <c r="B39" s="996"/>
      <c r="C39" s="996"/>
      <c r="D39" s="996"/>
      <c r="E39" s="996"/>
      <c r="F39" s="996"/>
      <c r="G39" s="996"/>
      <c r="H39" s="996"/>
      <c r="I39" s="996"/>
      <c r="J39" s="996"/>
      <c r="K39" s="1073"/>
      <c r="L39" s="1074"/>
      <c r="M39" s="996"/>
      <c r="N39" s="996"/>
      <c r="O39" s="996"/>
      <c r="P39" s="996"/>
      <c r="Q39" s="996"/>
      <c r="R39" s="996"/>
      <c r="S39" s="996"/>
      <c r="T39" s="996"/>
      <c r="U39" s="996"/>
      <c r="V39" s="996"/>
      <c r="W39" s="996"/>
      <c r="X39" s="996"/>
      <c r="Y39" s="996"/>
      <c r="Z39" s="996"/>
      <c r="AA39" s="996"/>
      <c r="AB39" s="996"/>
      <c r="AC39" s="996"/>
      <c r="AD39" s="996"/>
    </row>
    <row r="40" spans="1:30" ht="13.5" customHeight="1">
      <c r="A40" s="996"/>
      <c r="B40" s="996"/>
      <c r="C40" s="998" t="s">
        <v>1403</v>
      </c>
      <c r="D40" s="698"/>
      <c r="E40" s="999" t="e">
        <f>IF(E35&lt;E36,E36/E35-1,E35/E36-1)</f>
        <v>#DIV/0!</v>
      </c>
      <c r="F40" s="1000" t="e">
        <f>IF(OR(E40&gt;=0.3,E40&lt;=-0.3),"超过30%","")</f>
        <v>#DIV/0!</v>
      </c>
      <c r="G40" s="999" t="e">
        <f>IF(G35&lt;G36,G36/G35-1,G35/G36-1)</f>
        <v>#DIV/0!</v>
      </c>
      <c r="H40" s="1000" t="e">
        <f>IF(OR(G40&gt;=0.3,G40&lt;=-0.3),"超过30%","")</f>
        <v>#DIV/0!</v>
      </c>
      <c r="I40" s="999" t="e">
        <f>IF(I35&lt;I36,I36/I35-1,I35/I36-1)</f>
        <v>#DIV/0!</v>
      </c>
      <c r="J40" s="1000" t="e">
        <f>IF(OR(I40&gt;=0.3,I40&lt;=-0.3),"超过30%","")</f>
        <v>#DIV/0!</v>
      </c>
      <c r="K40" s="1073"/>
      <c r="L40" s="1074"/>
      <c r="M40" s="996"/>
      <c r="N40" s="996"/>
      <c r="O40" s="996"/>
      <c r="P40" s="996"/>
      <c r="Q40" s="996"/>
      <c r="R40" s="996"/>
      <c r="S40" s="996"/>
      <c r="T40" s="996"/>
      <c r="U40" s="996"/>
      <c r="V40" s="996"/>
      <c r="W40" s="996"/>
      <c r="X40" s="996"/>
      <c r="Y40" s="996"/>
      <c r="Z40" s="996"/>
      <c r="AA40" s="996"/>
      <c r="AB40" s="996"/>
      <c r="AC40" s="996"/>
      <c r="AD40" s="996"/>
    </row>
    <row r="41" spans="1:30" ht="13.5" customHeight="1">
      <c r="A41" s="996"/>
      <c r="B41" s="996"/>
      <c r="C41" s="998" t="s">
        <v>1404</v>
      </c>
      <c r="D41" s="697"/>
      <c r="E41" s="999" t="e">
        <f>IF(E36&lt;G36,G36/E36-1,E36/G36-1)</f>
        <v>#DIV/0!</v>
      </c>
      <c r="F41" s="1000" t="e">
        <f>IF(OR(E41&gt;=0.2,E41&lt;=-0.2),"超过20%","")</f>
        <v>#DIV/0!</v>
      </c>
      <c r="G41" s="999" t="e">
        <f>IF(G36&lt;I36,I36/G36-1,G36/I36-1)</f>
        <v>#DIV/0!</v>
      </c>
      <c r="H41" s="1000" t="e">
        <f>IF(OR(G41&gt;=0.2,G41&lt;=-0.2),"超过20%","")</f>
        <v>#DIV/0!</v>
      </c>
      <c r="I41" s="999" t="e">
        <f>IF(I36&lt;E36,E36/I36-1,I36/E36-1)</f>
        <v>#DIV/0!</v>
      </c>
      <c r="J41" s="1000" t="e">
        <f>IF(OR(I41&gt;=0.2,I41&lt;=-0.2),"超过20%","")</f>
        <v>#DIV/0!</v>
      </c>
      <c r="K41" s="1073"/>
      <c r="L41" s="1074"/>
      <c r="M41" s="996"/>
      <c r="N41" s="996"/>
      <c r="O41" s="996"/>
      <c r="P41" s="996"/>
      <c r="Q41" s="996"/>
      <c r="R41" s="996"/>
      <c r="S41" s="996"/>
      <c r="T41" s="996"/>
      <c r="U41" s="996"/>
      <c r="V41" s="996"/>
      <c r="W41" s="996"/>
      <c r="X41" s="996"/>
      <c r="Y41" s="996"/>
      <c r="Z41" s="996"/>
      <c r="AA41" s="996"/>
      <c r="AB41" s="996"/>
      <c r="AC41" s="996"/>
      <c r="AD41" s="996"/>
    </row>
    <row r="42" spans="1:30" s="883" customFormat="1" ht="13.5" customHeight="1">
      <c r="A42" s="1001"/>
      <c r="B42" s="1001"/>
      <c r="C42" s="998" t="s">
        <v>1405</v>
      </c>
      <c r="D42" s="697"/>
      <c r="E42" s="999" t="e">
        <f>IF(E35&lt;G35,G35/E35-1,E35/G35-1)</f>
        <v>#DIV/0!</v>
      </c>
      <c r="F42" s="1000" t="e">
        <f>IF(OR(E42&gt;=0.3,E42&lt;=-0.3),"超过30%","")</f>
        <v>#DIV/0!</v>
      </c>
      <c r="G42" s="999" t="e">
        <f>IF(G35&lt;I35,I35/G35-1,G35/I35-1)</f>
        <v>#DIV/0!</v>
      </c>
      <c r="H42" s="1000" t="e">
        <f>IF(OR(G42&gt;=0.3,G42&lt;=-0.3),"超过30%","")</f>
        <v>#DIV/0!</v>
      </c>
      <c r="I42" s="999" t="e">
        <f>IF(I35&lt;E35,E35/I35-1,I35/E35-1)</f>
        <v>#DIV/0!</v>
      </c>
      <c r="J42" s="1000" t="e">
        <f>IF(OR(I42&gt;=0.3,I42&lt;=-0.3),"超过30%","")</f>
        <v>#DIV/0!</v>
      </c>
      <c r="K42" s="1075"/>
      <c r="L42" s="1076"/>
      <c r="M42" s="1001"/>
      <c r="N42" s="1001"/>
      <c r="O42" s="1001"/>
      <c r="P42" s="1001"/>
      <c r="Q42" s="1001"/>
      <c r="R42" s="1001"/>
      <c r="S42" s="1001"/>
      <c r="T42" s="1001"/>
      <c r="U42" s="1001"/>
      <c r="V42" s="1001"/>
      <c r="W42" s="1001"/>
      <c r="X42" s="1001"/>
      <c r="Y42" s="1001"/>
      <c r="Z42" s="1001"/>
      <c r="AA42" s="1001"/>
      <c r="AB42" s="1001"/>
      <c r="AC42" s="1001"/>
      <c r="AD42" s="1001"/>
    </row>
    <row r="43" spans="1:30" s="883" customFormat="1">
      <c r="A43" s="1001"/>
      <c r="B43" s="1002"/>
      <c r="C43" s="1318"/>
      <c r="D43" s="1001"/>
      <c r="E43" s="1001"/>
      <c r="F43" s="1001"/>
      <c r="G43" s="1001"/>
      <c r="H43" s="1001"/>
      <c r="I43" s="1001"/>
      <c r="J43" s="1001"/>
      <c r="K43" s="1075"/>
      <c r="L43" s="1076"/>
      <c r="M43" s="1001"/>
      <c r="N43" s="1001"/>
      <c r="O43" s="1001"/>
      <c r="P43" s="1001"/>
      <c r="Q43" s="1001"/>
      <c r="R43" s="1001"/>
      <c r="S43" s="1001"/>
      <c r="T43" s="1001"/>
      <c r="U43" s="1001"/>
      <c r="V43" s="1001"/>
      <c r="W43" s="1001"/>
      <c r="X43" s="1001"/>
      <c r="Y43" s="1001"/>
      <c r="Z43" s="1001"/>
      <c r="AA43" s="1001"/>
      <c r="AB43" s="1001"/>
      <c r="AC43" s="1001"/>
      <c r="AD43" s="1001"/>
    </row>
    <row r="44" spans="1:30">
      <c r="A44" s="996"/>
      <c r="B44" s="1002"/>
      <c r="C44" s="1318"/>
      <c r="D44" s="996"/>
      <c r="E44" s="996"/>
      <c r="F44" s="996"/>
      <c r="G44" s="996"/>
      <c r="H44" s="996"/>
      <c r="I44" s="996"/>
      <c r="J44" s="996"/>
      <c r="K44" s="1073"/>
      <c r="L44" s="1074"/>
      <c r="M44" s="996"/>
      <c r="N44" s="996"/>
      <c r="O44" s="996"/>
      <c r="P44" s="996"/>
      <c r="Q44" s="996"/>
      <c r="R44" s="996"/>
      <c r="S44" s="996"/>
      <c r="T44" s="996"/>
      <c r="U44" s="996"/>
      <c r="V44" s="996"/>
      <c r="W44" s="996"/>
      <c r="X44" s="996"/>
      <c r="Y44" s="996"/>
      <c r="Z44" s="996"/>
      <c r="AA44" s="996"/>
      <c r="AB44" s="996"/>
      <c r="AC44" s="996"/>
      <c r="AD44" s="996"/>
    </row>
    <row r="45" spans="1:30" ht="21">
      <c r="A45" s="1032" t="s">
        <v>1406</v>
      </c>
      <c r="B45" s="1033"/>
      <c r="C45" s="1034"/>
      <c r="D45" s="1034"/>
      <c r="E45" s="1034"/>
      <c r="F45" s="1035"/>
      <c r="G45" s="1035"/>
      <c r="H45" s="1034"/>
      <c r="I45" s="1034"/>
      <c r="J45" s="1034"/>
      <c r="K45" s="1083"/>
      <c r="L45" s="1084"/>
      <c r="M45" s="1034"/>
      <c r="N45" s="1086"/>
      <c r="O45" s="1086"/>
      <c r="P45" s="1086"/>
      <c r="Q45" s="1098"/>
      <c r="R45" s="996"/>
      <c r="S45" s="996"/>
      <c r="T45" s="996"/>
      <c r="U45" s="996"/>
      <c r="V45" s="996"/>
      <c r="W45" s="996"/>
      <c r="X45" s="996"/>
      <c r="Y45" s="996"/>
      <c r="Z45" s="996"/>
      <c r="AA45" s="996"/>
      <c r="AB45" s="996"/>
      <c r="AC45" s="996"/>
      <c r="AD45" s="996"/>
    </row>
    <row r="46" spans="1:30" s="885" customFormat="1" ht="15">
      <c r="A46" s="1319" t="s">
        <v>1365</v>
      </c>
      <c r="B46" s="1320"/>
      <c r="C46" s="1321" t="str">
        <f>YEAR(C7)&amp;"-"&amp;MONTH(C7)</f>
        <v>2021-4</v>
      </c>
      <c r="D46" s="1322">
        <f>EDATE(C46,-1)</f>
        <v>44256</v>
      </c>
      <c r="E46" s="1322">
        <f t="shared" ref="E46:O46" si="13">EDATE(D46,-1)</f>
        <v>44228</v>
      </c>
      <c r="F46" s="1322">
        <f t="shared" si="13"/>
        <v>44197</v>
      </c>
      <c r="G46" s="1322">
        <f t="shared" si="13"/>
        <v>44166</v>
      </c>
      <c r="H46" s="1322">
        <f t="shared" si="13"/>
        <v>44136</v>
      </c>
      <c r="I46" s="1322">
        <f t="shared" si="13"/>
        <v>44105</v>
      </c>
      <c r="J46" s="1322">
        <f t="shared" si="13"/>
        <v>44075</v>
      </c>
      <c r="K46" s="1322">
        <f t="shared" si="13"/>
        <v>44044</v>
      </c>
      <c r="L46" s="1322">
        <f t="shared" si="13"/>
        <v>44013</v>
      </c>
      <c r="M46" s="1322">
        <f t="shared" si="13"/>
        <v>43983</v>
      </c>
      <c r="N46" s="1322">
        <f t="shared" si="13"/>
        <v>43952</v>
      </c>
      <c r="O46" s="1322">
        <f t="shared" si="13"/>
        <v>43922</v>
      </c>
      <c r="P46" s="1161"/>
      <c r="Q46" s="1217"/>
      <c r="R46" s="1217"/>
      <c r="S46" s="1217"/>
      <c r="T46" s="1217"/>
      <c r="U46" s="1217"/>
      <c r="V46" s="1217"/>
      <c r="W46" s="1217"/>
      <c r="X46" s="1217"/>
      <c r="Y46" s="1217"/>
      <c r="Z46" s="1217"/>
      <c r="AA46" s="1217"/>
      <c r="AB46" s="1217"/>
      <c r="AC46" s="1217"/>
      <c r="AD46" s="1217"/>
    </row>
    <row r="47" spans="1:30" s="880" customFormat="1" ht="15">
      <c r="A47" s="1323"/>
      <c r="B47" s="1118"/>
      <c r="C47" s="1324">
        <v>100</v>
      </c>
      <c r="D47" s="1122"/>
      <c r="E47" s="1122"/>
      <c r="F47" s="1122"/>
      <c r="G47" s="1122"/>
      <c r="H47" s="1122"/>
      <c r="I47" s="1122"/>
      <c r="J47" s="1122"/>
      <c r="K47" s="1122"/>
      <c r="L47" s="1122"/>
      <c r="M47" s="1331"/>
      <c r="N47" s="1122"/>
      <c r="O47" s="1170"/>
      <c r="P47" s="1098"/>
      <c r="Q47" s="1218"/>
      <c r="R47" s="1218"/>
      <c r="S47" s="1218"/>
      <c r="T47" s="1218"/>
      <c r="U47" s="1218"/>
      <c r="V47" s="1218"/>
      <c r="W47" s="1218"/>
      <c r="X47" s="1218"/>
      <c r="Y47" s="1218"/>
      <c r="Z47" s="1218"/>
      <c r="AA47" s="1218"/>
      <c r="AB47" s="1218"/>
      <c r="AC47" s="1218"/>
      <c r="AD47" s="1218"/>
    </row>
    <row r="48" spans="1:30" s="880" customFormat="1" ht="15">
      <c r="A48" s="1113" t="s">
        <v>1407</v>
      </c>
      <c r="B48" s="1114"/>
      <c r="C48" s="1115"/>
      <c r="D48" s="1116"/>
      <c r="E48" s="1116"/>
      <c r="F48" s="1116"/>
      <c r="G48" s="1116"/>
      <c r="H48" s="1116"/>
      <c r="I48" s="1116"/>
      <c r="J48" s="1116"/>
      <c r="K48" s="1116"/>
      <c r="L48" s="1116"/>
      <c r="M48" s="1164"/>
      <c r="N48" s="1116"/>
      <c r="O48" s="1165"/>
      <c r="P48" s="1098"/>
      <c r="Q48" s="1098"/>
      <c r="R48" s="1218"/>
      <c r="S48" s="1218"/>
      <c r="T48" s="1218"/>
      <c r="U48" s="1218"/>
      <c r="V48" s="1218"/>
      <c r="W48" s="1218"/>
      <c r="X48" s="1218"/>
      <c r="Y48" s="1218"/>
      <c r="Z48" s="1218"/>
      <c r="AA48" s="1218"/>
      <c r="AB48" s="1218"/>
      <c r="AC48" s="1218"/>
      <c r="AD48" s="1218"/>
    </row>
    <row r="49" spans="1:30" s="880" customFormat="1" ht="15">
      <c r="A49" s="1117" t="s">
        <v>1368</v>
      </c>
      <c r="B49" s="1118"/>
      <c r="C49" s="1119" t="s">
        <v>1369</v>
      </c>
      <c r="D49" s="1120"/>
      <c r="E49" s="1120"/>
      <c r="F49" s="1120"/>
      <c r="G49" s="1120"/>
      <c r="H49" s="1120"/>
      <c r="I49" s="1120"/>
      <c r="J49" s="1120"/>
      <c r="K49" s="1120"/>
      <c r="L49" s="1166"/>
      <c r="M49" s="1167"/>
      <c r="N49" s="1168"/>
      <c r="O49" s="1168"/>
      <c r="P49" s="1169"/>
      <c r="Q49" s="1098"/>
      <c r="R49" s="1218"/>
      <c r="S49" s="1218"/>
      <c r="T49" s="1218"/>
      <c r="U49" s="1218"/>
      <c r="V49" s="1218"/>
      <c r="W49" s="1218"/>
      <c r="X49" s="1218"/>
      <c r="Y49" s="1218"/>
      <c r="Z49" s="1218"/>
      <c r="AA49" s="1218"/>
      <c r="AB49" s="1218"/>
      <c r="AC49" s="1218"/>
      <c r="AD49" s="1218"/>
    </row>
    <row r="50" spans="1:30" s="880" customFormat="1" ht="15">
      <c r="A50" s="1117"/>
      <c r="B50" s="1118"/>
      <c r="C50" s="1121">
        <v>100</v>
      </c>
      <c r="D50" s="1122"/>
      <c r="E50" s="1122"/>
      <c r="F50" s="1122"/>
      <c r="G50" s="1122"/>
      <c r="H50" s="1122"/>
      <c r="I50" s="1122"/>
      <c r="J50" s="1122"/>
      <c r="K50" s="1122"/>
      <c r="L50" s="1122"/>
      <c r="M50" s="1170"/>
      <c r="N50" s="1168"/>
      <c r="O50" s="1168"/>
      <c r="P50" s="1098"/>
      <c r="Q50" s="1098"/>
      <c r="R50" s="1218"/>
      <c r="S50" s="1218"/>
      <c r="T50" s="1218"/>
      <c r="U50" s="1218"/>
      <c r="V50" s="1218"/>
      <c r="W50" s="1218"/>
      <c r="X50" s="1218"/>
      <c r="Y50" s="1218"/>
      <c r="Z50" s="1218"/>
      <c r="AA50" s="1218"/>
      <c r="AB50" s="1218"/>
      <c r="AC50" s="1218"/>
      <c r="AD50" s="1218"/>
    </row>
    <row r="51" spans="1:30">
      <c r="A51" s="1123" t="s">
        <v>1408</v>
      </c>
      <c r="B51" s="1124" t="s">
        <v>1372</v>
      </c>
      <c r="C51" s="1146">
        <f>C9</f>
        <v>0</v>
      </c>
      <c r="D51" s="1066"/>
      <c r="E51" s="1066"/>
      <c r="F51" s="1066"/>
      <c r="G51" s="1066"/>
      <c r="H51" s="1066"/>
      <c r="I51" s="1066"/>
      <c r="J51" s="1066"/>
      <c r="K51" s="1171"/>
      <c r="L51" s="1172"/>
      <c r="M51" s="1173"/>
      <c r="N51" s="1174"/>
      <c r="O51" s="1174"/>
      <c r="P51" s="1175"/>
      <c r="Q51" s="1098"/>
      <c r="R51" s="996"/>
      <c r="S51" s="996"/>
      <c r="T51" s="996"/>
      <c r="U51" s="996"/>
      <c r="V51" s="996"/>
      <c r="W51" s="996"/>
      <c r="X51" s="996"/>
      <c r="Y51" s="996"/>
      <c r="Z51" s="996"/>
      <c r="AA51" s="996"/>
      <c r="AB51" s="996"/>
      <c r="AC51" s="996"/>
      <c r="AD51" s="996"/>
    </row>
    <row r="52" spans="1:30" ht="15">
      <c r="A52" s="1125"/>
      <c r="B52" s="1126"/>
      <c r="C52" s="1127">
        <v>100</v>
      </c>
      <c r="D52" s="1127"/>
      <c r="E52" s="1127"/>
      <c r="F52" s="1127"/>
      <c r="G52" s="1127"/>
      <c r="H52" s="1127"/>
      <c r="I52" s="1127"/>
      <c r="J52" s="1127"/>
      <c r="K52" s="1127"/>
      <c r="L52" s="1127"/>
      <c r="M52" s="1176"/>
      <c r="N52" s="1177"/>
      <c r="O52" s="1177"/>
      <c r="P52" s="1175"/>
      <c r="Q52" s="1098"/>
      <c r="R52" s="996"/>
      <c r="S52" s="996"/>
      <c r="T52" s="996"/>
      <c r="U52" s="996"/>
      <c r="V52" s="996"/>
      <c r="W52" s="996"/>
      <c r="X52" s="996"/>
      <c r="Y52" s="996"/>
      <c r="Z52" s="996"/>
      <c r="AA52" s="996"/>
      <c r="AB52" s="996"/>
      <c r="AC52" s="996"/>
      <c r="AD52" s="996"/>
    </row>
    <row r="53" spans="1:30" ht="27">
      <c r="A53" s="1125"/>
      <c r="B53" s="1128" t="s">
        <v>1375</v>
      </c>
      <c r="C53" s="1129" t="s">
        <v>1409</v>
      </c>
      <c r="D53" s="1129" t="s">
        <v>1410</v>
      </c>
      <c r="E53" s="1129" t="s">
        <v>1411</v>
      </c>
      <c r="F53" s="1129" t="s">
        <v>1412</v>
      </c>
      <c r="G53" s="1129" t="s">
        <v>1413</v>
      </c>
      <c r="H53" s="1129" t="s">
        <v>1414</v>
      </c>
      <c r="I53" s="1129" t="s">
        <v>1415</v>
      </c>
      <c r="J53" s="1129"/>
      <c r="K53" s="1178"/>
      <c r="L53" s="1179"/>
      <c r="M53" s="1180"/>
      <c r="N53" s="1174"/>
      <c r="O53" s="1174"/>
      <c r="P53" s="1175"/>
      <c r="Q53" s="1098"/>
      <c r="R53" s="996"/>
      <c r="S53" s="996"/>
      <c r="T53" s="996"/>
      <c r="U53" s="996"/>
      <c r="V53" s="996"/>
      <c r="W53" s="996"/>
      <c r="X53" s="996"/>
      <c r="Y53" s="996"/>
      <c r="Z53" s="996"/>
      <c r="AA53" s="996"/>
      <c r="AB53" s="996"/>
      <c r="AC53" s="996"/>
      <c r="AD53" s="996"/>
    </row>
    <row r="54" spans="1:30" ht="15">
      <c r="A54" s="1125"/>
      <c r="B54" s="1130"/>
      <c r="C54" s="1131" t="s">
        <v>1457</v>
      </c>
      <c r="D54" s="1131" t="s">
        <v>1457</v>
      </c>
      <c r="E54" s="1131">
        <v>100</v>
      </c>
      <c r="F54" s="1131">
        <f>E54-$K10</f>
        <v>100</v>
      </c>
      <c r="G54" s="1131">
        <f>F54-$K10</f>
        <v>100</v>
      </c>
      <c r="H54" s="1131">
        <f>G54-$K10</f>
        <v>100</v>
      </c>
      <c r="I54" s="1131">
        <f>H54-$K10</f>
        <v>100</v>
      </c>
      <c r="J54" s="1131"/>
      <c r="K54" s="1131"/>
      <c r="L54" s="1131"/>
      <c r="M54" s="1181"/>
      <c r="N54" s="1177"/>
      <c r="O54" s="1177"/>
      <c r="P54" s="1175"/>
      <c r="Q54" s="1098"/>
      <c r="R54" s="996"/>
      <c r="S54" s="996"/>
      <c r="T54" s="996"/>
      <c r="U54" s="996"/>
      <c r="V54" s="996"/>
      <c r="W54" s="996"/>
      <c r="X54" s="996"/>
      <c r="Y54" s="996"/>
      <c r="Z54" s="996"/>
      <c r="AA54" s="996"/>
      <c r="AB54" s="996"/>
      <c r="AC54" s="996"/>
      <c r="AD54" s="996"/>
    </row>
    <row r="55" spans="1:30" ht="15">
      <c r="A55" s="1125"/>
      <c r="B55" s="1152">
        <f>B11</f>
        <v>111</v>
      </c>
      <c r="C55" s="927"/>
      <c r="D55" s="927"/>
      <c r="E55" s="927"/>
      <c r="F55" s="927"/>
      <c r="G55" s="927"/>
      <c r="H55" s="927"/>
      <c r="I55" s="927"/>
      <c r="J55" s="927"/>
      <c r="K55" s="1182"/>
      <c r="L55" s="1183"/>
      <c r="M55" s="1184"/>
      <c r="N55" s="1174"/>
      <c r="O55" s="1174"/>
      <c r="P55" s="1175"/>
      <c r="Q55" s="1098"/>
      <c r="R55" s="996"/>
      <c r="S55" s="996"/>
      <c r="T55" s="996"/>
      <c r="U55" s="996"/>
      <c r="V55" s="996"/>
      <c r="W55" s="996"/>
      <c r="X55" s="996"/>
      <c r="Y55" s="996"/>
      <c r="Z55" s="996"/>
      <c r="AA55" s="996"/>
      <c r="AB55" s="996"/>
      <c r="AC55" s="996"/>
      <c r="AD55" s="996"/>
    </row>
    <row r="56" spans="1:30" ht="15">
      <c r="A56" s="1125"/>
      <c r="B56" s="1126"/>
      <c r="C56" s="1138"/>
      <c r="D56" s="1127"/>
      <c r="E56" s="1127"/>
      <c r="F56" s="1127"/>
      <c r="G56" s="1127"/>
      <c r="H56" s="1127"/>
      <c r="I56" s="1127"/>
      <c r="J56" s="1127"/>
      <c r="K56" s="1127"/>
      <c r="L56" s="1127"/>
      <c r="M56" s="1176"/>
      <c r="N56" s="1177"/>
      <c r="O56" s="1177"/>
      <c r="P56" s="1175"/>
      <c r="Q56" s="1098"/>
      <c r="R56" s="996"/>
      <c r="S56" s="996"/>
      <c r="T56" s="996"/>
      <c r="U56" s="996"/>
      <c r="V56" s="996"/>
      <c r="W56" s="996"/>
      <c r="X56" s="996"/>
      <c r="Y56" s="996"/>
      <c r="Z56" s="996"/>
      <c r="AA56" s="996"/>
      <c r="AB56" s="996"/>
      <c r="AC56" s="996"/>
      <c r="AD56" s="996"/>
    </row>
    <row r="57" spans="1:30" s="882" customFormat="1" ht="15">
      <c r="A57" s="1135"/>
      <c r="B57" s="1128">
        <f>B12</f>
        <v>111</v>
      </c>
      <c r="C57" s="927"/>
      <c r="D57" s="927"/>
      <c r="E57" s="927"/>
      <c r="F57" s="927"/>
      <c r="G57" s="1136"/>
      <c r="H57" s="1137"/>
      <c r="I57" s="1137"/>
      <c r="J57" s="1137"/>
      <c r="K57" s="1137"/>
      <c r="L57" s="1185"/>
      <c r="M57" s="1186"/>
      <c r="N57" s="1187"/>
      <c r="O57" s="1187"/>
      <c r="P57" s="1188"/>
      <c r="Q57" s="1219"/>
      <c r="R57" s="1220"/>
      <c r="S57" s="1220"/>
      <c r="T57" s="1220"/>
      <c r="U57" s="1220"/>
      <c r="V57" s="1220"/>
      <c r="W57" s="1220"/>
      <c r="X57" s="1220"/>
      <c r="Y57" s="1220"/>
      <c r="Z57" s="1220"/>
      <c r="AA57" s="1220"/>
      <c r="AB57" s="1220"/>
      <c r="AC57" s="1220"/>
      <c r="AD57" s="1220"/>
    </row>
    <row r="58" spans="1:30" s="882" customFormat="1" ht="15">
      <c r="A58" s="1135"/>
      <c r="B58" s="1130"/>
      <c r="C58" s="1138"/>
      <c r="D58" s="1127"/>
      <c r="E58" s="1127"/>
      <c r="F58" s="1127"/>
      <c r="G58" s="1127"/>
      <c r="H58" s="1127"/>
      <c r="I58" s="1127"/>
      <c r="J58" s="1127"/>
      <c r="K58" s="1127"/>
      <c r="L58" s="1127"/>
      <c r="M58" s="1176"/>
      <c r="N58" s="1177"/>
      <c r="O58" s="1177"/>
      <c r="P58" s="1188"/>
      <c r="Q58" s="1219"/>
      <c r="R58" s="1220"/>
      <c r="S58" s="1220"/>
      <c r="T58" s="1220"/>
      <c r="U58" s="1220"/>
      <c r="V58" s="1220"/>
      <c r="W58" s="1220"/>
      <c r="X58" s="1220"/>
      <c r="Y58" s="1220"/>
      <c r="Z58" s="1220"/>
      <c r="AA58" s="1220"/>
      <c r="AB58" s="1220"/>
      <c r="AC58" s="1220"/>
      <c r="AD58" s="1220"/>
    </row>
    <row r="59" spans="1:30" s="882" customFormat="1" ht="15">
      <c r="A59" s="1135"/>
      <c r="B59" s="1128">
        <f>B13</f>
        <v>111</v>
      </c>
      <c r="C59" s="927"/>
      <c r="D59" s="927"/>
      <c r="E59" s="927"/>
      <c r="F59" s="927"/>
      <c r="G59" s="1136"/>
      <c r="H59" s="1137"/>
      <c r="I59" s="1137"/>
      <c r="J59" s="1137"/>
      <c r="K59" s="1137"/>
      <c r="L59" s="1185"/>
      <c r="M59" s="1186"/>
      <c r="N59" s="1187"/>
      <c r="O59" s="1187"/>
      <c r="P59" s="1064"/>
      <c r="Q59" s="1221"/>
      <c r="R59" s="1220"/>
      <c r="S59" s="1220"/>
      <c r="T59" s="1220"/>
      <c r="U59" s="1220"/>
      <c r="V59" s="1220"/>
      <c r="W59" s="1220"/>
      <c r="X59" s="1220"/>
      <c r="Y59" s="1220"/>
      <c r="Z59" s="1220"/>
      <c r="AA59" s="1220"/>
      <c r="AB59" s="1220"/>
      <c r="AC59" s="1220"/>
      <c r="AD59" s="1220"/>
    </row>
    <row r="60" spans="1:30" s="882" customFormat="1" ht="15">
      <c r="A60" s="1135"/>
      <c r="B60" s="1130"/>
      <c r="C60" s="1138"/>
      <c r="D60" s="1138"/>
      <c r="E60" s="1138"/>
      <c r="F60" s="1138"/>
      <c r="G60" s="1138"/>
      <c r="H60" s="1139"/>
      <c r="I60" s="1139"/>
      <c r="J60" s="1139"/>
      <c r="K60" s="1139"/>
      <c r="L60" s="1139"/>
      <c r="M60" s="1189"/>
      <c r="N60" s="1187"/>
      <c r="O60" s="1187"/>
      <c r="P60" s="1188"/>
      <c r="Q60" s="1219"/>
      <c r="R60" s="1220"/>
      <c r="S60" s="1220"/>
      <c r="T60" s="1220"/>
      <c r="U60" s="1220"/>
      <c r="V60" s="1220"/>
      <c r="W60" s="1220"/>
      <c r="X60" s="1220"/>
      <c r="Y60" s="1220"/>
      <c r="Z60" s="1220"/>
      <c r="AA60" s="1220"/>
      <c r="AB60" s="1220"/>
      <c r="AC60" s="1220"/>
      <c r="AD60" s="1220"/>
    </row>
    <row r="61" spans="1:30">
      <c r="A61" s="1123" t="s">
        <v>1377</v>
      </c>
      <c r="B61" s="1124" t="s">
        <v>1380</v>
      </c>
      <c r="C61" s="1145" t="s">
        <v>1416</v>
      </c>
      <c r="D61" s="1145" t="s">
        <v>1417</v>
      </c>
      <c r="E61" s="1145" t="s">
        <v>1418</v>
      </c>
      <c r="F61" s="1145" t="s">
        <v>1419</v>
      </c>
      <c r="G61" s="1145" t="s">
        <v>1420</v>
      </c>
      <c r="H61" s="1146"/>
      <c r="I61" s="1146"/>
      <c r="J61" s="1146"/>
      <c r="K61" s="1194"/>
      <c r="L61" s="1195"/>
      <c r="M61" s="1196"/>
      <c r="N61" s="1174"/>
      <c r="O61" s="1174"/>
      <c r="P61" s="1197"/>
      <c r="Q61" s="1098"/>
      <c r="R61" s="996"/>
      <c r="S61" s="996"/>
      <c r="T61" s="996"/>
      <c r="U61" s="996"/>
      <c r="V61" s="996"/>
      <c r="W61" s="996"/>
      <c r="X61" s="996"/>
      <c r="Y61" s="996"/>
      <c r="Z61" s="996"/>
      <c r="AA61" s="996"/>
      <c r="AB61" s="996"/>
      <c r="AC61" s="996"/>
      <c r="AD61" s="996"/>
    </row>
    <row r="62" spans="1:30" ht="15">
      <c r="A62" s="1125"/>
      <c r="B62" s="1130"/>
      <c r="C62" s="1131">
        <v>100</v>
      </c>
      <c r="D62" s="1131">
        <f>C62-$K14</f>
        <v>100</v>
      </c>
      <c r="E62" s="1131">
        <f>D62-$K14</f>
        <v>100</v>
      </c>
      <c r="F62" s="1131">
        <f>E62-$K14</f>
        <v>100</v>
      </c>
      <c r="G62" s="1131">
        <f>F62-$K14</f>
        <v>100</v>
      </c>
      <c r="H62" s="1131"/>
      <c r="I62" s="1131"/>
      <c r="J62" s="1131"/>
      <c r="K62" s="1131"/>
      <c r="L62" s="1131"/>
      <c r="M62" s="1181"/>
      <c r="N62" s="1177"/>
      <c r="O62" s="1177"/>
      <c r="P62" s="1175"/>
      <c r="Q62" s="1098"/>
      <c r="R62" s="996"/>
      <c r="S62" s="996"/>
      <c r="T62" s="996"/>
      <c r="U62" s="996"/>
      <c r="V62" s="996"/>
      <c r="W62" s="996"/>
      <c r="X62" s="996"/>
      <c r="Y62" s="996"/>
      <c r="Z62" s="996"/>
      <c r="AA62" s="996"/>
      <c r="AB62" s="996"/>
      <c r="AC62" s="996"/>
      <c r="AD62" s="996"/>
    </row>
    <row r="63" spans="1:30" ht="27">
      <c r="A63" s="1125"/>
      <c r="B63" s="1128" t="s">
        <v>1485</v>
      </c>
      <c r="C63" s="1147" t="s">
        <v>1416</v>
      </c>
      <c r="D63" s="1147" t="s">
        <v>1417</v>
      </c>
      <c r="E63" s="1147" t="s">
        <v>1418</v>
      </c>
      <c r="F63" s="1147" t="s">
        <v>1419</v>
      </c>
      <c r="G63" s="1147" t="s">
        <v>1420</v>
      </c>
      <c r="H63" s="1129"/>
      <c r="I63" s="1129"/>
      <c r="J63" s="1129"/>
      <c r="K63" s="1178"/>
      <c r="L63" s="1179"/>
      <c r="M63" s="1180"/>
      <c r="N63" s="1174"/>
      <c r="O63" s="1174"/>
      <c r="P63" s="1175"/>
      <c r="Q63" s="1098"/>
      <c r="R63" s="996"/>
      <c r="S63" s="996"/>
      <c r="T63" s="996"/>
      <c r="U63" s="996"/>
      <c r="V63" s="996"/>
      <c r="W63" s="996"/>
      <c r="X63" s="996"/>
      <c r="Y63" s="996"/>
      <c r="Z63" s="996"/>
      <c r="AA63" s="996"/>
      <c r="AB63" s="996"/>
      <c r="AC63" s="996"/>
      <c r="AD63" s="996"/>
    </row>
    <row r="64" spans="1:30" ht="15">
      <c r="A64" s="1125"/>
      <c r="B64" s="1130"/>
      <c r="C64" s="1131">
        <v>100</v>
      </c>
      <c r="D64" s="1131">
        <f>C64-$K16</f>
        <v>100</v>
      </c>
      <c r="E64" s="1131">
        <f>D64-$K16</f>
        <v>100</v>
      </c>
      <c r="F64" s="1131">
        <f>E64-$K16</f>
        <v>100</v>
      </c>
      <c r="G64" s="1131">
        <f>F64-$K16</f>
        <v>100</v>
      </c>
      <c r="H64" s="1131"/>
      <c r="I64" s="1131"/>
      <c r="J64" s="1131"/>
      <c r="K64" s="1131"/>
      <c r="L64" s="1131"/>
      <c r="M64" s="1181"/>
      <c r="N64" s="1177"/>
      <c r="O64" s="1177"/>
      <c r="P64" s="1175"/>
      <c r="Q64" s="1098"/>
      <c r="R64" s="996"/>
      <c r="S64" s="996"/>
      <c r="T64" s="996"/>
      <c r="U64" s="996"/>
      <c r="V64" s="996"/>
      <c r="W64" s="996"/>
      <c r="X64" s="996"/>
      <c r="Y64" s="996"/>
      <c r="Z64" s="996"/>
      <c r="AA64" s="996"/>
      <c r="AB64" s="996"/>
      <c r="AC64" s="996"/>
      <c r="AD64" s="996"/>
    </row>
    <row r="65" spans="1:30" ht="15">
      <c r="A65" s="1125"/>
      <c r="B65" s="1132" t="s">
        <v>1382</v>
      </c>
      <c r="C65" s="1152" t="s">
        <v>1421</v>
      </c>
      <c r="D65" s="1152" t="s">
        <v>1422</v>
      </c>
      <c r="E65" s="1152" t="s">
        <v>1423</v>
      </c>
      <c r="F65" s="1152" t="s">
        <v>1424</v>
      </c>
      <c r="G65" s="1152" t="s">
        <v>1425</v>
      </c>
      <c r="H65" s="1129"/>
      <c r="I65" s="1129"/>
      <c r="J65" s="1129"/>
      <c r="K65" s="1129"/>
      <c r="L65" s="1129"/>
      <c r="M65" s="1336"/>
      <c r="N65" s="1177"/>
      <c r="O65" s="1177"/>
      <c r="P65" s="1175"/>
      <c r="Q65" s="1098"/>
      <c r="R65" s="996"/>
      <c r="S65" s="996"/>
      <c r="T65" s="996"/>
      <c r="U65" s="996"/>
      <c r="V65" s="996"/>
      <c r="W65" s="996"/>
      <c r="X65" s="996"/>
      <c r="Y65" s="996"/>
      <c r="Z65" s="996"/>
      <c r="AA65" s="996"/>
      <c r="AB65" s="996"/>
      <c r="AC65" s="996"/>
      <c r="AD65" s="996"/>
    </row>
    <row r="66" spans="1:30" ht="15">
      <c r="A66" s="1125"/>
      <c r="B66" s="1132"/>
      <c r="C66" s="1131">
        <v>100</v>
      </c>
      <c r="D66" s="1131">
        <f>C66-$K18</f>
        <v>100</v>
      </c>
      <c r="E66" s="1131">
        <f>D66-$K18</f>
        <v>100</v>
      </c>
      <c r="F66" s="1131">
        <f>E66-$K18</f>
        <v>100</v>
      </c>
      <c r="G66" s="1131">
        <f>F66-$K18</f>
        <v>100</v>
      </c>
      <c r="H66" s="1152"/>
      <c r="I66" s="1152"/>
      <c r="J66" s="1152"/>
      <c r="K66" s="1152"/>
      <c r="L66" s="1152"/>
      <c r="M66" s="944"/>
      <c r="N66" s="1177"/>
      <c r="O66" s="1177"/>
      <c r="P66" s="1175"/>
      <c r="Q66" s="1098"/>
      <c r="R66" s="996"/>
      <c r="S66" s="996"/>
      <c r="T66" s="996"/>
      <c r="U66" s="996"/>
      <c r="V66" s="996"/>
      <c r="W66" s="996"/>
      <c r="X66" s="996"/>
      <c r="Y66" s="996"/>
      <c r="Z66" s="996"/>
      <c r="AA66" s="996"/>
      <c r="AB66" s="996"/>
      <c r="AC66" s="996"/>
      <c r="AD66" s="996"/>
    </row>
    <row r="67" spans="1:30" ht="15">
      <c r="A67" s="1125"/>
      <c r="B67" s="1128" t="s">
        <v>1383</v>
      </c>
      <c r="C67" s="1147" t="s">
        <v>1416</v>
      </c>
      <c r="D67" s="1147" t="s">
        <v>1417</v>
      </c>
      <c r="E67" s="1147" t="s">
        <v>1418</v>
      </c>
      <c r="F67" s="1147" t="s">
        <v>1419</v>
      </c>
      <c r="G67" s="1147" t="s">
        <v>1420</v>
      </c>
      <c r="H67" s="1129"/>
      <c r="I67" s="1129"/>
      <c r="J67" s="1129"/>
      <c r="K67" s="1178"/>
      <c r="L67" s="1179"/>
      <c r="M67" s="1180"/>
      <c r="N67" s="1174"/>
      <c r="O67" s="1174"/>
      <c r="P67" s="1175"/>
      <c r="Q67" s="1098"/>
      <c r="R67" s="996"/>
      <c r="S67" s="996"/>
      <c r="T67" s="996"/>
      <c r="U67" s="996"/>
      <c r="V67" s="996"/>
      <c r="W67" s="996"/>
      <c r="X67" s="996"/>
      <c r="Y67" s="996"/>
      <c r="Z67" s="996"/>
      <c r="AA67" s="996"/>
      <c r="AB67" s="996"/>
      <c r="AC67" s="996"/>
      <c r="AD67" s="996"/>
    </row>
    <row r="68" spans="1:30" ht="15">
      <c r="A68" s="1125"/>
      <c r="B68" s="1130"/>
      <c r="C68" s="1131">
        <v>100</v>
      </c>
      <c r="D68" s="1131">
        <f>C68-$K20</f>
        <v>100</v>
      </c>
      <c r="E68" s="1131">
        <f>D68-$K20</f>
        <v>100</v>
      </c>
      <c r="F68" s="1131">
        <f>E68-$K20</f>
        <v>100</v>
      </c>
      <c r="G68" s="1131">
        <f>F68-$K20</f>
        <v>100</v>
      </c>
      <c r="H68" s="1131"/>
      <c r="I68" s="1131"/>
      <c r="J68" s="1131"/>
      <c r="K68" s="1131"/>
      <c r="L68" s="1131"/>
      <c r="M68" s="1181"/>
      <c r="N68" s="1177"/>
      <c r="O68" s="1177"/>
      <c r="P68" s="1175"/>
      <c r="Q68" s="1098"/>
      <c r="R68" s="996"/>
      <c r="S68" s="996"/>
      <c r="T68" s="996"/>
      <c r="U68" s="996"/>
      <c r="V68" s="996"/>
      <c r="W68" s="996"/>
      <c r="X68" s="996"/>
      <c r="Y68" s="996"/>
      <c r="Z68" s="996"/>
      <c r="AA68" s="996"/>
      <c r="AB68" s="996"/>
      <c r="AC68" s="996"/>
      <c r="AD68" s="996"/>
    </row>
    <row r="69" spans="1:30" ht="15">
      <c r="A69" s="1125"/>
      <c r="B69" s="1128" t="s">
        <v>1451</v>
      </c>
      <c r="C69" s="1136"/>
      <c r="D69" s="1136"/>
      <c r="E69" s="1136"/>
      <c r="F69" s="1136"/>
      <c r="G69" s="1136"/>
      <c r="H69" s="1153"/>
      <c r="I69" s="1153"/>
      <c r="J69" s="1153"/>
      <c r="K69" s="1204"/>
      <c r="L69" s="1205"/>
      <c r="M69" s="1206"/>
      <c r="N69" s="1174"/>
      <c r="O69" s="1174"/>
      <c r="P69" s="1175"/>
      <c r="Q69" s="1098"/>
      <c r="R69" s="996"/>
      <c r="S69" s="996"/>
      <c r="T69" s="996"/>
      <c r="U69" s="996"/>
      <c r="V69" s="996"/>
      <c r="W69" s="996"/>
      <c r="X69" s="996"/>
      <c r="Y69" s="996"/>
      <c r="Z69" s="996"/>
      <c r="AA69" s="996"/>
      <c r="AB69" s="996"/>
      <c r="AC69" s="996"/>
      <c r="AD69" s="996"/>
    </row>
    <row r="70" spans="1:30" ht="15">
      <c r="A70" s="1125"/>
      <c r="B70" s="1130"/>
      <c r="C70" s="1131">
        <v>100</v>
      </c>
      <c r="D70" s="1131">
        <f>C70-$K22</f>
        <v>100</v>
      </c>
      <c r="E70" s="1131"/>
      <c r="F70" s="1131"/>
      <c r="G70" s="1131"/>
      <c r="H70" s="1131"/>
      <c r="I70" s="1131"/>
      <c r="J70" s="1131"/>
      <c r="K70" s="1131"/>
      <c r="L70" s="1131"/>
      <c r="M70" s="1181"/>
      <c r="N70" s="1177"/>
      <c r="O70" s="1177"/>
      <c r="P70" s="1175"/>
      <c r="Q70" s="1098"/>
      <c r="R70" s="996"/>
      <c r="S70" s="996"/>
      <c r="T70" s="996"/>
      <c r="U70" s="996"/>
      <c r="V70" s="996"/>
      <c r="W70" s="996"/>
      <c r="X70" s="996"/>
      <c r="Y70" s="996"/>
      <c r="Z70" s="996"/>
      <c r="AA70" s="996"/>
      <c r="AB70" s="996"/>
      <c r="AC70" s="996"/>
      <c r="AD70" s="996"/>
    </row>
    <row r="71" spans="1:30" s="880" customFormat="1" ht="15">
      <c r="A71" s="1148"/>
      <c r="B71" s="1128">
        <f>B23</f>
        <v>111</v>
      </c>
      <c r="C71" s="927"/>
      <c r="D71" s="927"/>
      <c r="E71" s="927"/>
      <c r="F71" s="927"/>
      <c r="G71" s="1136"/>
      <c r="H71" s="1136"/>
      <c r="I71" s="1136"/>
      <c r="J71" s="1136"/>
      <c r="K71" s="1136"/>
      <c r="L71" s="1337"/>
      <c r="M71" s="1338"/>
      <c r="N71" s="1168"/>
      <c r="O71" s="1168"/>
      <c r="P71" s="1175"/>
      <c r="Q71" s="1098"/>
      <c r="R71" s="1218"/>
      <c r="S71" s="1218"/>
      <c r="T71" s="1218"/>
      <c r="U71" s="1218"/>
      <c r="V71" s="1218"/>
      <c r="W71" s="1218"/>
      <c r="X71" s="1218"/>
      <c r="Y71" s="1218"/>
      <c r="Z71" s="1218"/>
      <c r="AA71" s="1218"/>
      <c r="AB71" s="1218"/>
      <c r="AC71" s="1218"/>
      <c r="AD71" s="1218"/>
    </row>
    <row r="72" spans="1:30" s="880" customFormat="1" ht="15">
      <c r="A72" s="1148"/>
      <c r="B72" s="1130"/>
      <c r="C72" s="1138"/>
      <c r="D72" s="1127"/>
      <c r="E72" s="1127"/>
      <c r="F72" s="1127"/>
      <c r="G72" s="1127"/>
      <c r="H72" s="1127"/>
      <c r="I72" s="1127"/>
      <c r="J72" s="1127"/>
      <c r="K72" s="1127"/>
      <c r="L72" s="1127"/>
      <c r="M72" s="1176"/>
      <c r="N72" s="1177"/>
      <c r="O72" s="1177"/>
      <c r="P72" s="1175"/>
      <c r="Q72" s="1098"/>
      <c r="R72" s="1218"/>
      <c r="S72" s="1218"/>
      <c r="T72" s="1218"/>
      <c r="U72" s="1218"/>
      <c r="V72" s="1218"/>
      <c r="W72" s="1218"/>
      <c r="X72" s="1218"/>
      <c r="Y72" s="1218"/>
      <c r="Z72" s="1218"/>
      <c r="AA72" s="1218"/>
      <c r="AB72" s="1218"/>
      <c r="AC72" s="1218"/>
      <c r="AD72" s="1218"/>
    </row>
    <row r="73" spans="1:30" s="880" customFormat="1" ht="15">
      <c r="A73" s="1148"/>
      <c r="B73" s="1128">
        <f>B24</f>
        <v>111</v>
      </c>
      <c r="C73" s="927"/>
      <c r="D73" s="927"/>
      <c r="E73" s="927"/>
      <c r="F73" s="927"/>
      <c r="G73" s="1136"/>
      <c r="H73" s="1136"/>
      <c r="I73" s="1136"/>
      <c r="J73" s="1136"/>
      <c r="K73" s="1136"/>
      <c r="L73" s="1136"/>
      <c r="M73" s="1338"/>
      <c r="N73" s="1168"/>
      <c r="O73" s="1168"/>
      <c r="P73" s="1175"/>
      <c r="Q73" s="1098"/>
      <c r="R73" s="1218"/>
      <c r="S73" s="1218"/>
      <c r="T73" s="1218"/>
      <c r="U73" s="1218"/>
      <c r="V73" s="1218"/>
      <c r="W73" s="1218"/>
      <c r="X73" s="1218"/>
      <c r="Y73" s="1218"/>
      <c r="Z73" s="1218"/>
      <c r="AA73" s="1218"/>
      <c r="AB73" s="1218"/>
      <c r="AC73" s="1218"/>
      <c r="AD73" s="1218"/>
    </row>
    <row r="74" spans="1:30" s="880" customFormat="1" ht="15">
      <c r="A74" s="1148"/>
      <c r="B74" s="1130"/>
      <c r="C74" s="1138"/>
      <c r="D74" s="1127"/>
      <c r="E74" s="1127"/>
      <c r="F74" s="1127"/>
      <c r="G74" s="1127"/>
      <c r="H74" s="1127"/>
      <c r="I74" s="1127"/>
      <c r="J74" s="1127"/>
      <c r="K74" s="1127"/>
      <c r="L74" s="1127"/>
      <c r="M74" s="1176"/>
      <c r="N74" s="1177"/>
      <c r="O74" s="1177"/>
      <c r="P74" s="1175"/>
      <c r="Q74" s="1098"/>
      <c r="R74" s="1218"/>
      <c r="S74" s="1218"/>
      <c r="T74" s="1218"/>
      <c r="U74" s="1218"/>
      <c r="V74" s="1218"/>
      <c r="W74" s="1218"/>
      <c r="X74" s="1218"/>
      <c r="Y74" s="1218"/>
      <c r="Z74" s="1218"/>
      <c r="AA74" s="1218"/>
      <c r="AB74" s="1218"/>
      <c r="AC74" s="1218"/>
      <c r="AD74" s="1218"/>
    </row>
    <row r="75" spans="1:30" s="882" customFormat="1" ht="15">
      <c r="A75" s="1135"/>
      <c r="B75" s="1128">
        <f>B25</f>
        <v>111</v>
      </c>
      <c r="C75" s="927"/>
      <c r="D75" s="927"/>
      <c r="E75" s="927"/>
      <c r="F75" s="927"/>
      <c r="G75" s="1136"/>
      <c r="H75" s="1137"/>
      <c r="I75" s="1137"/>
      <c r="J75" s="1137"/>
      <c r="K75" s="1137"/>
      <c r="L75" s="1185"/>
      <c r="M75" s="1186"/>
      <c r="N75" s="1187"/>
      <c r="O75" s="1187"/>
      <c r="P75" s="1188"/>
      <c r="Q75" s="1219"/>
      <c r="R75" s="1220"/>
      <c r="S75" s="1220"/>
      <c r="T75" s="1220"/>
      <c r="U75" s="1220"/>
      <c r="V75" s="1220"/>
      <c r="W75" s="1220"/>
      <c r="X75" s="1220"/>
      <c r="Y75" s="1220"/>
      <c r="Z75" s="1220"/>
      <c r="AA75" s="1220"/>
      <c r="AB75" s="1220"/>
      <c r="AC75" s="1220"/>
      <c r="AD75" s="1220"/>
    </row>
    <row r="76" spans="1:30" s="882" customFormat="1" ht="15">
      <c r="A76" s="1135"/>
      <c r="B76" s="1130"/>
      <c r="C76" s="1138"/>
      <c r="D76" s="1138"/>
      <c r="E76" s="1138"/>
      <c r="F76" s="1138"/>
      <c r="G76" s="1127"/>
      <c r="H76" s="1127"/>
      <c r="I76" s="1127"/>
      <c r="J76" s="1127"/>
      <c r="K76" s="1127"/>
      <c r="L76" s="1127"/>
      <c r="M76" s="1176"/>
      <c r="N76" s="1187"/>
      <c r="O76" s="1187"/>
      <c r="P76" s="1188"/>
      <c r="Q76" s="1219"/>
      <c r="R76" s="1220"/>
      <c r="S76" s="1220"/>
      <c r="T76" s="1220"/>
      <c r="U76" s="1220"/>
      <c r="V76" s="1220"/>
      <c r="W76" s="1220"/>
      <c r="X76" s="1220"/>
      <c r="Y76" s="1220"/>
      <c r="Z76" s="1220"/>
      <c r="AA76" s="1220"/>
      <c r="AB76" s="1220"/>
      <c r="AC76" s="1220"/>
      <c r="AD76" s="1220"/>
    </row>
    <row r="77" spans="1:30">
      <c r="A77" s="1123" t="s">
        <v>1386</v>
      </c>
      <c r="B77" s="1124" t="s">
        <v>1392</v>
      </c>
      <c r="C77" s="1136"/>
      <c r="D77" s="1136"/>
      <c r="E77" s="1066"/>
      <c r="F77" s="1066"/>
      <c r="G77" s="1066"/>
      <c r="H77" s="1066"/>
      <c r="I77" s="1066"/>
      <c r="J77" s="1066"/>
      <c r="K77" s="1171"/>
      <c r="L77" s="1172"/>
      <c r="M77" s="1173"/>
      <c r="N77" s="1174"/>
      <c r="O77" s="1174"/>
      <c r="P77" s="1175"/>
      <c r="Q77" s="1098"/>
      <c r="R77" s="996"/>
      <c r="S77" s="996"/>
      <c r="T77" s="996"/>
      <c r="U77" s="996"/>
      <c r="V77" s="996"/>
      <c r="W77" s="996"/>
      <c r="X77" s="996"/>
      <c r="Y77" s="996"/>
      <c r="Z77" s="996"/>
      <c r="AA77" s="996"/>
      <c r="AB77" s="996"/>
      <c r="AC77" s="996"/>
      <c r="AD77" s="996"/>
    </row>
    <row r="78" spans="1:30" ht="15">
      <c r="A78" s="1125"/>
      <c r="B78" s="1130"/>
      <c r="C78" s="1131">
        <v>100</v>
      </c>
      <c r="D78" s="1131">
        <f t="shared" ref="D78:M78" si="14">C78-$K26</f>
        <v>100</v>
      </c>
      <c r="E78" s="1131">
        <f t="shared" si="14"/>
        <v>100</v>
      </c>
      <c r="F78" s="1131">
        <f t="shared" si="14"/>
        <v>100</v>
      </c>
      <c r="G78" s="1131">
        <f t="shared" si="14"/>
        <v>100</v>
      </c>
      <c r="H78" s="1131">
        <f t="shared" si="14"/>
        <v>100</v>
      </c>
      <c r="I78" s="1131">
        <f t="shared" si="14"/>
        <v>100</v>
      </c>
      <c r="J78" s="1131">
        <f t="shared" si="14"/>
        <v>100</v>
      </c>
      <c r="K78" s="1131">
        <f t="shared" si="14"/>
        <v>100</v>
      </c>
      <c r="L78" s="1131">
        <f t="shared" si="14"/>
        <v>100</v>
      </c>
      <c r="M78" s="1181">
        <f t="shared" si="14"/>
        <v>100</v>
      </c>
      <c r="N78" s="1177"/>
      <c r="O78" s="1177"/>
      <c r="P78" s="1175"/>
      <c r="Q78" s="1098"/>
      <c r="R78" s="996"/>
      <c r="S78" s="996"/>
      <c r="T78" s="996"/>
      <c r="U78" s="996"/>
      <c r="V78" s="996"/>
      <c r="W78" s="996"/>
      <c r="X78" s="996"/>
      <c r="Y78" s="996"/>
      <c r="Z78" s="996"/>
      <c r="AA78" s="996"/>
      <c r="AB78" s="996"/>
      <c r="AC78" s="996"/>
      <c r="AD78" s="996"/>
    </row>
    <row r="79" spans="1:30" ht="15">
      <c r="A79" s="1125"/>
      <c r="B79" s="1128" t="s">
        <v>1474</v>
      </c>
      <c r="C79" s="1147" t="str">
        <f>C80&amp;"(含)"&amp;"-"&amp;D80</f>
        <v>0.5(含)-0.6</v>
      </c>
      <c r="D79" s="1147" t="str">
        <f>D80&amp;"(含)"&amp;"-"&amp;E80</f>
        <v>0.6(含)-0.7</v>
      </c>
      <c r="E79" s="1147" t="str">
        <f>E80&amp;"(含)"&amp;"-"&amp;F80</f>
        <v>0.7(含)-0.8</v>
      </c>
      <c r="F79" s="1147" t="str">
        <f>F80&amp;"(含)"&amp;"-"&amp;G80</f>
        <v>0.8(含)-0.9</v>
      </c>
      <c r="G79" s="1147" t="str">
        <f>G80&amp;"(含)"&amp;"-"&amp;ROUND(H80,0)&amp;"(含)"</f>
        <v>0.9(含)-1(含)</v>
      </c>
      <c r="H79" s="1147"/>
      <c r="I79" s="1129"/>
      <c r="J79" s="1129"/>
      <c r="K79" s="1178"/>
      <c r="L79" s="1179"/>
      <c r="M79" s="1180"/>
      <c r="N79" s="1168"/>
      <c r="O79" s="1168"/>
      <c r="P79" s="1175"/>
      <c r="Q79" s="1098"/>
      <c r="R79" s="996"/>
      <c r="S79" s="996"/>
      <c r="T79" s="996"/>
      <c r="U79" s="996"/>
      <c r="V79" s="996"/>
      <c r="W79" s="996"/>
      <c r="X79" s="996"/>
      <c r="Y79" s="996"/>
      <c r="Z79" s="996"/>
      <c r="AA79" s="996"/>
      <c r="AB79" s="996"/>
      <c r="AC79" s="996"/>
      <c r="AD79" s="996"/>
    </row>
    <row r="80" spans="1:30" ht="15">
      <c r="A80" s="1125"/>
      <c r="B80" s="1132"/>
      <c r="C80" s="815">
        <v>0.5</v>
      </c>
      <c r="D80" s="815">
        <v>0.6</v>
      </c>
      <c r="E80" s="815">
        <v>0.7</v>
      </c>
      <c r="F80" s="815">
        <v>0.8</v>
      </c>
      <c r="G80" s="815">
        <v>0.9</v>
      </c>
      <c r="H80" s="815">
        <v>1.0001</v>
      </c>
      <c r="I80" s="1152"/>
      <c r="J80" s="1152"/>
      <c r="K80" s="1339"/>
      <c r="L80" s="1340"/>
      <c r="M80" s="1341"/>
      <c r="N80" s="1168"/>
      <c r="O80" s="1168"/>
      <c r="P80" s="1175"/>
      <c r="Q80" s="1098"/>
      <c r="R80" s="996"/>
      <c r="S80" s="996"/>
      <c r="T80" s="996"/>
      <c r="U80" s="996"/>
      <c r="V80" s="996"/>
      <c r="W80" s="996"/>
      <c r="X80" s="996"/>
      <c r="Y80" s="996"/>
      <c r="Z80" s="996"/>
      <c r="AA80" s="996"/>
      <c r="AB80" s="996"/>
      <c r="AC80" s="996"/>
      <c r="AD80" s="996"/>
    </row>
    <row r="81" spans="1:30" s="882" customFormat="1" ht="15">
      <c r="A81" s="1135"/>
      <c r="B81" s="1130"/>
      <c r="C81" s="1149">
        <v>100</v>
      </c>
      <c r="D81" s="1131">
        <f t="shared" ref="D81:M81" si="15">C81+$K27</f>
        <v>100</v>
      </c>
      <c r="E81" s="1131">
        <f t="shared" si="15"/>
        <v>100</v>
      </c>
      <c r="F81" s="1131">
        <f t="shared" si="15"/>
        <v>100</v>
      </c>
      <c r="G81" s="1131">
        <f t="shared" si="15"/>
        <v>100</v>
      </c>
      <c r="H81" s="1131">
        <f t="shared" si="15"/>
        <v>100</v>
      </c>
      <c r="I81" s="1131">
        <f t="shared" si="15"/>
        <v>100</v>
      </c>
      <c r="J81" s="1131">
        <f t="shared" si="15"/>
        <v>100</v>
      </c>
      <c r="K81" s="1131">
        <f t="shared" si="15"/>
        <v>100</v>
      </c>
      <c r="L81" s="1131">
        <f t="shared" si="15"/>
        <v>100</v>
      </c>
      <c r="M81" s="1131">
        <f t="shared" si="15"/>
        <v>100</v>
      </c>
      <c r="N81" s="1177"/>
      <c r="O81" s="1177"/>
      <c r="P81" s="1188"/>
      <c r="Q81" s="1219"/>
      <c r="R81" s="1220"/>
      <c r="S81" s="1220"/>
      <c r="T81" s="1220"/>
      <c r="U81" s="1220"/>
      <c r="V81" s="1220"/>
      <c r="W81" s="1220"/>
      <c r="X81" s="1220"/>
      <c r="Y81" s="1220"/>
      <c r="Z81" s="1220"/>
      <c r="AA81" s="1220"/>
      <c r="AB81" s="1220"/>
      <c r="AC81" s="1220"/>
      <c r="AD81" s="1220"/>
    </row>
    <row r="82" spans="1:30">
      <c r="A82" s="1159"/>
      <c r="B82" s="1132" t="s">
        <v>1475</v>
      </c>
      <c r="C82" s="1136"/>
      <c r="D82" s="1136"/>
      <c r="E82" s="1153"/>
      <c r="F82" s="1153"/>
      <c r="G82" s="1153"/>
      <c r="H82" s="1153"/>
      <c r="I82" s="1153"/>
      <c r="J82" s="1153"/>
      <c r="K82" s="1204"/>
      <c r="L82" s="1205"/>
      <c r="M82" s="1206"/>
      <c r="N82" s="1174"/>
      <c r="O82" s="1174"/>
      <c r="P82" s="1175"/>
      <c r="Q82" s="1098"/>
      <c r="R82" s="996"/>
      <c r="S82" s="996"/>
      <c r="T82" s="996"/>
      <c r="U82" s="996"/>
      <c r="V82" s="996"/>
      <c r="W82" s="996"/>
      <c r="X82" s="996"/>
      <c r="Y82" s="996"/>
      <c r="Z82" s="996"/>
      <c r="AA82" s="996"/>
      <c r="AB82" s="996"/>
      <c r="AC82" s="996"/>
      <c r="AD82" s="996"/>
    </row>
    <row r="83" spans="1:30" ht="15">
      <c r="A83" s="1125"/>
      <c r="B83" s="1130"/>
      <c r="C83" s="1131">
        <v>100</v>
      </c>
      <c r="D83" s="1131">
        <f t="shared" ref="D83:M83" si="16">C83-$K28</f>
        <v>100</v>
      </c>
      <c r="E83" s="1131">
        <f t="shared" si="16"/>
        <v>100</v>
      </c>
      <c r="F83" s="1131">
        <f t="shared" si="16"/>
        <v>100</v>
      </c>
      <c r="G83" s="1131">
        <f t="shared" si="16"/>
        <v>100</v>
      </c>
      <c r="H83" s="1131">
        <f t="shared" si="16"/>
        <v>100</v>
      </c>
      <c r="I83" s="1131">
        <f t="shared" si="16"/>
        <v>100</v>
      </c>
      <c r="J83" s="1131">
        <f t="shared" si="16"/>
        <v>100</v>
      </c>
      <c r="K83" s="1131">
        <f t="shared" si="16"/>
        <v>100</v>
      </c>
      <c r="L83" s="1131">
        <f t="shared" si="16"/>
        <v>100</v>
      </c>
      <c r="M83" s="1181">
        <f t="shared" si="16"/>
        <v>100</v>
      </c>
      <c r="N83" s="1177"/>
      <c r="O83" s="1177"/>
      <c r="P83" s="1175"/>
      <c r="Q83" s="1098"/>
      <c r="R83" s="996"/>
      <c r="S83" s="996"/>
      <c r="T83" s="996"/>
      <c r="U83" s="996"/>
      <c r="V83" s="996"/>
      <c r="W83" s="996"/>
      <c r="X83" s="996"/>
      <c r="Y83" s="996"/>
      <c r="Z83" s="996"/>
      <c r="AA83" s="996"/>
      <c r="AB83" s="996"/>
      <c r="AC83" s="996"/>
      <c r="AD83" s="996"/>
    </row>
    <row r="84" spans="1:30">
      <c r="A84" s="1159"/>
      <c r="B84" s="1128" t="s">
        <v>1483</v>
      </c>
      <c r="C84" s="1136"/>
      <c r="D84" s="1136"/>
      <c r="E84" s="1136"/>
      <c r="F84" s="1136"/>
      <c r="G84" s="1136"/>
      <c r="H84" s="1136"/>
      <c r="I84" s="1153"/>
      <c r="J84" s="1153"/>
      <c r="K84" s="1204"/>
      <c r="L84" s="1205"/>
      <c r="M84" s="1206"/>
      <c r="N84" s="1174"/>
      <c r="O84" s="1174"/>
      <c r="P84" s="1175"/>
      <c r="Q84" s="1098"/>
      <c r="R84" s="996"/>
      <c r="S84" s="996"/>
      <c r="T84" s="996"/>
      <c r="U84" s="996"/>
      <c r="V84" s="996"/>
      <c r="W84" s="996"/>
      <c r="X84" s="996"/>
      <c r="Y84" s="996"/>
      <c r="Z84" s="996"/>
      <c r="AA84" s="996"/>
      <c r="AB84" s="996"/>
      <c r="AC84" s="996"/>
      <c r="AD84" s="996"/>
    </row>
    <row r="85" spans="1:30" ht="15">
      <c r="A85" s="1125"/>
      <c r="B85" s="1130"/>
      <c r="C85" s="1149">
        <v>100</v>
      </c>
      <c r="D85" s="1131">
        <f t="shared" ref="D85:M85" si="17">C85+$K29</f>
        <v>100</v>
      </c>
      <c r="E85" s="1131">
        <f t="shared" si="17"/>
        <v>100</v>
      </c>
      <c r="F85" s="1131">
        <f t="shared" si="17"/>
        <v>100</v>
      </c>
      <c r="G85" s="1131">
        <f t="shared" si="17"/>
        <v>100</v>
      </c>
      <c r="H85" s="1131">
        <f t="shared" si="17"/>
        <v>100</v>
      </c>
      <c r="I85" s="1131">
        <f t="shared" si="17"/>
        <v>100</v>
      </c>
      <c r="J85" s="1131">
        <f t="shared" si="17"/>
        <v>100</v>
      </c>
      <c r="K85" s="1131">
        <f t="shared" si="17"/>
        <v>100</v>
      </c>
      <c r="L85" s="1131">
        <f t="shared" si="17"/>
        <v>100</v>
      </c>
      <c r="M85" s="1131">
        <f t="shared" si="17"/>
        <v>100</v>
      </c>
      <c r="N85" s="1177"/>
      <c r="O85" s="1177"/>
      <c r="P85" s="1175"/>
      <c r="Q85" s="1098"/>
      <c r="R85" s="996"/>
      <c r="S85" s="996"/>
      <c r="T85" s="996"/>
      <c r="U85" s="996"/>
      <c r="V85" s="996"/>
      <c r="W85" s="996"/>
      <c r="X85" s="996"/>
      <c r="Y85" s="996"/>
      <c r="Z85" s="996"/>
      <c r="AA85" s="996"/>
      <c r="AB85" s="996"/>
      <c r="AC85" s="996"/>
      <c r="AD85" s="996"/>
    </row>
    <row r="86" spans="1:30">
      <c r="A86" s="1159"/>
      <c r="B86" s="1132" t="s">
        <v>537</v>
      </c>
      <c r="C86" s="1147" t="str">
        <f t="shared" ref="C86:L86" si="18">C87&amp;"(含)"&amp;"-"&amp;D87</f>
        <v>(含)-</v>
      </c>
      <c r="D86" s="1147" t="str">
        <f t="shared" si="18"/>
        <v>(含)-</v>
      </c>
      <c r="E86" s="1147" t="str">
        <f t="shared" si="18"/>
        <v>(含)-</v>
      </c>
      <c r="F86" s="1147" t="str">
        <f t="shared" si="18"/>
        <v>(含)-</v>
      </c>
      <c r="G86" s="1147" t="str">
        <f t="shared" si="18"/>
        <v>(含)-</v>
      </c>
      <c r="H86" s="1147" t="str">
        <f t="shared" si="18"/>
        <v>(含)-</v>
      </c>
      <c r="I86" s="1147" t="str">
        <f t="shared" si="18"/>
        <v>(含)-</v>
      </c>
      <c r="J86" s="1147" t="str">
        <f t="shared" si="18"/>
        <v>(含)-</v>
      </c>
      <c r="K86" s="1147" t="str">
        <f t="shared" si="18"/>
        <v>(含)-</v>
      </c>
      <c r="L86" s="1147" t="str">
        <f t="shared" si="18"/>
        <v>(含)-</v>
      </c>
      <c r="M86" s="1199" t="str">
        <f>M87&amp;"(含)"&amp;"-"&amp;P87</f>
        <v>(含)-</v>
      </c>
      <c r="N86" s="1174"/>
      <c r="O86" s="1174"/>
      <c r="P86" s="1175"/>
      <c r="Q86" s="1098"/>
      <c r="R86" s="996"/>
      <c r="S86" s="996"/>
      <c r="T86" s="996"/>
      <c r="U86" s="996"/>
      <c r="V86" s="996"/>
      <c r="W86" s="996"/>
      <c r="X86" s="996"/>
      <c r="Y86" s="996"/>
      <c r="Z86" s="996"/>
      <c r="AA86" s="996"/>
      <c r="AB86" s="996"/>
      <c r="AC86" s="996"/>
      <c r="AD86" s="996"/>
    </row>
    <row r="87" spans="1:30">
      <c r="A87" s="1159"/>
      <c r="B87" s="1132"/>
      <c r="C87" s="1112"/>
      <c r="D87" s="1112"/>
      <c r="E87" s="1112"/>
      <c r="F87" s="1112"/>
      <c r="G87" s="1112"/>
      <c r="H87" s="1112"/>
      <c r="I87" s="1112"/>
      <c r="J87" s="1211"/>
      <c r="K87" s="1211"/>
      <c r="L87" s="1212"/>
      <c r="M87" s="1213"/>
      <c r="N87" s="1174"/>
      <c r="O87" s="1174"/>
      <c r="P87" s="1175"/>
      <c r="Q87" s="1098"/>
      <c r="R87" s="996"/>
      <c r="S87" s="996"/>
      <c r="T87" s="996"/>
      <c r="U87" s="996"/>
      <c r="V87" s="996"/>
      <c r="W87" s="996"/>
      <c r="X87" s="996"/>
      <c r="Y87" s="996"/>
      <c r="Z87" s="996"/>
      <c r="AA87" s="996"/>
      <c r="AB87" s="996"/>
      <c r="AC87" s="996"/>
      <c r="AD87" s="996"/>
    </row>
    <row r="88" spans="1:30" ht="15">
      <c r="A88" s="1125"/>
      <c r="B88" s="1130"/>
      <c r="C88" s="1138"/>
      <c r="D88" s="1127"/>
      <c r="E88" s="1127"/>
      <c r="F88" s="1127"/>
      <c r="G88" s="1127"/>
      <c r="H88" s="1127"/>
      <c r="I88" s="1127"/>
      <c r="J88" s="1127"/>
      <c r="K88" s="1127"/>
      <c r="L88" s="1127"/>
      <c r="M88" s="1127"/>
      <c r="N88" s="1177"/>
      <c r="O88" s="1177"/>
      <c r="P88" s="1175"/>
      <c r="Q88" s="1098"/>
      <c r="R88" s="996"/>
      <c r="S88" s="996"/>
      <c r="T88" s="996"/>
      <c r="U88" s="996"/>
      <c r="V88" s="996"/>
      <c r="W88" s="996"/>
      <c r="X88" s="996"/>
      <c r="Y88" s="996"/>
      <c r="Z88" s="996"/>
      <c r="AA88" s="996"/>
      <c r="AB88" s="996"/>
      <c r="AC88" s="996"/>
      <c r="AD88" s="996"/>
    </row>
    <row r="89" spans="1:30" s="882" customFormat="1">
      <c r="A89" s="1156"/>
      <c r="B89" s="1128" t="s">
        <v>1484</v>
      </c>
      <c r="C89" s="1136"/>
      <c r="D89" s="1136"/>
      <c r="E89" s="1136"/>
      <c r="F89" s="1136"/>
      <c r="G89" s="1136"/>
      <c r="H89" s="1136"/>
      <c r="I89" s="1136"/>
      <c r="J89" s="1136"/>
      <c r="K89" s="1136"/>
      <c r="L89" s="1136"/>
      <c r="M89" s="1338"/>
      <c r="N89" s="1187"/>
      <c r="O89" s="1187"/>
      <c r="P89" s="1188"/>
      <c r="Q89" s="1219"/>
      <c r="R89" s="1220"/>
      <c r="S89" s="1220"/>
      <c r="T89" s="1220"/>
      <c r="U89" s="1220"/>
      <c r="V89" s="1220"/>
      <c r="W89" s="1220"/>
      <c r="X89" s="1220"/>
      <c r="Y89" s="1220"/>
      <c r="Z89" s="1220"/>
      <c r="AA89" s="1220"/>
      <c r="AB89" s="1220"/>
      <c r="AC89" s="1220"/>
      <c r="AD89" s="1220"/>
    </row>
    <row r="90" spans="1:30" s="882" customFormat="1" ht="15">
      <c r="A90" s="1135"/>
      <c r="B90" s="1130"/>
      <c r="C90" s="1138"/>
      <c r="D90" s="1127"/>
      <c r="E90" s="1127"/>
      <c r="F90" s="1127"/>
      <c r="G90" s="1127"/>
      <c r="H90" s="1127"/>
      <c r="I90" s="1127"/>
      <c r="J90" s="1127"/>
      <c r="K90" s="1127"/>
      <c r="L90" s="1127"/>
      <c r="M90" s="1176"/>
      <c r="N90" s="1187"/>
      <c r="O90" s="1187"/>
      <c r="P90" s="1188"/>
      <c r="Q90" s="1219"/>
      <c r="R90" s="1220"/>
      <c r="S90" s="1220"/>
      <c r="T90" s="1220"/>
      <c r="U90" s="1220"/>
      <c r="V90" s="1220"/>
      <c r="W90" s="1220"/>
      <c r="X90" s="1220"/>
      <c r="Y90" s="1220"/>
      <c r="Z90" s="1220"/>
      <c r="AA90" s="1220"/>
      <c r="AB90" s="1220"/>
      <c r="AC90" s="1220"/>
      <c r="AD90" s="1220"/>
    </row>
    <row r="91" spans="1:30">
      <c r="A91" s="1159"/>
      <c r="B91" s="1128">
        <f>B32</f>
        <v>111</v>
      </c>
      <c r="C91" s="927"/>
      <c r="D91" s="927"/>
      <c r="E91" s="927"/>
      <c r="F91" s="927"/>
      <c r="G91" s="1136"/>
      <c r="H91" s="1137"/>
      <c r="I91" s="1137"/>
      <c r="J91" s="1137"/>
      <c r="K91" s="1137"/>
      <c r="L91" s="1185"/>
      <c r="M91" s="1186"/>
      <c r="N91" s="1174"/>
      <c r="O91" s="1174"/>
      <c r="P91" s="1175"/>
      <c r="Q91" s="1098"/>
      <c r="R91" s="996"/>
      <c r="S91" s="996"/>
      <c r="T91" s="996"/>
      <c r="U91" s="996"/>
      <c r="V91" s="996"/>
      <c r="W91" s="996"/>
      <c r="X91" s="996"/>
      <c r="Y91" s="996"/>
      <c r="Z91" s="996"/>
      <c r="AA91" s="996"/>
      <c r="AB91" s="996"/>
      <c r="AC91" s="996"/>
      <c r="AD91" s="996"/>
    </row>
    <row r="92" spans="1:30" ht="15">
      <c r="A92" s="1125"/>
      <c r="B92" s="1130"/>
      <c r="C92" s="1138"/>
      <c r="D92" s="1127"/>
      <c r="E92" s="1127"/>
      <c r="F92" s="1127"/>
      <c r="G92" s="1138"/>
      <c r="H92" s="1139"/>
      <c r="I92" s="1139"/>
      <c r="J92" s="1139"/>
      <c r="K92" s="1139"/>
      <c r="L92" s="1139"/>
      <c r="M92" s="1189"/>
      <c r="N92" s="1177"/>
      <c r="O92" s="1177"/>
      <c r="P92" s="1175"/>
      <c r="Q92" s="1098"/>
      <c r="R92" s="996"/>
      <c r="S92" s="996"/>
      <c r="T92" s="996"/>
      <c r="U92" s="996"/>
      <c r="V92" s="996"/>
      <c r="W92" s="996"/>
      <c r="X92" s="996"/>
      <c r="Y92" s="996"/>
      <c r="Z92" s="996"/>
      <c r="AA92" s="996"/>
      <c r="AB92" s="996"/>
      <c r="AC92" s="996"/>
      <c r="AD92" s="996"/>
    </row>
    <row r="93" spans="1:30">
      <c r="A93" s="1159"/>
      <c r="B93" s="1128">
        <f>B33</f>
        <v>111</v>
      </c>
      <c r="C93" s="927"/>
      <c r="D93" s="927"/>
      <c r="E93" s="927"/>
      <c r="F93" s="927"/>
      <c r="G93" s="1136"/>
      <c r="H93" s="1137"/>
      <c r="I93" s="1137"/>
      <c r="J93" s="1137"/>
      <c r="K93" s="1137"/>
      <c r="L93" s="1185"/>
      <c r="M93" s="1186"/>
      <c r="N93" s="1174"/>
      <c r="O93" s="1174"/>
      <c r="P93" s="1175"/>
      <c r="Q93" s="1098"/>
      <c r="R93" s="996"/>
      <c r="S93" s="996"/>
      <c r="T93" s="996"/>
      <c r="U93" s="996"/>
      <c r="V93" s="996"/>
      <c r="W93" s="996"/>
      <c r="X93" s="996"/>
      <c r="Y93" s="996"/>
      <c r="Z93" s="996"/>
      <c r="AA93" s="996"/>
      <c r="AB93" s="996"/>
      <c r="AC93" s="996"/>
      <c r="AD93" s="996"/>
    </row>
    <row r="94" spans="1:30" ht="15">
      <c r="A94" s="1125"/>
      <c r="B94" s="1130"/>
      <c r="C94" s="1138"/>
      <c r="D94" s="1127"/>
      <c r="E94" s="1127"/>
      <c r="F94" s="1127"/>
      <c r="G94" s="1138"/>
      <c r="H94" s="1139"/>
      <c r="I94" s="1139"/>
      <c r="J94" s="1139"/>
      <c r="K94" s="1139"/>
      <c r="L94" s="1139"/>
      <c r="M94" s="1189"/>
      <c r="N94" s="1177"/>
      <c r="O94" s="1177"/>
      <c r="P94" s="1175"/>
      <c r="Q94" s="1098"/>
      <c r="R94" s="996"/>
      <c r="S94" s="996"/>
      <c r="T94" s="996"/>
      <c r="U94" s="996"/>
      <c r="V94" s="996"/>
      <c r="W94" s="996"/>
      <c r="X94" s="996"/>
      <c r="Y94" s="996"/>
      <c r="Z94" s="996"/>
      <c r="AA94" s="996"/>
      <c r="AB94" s="996"/>
      <c r="AC94" s="996"/>
      <c r="AD94" s="996"/>
    </row>
    <row r="95" spans="1:30">
      <c r="A95" s="1159"/>
      <c r="B95" s="1334">
        <f>B34</f>
        <v>111</v>
      </c>
      <c r="C95" s="927"/>
      <c r="D95" s="927"/>
      <c r="E95" s="927"/>
      <c r="F95" s="927"/>
      <c r="G95" s="1136"/>
      <c r="H95" s="1137"/>
      <c r="I95" s="1137"/>
      <c r="J95" s="1137"/>
      <c r="K95" s="1137"/>
      <c r="L95" s="1185"/>
      <c r="M95" s="1186"/>
      <c r="N95" s="1177"/>
      <c r="O95" s="1177"/>
      <c r="P95" s="1342"/>
      <c r="Q95" s="1345"/>
      <c r="R95" s="996"/>
      <c r="S95" s="996"/>
      <c r="T95" s="996"/>
      <c r="U95" s="996"/>
      <c r="V95" s="996"/>
      <c r="W95" s="996"/>
      <c r="X95" s="996"/>
      <c r="Y95" s="996"/>
      <c r="Z95" s="996"/>
      <c r="AA95" s="996"/>
      <c r="AB95" s="996"/>
      <c r="AC95" s="996"/>
      <c r="AD95" s="996"/>
    </row>
    <row r="96" spans="1:30" ht="15">
      <c r="A96" s="1125"/>
      <c r="B96" s="1130"/>
      <c r="C96" s="1138"/>
      <c r="D96" s="1138"/>
      <c r="E96" s="1138"/>
      <c r="F96" s="1138"/>
      <c r="G96" s="1138"/>
      <c r="H96" s="1139"/>
      <c r="I96" s="1139"/>
      <c r="J96" s="1139"/>
      <c r="K96" s="1139"/>
      <c r="L96" s="1139"/>
      <c r="M96" s="1189"/>
      <c r="N96" s="1177"/>
      <c r="O96" s="1177"/>
      <c r="P96" s="1175"/>
      <c r="Q96" s="1098"/>
      <c r="R96" s="996"/>
      <c r="S96" s="996"/>
      <c r="T96" s="996"/>
      <c r="U96" s="996"/>
      <c r="V96" s="996"/>
      <c r="W96" s="996"/>
      <c r="X96" s="996"/>
      <c r="Y96" s="996"/>
      <c r="Z96" s="996"/>
      <c r="AA96" s="996"/>
      <c r="AB96" s="996"/>
      <c r="AC96" s="996"/>
      <c r="AD96" s="996"/>
    </row>
    <row r="97" spans="1:30">
      <c r="N97" s="996"/>
      <c r="O97" s="996"/>
      <c r="P97" s="996"/>
      <c r="Q97" s="996"/>
      <c r="R97" s="996"/>
      <c r="S97" s="996"/>
      <c r="T97" s="996"/>
      <c r="U97" s="996"/>
      <c r="V97" s="996"/>
      <c r="W97" s="996"/>
      <c r="X97" s="996"/>
      <c r="Y97" s="996"/>
      <c r="Z97" s="996"/>
      <c r="AA97" s="996"/>
      <c r="AB97" s="996"/>
      <c r="AC97" s="996"/>
      <c r="AD97" s="996"/>
    </row>
    <row r="98" spans="1:30">
      <c r="A98" s="1335"/>
      <c r="B98" s="1335"/>
      <c r="C98" s="1335"/>
      <c r="D98" s="1335"/>
      <c r="E98" s="1335"/>
      <c r="F98" s="1335"/>
      <c r="G98" s="1335"/>
      <c r="H98" s="1335"/>
      <c r="I98" s="1335"/>
      <c r="J98" s="1335"/>
      <c r="K98" s="1343"/>
      <c r="L98" s="1344"/>
      <c r="M98" s="1335"/>
      <c r="N98" s="996"/>
      <c r="O98" s="996"/>
      <c r="P98" s="996"/>
      <c r="Q98" s="996"/>
      <c r="R98" s="996"/>
      <c r="S98" s="996"/>
      <c r="T98" s="996"/>
      <c r="U98" s="996"/>
      <c r="V98" s="996"/>
      <c r="W98" s="996"/>
      <c r="X98" s="996"/>
      <c r="Y98" s="996"/>
      <c r="Z98" s="996"/>
      <c r="AA98" s="996"/>
      <c r="AB98" s="996"/>
      <c r="AC98" s="996"/>
      <c r="AD98" s="996"/>
    </row>
    <row r="99" spans="1:30">
      <c r="A99" s="1335"/>
      <c r="B99" s="1335"/>
      <c r="C99" s="1335"/>
      <c r="D99" s="1335"/>
      <c r="E99" s="1335"/>
      <c r="F99" s="1335"/>
      <c r="G99" s="1335"/>
      <c r="H99" s="1335"/>
      <c r="I99" s="1335"/>
      <c r="J99" s="1335"/>
      <c r="K99" s="1343"/>
      <c r="L99" s="1344"/>
      <c r="M99" s="1335"/>
      <c r="N99" s="996"/>
      <c r="O99" s="996"/>
      <c r="P99" s="996"/>
      <c r="Q99" s="996"/>
      <c r="R99" s="996"/>
      <c r="S99" s="996"/>
      <c r="T99" s="996"/>
      <c r="U99" s="996"/>
      <c r="V99" s="996"/>
      <c r="W99" s="996"/>
      <c r="X99" s="996"/>
      <c r="Y99" s="996"/>
      <c r="Z99" s="996"/>
      <c r="AA99" s="996"/>
      <c r="AB99" s="996"/>
      <c r="AC99" s="996"/>
      <c r="AD99" s="996"/>
    </row>
    <row r="100" spans="1:30">
      <c r="A100" s="1335"/>
      <c r="B100" s="1335"/>
      <c r="C100" s="1335"/>
      <c r="D100" s="1335"/>
      <c r="E100" s="1335"/>
      <c r="F100" s="1335"/>
      <c r="G100" s="1335"/>
      <c r="H100" s="1335"/>
      <c r="I100" s="1335"/>
      <c r="J100" s="1335"/>
      <c r="K100" s="1343"/>
      <c r="L100" s="1344"/>
      <c r="M100" s="1335"/>
      <c r="N100" s="996"/>
      <c r="O100" s="996"/>
      <c r="P100" s="996"/>
      <c r="Q100" s="996"/>
      <c r="R100" s="996"/>
      <c r="S100" s="996"/>
      <c r="T100" s="996"/>
      <c r="U100" s="996"/>
      <c r="V100" s="996"/>
      <c r="W100" s="996"/>
      <c r="X100" s="996"/>
      <c r="Y100" s="996"/>
      <c r="Z100" s="996"/>
      <c r="AA100" s="996"/>
      <c r="AB100" s="996"/>
      <c r="AC100" s="996"/>
      <c r="AD100" s="996"/>
    </row>
    <row r="101" spans="1:30">
      <c r="A101" s="1335"/>
      <c r="B101" s="1335"/>
      <c r="C101" s="1335"/>
      <c r="D101" s="1335"/>
      <c r="E101" s="1335"/>
      <c r="F101" s="1335"/>
      <c r="G101" s="1335"/>
      <c r="H101" s="1335"/>
      <c r="I101" s="1335"/>
      <c r="J101" s="1335"/>
      <c r="K101" s="1343"/>
      <c r="L101" s="1344"/>
      <c r="M101" s="1335"/>
      <c r="N101" s="996"/>
      <c r="O101" s="996"/>
      <c r="P101" s="996"/>
      <c r="Q101" s="996"/>
      <c r="R101" s="996"/>
      <c r="S101" s="996"/>
      <c r="T101" s="996"/>
      <c r="U101" s="996"/>
      <c r="V101" s="996"/>
      <c r="W101" s="996"/>
      <c r="X101" s="996"/>
      <c r="Y101" s="996"/>
      <c r="Z101" s="996"/>
      <c r="AA101" s="996"/>
      <c r="AB101" s="996"/>
      <c r="AC101" s="996"/>
      <c r="AD101" s="996"/>
    </row>
    <row r="102" spans="1:30">
      <c r="A102" s="1335"/>
      <c r="B102" s="1335"/>
      <c r="C102" s="1335"/>
      <c r="D102" s="1335"/>
      <c r="E102" s="1335"/>
      <c r="F102" s="1335"/>
      <c r="G102" s="1335"/>
      <c r="H102" s="1335"/>
      <c r="I102" s="1335"/>
      <c r="J102" s="1335"/>
      <c r="K102" s="1343"/>
      <c r="L102" s="1344"/>
      <c r="M102" s="1335"/>
      <c r="N102" s="996"/>
      <c r="O102" s="996"/>
      <c r="P102" s="996"/>
      <c r="Q102" s="996"/>
      <c r="R102" s="996"/>
      <c r="S102" s="996"/>
      <c r="T102" s="996"/>
      <c r="U102" s="996"/>
      <c r="V102" s="996"/>
      <c r="W102" s="996"/>
      <c r="X102" s="996"/>
      <c r="Y102" s="996"/>
      <c r="Z102" s="996"/>
      <c r="AA102" s="996"/>
      <c r="AB102" s="996"/>
      <c r="AC102" s="996"/>
      <c r="AD102" s="996"/>
    </row>
    <row r="103" spans="1:30">
      <c r="A103" s="1335"/>
      <c r="B103" s="1335"/>
      <c r="C103" s="1335"/>
      <c r="D103" s="1335"/>
      <c r="E103" s="1335"/>
      <c r="F103" s="1335"/>
      <c r="G103" s="1335"/>
      <c r="H103" s="1335"/>
      <c r="I103" s="1335"/>
      <c r="J103" s="1335"/>
      <c r="K103" s="1343"/>
      <c r="L103" s="1344"/>
      <c r="M103" s="1335"/>
      <c r="N103" s="1335"/>
      <c r="O103" s="1335"/>
      <c r="P103" s="996"/>
      <c r="Q103" s="996"/>
      <c r="R103" s="996"/>
      <c r="S103" s="996"/>
      <c r="T103" s="996"/>
      <c r="U103" s="996"/>
      <c r="V103" s="996"/>
      <c r="W103" s="996"/>
      <c r="X103" s="996"/>
      <c r="Y103" s="996"/>
      <c r="Z103" s="996"/>
      <c r="AA103" s="996"/>
      <c r="AB103" s="996"/>
      <c r="AC103" s="996"/>
      <c r="AD103" s="996"/>
    </row>
    <row r="104" spans="1:30">
      <c r="A104" s="1335"/>
      <c r="B104" s="1335"/>
      <c r="C104" s="1335"/>
      <c r="D104" s="1335"/>
      <c r="E104" s="1335"/>
      <c r="F104" s="1335"/>
      <c r="G104" s="1335"/>
      <c r="H104" s="1335"/>
      <c r="I104" s="1335"/>
      <c r="J104" s="1335"/>
      <c r="K104" s="1343"/>
      <c r="L104" s="1344"/>
      <c r="M104" s="1335"/>
      <c r="N104" s="1335"/>
      <c r="O104" s="1335"/>
      <c r="P104" s="1335"/>
      <c r="Q104" s="1335"/>
      <c r="R104" s="1335"/>
      <c r="S104" s="1335"/>
      <c r="T104" s="1335"/>
    </row>
    <row r="105" spans="1:30">
      <c r="A105" s="1335"/>
      <c r="B105" s="1335"/>
      <c r="C105" s="1335"/>
      <c r="D105" s="1335"/>
      <c r="E105" s="1335"/>
      <c r="F105" s="1335"/>
      <c r="G105" s="1335"/>
      <c r="H105" s="1335"/>
      <c r="I105" s="1335"/>
      <c r="J105" s="1335"/>
      <c r="K105" s="1343"/>
      <c r="L105" s="1344"/>
      <c r="M105" s="1335"/>
      <c r="N105" s="1335"/>
      <c r="O105" s="1335"/>
      <c r="P105" s="1335"/>
      <c r="Q105" s="1335"/>
      <c r="R105" s="1335"/>
      <c r="S105" s="1335"/>
      <c r="T105" s="1335"/>
    </row>
    <row r="106" spans="1:30">
      <c r="A106" s="1335"/>
      <c r="B106" s="1335"/>
      <c r="C106" s="1335"/>
      <c r="D106" s="1335"/>
      <c r="E106" s="1335"/>
      <c r="F106" s="1335"/>
      <c r="G106" s="1335"/>
      <c r="H106" s="1335"/>
      <c r="I106" s="1335"/>
      <c r="J106" s="1335"/>
      <c r="K106" s="1343"/>
      <c r="L106" s="1344"/>
      <c r="M106" s="1335"/>
      <c r="N106" s="1335"/>
      <c r="O106" s="1335"/>
      <c r="P106" s="1335"/>
      <c r="Q106" s="1335"/>
      <c r="R106" s="1335"/>
      <c r="S106" s="1335"/>
      <c r="T106" s="1335"/>
    </row>
    <row r="107" spans="1:30">
      <c r="A107" s="1335"/>
      <c r="B107" s="1335"/>
      <c r="C107" s="1335"/>
      <c r="D107" s="1335"/>
      <c r="E107" s="1335"/>
      <c r="F107" s="1335"/>
      <c r="G107" s="1335"/>
      <c r="H107" s="1335"/>
      <c r="I107" s="1335"/>
      <c r="J107" s="1335"/>
      <c r="K107" s="1343"/>
      <c r="L107" s="1344"/>
      <c r="M107" s="1335"/>
      <c r="N107" s="1335"/>
      <c r="O107" s="1335"/>
      <c r="P107" s="1335"/>
      <c r="Q107" s="1335"/>
      <c r="R107" s="1335"/>
      <c r="S107" s="1335"/>
      <c r="T107" s="1335"/>
    </row>
    <row r="108" spans="1:30">
      <c r="A108" s="1335"/>
      <c r="B108" s="1335"/>
      <c r="C108" s="1335"/>
      <c r="D108" s="1335"/>
      <c r="E108" s="1335"/>
      <c r="F108" s="1335"/>
      <c r="G108" s="1335"/>
      <c r="H108" s="1335"/>
      <c r="I108" s="1335"/>
      <c r="J108" s="1335"/>
      <c r="K108" s="1343"/>
      <c r="L108" s="1344"/>
      <c r="M108" s="1335"/>
      <c r="N108" s="1335"/>
      <c r="O108" s="1335"/>
      <c r="P108" s="1335"/>
      <c r="Q108" s="1335"/>
      <c r="R108" s="1335"/>
      <c r="S108" s="1335"/>
      <c r="T108" s="1335"/>
    </row>
    <row r="109" spans="1:30">
      <c r="A109" s="1335"/>
      <c r="B109" s="1335"/>
      <c r="C109" s="1335"/>
      <c r="D109" s="1335"/>
      <c r="E109" s="1335"/>
      <c r="F109" s="1335"/>
      <c r="G109" s="1335"/>
      <c r="H109" s="1335"/>
      <c r="I109" s="1335"/>
      <c r="J109" s="1335"/>
      <c r="K109" s="1343"/>
      <c r="L109" s="1344"/>
      <c r="M109" s="1335"/>
      <c r="N109" s="1335"/>
      <c r="O109" s="1335"/>
      <c r="P109" s="1335"/>
      <c r="Q109" s="1335"/>
      <c r="R109" s="1335"/>
      <c r="S109" s="1335"/>
      <c r="T109" s="1335"/>
    </row>
    <row r="110" spans="1:30">
      <c r="A110" s="1335"/>
      <c r="B110" s="1335"/>
      <c r="C110" s="1335"/>
      <c r="D110" s="1335"/>
      <c r="E110" s="1335"/>
      <c r="F110" s="1335"/>
      <c r="G110" s="1335"/>
      <c r="H110" s="1335"/>
      <c r="I110" s="1335"/>
      <c r="J110" s="1335"/>
      <c r="K110" s="1343"/>
      <c r="L110" s="1344"/>
      <c r="M110" s="1335"/>
      <c r="N110" s="1335"/>
      <c r="O110" s="1335"/>
      <c r="P110" s="1335"/>
      <c r="Q110" s="1335"/>
      <c r="R110" s="1335"/>
      <c r="S110" s="1335"/>
      <c r="T110" s="1335"/>
    </row>
    <row r="111" spans="1:30">
      <c r="A111" s="1335"/>
      <c r="B111" s="1335"/>
      <c r="C111" s="1335"/>
      <c r="D111" s="1335"/>
      <c r="E111" s="1335"/>
      <c r="F111" s="1335"/>
      <c r="G111" s="1335"/>
      <c r="H111" s="1335"/>
      <c r="I111" s="1335"/>
      <c r="J111" s="1335"/>
      <c r="K111" s="1343"/>
      <c r="L111" s="1344"/>
      <c r="M111" s="1335"/>
      <c r="N111" s="1335"/>
      <c r="O111" s="1335"/>
      <c r="P111" s="1335"/>
      <c r="Q111" s="1335"/>
      <c r="R111" s="1335"/>
      <c r="S111" s="1335"/>
      <c r="T111" s="1335"/>
    </row>
    <row r="112" spans="1:30">
      <c r="A112" s="1335"/>
      <c r="B112" s="1335"/>
      <c r="C112" s="1335"/>
      <c r="D112" s="1335"/>
      <c r="E112" s="1335"/>
      <c r="F112" s="1335"/>
      <c r="G112" s="1335"/>
      <c r="H112" s="1335"/>
      <c r="I112" s="1335"/>
      <c r="J112" s="1335"/>
      <c r="K112" s="1343"/>
      <c r="L112" s="1344"/>
      <c r="M112" s="1335"/>
      <c r="N112" s="1335"/>
      <c r="O112" s="1335"/>
      <c r="P112" s="1335"/>
      <c r="Q112" s="1335"/>
      <c r="R112" s="1335"/>
      <c r="S112" s="1335"/>
      <c r="T112" s="1335"/>
    </row>
    <row r="113" spans="1:20">
      <c r="A113" s="1335"/>
      <c r="B113" s="1335"/>
      <c r="C113" s="1335"/>
      <c r="D113" s="1335"/>
      <c r="E113" s="1335"/>
      <c r="F113" s="1335"/>
      <c r="G113" s="1335"/>
      <c r="H113" s="1335"/>
      <c r="I113" s="1335"/>
      <c r="J113" s="1335"/>
      <c r="K113" s="1343"/>
      <c r="L113" s="1344"/>
      <c r="M113" s="1335"/>
      <c r="N113" s="1335"/>
      <c r="O113" s="1335"/>
      <c r="P113" s="1335"/>
      <c r="Q113" s="1335"/>
      <c r="R113" s="1335"/>
      <c r="S113" s="1335"/>
      <c r="T113" s="1335"/>
    </row>
    <row r="114" spans="1:20">
      <c r="A114" s="1335"/>
      <c r="B114" s="1335"/>
      <c r="C114" s="1335"/>
      <c r="D114" s="1335"/>
      <c r="E114" s="1335"/>
      <c r="F114" s="1335"/>
      <c r="G114" s="1335"/>
      <c r="H114" s="1335"/>
      <c r="I114" s="1335"/>
      <c r="J114" s="1335"/>
      <c r="K114" s="1343"/>
      <c r="L114" s="1344"/>
      <c r="M114" s="1335"/>
      <c r="N114" s="1335"/>
      <c r="O114" s="1335"/>
      <c r="P114" s="1335"/>
      <c r="Q114" s="1335"/>
      <c r="R114" s="1335"/>
      <c r="S114" s="1335"/>
      <c r="T114" s="1335"/>
    </row>
    <row r="115" spans="1:20">
      <c r="A115" s="1335"/>
      <c r="B115" s="1335"/>
      <c r="C115" s="1335"/>
      <c r="D115" s="1335"/>
      <c r="E115" s="1335"/>
      <c r="F115" s="1335"/>
      <c r="G115" s="1335"/>
      <c r="H115" s="1335"/>
      <c r="I115" s="1335"/>
      <c r="J115" s="1335"/>
      <c r="K115" s="1343"/>
      <c r="L115" s="1344"/>
      <c r="M115" s="1335"/>
      <c r="N115" s="1335"/>
      <c r="O115" s="1335"/>
      <c r="P115" s="1335"/>
      <c r="Q115" s="1335"/>
      <c r="R115" s="1335"/>
      <c r="S115" s="1335"/>
      <c r="T115" s="1335"/>
    </row>
    <row r="116" spans="1:20">
      <c r="A116" s="1335"/>
      <c r="B116" s="1335"/>
      <c r="C116" s="1335"/>
      <c r="D116" s="1335"/>
      <c r="E116" s="1335"/>
      <c r="F116" s="1335"/>
      <c r="G116" s="1335"/>
      <c r="H116" s="1335"/>
      <c r="I116" s="1335"/>
      <c r="J116" s="1335"/>
      <c r="K116" s="1343"/>
      <c r="L116" s="1344"/>
      <c r="M116" s="1335"/>
      <c r="N116" s="1335"/>
      <c r="O116" s="1335"/>
      <c r="P116" s="1335"/>
      <c r="Q116" s="1335"/>
      <c r="R116" s="1335"/>
      <c r="S116" s="1335"/>
      <c r="T116" s="1335"/>
    </row>
    <row r="117" spans="1:20">
      <c r="A117" s="1335"/>
      <c r="B117" s="1335"/>
      <c r="C117" s="1335"/>
      <c r="D117" s="1335"/>
      <c r="E117" s="1335"/>
      <c r="F117" s="1335"/>
      <c r="G117" s="1335"/>
      <c r="H117" s="1335"/>
      <c r="I117" s="1335"/>
      <c r="J117" s="1335"/>
      <c r="K117" s="1343"/>
      <c r="L117" s="1344"/>
      <c r="M117" s="1335"/>
      <c r="N117" s="1335"/>
      <c r="O117" s="1335"/>
      <c r="P117" s="1335"/>
      <c r="Q117" s="1335"/>
      <c r="R117" s="1335"/>
      <c r="S117" s="1335"/>
      <c r="T117" s="1335"/>
    </row>
    <row r="118" spans="1:20">
      <c r="A118" s="1335"/>
      <c r="B118" s="1335"/>
      <c r="C118" s="1335"/>
      <c r="D118" s="1335"/>
      <c r="E118" s="1335"/>
      <c r="F118" s="1335"/>
      <c r="G118" s="1335"/>
      <c r="H118" s="1335"/>
      <c r="I118" s="1335"/>
      <c r="J118" s="1335"/>
      <c r="K118" s="1343"/>
      <c r="L118" s="1344"/>
      <c r="M118" s="1335"/>
      <c r="N118" s="1335"/>
      <c r="O118" s="1335"/>
      <c r="P118" s="1335"/>
      <c r="Q118" s="1335"/>
      <c r="R118" s="1335"/>
      <c r="S118" s="1335"/>
      <c r="T118" s="1335"/>
    </row>
    <row r="119" spans="1:20">
      <c r="A119" s="1335"/>
      <c r="B119" s="1335"/>
      <c r="C119" s="1335"/>
      <c r="D119" s="1335"/>
      <c r="E119" s="1335"/>
      <c r="F119" s="1335"/>
      <c r="G119" s="1335"/>
      <c r="H119" s="1335"/>
      <c r="I119" s="1335"/>
      <c r="J119" s="1335"/>
      <c r="K119" s="1343"/>
      <c r="L119" s="1344"/>
      <c r="M119" s="1335"/>
      <c r="N119" s="1335"/>
      <c r="O119" s="1335"/>
      <c r="P119" s="1335"/>
      <c r="Q119" s="1335"/>
      <c r="R119" s="1335"/>
      <c r="S119" s="1335"/>
      <c r="T119" s="1335"/>
    </row>
    <row r="120" spans="1:20">
      <c r="A120" s="1335"/>
      <c r="B120" s="1335"/>
      <c r="C120" s="1335"/>
      <c r="D120" s="1335"/>
      <c r="E120" s="1335"/>
      <c r="F120" s="1335"/>
      <c r="G120" s="1335"/>
      <c r="H120" s="1335"/>
      <c r="I120" s="1335"/>
      <c r="J120" s="1335"/>
      <c r="K120" s="1343"/>
      <c r="L120" s="1344"/>
      <c r="M120" s="1335"/>
      <c r="N120" s="1335"/>
      <c r="O120" s="1335"/>
      <c r="P120" s="1335"/>
      <c r="Q120" s="1335"/>
      <c r="R120" s="1335"/>
      <c r="S120" s="1335"/>
      <c r="T120" s="1335"/>
    </row>
    <row r="121" spans="1:20">
      <c r="A121" s="1335"/>
      <c r="B121" s="1335"/>
      <c r="C121" s="1335"/>
      <c r="D121" s="1335"/>
      <c r="E121" s="1335"/>
      <c r="F121" s="1335"/>
      <c r="G121" s="1335"/>
      <c r="H121" s="1335"/>
      <c r="I121" s="1335"/>
      <c r="J121" s="1335"/>
      <c r="K121" s="1343"/>
      <c r="L121" s="1344"/>
      <c r="M121" s="1335"/>
      <c r="N121" s="1335"/>
      <c r="O121" s="1335"/>
      <c r="P121" s="1335"/>
      <c r="Q121" s="1335"/>
      <c r="R121" s="1335"/>
      <c r="S121" s="1335"/>
      <c r="T121" s="1335"/>
    </row>
    <row r="122" spans="1:20">
      <c r="A122" s="1335"/>
      <c r="B122" s="1335"/>
      <c r="C122" s="1335"/>
      <c r="D122" s="1335"/>
      <c r="E122" s="1335"/>
      <c r="F122" s="1335"/>
      <c r="G122" s="1335"/>
      <c r="H122" s="1335"/>
      <c r="I122" s="1335"/>
      <c r="J122" s="1335"/>
      <c r="K122" s="1343"/>
      <c r="L122" s="1344"/>
      <c r="M122" s="1335"/>
      <c r="N122" s="1335"/>
      <c r="O122" s="1335"/>
      <c r="P122" s="1335"/>
      <c r="Q122" s="1335"/>
      <c r="R122" s="1335"/>
      <c r="S122" s="1335"/>
      <c r="T122" s="1335"/>
    </row>
    <row r="123" spans="1:20">
      <c r="A123" s="1335"/>
      <c r="B123" s="1335"/>
      <c r="C123" s="1335"/>
      <c r="D123" s="1335"/>
      <c r="E123" s="1335"/>
      <c r="F123" s="1335"/>
      <c r="G123" s="1335"/>
      <c r="H123" s="1335"/>
      <c r="I123" s="1335"/>
      <c r="J123" s="1335"/>
      <c r="K123" s="1343"/>
      <c r="L123" s="1344"/>
      <c r="M123" s="1335"/>
      <c r="N123" s="1335"/>
      <c r="O123" s="1335"/>
      <c r="P123" s="1335"/>
      <c r="Q123" s="1335"/>
      <c r="R123" s="1335"/>
      <c r="S123" s="1335"/>
      <c r="T123" s="1335"/>
    </row>
    <row r="124" spans="1:20">
      <c r="A124" s="1335"/>
      <c r="B124" s="1335"/>
      <c r="C124" s="1335"/>
      <c r="D124" s="1335"/>
      <c r="E124" s="1335"/>
      <c r="F124" s="1335"/>
      <c r="G124" s="1335"/>
      <c r="H124" s="1335"/>
      <c r="I124" s="1335"/>
      <c r="J124" s="1335"/>
      <c r="K124" s="1343"/>
      <c r="L124" s="1344"/>
      <c r="M124" s="1335"/>
      <c r="N124" s="1335"/>
      <c r="O124" s="1335"/>
      <c r="P124" s="1335"/>
      <c r="Q124" s="1335"/>
      <c r="R124" s="1335"/>
      <c r="S124" s="1335"/>
      <c r="T124" s="1335"/>
    </row>
    <row r="125" spans="1:20">
      <c r="A125" s="1335"/>
      <c r="B125" s="1335"/>
      <c r="C125" s="1335"/>
      <c r="D125" s="1335"/>
      <c r="E125" s="1335"/>
      <c r="F125" s="1335"/>
      <c r="G125" s="1335"/>
      <c r="H125" s="1335"/>
      <c r="I125" s="1335"/>
      <c r="J125" s="1335"/>
      <c r="K125" s="1343"/>
      <c r="L125" s="1344"/>
      <c r="M125" s="1335"/>
      <c r="N125" s="1335"/>
      <c r="O125" s="1335"/>
      <c r="P125" s="1335"/>
      <c r="Q125" s="1335"/>
      <c r="R125" s="1335"/>
      <c r="S125" s="1335"/>
      <c r="T125" s="1335"/>
    </row>
    <row r="126" spans="1:20">
      <c r="A126" s="1335"/>
      <c r="B126" s="1335"/>
      <c r="C126" s="1335"/>
      <c r="D126" s="1335"/>
      <c r="E126" s="1335"/>
      <c r="F126" s="1335"/>
      <c r="G126" s="1335"/>
      <c r="H126" s="1335"/>
      <c r="I126" s="1335"/>
      <c r="J126" s="1335"/>
      <c r="K126" s="1343"/>
      <c r="L126" s="1344"/>
      <c r="M126" s="1335"/>
      <c r="N126" s="1335"/>
      <c r="O126" s="1335"/>
      <c r="P126" s="1335"/>
      <c r="Q126" s="1335"/>
      <c r="R126" s="1335"/>
      <c r="S126" s="1335"/>
      <c r="T126" s="1335"/>
    </row>
    <row r="127" spans="1:20">
      <c r="A127" s="1335"/>
      <c r="B127" s="1335"/>
      <c r="C127" s="1335"/>
      <c r="D127" s="1335"/>
      <c r="E127" s="1335"/>
      <c r="F127" s="1335"/>
      <c r="G127" s="1335"/>
      <c r="H127" s="1335"/>
      <c r="I127" s="1335"/>
      <c r="J127" s="1335"/>
      <c r="K127" s="1343"/>
      <c r="L127" s="1344"/>
      <c r="M127" s="1335"/>
      <c r="N127" s="1335"/>
      <c r="O127" s="1335"/>
      <c r="P127" s="1335"/>
      <c r="Q127" s="1335"/>
      <c r="R127" s="1335"/>
      <c r="S127" s="1335"/>
      <c r="T127" s="1335"/>
    </row>
    <row r="128" spans="1:20">
      <c r="A128" s="1335"/>
      <c r="B128" s="1335"/>
      <c r="C128" s="1335"/>
      <c r="D128" s="1335"/>
      <c r="E128" s="1335"/>
      <c r="F128" s="1335"/>
      <c r="G128" s="1335"/>
      <c r="H128" s="1335"/>
      <c r="I128" s="1335"/>
      <c r="J128" s="1335"/>
      <c r="K128" s="1343"/>
      <c r="L128" s="1344"/>
      <c r="M128" s="1335"/>
      <c r="N128" s="1335"/>
      <c r="O128" s="1335"/>
      <c r="P128" s="1335"/>
      <c r="Q128" s="1335"/>
      <c r="R128" s="1335"/>
      <c r="S128" s="1335"/>
      <c r="T128" s="1335"/>
    </row>
    <row r="129" spans="1:20">
      <c r="A129" s="1335"/>
      <c r="B129" s="1335"/>
      <c r="C129" s="1335"/>
      <c r="D129" s="1335"/>
      <c r="E129" s="1335"/>
      <c r="F129" s="1335"/>
      <c r="G129" s="1335"/>
      <c r="H129" s="1335"/>
      <c r="I129" s="1335"/>
      <c r="J129" s="1335"/>
      <c r="K129" s="1343"/>
      <c r="L129" s="1344"/>
      <c r="M129" s="1335"/>
      <c r="N129" s="1335"/>
      <c r="O129" s="1335"/>
      <c r="P129" s="1335"/>
      <c r="Q129" s="1335"/>
      <c r="R129" s="1335"/>
      <c r="S129" s="1335"/>
      <c r="T129" s="1335"/>
    </row>
    <row r="130" spans="1:20">
      <c r="A130" s="1335"/>
      <c r="B130" s="1335"/>
      <c r="C130" s="1335"/>
      <c r="D130" s="1335"/>
      <c r="E130" s="1335"/>
      <c r="F130" s="1335"/>
      <c r="G130" s="1335"/>
      <c r="H130" s="1335"/>
      <c r="I130" s="1335"/>
      <c r="J130" s="1335"/>
      <c r="K130" s="1343"/>
      <c r="L130" s="1344"/>
      <c r="M130" s="1335"/>
      <c r="N130" s="1335"/>
      <c r="O130" s="1335"/>
      <c r="P130" s="1335"/>
      <c r="Q130" s="1335"/>
      <c r="R130" s="1335"/>
      <c r="S130" s="1335"/>
      <c r="T130" s="1335"/>
    </row>
    <row r="131" spans="1:20">
      <c r="A131" s="1335"/>
      <c r="B131" s="1335"/>
      <c r="C131" s="1335"/>
      <c r="D131" s="1335"/>
      <c r="E131" s="1335"/>
      <c r="F131" s="1335"/>
      <c r="G131" s="1335"/>
      <c r="H131" s="1335"/>
      <c r="I131" s="1335"/>
      <c r="J131" s="1335"/>
      <c r="K131" s="1343"/>
      <c r="L131" s="1344"/>
      <c r="M131" s="1335"/>
      <c r="N131" s="1335"/>
      <c r="O131" s="1335"/>
      <c r="P131" s="1335"/>
      <c r="Q131" s="1335"/>
      <c r="R131" s="1335"/>
      <c r="S131" s="1335"/>
      <c r="T131" s="1335"/>
    </row>
    <row r="132" spans="1:20">
      <c r="A132" s="1335"/>
      <c r="B132" s="1335"/>
      <c r="C132" s="1335"/>
      <c r="D132" s="1335"/>
      <c r="E132" s="1335"/>
      <c r="F132" s="1335"/>
      <c r="G132" s="1335"/>
      <c r="H132" s="1335"/>
      <c r="I132" s="1335"/>
      <c r="J132" s="1335"/>
      <c r="K132" s="1343"/>
      <c r="L132" s="1344"/>
      <c r="M132" s="1335"/>
      <c r="N132" s="1335"/>
      <c r="O132" s="1335"/>
      <c r="P132" s="1335"/>
      <c r="Q132" s="1335"/>
      <c r="R132" s="1335"/>
      <c r="S132" s="1335"/>
      <c r="T132" s="1335"/>
    </row>
    <row r="133" spans="1:20">
      <c r="A133" s="1335"/>
      <c r="B133" s="1335"/>
      <c r="C133" s="1335"/>
      <c r="D133" s="1335"/>
      <c r="E133" s="1335"/>
      <c r="F133" s="1335"/>
      <c r="G133" s="1335"/>
      <c r="H133" s="1335"/>
      <c r="I133" s="1335"/>
      <c r="J133" s="1335"/>
      <c r="K133" s="1343"/>
      <c r="L133" s="1344"/>
      <c r="M133" s="1335"/>
      <c r="N133" s="1335"/>
      <c r="O133" s="1335"/>
      <c r="P133" s="1335"/>
      <c r="Q133" s="1335"/>
      <c r="R133" s="1335"/>
      <c r="S133" s="1335"/>
      <c r="T133" s="1335"/>
    </row>
    <row r="134" spans="1:20">
      <c r="A134" s="1335"/>
      <c r="B134" s="1335"/>
      <c r="C134" s="1335"/>
      <c r="D134" s="1335"/>
      <c r="E134" s="1335"/>
      <c r="F134" s="1335"/>
      <c r="G134" s="1335"/>
      <c r="H134" s="1335"/>
      <c r="I134" s="1335"/>
      <c r="J134" s="1335"/>
      <c r="K134" s="1343"/>
      <c r="L134" s="1344"/>
      <c r="M134" s="1335"/>
      <c r="N134" s="1335"/>
      <c r="O134" s="1335"/>
      <c r="P134" s="1335"/>
      <c r="Q134" s="1335"/>
      <c r="R134" s="1335"/>
      <c r="S134" s="1335"/>
      <c r="T134" s="1335"/>
    </row>
    <row r="135" spans="1:20">
      <c r="A135" s="1335"/>
      <c r="B135" s="1335"/>
      <c r="C135" s="1335"/>
      <c r="D135" s="1335"/>
      <c r="E135" s="1335"/>
      <c r="F135" s="1335"/>
      <c r="G135" s="1335"/>
      <c r="H135" s="1335"/>
      <c r="I135" s="1335"/>
      <c r="J135" s="1335"/>
      <c r="K135" s="1343"/>
      <c r="L135" s="1344"/>
      <c r="M135" s="1335"/>
      <c r="N135" s="1335"/>
      <c r="O135" s="1335"/>
      <c r="P135" s="1335"/>
      <c r="Q135" s="1335"/>
      <c r="R135" s="1335"/>
      <c r="S135" s="1335"/>
      <c r="T135" s="1335"/>
    </row>
    <row r="136" spans="1:20">
      <c r="A136" s="1335"/>
      <c r="B136" s="1335"/>
      <c r="C136" s="1335"/>
      <c r="D136" s="1335"/>
      <c r="E136" s="1335"/>
      <c r="F136" s="1335"/>
      <c r="G136" s="1335"/>
      <c r="H136" s="1335"/>
      <c r="I136" s="1335"/>
      <c r="J136" s="1335"/>
      <c r="K136" s="1343"/>
      <c r="L136" s="1344"/>
      <c r="M136" s="1335"/>
      <c r="N136" s="1335"/>
      <c r="O136" s="1335"/>
      <c r="P136" s="1335"/>
      <c r="Q136" s="1335"/>
      <c r="R136" s="1335"/>
      <c r="S136" s="1335"/>
      <c r="T136" s="1335"/>
    </row>
    <row r="137" spans="1:20">
      <c r="A137" s="1335"/>
      <c r="B137" s="1335"/>
      <c r="C137" s="1335"/>
      <c r="D137" s="1335"/>
      <c r="E137" s="1335"/>
      <c r="F137" s="1335"/>
      <c r="G137" s="1335"/>
      <c r="H137" s="1335"/>
      <c r="I137" s="1335"/>
      <c r="J137" s="1335"/>
      <c r="K137" s="1343"/>
      <c r="L137" s="1344"/>
      <c r="M137" s="1335"/>
      <c r="N137" s="1335"/>
      <c r="O137" s="1335"/>
      <c r="P137" s="1335"/>
      <c r="Q137" s="1335"/>
      <c r="R137" s="1335"/>
      <c r="S137" s="1335"/>
      <c r="T137" s="1335"/>
    </row>
    <row r="138" spans="1:20">
      <c r="A138" s="1335"/>
      <c r="B138" s="1335"/>
      <c r="C138" s="1335"/>
      <c r="D138" s="1335"/>
      <c r="E138" s="1335"/>
      <c r="F138" s="1335"/>
      <c r="G138" s="1335"/>
      <c r="H138" s="1335"/>
      <c r="I138" s="1335"/>
      <c r="J138" s="1335"/>
      <c r="K138" s="1343"/>
      <c r="L138" s="1344"/>
      <c r="M138" s="1335"/>
      <c r="N138" s="1335"/>
      <c r="O138" s="1335"/>
      <c r="P138" s="1335"/>
      <c r="Q138" s="1335"/>
      <c r="R138" s="1335"/>
      <c r="S138" s="1335"/>
      <c r="T138" s="1335"/>
    </row>
    <row r="139" spans="1:20">
      <c r="A139" s="1335"/>
      <c r="B139" s="1335"/>
      <c r="C139" s="1335"/>
      <c r="D139" s="1335"/>
      <c r="E139" s="1335"/>
      <c r="F139" s="1335"/>
      <c r="G139" s="1335"/>
      <c r="H139" s="1335"/>
      <c r="I139" s="1335"/>
      <c r="J139" s="1335"/>
      <c r="K139" s="1343"/>
      <c r="L139" s="1344"/>
      <c r="M139" s="1335"/>
      <c r="N139" s="1335"/>
      <c r="O139" s="1335"/>
      <c r="P139" s="1335"/>
      <c r="Q139" s="1335"/>
      <c r="R139" s="1335"/>
      <c r="S139" s="1335"/>
      <c r="T139" s="1335"/>
    </row>
    <row r="140" spans="1:20">
      <c r="A140" s="1335"/>
      <c r="B140" s="1335"/>
      <c r="C140" s="1335"/>
      <c r="D140" s="1335"/>
      <c r="E140" s="1335"/>
      <c r="F140" s="1335"/>
      <c r="G140" s="1335"/>
      <c r="H140" s="1335"/>
      <c r="I140" s="1335"/>
      <c r="J140" s="1335"/>
      <c r="K140" s="1343"/>
      <c r="L140" s="1344"/>
      <c r="M140" s="1335"/>
      <c r="N140" s="1335"/>
      <c r="O140" s="1335"/>
      <c r="P140" s="1335"/>
      <c r="Q140" s="1335"/>
      <c r="R140" s="1335"/>
      <c r="S140" s="1335"/>
      <c r="T140" s="1335"/>
    </row>
    <row r="141" spans="1:20">
      <c r="A141" s="1335"/>
      <c r="B141" s="1335"/>
      <c r="C141" s="1335"/>
      <c r="D141" s="1335"/>
      <c r="E141" s="1335"/>
      <c r="F141" s="1335"/>
      <c r="G141" s="1335"/>
      <c r="H141" s="1335"/>
      <c r="I141" s="1335"/>
      <c r="J141" s="1335"/>
      <c r="K141" s="1343"/>
      <c r="L141" s="1344"/>
      <c r="M141" s="1335"/>
      <c r="N141" s="1335"/>
      <c r="O141" s="1335"/>
      <c r="P141" s="1335"/>
      <c r="Q141" s="1335"/>
      <c r="R141" s="1335"/>
      <c r="S141" s="1335"/>
      <c r="T141" s="1335"/>
    </row>
    <row r="142" spans="1:20">
      <c r="A142" s="1335"/>
      <c r="B142" s="1335"/>
      <c r="C142" s="1335"/>
      <c r="D142" s="1335"/>
      <c r="E142" s="1335"/>
      <c r="F142" s="1335"/>
      <c r="G142" s="1335"/>
      <c r="H142" s="1335"/>
      <c r="I142" s="1335"/>
      <c r="J142" s="1335"/>
      <c r="K142" s="1343"/>
      <c r="L142" s="1344"/>
      <c r="M142" s="1335"/>
      <c r="N142" s="1335"/>
      <c r="O142" s="1335"/>
      <c r="P142" s="1335"/>
      <c r="Q142" s="1335"/>
      <c r="R142" s="1335"/>
      <c r="S142" s="1335"/>
      <c r="T142" s="1335"/>
    </row>
    <row r="143" spans="1:20">
      <c r="A143" s="1335"/>
      <c r="B143" s="1335"/>
      <c r="C143" s="1335"/>
      <c r="D143" s="1335"/>
      <c r="E143" s="1335"/>
      <c r="F143" s="1335"/>
      <c r="G143" s="1335"/>
      <c r="H143" s="1335"/>
      <c r="I143" s="1335"/>
      <c r="J143" s="1335"/>
      <c r="K143" s="1343"/>
      <c r="L143" s="1344"/>
      <c r="M143" s="1335"/>
      <c r="N143" s="1335"/>
      <c r="O143" s="1335"/>
      <c r="P143" s="1335"/>
      <c r="Q143" s="1335"/>
      <c r="R143" s="1335"/>
      <c r="S143" s="1335"/>
      <c r="T143" s="1335"/>
    </row>
    <row r="144" spans="1:20">
      <c r="A144" s="1335"/>
      <c r="B144" s="1335"/>
      <c r="C144" s="1335"/>
      <c r="D144" s="1335"/>
      <c r="E144" s="1335"/>
      <c r="F144" s="1335"/>
      <c r="G144" s="1335"/>
      <c r="H144" s="1335"/>
      <c r="I144" s="1335"/>
      <c r="J144" s="1335"/>
      <c r="K144" s="1343"/>
      <c r="L144" s="1344"/>
      <c r="M144" s="1335"/>
      <c r="N144" s="1335"/>
      <c r="O144" s="1335"/>
      <c r="P144" s="1335"/>
      <c r="Q144" s="1335"/>
      <c r="R144" s="1335"/>
      <c r="S144" s="1335"/>
      <c r="T144" s="1335"/>
    </row>
    <row r="145" spans="1:20">
      <c r="A145" s="1335"/>
      <c r="B145" s="1335"/>
      <c r="C145" s="1335"/>
      <c r="D145" s="1335"/>
      <c r="E145" s="1335"/>
      <c r="F145" s="1335"/>
      <c r="G145" s="1335"/>
      <c r="H145" s="1335"/>
      <c r="I145" s="1335"/>
      <c r="J145" s="1335"/>
      <c r="K145" s="1343"/>
      <c r="L145" s="1344"/>
      <c r="M145" s="1335"/>
      <c r="N145" s="1335"/>
      <c r="O145" s="1335"/>
      <c r="P145" s="1335"/>
      <c r="Q145" s="1335"/>
      <c r="R145" s="1335"/>
      <c r="S145" s="1335"/>
      <c r="T145" s="1335"/>
    </row>
    <row r="146" spans="1:20">
      <c r="A146" s="1335"/>
      <c r="B146" s="1335"/>
      <c r="C146" s="1335"/>
      <c r="D146" s="1335"/>
      <c r="E146" s="1335"/>
      <c r="F146" s="1335"/>
      <c r="G146" s="1335"/>
      <c r="H146" s="1335"/>
      <c r="I146" s="1335"/>
      <c r="J146" s="1335"/>
      <c r="K146" s="1343"/>
      <c r="L146" s="1344"/>
      <c r="M146" s="1335"/>
      <c r="N146" s="1335"/>
      <c r="O146" s="1335"/>
      <c r="P146" s="1335"/>
      <c r="Q146" s="1335"/>
      <c r="R146" s="1335"/>
      <c r="S146" s="1335"/>
      <c r="T146" s="1335"/>
    </row>
    <row r="147" spans="1:20">
      <c r="A147" s="1335"/>
      <c r="B147" s="1335"/>
      <c r="C147" s="1335"/>
      <c r="D147" s="1335"/>
      <c r="E147" s="1335"/>
      <c r="F147" s="1335"/>
      <c r="G147" s="1335"/>
      <c r="H147" s="1335"/>
      <c r="I147" s="1335"/>
      <c r="J147" s="1335"/>
      <c r="K147" s="1343"/>
      <c r="L147" s="1344"/>
      <c r="M147" s="1335"/>
      <c r="N147" s="1335"/>
      <c r="O147" s="1335"/>
      <c r="P147" s="1335"/>
      <c r="Q147" s="1335"/>
      <c r="R147" s="1335"/>
      <c r="S147" s="1335"/>
      <c r="T147" s="1335"/>
    </row>
    <row r="148" spans="1:20">
      <c r="A148" s="1335"/>
      <c r="B148" s="1335"/>
      <c r="C148" s="1335"/>
      <c r="D148" s="1335"/>
      <c r="E148" s="1335"/>
      <c r="F148" s="1335"/>
      <c r="G148" s="1335"/>
      <c r="H148" s="1335"/>
      <c r="I148" s="1335"/>
      <c r="J148" s="1335"/>
      <c r="K148" s="1343"/>
      <c r="L148" s="1344"/>
      <c r="M148" s="1335"/>
      <c r="N148" s="1335"/>
      <c r="O148" s="1335"/>
      <c r="P148" s="1335"/>
      <c r="Q148" s="1335"/>
      <c r="R148" s="1335"/>
      <c r="S148" s="1335"/>
      <c r="T148" s="1335"/>
    </row>
    <row r="149" spans="1:20">
      <c r="A149" s="1335"/>
      <c r="B149" s="1335"/>
      <c r="C149" s="1335"/>
      <c r="D149" s="1335"/>
      <c r="E149" s="1335"/>
      <c r="F149" s="1335"/>
      <c r="G149" s="1335"/>
      <c r="H149" s="1335"/>
      <c r="I149" s="1335"/>
      <c r="J149" s="1335"/>
      <c r="K149" s="1343"/>
      <c r="L149" s="1344"/>
      <c r="M149" s="1335"/>
      <c r="N149" s="1335"/>
      <c r="O149" s="1335"/>
      <c r="P149" s="1335"/>
      <c r="Q149" s="1335"/>
      <c r="R149" s="1335"/>
      <c r="S149" s="1335"/>
      <c r="T149" s="1335"/>
    </row>
    <row r="150" spans="1:20">
      <c r="A150" s="1335"/>
      <c r="B150" s="1335"/>
      <c r="C150" s="1335"/>
      <c r="D150" s="1335"/>
      <c r="E150" s="1335"/>
      <c r="F150" s="1335"/>
      <c r="G150" s="1335"/>
      <c r="H150" s="1335"/>
      <c r="I150" s="1335"/>
      <c r="J150" s="1335"/>
      <c r="K150" s="1343"/>
      <c r="L150" s="1344"/>
      <c r="M150" s="1335"/>
      <c r="N150" s="1335"/>
      <c r="O150" s="1335"/>
      <c r="P150" s="1335"/>
      <c r="Q150" s="1335"/>
      <c r="R150" s="1335"/>
      <c r="S150" s="1335"/>
      <c r="T150" s="1335"/>
    </row>
    <row r="151" spans="1:20">
      <c r="A151" s="1335"/>
      <c r="B151" s="1335"/>
      <c r="C151" s="1335"/>
      <c r="D151" s="1335"/>
      <c r="E151" s="1335"/>
      <c r="F151" s="1335"/>
      <c r="G151" s="1335"/>
      <c r="H151" s="1335"/>
      <c r="I151" s="1335"/>
      <c r="J151" s="1335"/>
      <c r="K151" s="1343"/>
      <c r="L151" s="1344"/>
      <c r="M151" s="1335"/>
      <c r="N151" s="1335"/>
      <c r="O151" s="1335"/>
      <c r="P151" s="1335"/>
      <c r="Q151" s="1335"/>
      <c r="R151" s="1335"/>
      <c r="S151" s="1335"/>
      <c r="T151" s="1335"/>
    </row>
    <row r="152" spans="1:20">
      <c r="A152" s="1335"/>
      <c r="B152" s="1335"/>
      <c r="C152" s="1335"/>
      <c r="D152" s="1335"/>
      <c r="E152" s="1335"/>
      <c r="F152" s="1335"/>
      <c r="G152" s="1335"/>
      <c r="H152" s="1335"/>
      <c r="I152" s="1335"/>
      <c r="J152" s="1335"/>
      <c r="K152" s="1343"/>
      <c r="L152" s="1344"/>
      <c r="M152" s="1335"/>
      <c r="N152" s="1335"/>
      <c r="O152" s="1335"/>
      <c r="P152" s="1335"/>
      <c r="Q152" s="1335"/>
      <c r="R152" s="1335"/>
      <c r="S152" s="1335"/>
      <c r="T152" s="1335"/>
    </row>
    <row r="153" spans="1:20">
      <c r="A153" s="1335"/>
      <c r="B153" s="1335"/>
      <c r="C153" s="1335"/>
      <c r="D153" s="1335"/>
      <c r="E153" s="1335"/>
      <c r="F153" s="1335"/>
      <c r="G153" s="1335"/>
      <c r="H153" s="1335"/>
      <c r="I153" s="1335"/>
      <c r="J153" s="1335"/>
      <c r="K153" s="1343"/>
      <c r="L153" s="1344"/>
      <c r="M153" s="1335"/>
      <c r="N153" s="1335"/>
      <c r="O153" s="1335"/>
      <c r="P153" s="1335"/>
      <c r="Q153" s="1335"/>
      <c r="R153" s="1335"/>
      <c r="S153" s="1335"/>
      <c r="T153" s="1335"/>
    </row>
    <row r="154" spans="1:20">
      <c r="A154" s="1335"/>
      <c r="B154" s="1335"/>
      <c r="C154" s="1335"/>
      <c r="D154" s="1335"/>
      <c r="E154" s="1335"/>
      <c r="F154" s="1335"/>
      <c r="G154" s="1335"/>
      <c r="H154" s="1335"/>
      <c r="I154" s="1335"/>
      <c r="J154" s="1335"/>
      <c r="K154" s="1343"/>
      <c r="L154" s="1344"/>
      <c r="M154" s="1335"/>
      <c r="N154" s="1335"/>
      <c r="O154" s="1335"/>
      <c r="P154" s="1335"/>
      <c r="Q154" s="1335"/>
      <c r="R154" s="1335"/>
      <c r="S154" s="1335"/>
      <c r="T154" s="1335"/>
    </row>
    <row r="155" spans="1:20">
      <c r="A155" s="1335"/>
      <c r="B155" s="1335"/>
      <c r="C155" s="1335"/>
      <c r="D155" s="1335"/>
      <c r="E155" s="1335"/>
      <c r="F155" s="1335"/>
      <c r="G155" s="1335"/>
      <c r="H155" s="1335"/>
      <c r="I155" s="1335"/>
      <c r="J155" s="1335"/>
      <c r="K155" s="1343"/>
      <c r="L155" s="1344"/>
      <c r="M155" s="1335"/>
      <c r="N155" s="1335"/>
      <c r="O155" s="1335"/>
      <c r="P155" s="1335"/>
      <c r="Q155" s="1335"/>
      <c r="R155" s="1335"/>
      <c r="S155" s="1335"/>
      <c r="T155" s="1335"/>
    </row>
    <row r="156" spans="1:20">
      <c r="A156" s="1335"/>
      <c r="B156" s="1335"/>
      <c r="C156" s="1335"/>
      <c r="D156" s="1335"/>
      <c r="E156" s="1335"/>
      <c r="F156" s="1335"/>
      <c r="G156" s="1335"/>
      <c r="H156" s="1335"/>
      <c r="I156" s="1335"/>
      <c r="J156" s="1335"/>
      <c r="K156" s="1343"/>
      <c r="L156" s="1344"/>
      <c r="M156" s="1335"/>
      <c r="N156" s="1335"/>
      <c r="O156" s="1335"/>
      <c r="P156" s="1335"/>
      <c r="Q156" s="1335"/>
      <c r="R156" s="1335"/>
      <c r="S156" s="1335"/>
      <c r="T156" s="1335"/>
    </row>
    <row r="157" spans="1:20">
      <c r="A157" s="1335"/>
      <c r="B157" s="1335"/>
      <c r="C157" s="1335"/>
      <c r="D157" s="1335"/>
      <c r="E157" s="1335"/>
      <c r="F157" s="1335"/>
      <c r="G157" s="1335"/>
      <c r="H157" s="1335"/>
      <c r="I157" s="1335"/>
      <c r="J157" s="1335"/>
      <c r="K157" s="1343"/>
      <c r="L157" s="1344"/>
      <c r="M157" s="1335"/>
      <c r="N157" s="1335"/>
      <c r="O157" s="1335"/>
      <c r="P157" s="1335"/>
      <c r="Q157" s="1335"/>
      <c r="R157" s="1335"/>
      <c r="S157" s="1335"/>
      <c r="T157" s="1335"/>
    </row>
    <row r="158" spans="1:20">
      <c r="A158" s="1335"/>
      <c r="B158" s="1335"/>
      <c r="C158" s="1335"/>
      <c r="D158" s="1335"/>
      <c r="E158" s="1335"/>
      <c r="F158" s="1335"/>
      <c r="G158" s="1335"/>
      <c r="H158" s="1335"/>
      <c r="I158" s="1335"/>
      <c r="J158" s="1335"/>
      <c r="K158" s="1343"/>
      <c r="L158" s="1344"/>
      <c r="M158" s="1335"/>
      <c r="N158" s="1335"/>
      <c r="O158" s="1335"/>
      <c r="P158" s="1335"/>
      <c r="Q158" s="1335"/>
      <c r="R158" s="1335"/>
      <c r="S158" s="1335"/>
      <c r="T158" s="1335"/>
    </row>
    <row r="159" spans="1:20">
      <c r="A159" s="1335"/>
      <c r="B159" s="1335"/>
      <c r="C159" s="1335"/>
      <c r="D159" s="1335"/>
      <c r="E159" s="1335"/>
      <c r="F159" s="1335"/>
      <c r="G159" s="1335"/>
      <c r="H159" s="1335"/>
      <c r="I159" s="1335"/>
      <c r="J159" s="1335"/>
      <c r="K159" s="1343"/>
      <c r="L159" s="1344"/>
      <c r="M159" s="1335"/>
      <c r="N159" s="1335"/>
      <c r="O159" s="1335"/>
      <c r="P159" s="1335"/>
      <c r="Q159" s="1335"/>
      <c r="R159" s="1335"/>
      <c r="S159" s="1335"/>
      <c r="T159" s="1335"/>
    </row>
    <row r="160" spans="1:20">
      <c r="A160" s="1335"/>
      <c r="B160" s="1335"/>
      <c r="C160" s="1335"/>
      <c r="D160" s="1335"/>
      <c r="E160" s="1335"/>
      <c r="F160" s="1335"/>
      <c r="G160" s="1335"/>
      <c r="H160" s="1335"/>
      <c r="I160" s="1335"/>
      <c r="J160" s="1335"/>
      <c r="K160" s="1343"/>
      <c r="L160" s="1344"/>
      <c r="M160" s="1335"/>
      <c r="N160" s="1335"/>
      <c r="O160" s="1335"/>
      <c r="P160" s="1335"/>
      <c r="Q160" s="1335"/>
      <c r="R160" s="1335"/>
      <c r="S160" s="1335"/>
      <c r="T160" s="1335"/>
    </row>
    <row r="161" spans="1:20">
      <c r="A161" s="1335"/>
      <c r="B161" s="1335"/>
      <c r="C161" s="1335"/>
      <c r="D161" s="1335"/>
      <c r="E161" s="1335"/>
      <c r="F161" s="1335"/>
      <c r="G161" s="1335"/>
      <c r="H161" s="1335"/>
      <c r="I161" s="1335"/>
      <c r="J161" s="1335"/>
      <c r="K161" s="1343"/>
      <c r="L161" s="1344"/>
      <c r="M161" s="1335"/>
      <c r="N161" s="1335"/>
      <c r="O161" s="1335"/>
      <c r="P161" s="1335"/>
      <c r="Q161" s="1335"/>
      <c r="R161" s="1335"/>
      <c r="S161" s="1335"/>
      <c r="T161" s="1335"/>
    </row>
    <row r="162" spans="1:20">
      <c r="A162" s="1335"/>
      <c r="B162" s="1335"/>
      <c r="C162" s="1335"/>
      <c r="D162" s="1335"/>
      <c r="E162" s="1335"/>
      <c r="F162" s="1335"/>
      <c r="G162" s="1335"/>
      <c r="H162" s="1335"/>
      <c r="I162" s="1335"/>
      <c r="J162" s="1335"/>
      <c r="K162" s="1343"/>
      <c r="L162" s="1344"/>
      <c r="M162" s="1335"/>
      <c r="N162" s="1335"/>
      <c r="O162" s="1335"/>
      <c r="P162" s="1335"/>
      <c r="Q162" s="1335"/>
      <c r="R162" s="1335"/>
      <c r="S162" s="1335"/>
      <c r="T162" s="1335"/>
    </row>
    <row r="163" spans="1:20">
      <c r="A163" s="1335"/>
      <c r="B163" s="1335"/>
      <c r="C163" s="1335"/>
      <c r="D163" s="1335"/>
      <c r="E163" s="1335"/>
      <c r="F163" s="1335"/>
      <c r="G163" s="1335"/>
      <c r="H163" s="1335"/>
      <c r="I163" s="1335"/>
      <c r="J163" s="1335"/>
      <c r="K163" s="1343"/>
      <c r="L163" s="1344"/>
      <c r="M163" s="1335"/>
      <c r="N163" s="1335"/>
      <c r="O163" s="1335"/>
      <c r="P163" s="1335"/>
      <c r="Q163" s="1335"/>
      <c r="R163" s="1335"/>
      <c r="S163" s="1335"/>
      <c r="T163" s="1335"/>
    </row>
    <row r="164" spans="1:20">
      <c r="A164" s="1335"/>
      <c r="B164" s="1335"/>
      <c r="C164" s="1335"/>
      <c r="D164" s="1335"/>
      <c r="E164" s="1335"/>
      <c r="F164" s="1335"/>
      <c r="G164" s="1335"/>
      <c r="H164" s="1335"/>
      <c r="I164" s="1335"/>
      <c r="J164" s="1335"/>
      <c r="K164" s="1343"/>
      <c r="L164" s="1344"/>
      <c r="M164" s="1335"/>
      <c r="N164" s="1335"/>
      <c r="O164" s="1335"/>
      <c r="P164" s="1335"/>
      <c r="Q164" s="1335"/>
      <c r="R164" s="1335"/>
      <c r="S164" s="1335"/>
      <c r="T164" s="1335"/>
    </row>
    <row r="165" spans="1:20">
      <c r="A165" s="1335"/>
      <c r="B165" s="1335"/>
      <c r="C165" s="1335"/>
      <c r="D165" s="1335"/>
      <c r="E165" s="1335"/>
      <c r="F165" s="1335"/>
      <c r="G165" s="1335"/>
      <c r="H165" s="1335"/>
      <c r="I165" s="1335"/>
      <c r="J165" s="1335"/>
      <c r="K165" s="1343"/>
      <c r="L165" s="1344"/>
      <c r="M165" s="1335"/>
      <c r="N165" s="1335"/>
      <c r="O165" s="1335"/>
      <c r="P165" s="1335"/>
      <c r="Q165" s="1335"/>
      <c r="R165" s="1335"/>
      <c r="S165" s="1335"/>
      <c r="T165" s="1335"/>
    </row>
    <row r="166" spans="1:20">
      <c r="A166" s="1335"/>
      <c r="B166" s="1335"/>
      <c r="C166" s="1335"/>
      <c r="D166" s="1335"/>
      <c r="E166" s="1335"/>
      <c r="F166" s="1335"/>
      <c r="G166" s="1335"/>
      <c r="H166" s="1335"/>
      <c r="I166" s="1335"/>
      <c r="J166" s="1335"/>
      <c r="K166" s="1343"/>
      <c r="L166" s="1344"/>
      <c r="M166" s="1335"/>
      <c r="N166" s="1335"/>
      <c r="O166" s="1335"/>
      <c r="P166" s="1335"/>
      <c r="Q166" s="1335"/>
      <c r="R166" s="1335"/>
      <c r="S166" s="1335"/>
      <c r="T166" s="1335"/>
    </row>
    <row r="167" spans="1:20">
      <c r="A167" s="1335"/>
      <c r="B167" s="1335"/>
      <c r="C167" s="1335"/>
      <c r="D167" s="1335"/>
      <c r="E167" s="1335"/>
      <c r="F167" s="1335"/>
      <c r="G167" s="1335"/>
      <c r="H167" s="1335"/>
      <c r="I167" s="1335"/>
      <c r="J167" s="1335"/>
      <c r="K167" s="1343"/>
      <c r="L167" s="1344"/>
      <c r="M167" s="1335"/>
      <c r="N167" s="1335"/>
      <c r="O167" s="1335"/>
      <c r="P167" s="1335"/>
      <c r="Q167" s="1335"/>
      <c r="R167" s="1335"/>
      <c r="S167" s="1335"/>
      <c r="T167" s="1335"/>
    </row>
    <row r="168" spans="1:20">
      <c r="A168" s="1335"/>
      <c r="B168" s="1335"/>
      <c r="C168" s="1335"/>
      <c r="D168" s="1335"/>
      <c r="E168" s="1335"/>
      <c r="F168" s="1335"/>
      <c r="G168" s="1335"/>
      <c r="H168" s="1335"/>
      <c r="I168" s="1335"/>
      <c r="J168" s="1335"/>
      <c r="K168" s="1343"/>
      <c r="L168" s="1344"/>
      <c r="M168" s="1335"/>
      <c r="N168" s="1335"/>
      <c r="O168" s="1335"/>
      <c r="P168" s="1335"/>
      <c r="Q168" s="1335"/>
      <c r="R168" s="1335"/>
      <c r="S168" s="1335"/>
      <c r="T168" s="1335"/>
    </row>
    <row r="169" spans="1:20">
      <c r="A169" s="1335"/>
      <c r="B169" s="1335"/>
      <c r="C169" s="1335"/>
      <c r="D169" s="1335"/>
      <c r="E169" s="1335"/>
      <c r="F169" s="1335"/>
      <c r="G169" s="1335"/>
      <c r="H169" s="1335"/>
      <c r="I169" s="1335"/>
      <c r="J169" s="1335"/>
      <c r="K169" s="1343"/>
      <c r="L169" s="1344"/>
      <c r="M169" s="1335"/>
      <c r="N169" s="1335"/>
      <c r="O169" s="1335"/>
      <c r="P169" s="1335"/>
      <c r="Q169" s="1335"/>
      <c r="R169" s="1335"/>
      <c r="S169" s="1335"/>
      <c r="T169" s="1335"/>
    </row>
    <row r="170" spans="1:20">
      <c r="A170" s="1335"/>
      <c r="B170" s="1335"/>
      <c r="C170" s="1335"/>
      <c r="D170" s="1335"/>
      <c r="E170" s="1335"/>
      <c r="F170" s="1335"/>
      <c r="G170" s="1335"/>
      <c r="H170" s="1335"/>
      <c r="I170" s="1335"/>
      <c r="J170" s="1335"/>
      <c r="K170" s="1343"/>
      <c r="L170" s="1344"/>
      <c r="M170" s="1335"/>
      <c r="N170" s="1335"/>
      <c r="O170" s="1335"/>
      <c r="P170" s="1335"/>
      <c r="Q170" s="1335"/>
      <c r="R170" s="1335"/>
      <c r="S170" s="1335"/>
      <c r="T170" s="1335"/>
    </row>
    <row r="171" spans="1:20">
      <c r="A171" s="1335"/>
      <c r="B171" s="1335"/>
      <c r="C171" s="1335"/>
      <c r="D171" s="1335"/>
      <c r="E171" s="1335"/>
      <c r="F171" s="1335"/>
      <c r="G171" s="1335"/>
      <c r="H171" s="1335"/>
      <c r="I171" s="1335"/>
      <c r="J171" s="1335"/>
      <c r="K171" s="1343"/>
      <c r="L171" s="1344"/>
      <c r="M171" s="1335"/>
      <c r="N171" s="1335"/>
      <c r="O171" s="1335"/>
      <c r="P171" s="1335"/>
      <c r="Q171" s="1335"/>
      <c r="R171" s="1335"/>
      <c r="S171" s="1335"/>
      <c r="T171" s="1335"/>
    </row>
    <row r="172" spans="1:20">
      <c r="A172" s="1335"/>
      <c r="B172" s="1335"/>
      <c r="C172" s="1335"/>
      <c r="D172" s="1335"/>
      <c r="E172" s="1335"/>
      <c r="F172" s="1335"/>
      <c r="G172" s="1335"/>
      <c r="H172" s="1335"/>
      <c r="I172" s="1335"/>
      <c r="J172" s="1335"/>
      <c r="K172" s="1343"/>
      <c r="L172" s="1344"/>
      <c r="M172" s="1335"/>
      <c r="N172" s="1335"/>
      <c r="O172" s="1335"/>
      <c r="P172" s="1335"/>
      <c r="Q172" s="1335"/>
      <c r="R172" s="1335"/>
      <c r="S172" s="1335"/>
      <c r="T172" s="1335"/>
    </row>
    <row r="173" spans="1:20">
      <c r="A173" s="1335"/>
      <c r="B173" s="1335"/>
      <c r="C173" s="1335"/>
      <c r="D173" s="1335"/>
      <c r="E173" s="1335"/>
      <c r="F173" s="1335"/>
      <c r="G173" s="1335"/>
      <c r="H173" s="1335"/>
      <c r="I173" s="1335"/>
      <c r="J173" s="1335"/>
      <c r="K173" s="1343"/>
      <c r="L173" s="1344"/>
      <c r="M173" s="1335"/>
      <c r="N173" s="1335"/>
      <c r="O173" s="1335"/>
      <c r="P173" s="1335"/>
      <c r="Q173" s="1335"/>
      <c r="R173" s="1335"/>
      <c r="S173" s="1335"/>
      <c r="T173" s="1335"/>
    </row>
    <row r="174" spans="1:20">
      <c r="A174" s="1335"/>
      <c r="B174" s="1335"/>
      <c r="C174" s="1335"/>
      <c r="D174" s="1335"/>
      <c r="E174" s="1335"/>
      <c r="F174" s="1335"/>
      <c r="G174" s="1335"/>
      <c r="H174" s="1335"/>
      <c r="I174" s="1335"/>
      <c r="J174" s="1335"/>
      <c r="K174" s="1343"/>
      <c r="L174" s="1344"/>
      <c r="M174" s="1335"/>
      <c r="N174" s="1335"/>
      <c r="O174" s="1335"/>
      <c r="P174" s="1335"/>
      <c r="Q174" s="1335"/>
      <c r="R174" s="1335"/>
      <c r="S174" s="1335"/>
      <c r="T174" s="1335"/>
    </row>
    <row r="175" spans="1:20">
      <c r="A175" s="1335"/>
      <c r="B175" s="1335"/>
      <c r="C175" s="1335"/>
      <c r="D175" s="1335"/>
      <c r="E175" s="1335"/>
      <c r="F175" s="1335"/>
      <c r="G175" s="1335"/>
      <c r="H175" s="1335"/>
      <c r="I175" s="1335"/>
      <c r="J175" s="1335"/>
      <c r="K175" s="1343"/>
      <c r="L175" s="1344"/>
      <c r="M175" s="1335"/>
      <c r="N175" s="1335"/>
      <c r="O175" s="1335"/>
      <c r="P175" s="1335"/>
      <c r="Q175" s="1335"/>
      <c r="R175" s="1335"/>
      <c r="S175" s="1335"/>
      <c r="T175" s="1335"/>
    </row>
    <row r="176" spans="1:20">
      <c r="A176" s="1335"/>
      <c r="B176" s="1335"/>
      <c r="C176" s="1335"/>
      <c r="D176" s="1335"/>
      <c r="E176" s="1335"/>
      <c r="F176" s="1335"/>
      <c r="G176" s="1335"/>
      <c r="H176" s="1335"/>
      <c r="I176" s="1335"/>
      <c r="J176" s="1335"/>
      <c r="K176" s="1343"/>
      <c r="L176" s="1344"/>
      <c r="M176" s="1335"/>
      <c r="N176" s="1335"/>
      <c r="O176" s="1335"/>
      <c r="P176" s="1335"/>
      <c r="Q176" s="1335"/>
      <c r="R176" s="1335"/>
      <c r="S176" s="1335"/>
      <c r="T176" s="1335"/>
    </row>
    <row r="177" spans="1:20">
      <c r="A177" s="1335"/>
      <c r="B177" s="1335"/>
      <c r="C177" s="1335"/>
      <c r="D177" s="1335"/>
      <c r="E177" s="1335"/>
      <c r="F177" s="1335"/>
      <c r="G177" s="1335"/>
      <c r="H177" s="1335"/>
      <c r="I177" s="1335"/>
      <c r="J177" s="1335"/>
      <c r="K177" s="1343"/>
      <c r="L177" s="1344"/>
      <c r="M177" s="1335"/>
      <c r="N177" s="1335"/>
      <c r="O177" s="1335"/>
      <c r="P177" s="1335"/>
      <c r="Q177" s="1335"/>
      <c r="R177" s="1335"/>
      <c r="S177" s="1335"/>
      <c r="T177" s="1335"/>
    </row>
    <row r="178" spans="1:20">
      <c r="A178" s="1335"/>
      <c r="B178" s="1335"/>
      <c r="C178" s="1335"/>
      <c r="D178" s="1335"/>
      <c r="E178" s="1335"/>
      <c r="F178" s="1335"/>
      <c r="G178" s="1335"/>
      <c r="H178" s="1335"/>
      <c r="I178" s="1335"/>
      <c r="J178" s="1335"/>
      <c r="K178" s="1343"/>
      <c r="L178" s="1344"/>
      <c r="M178" s="1335"/>
      <c r="N178" s="1335"/>
      <c r="O178" s="1335"/>
      <c r="P178" s="1335"/>
      <c r="Q178" s="1335"/>
      <c r="R178" s="1335"/>
      <c r="S178" s="1335"/>
      <c r="T178" s="1335"/>
    </row>
    <row r="179" spans="1:20">
      <c r="A179" s="1335"/>
      <c r="B179" s="1335"/>
      <c r="C179" s="1335"/>
      <c r="D179" s="1335"/>
      <c r="E179" s="1335"/>
      <c r="F179" s="1335"/>
      <c r="G179" s="1335"/>
      <c r="H179" s="1335"/>
      <c r="I179" s="1335"/>
      <c r="J179" s="1335"/>
      <c r="K179" s="1343"/>
      <c r="L179" s="1344"/>
      <c r="M179" s="1335"/>
      <c r="N179" s="1335"/>
      <c r="O179" s="1335"/>
      <c r="P179" s="1335"/>
      <c r="Q179" s="1335"/>
      <c r="R179" s="1335"/>
      <c r="S179" s="1335"/>
      <c r="T179" s="1335"/>
    </row>
    <row r="180" spans="1:20">
      <c r="A180" s="1335"/>
      <c r="B180" s="1335"/>
      <c r="C180" s="1335"/>
      <c r="D180" s="1335"/>
      <c r="E180" s="1335"/>
      <c r="F180" s="1335"/>
      <c r="G180" s="1335"/>
      <c r="H180" s="1335"/>
      <c r="I180" s="1335"/>
      <c r="J180" s="1335"/>
      <c r="K180" s="1343"/>
      <c r="L180" s="1344"/>
      <c r="M180" s="1335"/>
      <c r="N180" s="1335"/>
      <c r="O180" s="1335"/>
      <c r="P180" s="1335"/>
      <c r="Q180" s="1335"/>
      <c r="R180" s="1335"/>
      <c r="S180" s="1335"/>
      <c r="T180" s="1335"/>
    </row>
    <row r="181" spans="1:20">
      <c r="A181" s="1335"/>
      <c r="B181" s="1335"/>
      <c r="C181" s="1335"/>
      <c r="D181" s="1335"/>
      <c r="E181" s="1335"/>
      <c r="F181" s="1335"/>
      <c r="G181" s="1335"/>
      <c r="H181" s="1335"/>
      <c r="I181" s="1335"/>
      <c r="J181" s="1335"/>
      <c r="K181" s="1343"/>
      <c r="L181" s="1344"/>
      <c r="M181" s="1335"/>
      <c r="N181" s="1335"/>
      <c r="O181" s="1335"/>
      <c r="P181" s="1335"/>
      <c r="Q181" s="1335"/>
      <c r="R181" s="1335"/>
      <c r="S181" s="1335"/>
      <c r="T181" s="1335"/>
    </row>
    <row r="182" spans="1:20">
      <c r="A182" s="1335"/>
      <c r="B182" s="1335"/>
      <c r="C182" s="1335"/>
      <c r="D182" s="1335"/>
      <c r="E182" s="1335"/>
      <c r="F182" s="1335"/>
      <c r="G182" s="1335"/>
      <c r="H182" s="1335"/>
      <c r="I182" s="1335"/>
      <c r="J182" s="1335"/>
      <c r="K182" s="1343"/>
      <c r="L182" s="1344"/>
      <c r="M182" s="1335"/>
      <c r="N182" s="1335"/>
      <c r="O182" s="1335"/>
      <c r="P182" s="1335"/>
      <c r="Q182" s="1335"/>
      <c r="R182" s="1335"/>
      <c r="S182" s="1335"/>
      <c r="T182" s="1335"/>
    </row>
    <row r="183" spans="1:20">
      <c r="A183" s="1335"/>
      <c r="B183" s="1335"/>
      <c r="C183" s="1335"/>
      <c r="D183" s="1335"/>
      <c r="E183" s="1335"/>
      <c r="F183" s="1335"/>
      <c r="G183" s="1335"/>
      <c r="H183" s="1335"/>
      <c r="I183" s="1335"/>
      <c r="J183" s="1335"/>
      <c r="K183" s="1343"/>
      <c r="L183" s="1344"/>
      <c r="M183" s="1335"/>
      <c r="N183" s="1335"/>
      <c r="O183" s="1335"/>
      <c r="P183" s="1335"/>
      <c r="Q183" s="1335"/>
      <c r="R183" s="1335"/>
      <c r="S183" s="1335"/>
      <c r="T183" s="1335"/>
    </row>
    <row r="184" spans="1:20">
      <c r="A184" s="1335"/>
      <c r="B184" s="1335"/>
      <c r="C184" s="1335"/>
      <c r="D184" s="1335"/>
      <c r="E184" s="1335"/>
      <c r="F184" s="1335"/>
      <c r="G184" s="1335"/>
      <c r="H184" s="1335"/>
      <c r="I184" s="1335"/>
      <c r="J184" s="1335"/>
      <c r="K184" s="1343"/>
      <c r="L184" s="1344"/>
      <c r="M184" s="1335"/>
      <c r="N184" s="1335"/>
      <c r="O184" s="1335"/>
      <c r="P184" s="1335"/>
      <c r="Q184" s="1335"/>
      <c r="R184" s="1335"/>
      <c r="S184" s="1335"/>
      <c r="T184" s="1335"/>
    </row>
    <row r="185" spans="1:20">
      <c r="A185" s="1335"/>
      <c r="B185" s="1335"/>
      <c r="C185" s="1335"/>
      <c r="D185" s="1335"/>
      <c r="E185" s="1335"/>
      <c r="F185" s="1335"/>
      <c r="G185" s="1335"/>
      <c r="H185" s="1335"/>
      <c r="I185" s="1335"/>
      <c r="J185" s="1335"/>
      <c r="K185" s="1343"/>
      <c r="L185" s="1344"/>
      <c r="M185" s="1335"/>
      <c r="N185" s="1335"/>
      <c r="O185" s="1335"/>
      <c r="P185" s="1335"/>
      <c r="Q185" s="1335"/>
      <c r="R185" s="1335"/>
      <c r="S185" s="1335"/>
      <c r="T185" s="1335"/>
    </row>
    <row r="186" spans="1:20">
      <c r="A186" s="1335"/>
      <c r="B186" s="1335"/>
      <c r="C186" s="1335"/>
      <c r="D186" s="1335"/>
      <c r="E186" s="1335"/>
      <c r="F186" s="1335"/>
      <c r="G186" s="1335"/>
      <c r="H186" s="1335"/>
      <c r="I186" s="1335"/>
      <c r="J186" s="1335"/>
      <c r="K186" s="1343"/>
      <c r="L186" s="1344"/>
      <c r="M186" s="1335"/>
      <c r="N186" s="1335"/>
      <c r="O186" s="1335"/>
      <c r="P186" s="1335"/>
      <c r="Q186" s="1335"/>
      <c r="R186" s="1335"/>
      <c r="S186" s="1335"/>
      <c r="T186" s="1335"/>
    </row>
    <row r="187" spans="1:20">
      <c r="A187" s="1335"/>
      <c r="B187" s="1335"/>
      <c r="C187" s="1335"/>
      <c r="D187" s="1335"/>
      <c r="E187" s="1335"/>
      <c r="F187" s="1335"/>
      <c r="G187" s="1335"/>
      <c r="H187" s="1335"/>
      <c r="I187" s="1335"/>
      <c r="J187" s="1335"/>
      <c r="K187" s="1343"/>
      <c r="L187" s="1344"/>
      <c r="M187" s="1335"/>
      <c r="N187" s="1335"/>
      <c r="O187" s="1335"/>
      <c r="P187" s="1335"/>
      <c r="Q187" s="1335"/>
      <c r="R187" s="1335"/>
      <c r="S187" s="1335"/>
      <c r="T187" s="1335"/>
    </row>
    <row r="188" spans="1:20">
      <c r="A188" s="1335"/>
      <c r="B188" s="1335"/>
      <c r="C188" s="1335"/>
      <c r="D188" s="1335"/>
      <c r="E188" s="1335"/>
      <c r="F188" s="1335"/>
      <c r="G188" s="1335"/>
      <c r="H188" s="1335"/>
      <c r="I188" s="1335"/>
      <c r="J188" s="1335"/>
      <c r="K188" s="1343"/>
      <c r="L188" s="1344"/>
      <c r="M188" s="1335"/>
      <c r="N188" s="1335"/>
      <c r="O188" s="1335"/>
      <c r="P188" s="1335"/>
      <c r="Q188" s="1335"/>
      <c r="R188" s="1335"/>
      <c r="S188" s="1335"/>
      <c r="T188" s="1335"/>
    </row>
    <row r="189" spans="1:20">
      <c r="A189" s="1335"/>
      <c r="B189" s="1335"/>
      <c r="C189" s="1335"/>
      <c r="D189" s="1335"/>
      <c r="E189" s="1335"/>
      <c r="F189" s="1335"/>
      <c r="G189" s="1335"/>
      <c r="H189" s="1335"/>
      <c r="I189" s="1335"/>
      <c r="J189" s="1335"/>
      <c r="K189" s="1343"/>
      <c r="L189" s="1344"/>
      <c r="M189" s="1335"/>
      <c r="N189" s="1335"/>
      <c r="O189" s="1335"/>
      <c r="P189" s="1335"/>
      <c r="Q189" s="1335"/>
      <c r="R189" s="1335"/>
      <c r="S189" s="1335"/>
      <c r="T189" s="1335"/>
    </row>
    <row r="190" spans="1:20">
      <c r="A190" s="1335"/>
      <c r="B190" s="1335"/>
      <c r="C190" s="1335"/>
      <c r="D190" s="1335"/>
      <c r="E190" s="1335"/>
      <c r="F190" s="1335"/>
      <c r="G190" s="1335"/>
      <c r="H190" s="1335"/>
      <c r="I190" s="1335"/>
      <c r="J190" s="1335"/>
      <c r="K190" s="1343"/>
      <c r="L190" s="1344"/>
      <c r="M190" s="1335"/>
      <c r="N190" s="1335"/>
      <c r="O190" s="1335"/>
      <c r="P190" s="1335"/>
      <c r="Q190" s="1335"/>
      <c r="R190" s="1335"/>
      <c r="S190" s="1335"/>
      <c r="T190" s="1335"/>
    </row>
    <row r="191" spans="1:20">
      <c r="A191" s="1335"/>
      <c r="B191" s="1335"/>
      <c r="C191" s="1335"/>
      <c r="D191" s="1335"/>
      <c r="E191" s="1335"/>
      <c r="F191" s="1335"/>
      <c r="G191" s="1335"/>
      <c r="H191" s="1335"/>
      <c r="I191" s="1335"/>
      <c r="J191" s="1335"/>
      <c r="K191" s="1343"/>
      <c r="L191" s="1344"/>
      <c r="M191" s="1335"/>
      <c r="N191" s="1335"/>
      <c r="O191" s="1335"/>
      <c r="P191" s="1335"/>
      <c r="Q191" s="1335"/>
      <c r="R191" s="1335"/>
      <c r="S191" s="1335"/>
      <c r="T191" s="1335"/>
    </row>
    <row r="192" spans="1:20">
      <c r="A192" s="1335"/>
      <c r="B192" s="1335"/>
      <c r="C192" s="1335"/>
      <c r="D192" s="1335"/>
      <c r="E192" s="1335"/>
      <c r="F192" s="1335"/>
      <c r="G192" s="1335"/>
      <c r="H192" s="1335"/>
      <c r="I192" s="1335"/>
      <c r="J192" s="1335"/>
      <c r="K192" s="1343"/>
      <c r="L192" s="1344"/>
      <c r="M192" s="1335"/>
      <c r="N192" s="1335"/>
      <c r="O192" s="1335"/>
      <c r="P192" s="1335"/>
      <c r="Q192" s="1335"/>
      <c r="R192" s="1335"/>
      <c r="S192" s="1335"/>
      <c r="T192" s="1335"/>
    </row>
    <row r="193" spans="1:20">
      <c r="A193" s="1335"/>
      <c r="B193" s="1335"/>
      <c r="C193" s="1335"/>
      <c r="D193" s="1335"/>
      <c r="E193" s="1335"/>
      <c r="F193" s="1335"/>
      <c r="G193" s="1335"/>
      <c r="H193" s="1335"/>
      <c r="I193" s="1335"/>
      <c r="J193" s="1335"/>
      <c r="K193" s="1343"/>
      <c r="L193" s="1344"/>
      <c r="M193" s="1335"/>
      <c r="N193" s="1335"/>
      <c r="O193" s="1335"/>
      <c r="P193" s="1335"/>
      <c r="Q193" s="1335"/>
      <c r="R193" s="1335"/>
      <c r="S193" s="1335"/>
      <c r="T193" s="1335"/>
    </row>
    <row r="194" spans="1:20">
      <c r="A194" s="1335"/>
      <c r="B194" s="1335"/>
      <c r="C194" s="1335"/>
      <c r="D194" s="1335"/>
      <c r="E194" s="1335"/>
      <c r="F194" s="1335"/>
      <c r="G194" s="1335"/>
      <c r="H194" s="1335"/>
      <c r="I194" s="1335"/>
      <c r="J194" s="1335"/>
      <c r="K194" s="1343"/>
      <c r="L194" s="1344"/>
      <c r="M194" s="1335"/>
      <c r="N194" s="1335"/>
      <c r="O194" s="1335"/>
      <c r="P194" s="1335"/>
      <c r="Q194" s="1335"/>
      <c r="R194" s="1335"/>
      <c r="S194" s="1335"/>
      <c r="T194" s="1335"/>
    </row>
    <row r="195" spans="1:20">
      <c r="A195" s="1335"/>
      <c r="B195" s="1335"/>
      <c r="C195" s="1335"/>
      <c r="D195" s="1335"/>
      <c r="E195" s="1335"/>
      <c r="F195" s="1335"/>
      <c r="G195" s="1335"/>
      <c r="H195" s="1335"/>
      <c r="I195" s="1335"/>
      <c r="J195" s="1335"/>
      <c r="K195" s="1343"/>
      <c r="L195" s="1344"/>
      <c r="M195" s="1335"/>
      <c r="N195" s="1335"/>
      <c r="O195" s="1335"/>
      <c r="P195" s="1335"/>
      <c r="Q195" s="1335"/>
      <c r="R195" s="1335"/>
      <c r="S195" s="1335"/>
      <c r="T195" s="1335"/>
    </row>
    <row r="196" spans="1:20">
      <c r="A196" s="1335"/>
      <c r="B196" s="1335"/>
      <c r="C196" s="1335"/>
      <c r="D196" s="1335"/>
      <c r="E196" s="1335"/>
      <c r="F196" s="1335"/>
      <c r="G196" s="1335"/>
      <c r="H196" s="1335"/>
      <c r="I196" s="1335"/>
      <c r="J196" s="1335"/>
      <c r="K196" s="1343"/>
      <c r="L196" s="1344"/>
      <c r="M196" s="1335"/>
      <c r="N196" s="1335"/>
      <c r="O196" s="1335"/>
      <c r="P196" s="1335"/>
      <c r="Q196" s="1335"/>
      <c r="R196" s="1335"/>
      <c r="S196" s="1335"/>
      <c r="T196" s="1335"/>
    </row>
    <row r="197" spans="1:20">
      <c r="A197" s="1335"/>
      <c r="B197" s="1335"/>
      <c r="C197" s="1335"/>
      <c r="D197" s="1335"/>
      <c r="E197" s="1335"/>
      <c r="F197" s="1335"/>
      <c r="G197" s="1335"/>
      <c r="H197" s="1335"/>
      <c r="I197" s="1335"/>
      <c r="J197" s="1335"/>
      <c r="K197" s="1343"/>
      <c r="L197" s="1344"/>
      <c r="M197" s="1335"/>
      <c r="N197" s="1335"/>
      <c r="O197" s="1335"/>
      <c r="P197" s="1335"/>
      <c r="Q197" s="1335"/>
      <c r="R197" s="1335"/>
      <c r="S197" s="1335"/>
      <c r="T197" s="1335"/>
    </row>
    <row r="198" spans="1:20">
      <c r="A198" s="1335"/>
      <c r="B198" s="1335"/>
      <c r="C198" s="1335"/>
      <c r="D198" s="1335"/>
      <c r="E198" s="1335"/>
      <c r="F198" s="1335"/>
      <c r="G198" s="1335"/>
      <c r="H198" s="1335"/>
      <c r="I198" s="1335"/>
      <c r="J198" s="1335"/>
      <c r="K198" s="1343"/>
      <c r="L198" s="1344"/>
      <c r="M198" s="1335"/>
      <c r="N198" s="1335"/>
      <c r="O198" s="1335"/>
      <c r="P198" s="1335"/>
      <c r="Q198" s="1335"/>
      <c r="R198" s="1335"/>
      <c r="S198" s="1335"/>
      <c r="T198" s="1335"/>
    </row>
    <row r="199" spans="1:20">
      <c r="A199" s="1335"/>
      <c r="B199" s="1335"/>
      <c r="C199" s="1335"/>
      <c r="D199" s="1335"/>
      <c r="E199" s="1335"/>
      <c r="F199" s="1335"/>
      <c r="G199" s="1335"/>
      <c r="H199" s="1335"/>
      <c r="I199" s="1335"/>
      <c r="J199" s="1335"/>
      <c r="K199" s="1343"/>
      <c r="L199" s="1344"/>
      <c r="M199" s="1335"/>
      <c r="N199" s="1335"/>
      <c r="O199" s="1335"/>
      <c r="P199" s="1335"/>
      <c r="Q199" s="1335"/>
      <c r="R199" s="1335"/>
      <c r="S199" s="1335"/>
      <c r="T199" s="1335"/>
    </row>
    <row r="200" spans="1:20">
      <c r="A200" s="1335"/>
      <c r="B200" s="1335"/>
      <c r="C200" s="1335"/>
      <c r="D200" s="1335"/>
      <c r="E200" s="1335"/>
      <c r="F200" s="1335"/>
      <c r="G200" s="1335"/>
      <c r="H200" s="1335"/>
      <c r="I200" s="1335"/>
      <c r="J200" s="1335"/>
      <c r="K200" s="1343"/>
      <c r="L200" s="1344"/>
      <c r="M200" s="1335"/>
      <c r="N200" s="1335"/>
      <c r="O200" s="1335"/>
      <c r="P200" s="1335"/>
      <c r="Q200" s="1335"/>
      <c r="R200" s="1335"/>
      <c r="S200" s="1335"/>
      <c r="T200" s="1335"/>
    </row>
    <row r="201" spans="1:20">
      <c r="A201" s="1335"/>
      <c r="B201" s="1335"/>
      <c r="C201" s="1335"/>
      <c r="D201" s="1335"/>
      <c r="E201" s="1335"/>
      <c r="F201" s="1335"/>
      <c r="G201" s="1335"/>
      <c r="H201" s="1335"/>
      <c r="I201" s="1335"/>
      <c r="J201" s="1335"/>
      <c r="K201" s="1343"/>
      <c r="L201" s="1344"/>
      <c r="M201" s="1335"/>
      <c r="N201" s="1335"/>
      <c r="O201" s="1335"/>
      <c r="P201" s="1335"/>
      <c r="Q201" s="1335"/>
      <c r="R201" s="1335"/>
      <c r="S201" s="1335"/>
      <c r="T201" s="1335"/>
    </row>
    <row r="202" spans="1:20">
      <c r="A202" s="1335"/>
      <c r="B202" s="1335"/>
      <c r="C202" s="1335"/>
      <c r="D202" s="1335"/>
      <c r="E202" s="1335"/>
      <c r="F202" s="1335"/>
      <c r="G202" s="1335"/>
      <c r="H202" s="1335"/>
      <c r="I202" s="1335"/>
      <c r="J202" s="1335"/>
      <c r="K202" s="1343"/>
      <c r="L202" s="1344"/>
      <c r="M202" s="1335"/>
      <c r="N202" s="1335"/>
      <c r="O202" s="1335"/>
      <c r="P202" s="1335"/>
      <c r="Q202" s="1335"/>
      <c r="R202" s="1335"/>
      <c r="S202" s="1335"/>
      <c r="T202" s="1335"/>
    </row>
    <row r="203" spans="1:20">
      <c r="A203" s="1335"/>
      <c r="B203" s="1335"/>
      <c r="C203" s="1335"/>
      <c r="D203" s="1335"/>
      <c r="E203" s="1335"/>
      <c r="F203" s="1335"/>
      <c r="G203" s="1335"/>
      <c r="H203" s="1335"/>
      <c r="I203" s="1335"/>
      <c r="J203" s="1335"/>
      <c r="K203" s="1343"/>
      <c r="L203" s="1344"/>
      <c r="M203" s="1335"/>
      <c r="N203" s="1335"/>
      <c r="O203" s="1335"/>
      <c r="P203" s="1335"/>
      <c r="Q203" s="1335"/>
      <c r="R203" s="1335"/>
      <c r="S203" s="1335"/>
      <c r="T203" s="1335"/>
    </row>
    <row r="204" spans="1:20">
      <c r="A204" s="1335"/>
      <c r="B204" s="1335"/>
      <c r="C204" s="1335"/>
      <c r="D204" s="1335"/>
      <c r="E204" s="1335"/>
      <c r="F204" s="1335"/>
      <c r="G204" s="1335"/>
      <c r="H204" s="1335"/>
      <c r="I204" s="1335"/>
      <c r="J204" s="1335"/>
      <c r="K204" s="1343"/>
      <c r="L204" s="1344"/>
      <c r="M204" s="1335"/>
      <c r="N204" s="1335"/>
      <c r="O204" s="1335"/>
      <c r="P204" s="1335"/>
      <c r="Q204" s="1335"/>
      <c r="R204" s="1335"/>
      <c r="S204" s="1335"/>
      <c r="T204" s="1335"/>
    </row>
    <row r="205" spans="1:20">
      <c r="A205" s="1335"/>
      <c r="B205" s="1335"/>
      <c r="C205" s="1335"/>
      <c r="D205" s="1335"/>
      <c r="E205" s="1335"/>
      <c r="F205" s="1335"/>
      <c r="G205" s="1335"/>
      <c r="H205" s="1335"/>
      <c r="I205" s="1335"/>
      <c r="J205" s="1335"/>
      <c r="K205" s="1343"/>
      <c r="L205" s="1344"/>
      <c r="M205" s="1335"/>
      <c r="N205" s="1335"/>
      <c r="O205" s="1335"/>
      <c r="P205" s="1335"/>
      <c r="Q205" s="1335"/>
      <c r="R205" s="1335"/>
      <c r="S205" s="1335"/>
      <c r="T205" s="1335"/>
    </row>
    <row r="206" spans="1:20">
      <c r="A206" s="1335"/>
      <c r="B206" s="1335"/>
      <c r="C206" s="1335"/>
      <c r="D206" s="1335"/>
      <c r="E206" s="1335"/>
      <c r="F206" s="1335"/>
      <c r="G206" s="1335"/>
      <c r="H206" s="1335"/>
      <c r="I206" s="1335"/>
      <c r="J206" s="1335"/>
      <c r="K206" s="1343"/>
      <c r="L206" s="1344"/>
      <c r="M206" s="1335"/>
      <c r="N206" s="1335"/>
      <c r="O206" s="1335"/>
      <c r="P206" s="1335"/>
      <c r="Q206" s="1335"/>
      <c r="R206" s="1335"/>
      <c r="S206" s="1335"/>
      <c r="T206" s="1335"/>
    </row>
    <row r="207" spans="1:20">
      <c r="A207" s="1335"/>
      <c r="B207" s="1335"/>
      <c r="C207" s="1335"/>
      <c r="D207" s="1335"/>
      <c r="E207" s="1335"/>
      <c r="F207" s="1335"/>
      <c r="G207" s="1335"/>
      <c r="H207" s="1335"/>
      <c r="I207" s="1335"/>
      <c r="J207" s="1335"/>
      <c r="K207" s="1343"/>
      <c r="L207" s="1344"/>
      <c r="M207" s="1335"/>
      <c r="N207" s="1335"/>
      <c r="O207" s="1335"/>
      <c r="P207" s="1335"/>
      <c r="Q207" s="1335"/>
      <c r="R207" s="1335"/>
      <c r="S207" s="1335"/>
      <c r="T207" s="1335"/>
    </row>
    <row r="208" spans="1:20">
      <c r="A208" s="1335"/>
      <c r="B208" s="1335"/>
      <c r="C208" s="1335"/>
      <c r="D208" s="1335"/>
      <c r="E208" s="1335"/>
      <c r="F208" s="1335"/>
      <c r="G208" s="1335"/>
      <c r="H208" s="1335"/>
      <c r="I208" s="1335"/>
      <c r="J208" s="1335"/>
      <c r="K208" s="1343"/>
      <c r="L208" s="1344"/>
      <c r="M208" s="1335"/>
      <c r="N208" s="1335"/>
      <c r="O208" s="1335"/>
      <c r="P208" s="1335"/>
      <c r="Q208" s="1335"/>
      <c r="R208" s="1335"/>
      <c r="S208" s="1335"/>
      <c r="T208" s="1335"/>
    </row>
    <row r="209" spans="1:20">
      <c r="A209" s="1335"/>
      <c r="B209" s="1335"/>
      <c r="C209" s="1335"/>
      <c r="D209" s="1335"/>
      <c r="E209" s="1335"/>
      <c r="F209" s="1335"/>
      <c r="G209" s="1335"/>
      <c r="H209" s="1335"/>
      <c r="I209" s="1335"/>
      <c r="J209" s="1335"/>
      <c r="K209" s="1343"/>
      <c r="L209" s="1344"/>
      <c r="M209" s="1335"/>
      <c r="N209" s="1335"/>
      <c r="O209" s="1335"/>
      <c r="P209" s="1335"/>
      <c r="Q209" s="1335"/>
      <c r="R209" s="1335"/>
      <c r="S209" s="1335"/>
      <c r="T209" s="1335"/>
    </row>
    <row r="210" spans="1:20">
      <c r="A210" s="1335"/>
      <c r="B210" s="1335"/>
      <c r="C210" s="1335"/>
      <c r="D210" s="1335"/>
      <c r="E210" s="1335"/>
      <c r="F210" s="1335"/>
      <c r="G210" s="1335"/>
      <c r="H210" s="1335"/>
      <c r="I210" s="1335"/>
      <c r="J210" s="1335"/>
      <c r="K210" s="1343"/>
      <c r="L210" s="1344"/>
      <c r="M210" s="1335"/>
      <c r="N210" s="1335"/>
      <c r="O210" s="1335"/>
      <c r="P210" s="1335"/>
      <c r="Q210" s="1335"/>
      <c r="R210" s="1335"/>
      <c r="S210" s="1335"/>
      <c r="T210" s="1335"/>
    </row>
    <row r="211" spans="1:20">
      <c r="A211" s="1335"/>
      <c r="B211" s="1335"/>
      <c r="C211" s="1335"/>
      <c r="D211" s="1335"/>
      <c r="E211" s="1335"/>
      <c r="F211" s="1335"/>
      <c r="G211" s="1335"/>
      <c r="H211" s="1335"/>
      <c r="I211" s="1335"/>
      <c r="J211" s="1335"/>
      <c r="K211" s="1343"/>
      <c r="L211" s="1344"/>
      <c r="M211" s="1335"/>
      <c r="N211" s="1335"/>
      <c r="O211" s="1335"/>
      <c r="P211" s="1335"/>
      <c r="Q211" s="1335"/>
      <c r="R211" s="1335"/>
      <c r="S211" s="1335"/>
      <c r="T211" s="1335"/>
    </row>
    <row r="212" spans="1:20">
      <c r="A212" s="1335"/>
      <c r="B212" s="1335"/>
      <c r="C212" s="1335"/>
      <c r="D212" s="1335"/>
      <c r="E212" s="1335"/>
      <c r="F212" s="1335"/>
      <c r="G212" s="1335"/>
      <c r="H212" s="1335"/>
      <c r="I212" s="1335"/>
      <c r="J212" s="1335"/>
      <c r="K212" s="1343"/>
      <c r="L212" s="1344"/>
      <c r="M212" s="1335"/>
      <c r="N212" s="1335"/>
      <c r="O212" s="1335"/>
      <c r="P212" s="1335"/>
      <c r="Q212" s="1335"/>
      <c r="R212" s="1335"/>
      <c r="S212" s="1335"/>
      <c r="T212" s="1335"/>
    </row>
    <row r="213" spans="1:20">
      <c r="A213" s="1335"/>
      <c r="B213" s="1335"/>
      <c r="C213" s="1335"/>
      <c r="D213" s="1335"/>
      <c r="E213" s="1335"/>
      <c r="F213" s="1335"/>
      <c r="G213" s="1335"/>
      <c r="H213" s="1335"/>
      <c r="I213" s="1335"/>
      <c r="J213" s="1335"/>
      <c r="K213" s="1343"/>
      <c r="L213" s="1344"/>
      <c r="M213" s="1335"/>
      <c r="N213" s="1335"/>
      <c r="O213" s="1335"/>
      <c r="P213" s="1335"/>
      <c r="Q213" s="1335"/>
      <c r="R213" s="1335"/>
      <c r="S213" s="1335"/>
      <c r="T213" s="1335"/>
    </row>
    <row r="214" spans="1:20">
      <c r="A214" s="1335"/>
      <c r="B214" s="1335"/>
      <c r="C214" s="1335"/>
      <c r="D214" s="1335"/>
      <c r="E214" s="1335"/>
      <c r="F214" s="1335"/>
      <c r="G214" s="1335"/>
      <c r="H214" s="1335"/>
      <c r="I214" s="1335"/>
      <c r="J214" s="1335"/>
      <c r="K214" s="1343"/>
      <c r="L214" s="1344"/>
      <c r="M214" s="1335"/>
      <c r="N214" s="1335"/>
      <c r="O214" s="1335"/>
      <c r="P214" s="1335"/>
      <c r="Q214" s="1335"/>
      <c r="R214" s="1335"/>
      <c r="S214" s="1335"/>
      <c r="T214" s="1335"/>
    </row>
    <row r="215" spans="1:20">
      <c r="A215" s="1335"/>
      <c r="B215" s="1335"/>
      <c r="C215" s="1335"/>
      <c r="D215" s="1335"/>
      <c r="E215" s="1335"/>
      <c r="F215" s="1335"/>
      <c r="G215" s="1335"/>
      <c r="H215" s="1335"/>
      <c r="I215" s="1335"/>
      <c r="J215" s="1335"/>
      <c r="K215" s="1343"/>
      <c r="L215" s="1344"/>
      <c r="M215" s="1335"/>
      <c r="N215" s="1335"/>
      <c r="O215" s="1335"/>
      <c r="P215" s="1335"/>
      <c r="Q215" s="1335"/>
      <c r="R215" s="1335"/>
      <c r="S215" s="1335"/>
      <c r="T215" s="1335"/>
    </row>
    <row r="216" spans="1:20">
      <c r="A216" s="1335"/>
      <c r="B216" s="1335"/>
      <c r="C216" s="1335"/>
      <c r="D216" s="1335"/>
      <c r="E216" s="1335"/>
      <c r="F216" s="1335"/>
      <c r="G216" s="1335"/>
      <c r="H216" s="1335"/>
      <c r="I216" s="1335"/>
      <c r="J216" s="1335"/>
      <c r="K216" s="1343"/>
      <c r="L216" s="1344"/>
      <c r="M216" s="1335"/>
      <c r="N216" s="1335"/>
      <c r="O216" s="1335"/>
      <c r="P216" s="1335"/>
      <c r="Q216" s="1335"/>
      <c r="R216" s="1335"/>
      <c r="S216" s="1335"/>
      <c r="T216" s="1335"/>
    </row>
    <row r="217" spans="1:20">
      <c r="A217" s="1335"/>
      <c r="B217" s="1335"/>
      <c r="C217" s="1335"/>
      <c r="D217" s="1335"/>
      <c r="E217" s="1335"/>
      <c r="F217" s="1335"/>
      <c r="G217" s="1335"/>
      <c r="H217" s="1335"/>
      <c r="I217" s="1335"/>
      <c r="J217" s="1335"/>
      <c r="K217" s="1343"/>
      <c r="L217" s="1344"/>
      <c r="M217" s="1335"/>
      <c r="N217" s="1335"/>
      <c r="O217" s="1335"/>
      <c r="P217" s="1335"/>
      <c r="Q217" s="1335"/>
      <c r="R217" s="1335"/>
      <c r="S217" s="1335"/>
      <c r="T217" s="1335"/>
    </row>
    <row r="218" spans="1:20">
      <c r="A218" s="1335"/>
      <c r="B218" s="1335"/>
      <c r="C218" s="1335"/>
      <c r="D218" s="1335"/>
      <c r="E218" s="1335"/>
      <c r="F218" s="1335"/>
      <c r="G218" s="1335"/>
      <c r="H218" s="1335"/>
      <c r="I218" s="1335"/>
      <c r="J218" s="1335"/>
      <c r="K218" s="1343"/>
      <c r="L218" s="1344"/>
      <c r="M218" s="1335"/>
      <c r="N218" s="1335"/>
      <c r="O218" s="1335"/>
      <c r="P218" s="1335"/>
      <c r="Q218" s="1335"/>
      <c r="R218" s="1335"/>
      <c r="S218" s="1335"/>
      <c r="T218" s="1335"/>
    </row>
    <row r="219" spans="1:20">
      <c r="A219" s="1335"/>
      <c r="B219" s="1335"/>
      <c r="C219" s="1335"/>
      <c r="D219" s="1335"/>
      <c r="E219" s="1335"/>
      <c r="F219" s="1335"/>
      <c r="G219" s="1335"/>
      <c r="H219" s="1335"/>
      <c r="I219" s="1335"/>
      <c r="J219" s="1335"/>
      <c r="K219" s="1343"/>
      <c r="L219" s="1344"/>
      <c r="M219" s="1335"/>
      <c r="N219" s="1335"/>
      <c r="O219" s="1335"/>
      <c r="P219" s="1335"/>
      <c r="Q219" s="1335"/>
      <c r="R219" s="1335"/>
      <c r="S219" s="1335"/>
      <c r="T219" s="1335"/>
    </row>
    <row r="220" spans="1:20">
      <c r="A220" s="1335"/>
      <c r="B220" s="1335"/>
      <c r="C220" s="1335"/>
      <c r="D220" s="1335"/>
      <c r="E220" s="1335"/>
      <c r="F220" s="1335"/>
      <c r="G220" s="1335"/>
      <c r="H220" s="1335"/>
      <c r="I220" s="1335"/>
      <c r="J220" s="1335"/>
      <c r="K220" s="1343"/>
      <c r="L220" s="1344"/>
      <c r="M220" s="1335"/>
      <c r="N220" s="1335"/>
      <c r="O220" s="1335"/>
      <c r="P220" s="1335"/>
      <c r="Q220" s="1335"/>
      <c r="R220" s="1335"/>
      <c r="S220" s="1335"/>
      <c r="T220" s="1335"/>
    </row>
    <row r="221" spans="1:20">
      <c r="A221" s="1335"/>
      <c r="B221" s="1335"/>
      <c r="C221" s="1335"/>
      <c r="D221" s="1335"/>
      <c r="E221" s="1335"/>
      <c r="F221" s="1335"/>
      <c r="G221" s="1335"/>
      <c r="H221" s="1335"/>
      <c r="I221" s="1335"/>
      <c r="J221" s="1335"/>
      <c r="K221" s="1343"/>
      <c r="L221" s="1344"/>
      <c r="M221" s="1335"/>
      <c r="N221" s="1335"/>
      <c r="O221" s="1335"/>
      <c r="P221" s="1335"/>
      <c r="Q221" s="1335"/>
      <c r="R221" s="1335"/>
      <c r="S221" s="1335"/>
      <c r="T221" s="1335"/>
    </row>
    <row r="222" spans="1:20">
      <c r="A222" s="1335"/>
      <c r="B222" s="1335"/>
      <c r="C222" s="1335"/>
      <c r="D222" s="1335"/>
      <c r="E222" s="1335"/>
      <c r="F222" s="1335"/>
      <c r="G222" s="1335"/>
      <c r="H222" s="1335"/>
      <c r="I222" s="1335"/>
      <c r="J222" s="1335"/>
      <c r="K222" s="1343"/>
      <c r="L222" s="1344"/>
      <c r="M222" s="1335"/>
      <c r="N222" s="1335"/>
      <c r="O222" s="1335"/>
      <c r="P222" s="1335"/>
      <c r="Q222" s="1335"/>
      <c r="R222" s="1335"/>
      <c r="S222" s="1335"/>
      <c r="T222" s="1335"/>
    </row>
    <row r="223" spans="1:20">
      <c r="A223" s="1335"/>
      <c r="B223" s="1335"/>
      <c r="C223" s="1335"/>
      <c r="D223" s="1335"/>
      <c r="E223" s="1335"/>
      <c r="F223" s="1335"/>
      <c r="G223" s="1335"/>
      <c r="H223" s="1335"/>
      <c r="I223" s="1335"/>
      <c r="J223" s="1335"/>
      <c r="K223" s="1343"/>
      <c r="L223" s="1344"/>
      <c r="M223" s="1335"/>
      <c r="N223" s="1335"/>
      <c r="O223" s="1335"/>
      <c r="P223" s="1335"/>
      <c r="Q223" s="1335"/>
      <c r="R223" s="1335"/>
      <c r="S223" s="1335"/>
      <c r="T223" s="1335"/>
    </row>
    <row r="224" spans="1:20">
      <c r="A224" s="1335"/>
      <c r="B224" s="1335"/>
      <c r="C224" s="1335"/>
      <c r="D224" s="1335"/>
      <c r="E224" s="1335"/>
      <c r="F224" s="1335"/>
      <c r="G224" s="1335"/>
      <c r="H224" s="1335"/>
      <c r="I224" s="1335"/>
      <c r="J224" s="1335"/>
      <c r="K224" s="1343"/>
      <c r="L224" s="1344"/>
      <c r="M224" s="1335"/>
      <c r="N224" s="1335"/>
      <c r="O224" s="1335"/>
      <c r="P224" s="1335"/>
      <c r="Q224" s="1335"/>
      <c r="R224" s="1335"/>
      <c r="S224" s="1335"/>
      <c r="T224" s="1335"/>
    </row>
    <row r="225" spans="1:20">
      <c r="A225" s="1335"/>
      <c r="B225" s="1335"/>
      <c r="C225" s="1335"/>
      <c r="D225" s="1335"/>
      <c r="E225" s="1335"/>
      <c r="F225" s="1335"/>
      <c r="G225" s="1335"/>
      <c r="H225" s="1335"/>
      <c r="I225" s="1335"/>
      <c r="J225" s="1335"/>
      <c r="K225" s="1343"/>
      <c r="L225" s="1344"/>
      <c r="M225" s="1335"/>
      <c r="N225" s="1335"/>
      <c r="O225" s="1335"/>
      <c r="P225" s="1335"/>
      <c r="Q225" s="1335"/>
      <c r="R225" s="1335"/>
      <c r="S225" s="1335"/>
      <c r="T225" s="1335"/>
    </row>
    <row r="226" spans="1:20">
      <c r="A226" s="1335"/>
      <c r="B226" s="1335"/>
      <c r="C226" s="1335"/>
      <c r="D226" s="1335"/>
      <c r="E226" s="1335"/>
      <c r="F226" s="1335"/>
      <c r="G226" s="1335"/>
      <c r="H226" s="1335"/>
      <c r="I226" s="1335"/>
      <c r="J226" s="1335"/>
      <c r="K226" s="1343"/>
      <c r="L226" s="1344"/>
      <c r="M226" s="1335"/>
      <c r="N226" s="1335"/>
      <c r="O226" s="1335"/>
      <c r="P226" s="1335"/>
      <c r="Q226" s="1335"/>
      <c r="R226" s="1335"/>
      <c r="S226" s="1335"/>
      <c r="T226" s="1335"/>
    </row>
    <row r="227" spans="1:20">
      <c r="A227" s="1335"/>
      <c r="B227" s="1335"/>
      <c r="C227" s="1335"/>
      <c r="D227" s="1335"/>
      <c r="E227" s="1335"/>
      <c r="F227" s="1335"/>
      <c r="G227" s="1335"/>
      <c r="H227" s="1335"/>
      <c r="I227" s="1335"/>
      <c r="J227" s="1335"/>
      <c r="K227" s="1343"/>
      <c r="L227" s="1344"/>
      <c r="M227" s="1335"/>
      <c r="N227" s="1335"/>
      <c r="O227" s="1335"/>
      <c r="P227" s="1335"/>
      <c r="Q227" s="1335"/>
      <c r="R227" s="1335"/>
      <c r="S227" s="1335"/>
      <c r="T227" s="1335"/>
    </row>
    <row r="228" spans="1:20">
      <c r="A228" s="1335"/>
      <c r="B228" s="1335"/>
      <c r="C228" s="1335"/>
      <c r="D228" s="1335"/>
      <c r="E228" s="1335"/>
      <c r="F228" s="1335"/>
      <c r="G228" s="1335"/>
      <c r="H228" s="1335"/>
      <c r="I228" s="1335"/>
      <c r="J228" s="1335"/>
      <c r="K228" s="1343"/>
      <c r="L228" s="1344"/>
      <c r="M228" s="1335"/>
      <c r="N228" s="1335"/>
      <c r="O228" s="1335"/>
      <c r="P228" s="1335"/>
      <c r="Q228" s="1335"/>
      <c r="R228" s="1335"/>
      <c r="S228" s="1335"/>
      <c r="T228" s="1335"/>
    </row>
    <row r="229" spans="1:20">
      <c r="A229" s="1335"/>
      <c r="B229" s="1335"/>
      <c r="C229" s="1335"/>
      <c r="D229" s="1335"/>
      <c r="E229" s="1335"/>
      <c r="F229" s="1335"/>
      <c r="G229" s="1335"/>
      <c r="H229" s="1335"/>
      <c r="I229" s="1335"/>
      <c r="J229" s="1335"/>
      <c r="K229" s="1343"/>
      <c r="L229" s="1344"/>
      <c r="M229" s="1335"/>
      <c r="N229" s="1335"/>
      <c r="O229" s="1335"/>
      <c r="P229" s="1335"/>
      <c r="Q229" s="1335"/>
      <c r="R229" s="1335"/>
      <c r="S229" s="1335"/>
      <c r="T229" s="1335"/>
    </row>
    <row r="230" spans="1:20">
      <c r="A230" s="1335"/>
      <c r="B230" s="1335"/>
      <c r="C230" s="1335"/>
      <c r="D230" s="1335"/>
      <c r="E230" s="1335"/>
      <c r="F230" s="1335"/>
      <c r="G230" s="1335"/>
      <c r="H230" s="1335"/>
      <c r="I230" s="1335"/>
      <c r="J230" s="1335"/>
      <c r="K230" s="1343"/>
      <c r="L230" s="1344"/>
      <c r="M230" s="1335"/>
      <c r="N230" s="1335"/>
      <c r="O230" s="1335"/>
      <c r="P230" s="1335"/>
      <c r="Q230" s="1335"/>
      <c r="R230" s="1335"/>
      <c r="S230" s="1335"/>
      <c r="T230" s="1335"/>
    </row>
    <row r="231" spans="1:20">
      <c r="A231" s="1335"/>
      <c r="B231" s="1335"/>
      <c r="C231" s="1335"/>
      <c r="D231" s="1335"/>
      <c r="E231" s="1335"/>
      <c r="F231" s="1335"/>
      <c r="G231" s="1335"/>
      <c r="H231" s="1335"/>
      <c r="I231" s="1335"/>
      <c r="J231" s="1335"/>
      <c r="K231" s="1343"/>
      <c r="L231" s="1344"/>
      <c r="M231" s="1335"/>
      <c r="N231" s="1335"/>
      <c r="O231" s="1335"/>
      <c r="P231" s="1335"/>
      <c r="Q231" s="1335"/>
      <c r="R231" s="1335"/>
      <c r="S231" s="1335"/>
      <c r="T231" s="1335"/>
    </row>
    <row r="232" spans="1:20">
      <c r="A232" s="1335"/>
      <c r="B232" s="1335"/>
      <c r="C232" s="1335"/>
      <c r="D232" s="1335"/>
      <c r="E232" s="1335"/>
      <c r="F232" s="1335"/>
      <c r="G232" s="1335"/>
      <c r="H232" s="1335"/>
      <c r="I232" s="1335"/>
      <c r="J232" s="1335"/>
      <c r="K232" s="1343"/>
      <c r="L232" s="1344"/>
      <c r="M232" s="1335"/>
      <c r="N232" s="1335"/>
      <c r="O232" s="1335"/>
      <c r="P232" s="1335"/>
      <c r="Q232" s="1335"/>
      <c r="R232" s="1335"/>
      <c r="S232" s="1335"/>
      <c r="T232" s="1335"/>
    </row>
    <row r="233" spans="1:20">
      <c r="A233" s="1335"/>
      <c r="B233" s="1335"/>
      <c r="C233" s="1335"/>
      <c r="D233" s="1335"/>
      <c r="E233" s="1335"/>
      <c r="F233" s="1335"/>
      <c r="G233" s="1335"/>
      <c r="H233" s="1335"/>
      <c r="I233" s="1335"/>
      <c r="J233" s="1335"/>
      <c r="K233" s="1343"/>
      <c r="L233" s="1344"/>
      <c r="M233" s="1335"/>
      <c r="N233" s="1335"/>
      <c r="O233" s="1335"/>
      <c r="P233" s="1335"/>
      <c r="Q233" s="1335"/>
      <c r="R233" s="1335"/>
      <c r="S233" s="1335"/>
      <c r="T233" s="1335"/>
    </row>
    <row r="234" spans="1:20">
      <c r="A234" s="1335"/>
      <c r="B234" s="1335"/>
      <c r="C234" s="1335"/>
      <c r="D234" s="1335"/>
      <c r="E234" s="1335"/>
      <c r="F234" s="1335"/>
      <c r="G234" s="1335"/>
      <c r="H234" s="1335"/>
      <c r="I234" s="1335"/>
      <c r="J234" s="1335"/>
      <c r="K234" s="1343"/>
      <c r="L234" s="1344"/>
      <c r="M234" s="1335"/>
      <c r="N234" s="1335"/>
      <c r="O234" s="1335"/>
      <c r="P234" s="1335"/>
      <c r="Q234" s="1335"/>
      <c r="R234" s="1335"/>
      <c r="S234" s="1335"/>
      <c r="T234" s="1335"/>
    </row>
    <row r="235" spans="1:20">
      <c r="A235" s="1335"/>
      <c r="B235" s="1335"/>
      <c r="C235" s="1335"/>
      <c r="D235" s="1335"/>
      <c r="E235" s="1335"/>
      <c r="F235" s="1335"/>
      <c r="G235" s="1335"/>
      <c r="H235" s="1335"/>
      <c r="I235" s="1335"/>
      <c r="J235" s="1335"/>
      <c r="K235" s="1343"/>
      <c r="L235" s="1344"/>
      <c r="M235" s="1335"/>
      <c r="N235" s="1335"/>
      <c r="O235" s="1335"/>
      <c r="P235" s="1335"/>
      <c r="Q235" s="1335"/>
      <c r="R235" s="1335"/>
      <c r="S235" s="1335"/>
      <c r="T235" s="1335"/>
    </row>
    <row r="236" spans="1:20">
      <c r="A236" s="1335"/>
      <c r="B236" s="1335"/>
      <c r="C236" s="1335"/>
      <c r="D236" s="1335"/>
      <c r="E236" s="1335"/>
      <c r="F236" s="1335"/>
      <c r="G236" s="1335"/>
      <c r="H236" s="1335"/>
      <c r="I236" s="1335"/>
      <c r="J236" s="1335"/>
      <c r="K236" s="1343"/>
      <c r="L236" s="1344"/>
      <c r="M236" s="1335"/>
      <c r="N236" s="1335"/>
      <c r="O236" s="1335"/>
      <c r="P236" s="1335"/>
      <c r="Q236" s="1335"/>
      <c r="R236" s="1335"/>
      <c r="S236" s="1335"/>
      <c r="T236" s="1335"/>
    </row>
    <row r="237" spans="1:20">
      <c r="A237" s="1335"/>
      <c r="B237" s="1335"/>
      <c r="C237" s="1335"/>
      <c r="D237" s="1335"/>
      <c r="E237" s="1335"/>
      <c r="F237" s="1335"/>
      <c r="G237" s="1335"/>
      <c r="H237" s="1335"/>
      <c r="I237" s="1335"/>
      <c r="J237" s="1335"/>
      <c r="K237" s="1343"/>
      <c r="L237" s="1344"/>
      <c r="M237" s="1335"/>
      <c r="N237" s="1335"/>
      <c r="O237" s="1335"/>
      <c r="P237" s="1335"/>
      <c r="Q237" s="1335"/>
      <c r="R237" s="1335"/>
      <c r="S237" s="1335"/>
      <c r="T237" s="1335"/>
    </row>
    <row r="238" spans="1:20">
      <c r="A238" s="1335"/>
      <c r="B238" s="1335"/>
      <c r="C238" s="1335"/>
      <c r="D238" s="1335"/>
      <c r="E238" s="1335"/>
      <c r="F238" s="1335"/>
      <c r="G238" s="1335"/>
      <c r="H238" s="1335"/>
      <c r="I238" s="1335"/>
      <c r="J238" s="1335"/>
      <c r="K238" s="1343"/>
      <c r="L238" s="1344"/>
      <c r="M238" s="1335"/>
      <c r="N238" s="1335"/>
      <c r="O238" s="1335"/>
      <c r="P238" s="1335"/>
      <c r="Q238" s="1335"/>
      <c r="R238" s="1335"/>
      <c r="S238" s="1335"/>
      <c r="T238" s="1335"/>
    </row>
    <row r="239" spans="1:20">
      <c r="A239" s="1335"/>
      <c r="B239" s="1335"/>
      <c r="C239" s="1335"/>
      <c r="D239" s="1335"/>
      <c r="E239" s="1335"/>
      <c r="F239" s="1335"/>
      <c r="G239" s="1335"/>
      <c r="H239" s="1335"/>
      <c r="I239" s="1335"/>
      <c r="J239" s="1335"/>
      <c r="K239" s="1343"/>
      <c r="L239" s="1344"/>
      <c r="M239" s="1335"/>
      <c r="N239" s="1335"/>
      <c r="O239" s="1335"/>
      <c r="P239" s="1335"/>
      <c r="Q239" s="1335"/>
      <c r="R239" s="1335"/>
      <c r="S239" s="1335"/>
      <c r="T239" s="1335"/>
    </row>
    <row r="240" spans="1:20">
      <c r="A240" s="1335"/>
      <c r="B240" s="1335"/>
      <c r="C240" s="1335"/>
      <c r="D240" s="1335"/>
      <c r="E240" s="1335"/>
      <c r="F240" s="1335"/>
      <c r="G240" s="1335"/>
      <c r="H240" s="1335"/>
      <c r="I240" s="1335"/>
      <c r="J240" s="1335"/>
      <c r="K240" s="1343"/>
      <c r="L240" s="1344"/>
      <c r="M240" s="1335"/>
      <c r="N240" s="1335"/>
      <c r="O240" s="1335"/>
      <c r="P240" s="1335"/>
      <c r="Q240" s="1335"/>
      <c r="R240" s="1335"/>
      <c r="S240" s="1335"/>
      <c r="T240" s="1335"/>
    </row>
    <row r="241" spans="1:20">
      <c r="A241" s="1335"/>
      <c r="B241" s="1335"/>
      <c r="C241" s="1335"/>
      <c r="D241" s="1335"/>
      <c r="E241" s="1335"/>
      <c r="F241" s="1335"/>
      <c r="G241" s="1335"/>
      <c r="H241" s="1335"/>
      <c r="I241" s="1335"/>
      <c r="J241" s="1335"/>
      <c r="K241" s="1343"/>
      <c r="L241" s="1344"/>
      <c r="M241" s="1335"/>
      <c r="N241" s="1335"/>
      <c r="O241" s="1335"/>
      <c r="P241" s="1335"/>
      <c r="Q241" s="1335"/>
      <c r="R241" s="1335"/>
      <c r="S241" s="1335"/>
      <c r="T241" s="13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C8 E8 G8 I8" xr:uid="{00000000-0002-0000-1F00-000001000000}">
      <formula1>仓储交易情况</formula1>
    </dataValidation>
    <dataValidation type="list" allowBlank="1" showInputMessage="1" showErrorMessage="1" sqref="C10 E10 G10 I10" xr:uid="{00000000-0002-0000-1F00-000002000000}">
      <formula1>土地年限区间</formula1>
    </dataValidation>
    <dataValidation type="list" allowBlank="1" showInputMessage="1" showErrorMessage="1" sqref="C2" xr:uid="{00000000-0002-0000-1F00-000003000000}">
      <formula1>"需扣减承租人权益,——"</formula1>
    </dataValidation>
    <dataValidation type="list" allowBlank="1" showInputMessage="1" showErrorMessage="1" sqref="D1" xr:uid="{00000000-0002-0000-1F00-000004000000}">
      <formula1>项目类型</formula1>
    </dataValidation>
    <dataValidation type="list" allowBlank="1" showInputMessage="1" showErrorMessage="1" sqref="E9 G9 I9" xr:uid="{00000000-0002-0000-1F00-000005000000}">
      <formula1>仓储用途</formula1>
    </dataValidation>
    <dataValidation type="list" allowBlank="1" showInputMessage="1" showErrorMessage="1" sqref="D36" xr:uid="{00000000-0002-0000-1F00-000006000000}">
      <formula1>"简单平均,加权平均"</formula1>
    </dataValidation>
    <dataValidation type="list" allowBlank="1" showInputMessage="1" showErrorMessage="1" sqref="F1" xr:uid="{00000000-0002-0000-1F00-000007000000}">
      <formula1>"售价,租金"</formula1>
    </dataValidation>
    <dataValidation type="list" allowBlank="1" showInputMessage="1" showErrorMessage="1" sqref="F2" xr:uid="{00000000-0002-0000-1F00-000008000000}">
      <formula1>估价方法</formula1>
    </dataValidation>
    <dataValidation type="list" allowBlank="1" showInputMessage="1" showErrorMessage="1" sqref="C22 E22 G22 I22" xr:uid="{00000000-0002-0000-1F00-000009000000}">
      <formula1>仓储楼层</formula1>
    </dataValidation>
    <dataValidation type="list" allowBlank="1" showInputMessage="1" showErrorMessage="1" sqref="C15 E15 G15 I15" xr:uid="{00000000-0002-0000-1F00-00000A000000}">
      <formula1>交通便捷度</formula1>
    </dataValidation>
    <dataValidation type="list" allowBlank="1" showInputMessage="1" showErrorMessage="1" sqref="C17 E17 G17 I17" xr:uid="{00000000-0002-0000-1F00-00000B000000}">
      <formula1>公共配套设施</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C21 E21 G21 I21" xr:uid="{00000000-0002-0000-1F00-00000D000000}">
      <formula1>环境</formula1>
    </dataValidation>
    <dataValidation type="list" allowBlank="1" showInputMessage="1" showErrorMessage="1" sqref="C26 E26 G26 I26" xr:uid="{00000000-0002-0000-1F00-00000E000000}">
      <formula1>仓储公共部分装修</formula1>
    </dataValidation>
    <dataValidation type="list" allowBlank="1" showInputMessage="1" showErrorMessage="1" sqref="C28 E28 G28 I28" xr:uid="{00000000-0002-0000-1F00-00000F000000}">
      <formula1>仓储物业等级</formula1>
    </dataValidation>
    <dataValidation type="list" allowBlank="1" showInputMessage="1" showErrorMessage="1" sqref="C29 E29 G29 I29" xr:uid="{00000000-0002-0000-1F00-000010000000}">
      <formula1>有无电梯</formula1>
    </dataValidation>
    <dataValidation type="list" allowBlank="1" showInputMessage="1" showErrorMessage="1" sqref="C31 E31 G31 I31" xr:uid="{00000000-0002-0000-1F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D132"/>
  <sheetViews>
    <sheetView view="pageBreakPreview" topLeftCell="A24" zoomScale="80" zoomScaleNormal="60" zoomScaleSheetLayoutView="80" workbookViewId="0">
      <selection activeCell="I47" sqref="I47"/>
    </sheetView>
  </sheetViews>
  <sheetFormatPr defaultColWidth="9" defaultRowHeight="14.25"/>
  <cols>
    <col min="1" max="1" width="14.375" style="886" customWidth="1"/>
    <col min="2" max="2" width="15.75" style="886" customWidth="1"/>
    <col min="3" max="3" width="14.37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1486</v>
      </c>
      <c r="B1" s="890"/>
      <c r="C1" s="891" t="s">
        <v>1487</v>
      </c>
      <c r="D1" s="892"/>
      <c r="E1" s="892"/>
      <c r="F1" s="893" t="s">
        <v>1350</v>
      </c>
      <c r="G1" s="892"/>
      <c r="H1" s="892"/>
      <c r="I1" s="892"/>
      <c r="J1" s="892"/>
      <c r="K1" s="1036"/>
      <c r="L1" s="1037"/>
      <c r="M1" s="1038"/>
      <c r="N1" s="1038"/>
      <c r="O1" s="1038"/>
      <c r="P1" s="1039"/>
      <c r="Q1" s="1039"/>
      <c r="R1" s="1039"/>
      <c r="S1" s="1039"/>
      <c r="T1" s="1039"/>
      <c r="U1" s="1039"/>
      <c r="V1" s="1039"/>
      <c r="W1" s="1039"/>
      <c r="X1" s="1039"/>
      <c r="Y1" s="1039"/>
      <c r="Z1" s="1039"/>
      <c r="AA1" s="1039"/>
      <c r="AB1" s="1039"/>
      <c r="AC1" s="1099"/>
      <c r="AD1" s="1254"/>
    </row>
    <row r="2" spans="1:30" s="879" customFormat="1" ht="28.5" customHeight="1">
      <c r="A2" s="145" t="s">
        <v>926</v>
      </c>
      <c r="B2" s="894">
        <f>F66</f>
        <v>226613</v>
      </c>
      <c r="C2" s="1222"/>
      <c r="D2" s="1222"/>
      <c r="E2" s="895"/>
      <c r="F2" s="896"/>
      <c r="G2" s="895"/>
      <c r="H2" s="895"/>
      <c r="I2" s="895"/>
      <c r="J2" s="895"/>
      <c r="K2" s="1040"/>
      <c r="L2" s="1041"/>
      <c r="M2" s="1042"/>
      <c r="N2" s="1042"/>
      <c r="O2" s="1042"/>
      <c r="P2" s="1039"/>
      <c r="Q2" s="1039"/>
      <c r="R2" s="1039"/>
      <c r="S2" s="1039"/>
      <c r="T2" s="1039"/>
      <c r="U2" s="1039"/>
      <c r="V2" s="1039"/>
      <c r="W2" s="1039"/>
      <c r="X2" s="1039"/>
      <c r="Y2" s="1039"/>
      <c r="Z2" s="1039"/>
      <c r="AA2" s="1039"/>
      <c r="AB2" s="1039"/>
      <c r="AC2" s="1099"/>
      <c r="AD2" s="1254"/>
    </row>
    <row r="3" spans="1:30" s="879" customFormat="1" ht="28.5" customHeight="1" thickBot="1">
      <c r="A3" s="148" t="s">
        <v>928</v>
      </c>
      <c r="B3" s="897">
        <f>ROUND(IF(D3="",B2*10000/'数据-汇总表'!E3,B2*10000/D3),0)</f>
        <v>57776</v>
      </c>
      <c r="C3" s="148" t="s">
        <v>1351</v>
      </c>
      <c r="D3" s="898"/>
      <c r="E3" s="895"/>
      <c r="F3" s="896"/>
      <c r="G3" s="895"/>
      <c r="H3" s="895"/>
      <c r="I3" s="895"/>
      <c r="J3" s="895"/>
      <c r="K3" s="1040"/>
      <c r="L3" s="1041"/>
      <c r="M3" s="1042"/>
      <c r="N3" s="1042"/>
      <c r="O3" s="1042"/>
      <c r="P3" s="1039"/>
      <c r="Q3" s="1039"/>
      <c r="R3" s="1039"/>
      <c r="S3" s="1039"/>
      <c r="T3" s="1039"/>
      <c r="U3" s="1039"/>
      <c r="V3" s="1039"/>
      <c r="W3" s="1039"/>
      <c r="X3" s="1039"/>
      <c r="Y3" s="1039"/>
      <c r="Z3" s="1039"/>
      <c r="AA3" s="1039"/>
      <c r="AB3" s="1100"/>
      <c r="AC3" s="1101"/>
    </row>
    <row r="4" spans="1:30" ht="15">
      <c r="A4" s="899" t="s">
        <v>1352</v>
      </c>
      <c r="B4" s="900"/>
      <c r="C4" s="3273" t="s">
        <v>1353</v>
      </c>
      <c r="D4" s="3306"/>
      <c r="E4" s="3307" t="s">
        <v>1354</v>
      </c>
      <c r="F4" s="3308"/>
      <c r="G4" s="3273" t="s">
        <v>1355</v>
      </c>
      <c r="H4" s="3306"/>
      <c r="I4" s="3273" t="s">
        <v>1356</v>
      </c>
      <c r="J4" s="3306"/>
      <c r="K4" s="1043" t="s">
        <v>1357</v>
      </c>
      <c r="L4" s="1044"/>
      <c r="M4" s="1045"/>
      <c r="N4" s="1045"/>
      <c r="O4" s="1045"/>
      <c r="P4" s="3277" t="s">
        <v>1358</v>
      </c>
      <c r="Q4" s="3278"/>
      <c r="R4" s="3283" t="s">
        <v>1354</v>
      </c>
      <c r="S4" s="3284"/>
      <c r="T4" s="3283" t="s">
        <v>1355</v>
      </c>
      <c r="U4" s="3284"/>
      <c r="V4" s="3289" t="s">
        <v>1356</v>
      </c>
      <c r="W4" s="3289"/>
      <c r="X4" s="3055"/>
      <c r="Y4" s="3283" t="s">
        <v>1358</v>
      </c>
      <c r="Z4" s="3284"/>
      <c r="AA4" s="3270" t="s">
        <v>1354</v>
      </c>
      <c r="AB4" s="3271" t="s">
        <v>1355</v>
      </c>
      <c r="AC4" s="3270" t="s">
        <v>1356</v>
      </c>
    </row>
    <row r="5" spans="1:30" ht="15">
      <c r="A5" s="901"/>
      <c r="B5" s="902"/>
      <c r="C5" s="3309" t="s">
        <v>1359</v>
      </c>
      <c r="D5" s="3310"/>
      <c r="E5" s="3311" t="str">
        <f>土地案例!A2</f>
        <v>北京市朝阳区东坝北东南一期土地储备项目1104-611地块R2二类居住用地</v>
      </c>
      <c r="F5" s="3312"/>
      <c r="G5" s="3309" t="str">
        <f>土地案例!A5</f>
        <v>北京市海淀区“海淀北部地区整体开发”西北旺镇HD00-0403-0061、0050、0031、0040、0046地块二类居住、其他类多功能、医院及机构养老设施用地</v>
      </c>
      <c r="H5" s="3310"/>
      <c r="I5" s="3309" t="str">
        <f>土地案例!A6</f>
        <v>北京市海淀区“海淀北部地区整体开发”西北旺镇HD00-0403-0043、0049地块二类居住及基础教育用地</v>
      </c>
      <c r="J5" s="3310"/>
      <c r="K5" s="1043"/>
      <c r="L5" s="1044"/>
      <c r="M5" s="1045"/>
      <c r="N5" s="1045"/>
      <c r="O5" s="1045"/>
      <c r="P5" s="3279"/>
      <c r="Q5" s="3280"/>
      <c r="R5" s="3285"/>
      <c r="S5" s="3286"/>
      <c r="T5" s="3285"/>
      <c r="U5" s="3286"/>
      <c r="V5" s="3289"/>
      <c r="W5" s="3289"/>
      <c r="X5" s="3055"/>
      <c r="Y5" s="3285"/>
      <c r="Z5" s="3286"/>
      <c r="AA5" s="3271"/>
      <c r="AB5" s="3271"/>
      <c r="AC5" s="3271"/>
    </row>
    <row r="6" spans="1:30" ht="15.75" thickBot="1">
      <c r="A6" s="903"/>
      <c r="B6" s="904"/>
      <c r="C6" s="3301" t="s">
        <v>1363</v>
      </c>
      <c r="D6" s="3302"/>
      <c r="E6" s="3303" t="s">
        <v>1363</v>
      </c>
      <c r="F6" s="3304"/>
      <c r="G6" s="3301" t="s">
        <v>1363</v>
      </c>
      <c r="H6" s="3302"/>
      <c r="I6" s="3301" t="s">
        <v>1363</v>
      </c>
      <c r="J6" s="3302"/>
      <c r="K6" s="1043" t="s">
        <v>1364</v>
      </c>
      <c r="L6" s="1044"/>
      <c r="M6" s="1045"/>
      <c r="N6" s="1045"/>
      <c r="O6" s="1045"/>
      <c r="P6" s="3281"/>
      <c r="Q6" s="3282"/>
      <c r="R6" s="3285"/>
      <c r="S6" s="3286"/>
      <c r="T6" s="3287"/>
      <c r="U6" s="3288"/>
      <c r="V6" s="3289"/>
      <c r="W6" s="3289"/>
      <c r="X6" s="3055"/>
      <c r="Y6" s="3287"/>
      <c r="Z6" s="3288"/>
      <c r="AA6" s="3272"/>
      <c r="AB6" s="3272"/>
      <c r="AC6" s="3272"/>
    </row>
    <row r="7" spans="1:30" s="880" customFormat="1" ht="15.75" thickBot="1">
      <c r="A7" s="905" t="s">
        <v>1365</v>
      </c>
      <c r="B7" s="906"/>
      <c r="C7" s="907">
        <f>'数据-取费表'!B2</f>
        <v>44288</v>
      </c>
      <c r="D7" s="908">
        <v>100</v>
      </c>
      <c r="E7" s="909" t="str">
        <f>土地案例!K2</f>
        <v>2020-12-14</v>
      </c>
      <c r="F7" s="910">
        <f>SUMIF(70:70,YEAR(E7)&amp;"-"&amp;INT((MONTH(E7)+2)/3),71:71)</f>
        <v>100</v>
      </c>
      <c r="G7" s="911" t="str">
        <f>土地案例!K5</f>
        <v>2020-02-25</v>
      </c>
      <c r="H7" s="908">
        <f>SUMIF(70:70,YEAR(G7)&amp;"-"&amp;INT((MONTH(G7)+2)/3),71:71)</f>
        <v>100</v>
      </c>
      <c r="I7" s="911" t="str">
        <f>土地案例!K6</f>
        <v>2020-02-14</v>
      </c>
      <c r="J7" s="908">
        <f>SUMIF(70:70,YEAR(I7)&amp;"-"&amp;INT((MONTH(I7)+2)/3),71:71)</f>
        <v>100</v>
      </c>
      <c r="K7" s="1046"/>
      <c r="L7" s="1047"/>
      <c r="M7" s="1048"/>
      <c r="N7" s="1048"/>
      <c r="O7" s="1048"/>
      <c r="P7" s="3290" t="s">
        <v>1366</v>
      </c>
      <c r="Q7" s="3305"/>
      <c r="R7" s="1088" t="s">
        <v>1367</v>
      </c>
      <c r="S7" s="1089">
        <f t="shared" ref="S7:S15" si="0">F7</f>
        <v>100</v>
      </c>
      <c r="T7" s="1088" t="s">
        <v>1367</v>
      </c>
      <c r="U7" s="1089">
        <f t="shared" ref="U7:U15" si="1">H7</f>
        <v>100</v>
      </c>
      <c r="V7" s="1088" t="s">
        <v>1367</v>
      </c>
      <c r="W7" s="1089">
        <f t="shared" ref="W7:W15" si="2">J7</f>
        <v>100</v>
      </c>
      <c r="X7" s="1090"/>
      <c r="Y7" s="3290" t="s">
        <v>1366</v>
      </c>
      <c r="Z7" s="3291"/>
      <c r="AA7" s="1102">
        <f>D7/F7</f>
        <v>1</v>
      </c>
      <c r="AB7" s="1102">
        <f>D7/H7</f>
        <v>1</v>
      </c>
      <c r="AC7" s="1102">
        <f>D7/J7</f>
        <v>1</v>
      </c>
    </row>
    <row r="8" spans="1:30" s="880" customFormat="1" ht="15.75" thickBot="1">
      <c r="A8" s="905" t="s">
        <v>1368</v>
      </c>
      <c r="B8" s="906"/>
      <c r="C8" s="912" t="s">
        <v>1369</v>
      </c>
      <c r="D8" s="908">
        <v>100</v>
      </c>
      <c r="E8" s="912" t="s">
        <v>1488</v>
      </c>
      <c r="F8" s="910">
        <f>SUMIF(73:73,E8,74:74)-SUMIF(73:73,C8,74:74)+100</f>
        <v>100</v>
      </c>
      <c r="G8" s="912" t="s">
        <v>1488</v>
      </c>
      <c r="H8" s="908">
        <f>SUMIF(73:73,G8,74:74)-SUMIF(73:73,C8,74:74)+100</f>
        <v>100</v>
      </c>
      <c r="I8" s="912" t="s">
        <v>1488</v>
      </c>
      <c r="J8" s="908">
        <f>SUMIF(73:73,I8,74:74)-SUMIF(73:73,C8,74:74)+100</f>
        <v>100</v>
      </c>
      <c r="K8" s="1046"/>
      <c r="L8" s="1047"/>
      <c r="M8" s="1048"/>
      <c r="N8" s="1048"/>
      <c r="O8" s="1048"/>
      <c r="P8" s="3290" t="s">
        <v>1370</v>
      </c>
      <c r="Q8" s="3291"/>
      <c r="R8" s="1088" t="s">
        <v>1367</v>
      </c>
      <c r="S8" s="1089">
        <f t="shared" si="0"/>
        <v>100</v>
      </c>
      <c r="T8" s="1088" t="s">
        <v>1367</v>
      </c>
      <c r="U8" s="1089">
        <f t="shared" si="1"/>
        <v>100</v>
      </c>
      <c r="V8" s="1088" t="s">
        <v>1367</v>
      </c>
      <c r="W8" s="1089">
        <f t="shared" si="2"/>
        <v>100</v>
      </c>
      <c r="X8" s="1090"/>
      <c r="Y8" s="3290" t="s">
        <v>1370</v>
      </c>
      <c r="Z8" s="3291"/>
      <c r="AA8" s="1102">
        <f t="shared" ref="AA8:AA45" si="3">D8/F8</f>
        <v>1</v>
      </c>
      <c r="AB8" s="1102">
        <f t="shared" ref="AB8:AB45" si="4">D8/H8</f>
        <v>1</v>
      </c>
      <c r="AC8" s="1102">
        <f t="shared" ref="AC8:AC45" si="5">D8/J8</f>
        <v>1</v>
      </c>
    </row>
    <row r="9" spans="1:30" s="880" customFormat="1">
      <c r="A9" s="913" t="s">
        <v>1371</v>
      </c>
      <c r="B9" s="914" t="s">
        <v>1372</v>
      </c>
      <c r="C9" s="915"/>
      <c r="D9" s="916">
        <v>100</v>
      </c>
      <c r="E9" s="915"/>
      <c r="F9" s="916">
        <f>SUMIF(75:75,E9,76:76)-SUMIF(75:75,C9,76:76)+100</f>
        <v>100</v>
      </c>
      <c r="G9" s="915"/>
      <c r="H9" s="916">
        <f>SUMIF(75:75,G9,76:76)-SUMIF(75:75,C9,76:76)+100</f>
        <v>100</v>
      </c>
      <c r="I9" s="915"/>
      <c r="J9" s="916">
        <f>SUMIF(75:75,I9,76:76)-SUMIF(75:75,C9,76:76)+100</f>
        <v>100</v>
      </c>
      <c r="K9" s="1046"/>
      <c r="L9" s="1047"/>
      <c r="M9" s="1048"/>
      <c r="N9" s="1048"/>
      <c r="O9" s="1049"/>
      <c r="P9" s="3276" t="s">
        <v>1373</v>
      </c>
      <c r="Q9" s="3052" t="str">
        <f t="shared" ref="Q9:Q15" si="6">B9</f>
        <v>用途</v>
      </c>
      <c r="R9" s="1088" t="s">
        <v>1367</v>
      </c>
      <c r="S9" s="1089">
        <f t="shared" si="0"/>
        <v>100</v>
      </c>
      <c r="T9" s="1088" t="s">
        <v>1367</v>
      </c>
      <c r="U9" s="1089">
        <f t="shared" si="1"/>
        <v>100</v>
      </c>
      <c r="V9" s="1088" t="s">
        <v>1367</v>
      </c>
      <c r="W9" s="1089">
        <f t="shared" si="2"/>
        <v>100</v>
      </c>
      <c r="X9" s="1090"/>
      <c r="Y9" s="3179" t="s">
        <v>1374</v>
      </c>
      <c r="Z9" s="3051" t="str">
        <f t="shared" ref="Z9:Z15" si="7">Q9</f>
        <v>用途</v>
      </c>
      <c r="AA9" s="1102">
        <f t="shared" si="3"/>
        <v>1</v>
      </c>
      <c r="AB9" s="1102">
        <f t="shared" si="4"/>
        <v>1</v>
      </c>
      <c r="AC9" s="1102">
        <f t="shared" si="5"/>
        <v>1</v>
      </c>
    </row>
    <row r="10" spans="1:30" s="881" customFormat="1" ht="27">
      <c r="A10" s="917"/>
      <c r="B10" s="918" t="s">
        <v>1375</v>
      </c>
      <c r="C10" s="919"/>
      <c r="D10" s="920">
        <v>100</v>
      </c>
      <c r="E10" s="1223"/>
      <c r="F10" s="920">
        <f>ROUND(100/'数据-取费表'!G16,0)</f>
        <v>100</v>
      </c>
      <c r="G10" s="1224"/>
      <c r="H10" s="920">
        <f>ROUND(100/'数据-取费表'!G16,0)</f>
        <v>100</v>
      </c>
      <c r="I10" s="1224"/>
      <c r="J10" s="920">
        <f>ROUND(100/'数据-取费表'!G16,0)</f>
        <v>100</v>
      </c>
      <c r="K10" s="1050"/>
      <c r="L10" s="1051"/>
      <c r="M10" s="1052"/>
      <c r="N10" s="1052"/>
      <c r="O10" s="1053"/>
      <c r="P10" s="3276"/>
      <c r="Q10" s="3052" t="str">
        <f t="shared" si="6"/>
        <v>土地使用年限（年）</v>
      </c>
      <c r="R10" s="1088" t="s">
        <v>1367</v>
      </c>
      <c r="S10" s="1089">
        <f t="shared" si="0"/>
        <v>100</v>
      </c>
      <c r="T10" s="1088" t="s">
        <v>1367</v>
      </c>
      <c r="U10" s="1089">
        <f t="shared" si="1"/>
        <v>100</v>
      </c>
      <c r="V10" s="1088" t="s">
        <v>1367</v>
      </c>
      <c r="W10" s="1089">
        <f t="shared" si="2"/>
        <v>100</v>
      </c>
      <c r="X10" s="1090"/>
      <c r="Y10" s="3179"/>
      <c r="Z10" s="3051" t="str">
        <f t="shared" si="7"/>
        <v>土地使用年限（年）</v>
      </c>
      <c r="AA10" s="1102">
        <f t="shared" si="3"/>
        <v>1</v>
      </c>
      <c r="AB10" s="1102">
        <f t="shared" si="4"/>
        <v>1</v>
      </c>
      <c r="AC10" s="1102">
        <f t="shared" si="5"/>
        <v>1</v>
      </c>
    </row>
    <row r="11" spans="1:30" ht="15">
      <c r="A11" s="921"/>
      <c r="B11" s="918" t="s">
        <v>1376</v>
      </c>
      <c r="C11" s="922">
        <f>'数据-汇总表'!I6</f>
        <v>3.22</v>
      </c>
      <c r="D11" s="920">
        <v>100</v>
      </c>
      <c r="E11" s="922">
        <v>2.8</v>
      </c>
      <c r="F11" s="920">
        <f>LOOKUP(E11,80:80,81:81)-LOOKUP(C11,80:80,81:81)+100</f>
        <v>105</v>
      </c>
      <c r="G11" s="923">
        <v>2.4</v>
      </c>
      <c r="H11" s="920">
        <f>LOOKUP(G11,80:80,81:81)-LOOKUP(C11,80:80,81:81)+100</f>
        <v>105</v>
      </c>
      <c r="I11" s="922">
        <v>2.2000000000000002</v>
      </c>
      <c r="J11" s="920">
        <f>LOOKUP(I11,80:80,81:81)-LOOKUP(C11,80:80,81:81)+100</f>
        <v>105</v>
      </c>
      <c r="K11" s="1054">
        <v>5</v>
      </c>
      <c r="L11" s="1055"/>
      <c r="M11" s="1045"/>
      <c r="N11" s="1045"/>
      <c r="O11" s="1056"/>
      <c r="P11" s="3276"/>
      <c r="Q11" s="3052" t="str">
        <f t="shared" si="6"/>
        <v>容积率</v>
      </c>
      <c r="R11" s="1088" t="s">
        <v>1367</v>
      </c>
      <c r="S11" s="1089">
        <f t="shared" si="0"/>
        <v>105</v>
      </c>
      <c r="T11" s="1088" t="s">
        <v>1367</v>
      </c>
      <c r="U11" s="1089">
        <f t="shared" si="1"/>
        <v>105</v>
      </c>
      <c r="V11" s="1088" t="s">
        <v>1367</v>
      </c>
      <c r="W11" s="1089">
        <f t="shared" si="2"/>
        <v>105</v>
      </c>
      <c r="X11" s="1090"/>
      <c r="Y11" s="3179"/>
      <c r="Z11" s="3051" t="str">
        <f t="shared" si="7"/>
        <v>容积率</v>
      </c>
      <c r="AA11" s="1102">
        <f t="shared" si="3"/>
        <v>0.95238095238095233</v>
      </c>
      <c r="AB11" s="1102">
        <f t="shared" si="4"/>
        <v>0.95238095238095233</v>
      </c>
      <c r="AC11" s="1102">
        <f t="shared" si="5"/>
        <v>0.95238095238095233</v>
      </c>
    </row>
    <row r="12" spans="1:30" s="880" customFormat="1" ht="15">
      <c r="A12" s="924"/>
      <c r="B12" s="1225" t="s">
        <v>1489</v>
      </c>
      <c r="C12" s="1226" t="s">
        <v>370</v>
      </c>
      <c r="D12" s="926">
        <v>100</v>
      </c>
      <c r="E12" s="1227" t="s">
        <v>1490</v>
      </c>
      <c r="F12" s="920">
        <f>SUMIF(82:82,E12,83:83)-SUMIF(82:82,C12,83:83)+100</f>
        <v>98</v>
      </c>
      <c r="G12" s="1228" t="s">
        <v>1491</v>
      </c>
      <c r="H12" s="920">
        <f>SUMIF(82:82,G12,83:83)-SUMIF(82:82,C12,83:83)+100</f>
        <v>94</v>
      </c>
      <c r="I12" s="1227" t="s">
        <v>1492</v>
      </c>
      <c r="J12" s="920">
        <f>SUMIF(82:82,I12,83:83)-SUMIF(82:82,C12,83:83)+100</f>
        <v>96</v>
      </c>
      <c r="K12" s="1050"/>
      <c r="L12" s="1047"/>
      <c r="M12" s="1048"/>
      <c r="N12" s="1048"/>
      <c r="O12" s="1049"/>
      <c r="P12" s="3276"/>
      <c r="Q12" s="3052" t="str">
        <f t="shared" si="6"/>
        <v>是否配建</v>
      </c>
      <c r="R12" s="1088" t="s">
        <v>1367</v>
      </c>
      <c r="S12" s="1089">
        <f t="shared" si="0"/>
        <v>98</v>
      </c>
      <c r="T12" s="1088" t="s">
        <v>1367</v>
      </c>
      <c r="U12" s="1089">
        <f t="shared" si="1"/>
        <v>94</v>
      </c>
      <c r="V12" s="1088" t="s">
        <v>1367</v>
      </c>
      <c r="W12" s="1089">
        <f t="shared" si="2"/>
        <v>96</v>
      </c>
      <c r="X12" s="1090"/>
      <c r="Y12" s="3179"/>
      <c r="Z12" s="3051" t="str">
        <f t="shared" si="7"/>
        <v>是否配建</v>
      </c>
      <c r="AA12" s="1102">
        <f t="shared" si="3"/>
        <v>1.0204081632653061</v>
      </c>
      <c r="AB12" s="1102">
        <f t="shared" si="4"/>
        <v>1.0638297872340425</v>
      </c>
      <c r="AC12" s="1102">
        <f t="shared" si="5"/>
        <v>1.0416666666666667</v>
      </c>
    </row>
    <row r="13" spans="1:30" ht="15">
      <c r="A13" s="921"/>
      <c r="B13" s="1225" t="s">
        <v>1493</v>
      </c>
      <c r="C13" s="1229" t="s">
        <v>370</v>
      </c>
      <c r="D13" s="930">
        <v>100</v>
      </c>
      <c r="E13" s="1230" t="s">
        <v>475</v>
      </c>
      <c r="F13" s="920">
        <f>SUMIF(84:84,E13,85:85)-SUMIF(84:84,C13,85:85)+100</f>
        <v>95</v>
      </c>
      <c r="G13" s="1231" t="s">
        <v>370</v>
      </c>
      <c r="H13" s="930">
        <f>SUMIF(84:84,G13,85:85)-SUMIF(84:84,C13,85:85)+100</f>
        <v>100</v>
      </c>
      <c r="I13" s="1231" t="s">
        <v>370</v>
      </c>
      <c r="J13" s="930">
        <f>SUMIF(84:84,I13,85:85)-SUMIF(84:84,C13,85:85)+100</f>
        <v>100</v>
      </c>
      <c r="K13" s="1050"/>
      <c r="L13" s="1057"/>
      <c r="M13" s="1045"/>
      <c r="N13" s="1045"/>
      <c r="O13" s="1056"/>
      <c r="P13" s="3276"/>
      <c r="Q13" s="3052" t="str">
        <f t="shared" si="6"/>
        <v>是否自持</v>
      </c>
      <c r="R13" s="1088" t="s">
        <v>1367</v>
      </c>
      <c r="S13" s="1089">
        <f t="shared" si="0"/>
        <v>95</v>
      </c>
      <c r="T13" s="1088" t="s">
        <v>1367</v>
      </c>
      <c r="U13" s="1089">
        <f t="shared" si="1"/>
        <v>100</v>
      </c>
      <c r="V13" s="1088" t="s">
        <v>1367</v>
      </c>
      <c r="W13" s="1089">
        <f t="shared" si="2"/>
        <v>100</v>
      </c>
      <c r="X13" s="1090"/>
      <c r="Y13" s="3179"/>
      <c r="Z13" s="3051" t="str">
        <f t="shared" si="7"/>
        <v>是否自持</v>
      </c>
      <c r="AA13" s="1102">
        <f t="shared" si="3"/>
        <v>1.0526315789473684</v>
      </c>
      <c r="AB13" s="1102">
        <f t="shared" si="4"/>
        <v>1</v>
      </c>
      <c r="AC13" s="1102">
        <f t="shared" si="5"/>
        <v>1</v>
      </c>
    </row>
    <row r="14" spans="1:30" ht="15.75" thickBot="1">
      <c r="A14" s="931"/>
      <c r="B14" s="1232" t="s">
        <v>1494</v>
      </c>
      <c r="C14" s="933" t="s">
        <v>1495</v>
      </c>
      <c r="D14" s="934">
        <v>100</v>
      </c>
      <c r="E14" s="1230" t="s">
        <v>1496</v>
      </c>
      <c r="F14" s="934">
        <f>SUMIF(86:86,E14,87:87)-SUMIF(86:86,C14,87:87)+100</f>
        <v>100</v>
      </c>
      <c r="G14" s="1120" t="s">
        <v>1497</v>
      </c>
      <c r="H14" s="934">
        <f>SUMIF(86:86,G14,87:87)-SUMIF(86:86,C14,87:87)+100</f>
        <v>97</v>
      </c>
      <c r="I14" s="1120" t="s">
        <v>1497</v>
      </c>
      <c r="J14" s="934">
        <f>SUMIF(86:86,I14,87:87)-SUMIF(86:86,C14,87:87)+100</f>
        <v>97</v>
      </c>
      <c r="K14" s="1050"/>
      <c r="L14" s="1057"/>
      <c r="M14" s="1045"/>
      <c r="N14" s="1045"/>
      <c r="O14" s="1056"/>
      <c r="P14" s="3276"/>
      <c r="Q14" s="3052" t="str">
        <f t="shared" si="6"/>
        <v>溢价比例</v>
      </c>
      <c r="R14" s="1088" t="s">
        <v>1367</v>
      </c>
      <c r="S14" s="1089">
        <f t="shared" si="0"/>
        <v>100</v>
      </c>
      <c r="T14" s="1088" t="s">
        <v>1367</v>
      </c>
      <c r="U14" s="1089">
        <f t="shared" si="1"/>
        <v>97</v>
      </c>
      <c r="V14" s="1088" t="s">
        <v>1367</v>
      </c>
      <c r="W14" s="1089">
        <f t="shared" si="2"/>
        <v>97</v>
      </c>
      <c r="X14" s="1090"/>
      <c r="Y14" s="3179"/>
      <c r="Z14" s="3051" t="str">
        <f t="shared" si="7"/>
        <v>溢价比例</v>
      </c>
      <c r="AA14" s="1102">
        <f t="shared" si="3"/>
        <v>1</v>
      </c>
      <c r="AB14" s="1102">
        <f t="shared" si="4"/>
        <v>1.0309278350515463</v>
      </c>
      <c r="AC14" s="1102">
        <f t="shared" si="5"/>
        <v>1.0309278350515463</v>
      </c>
    </row>
    <row r="15" spans="1:30" ht="99.75">
      <c r="A15" s="935" t="s">
        <v>1377</v>
      </c>
      <c r="B15" s="1233" t="s">
        <v>1378</v>
      </c>
      <c r="C15" s="1234" t="str">
        <f>估价对象房地状况!C15</f>
        <v>估价对象周边居住用地比例、居住小区规模和社区发展完善程度，综合评价居住社区成熟度一般</v>
      </c>
      <c r="D15" s="938">
        <v>100</v>
      </c>
      <c r="E15" s="939"/>
      <c r="F15" s="938">
        <f>SUMIF(88:88,E16,89:89)-SUMIF(88:88,C16,89:89)+100</f>
        <v>95</v>
      </c>
      <c r="G15" s="939"/>
      <c r="H15" s="938">
        <f>SUMIF(88:88,G16,89:89)-SUMIF(88:88,C16,89:89)+100</f>
        <v>95</v>
      </c>
      <c r="I15" s="1058"/>
      <c r="J15" s="938">
        <f>SUMIF(88:88,I16,89:89)-SUMIF(88:88,C16,89:89)+100</f>
        <v>95</v>
      </c>
      <c r="K15" s="1054">
        <v>5</v>
      </c>
      <c r="L15" s="1057"/>
      <c r="M15" s="1045"/>
      <c r="N15" s="1045"/>
      <c r="O15" s="1056"/>
      <c r="P15" s="3293" t="s">
        <v>1379</v>
      </c>
      <c r="Q15" s="3053" t="str">
        <f t="shared" si="6"/>
        <v>居住社区成熟度</v>
      </c>
      <c r="R15" s="1093" t="s">
        <v>1367</v>
      </c>
      <c r="S15" s="1094">
        <f t="shared" si="0"/>
        <v>95</v>
      </c>
      <c r="T15" s="1093" t="s">
        <v>1367</v>
      </c>
      <c r="U15" s="1094">
        <f t="shared" si="1"/>
        <v>95</v>
      </c>
      <c r="V15" s="1093" t="s">
        <v>1367</v>
      </c>
      <c r="W15" s="1094">
        <f t="shared" si="2"/>
        <v>95</v>
      </c>
      <c r="X15" s="3055"/>
      <c r="Y15" s="3293" t="s">
        <v>1379</v>
      </c>
      <c r="Z15" s="3056" t="str">
        <f t="shared" si="7"/>
        <v>居住社区成熟度</v>
      </c>
      <c r="AA15" s="3054">
        <f t="shared" si="3"/>
        <v>1.0526315789473684</v>
      </c>
      <c r="AB15" s="3054">
        <f t="shared" si="4"/>
        <v>1.0526315789473684</v>
      </c>
      <c r="AC15" s="3054">
        <f t="shared" si="5"/>
        <v>1.0526315789473684</v>
      </c>
    </row>
    <row r="16" spans="1:30" ht="15">
      <c r="A16" s="921"/>
      <c r="B16" s="1235"/>
      <c r="C16" s="941" t="s">
        <v>1498</v>
      </c>
      <c r="D16" s="942"/>
      <c r="E16" s="950" t="s">
        <v>1499</v>
      </c>
      <c r="F16" s="942"/>
      <c r="G16" s="950" t="s">
        <v>1499</v>
      </c>
      <c r="H16" s="944"/>
      <c r="I16" s="1060" t="s">
        <v>1499</v>
      </c>
      <c r="J16" s="942"/>
      <c r="K16" s="1050"/>
      <c r="L16" s="1057"/>
      <c r="M16" s="1045"/>
      <c r="N16" s="1045"/>
      <c r="O16" s="1056"/>
      <c r="P16" s="3294"/>
      <c r="Q16" s="3053"/>
      <c r="R16" s="1093"/>
      <c r="S16" s="1094"/>
      <c r="T16" s="1093"/>
      <c r="U16" s="1094"/>
      <c r="V16" s="1093"/>
      <c r="W16" s="1094"/>
      <c r="X16" s="3055"/>
      <c r="Y16" s="3294"/>
      <c r="Z16" s="3056"/>
      <c r="AA16" s="3054">
        <v>1</v>
      </c>
      <c r="AB16" s="3054">
        <v>1</v>
      </c>
      <c r="AC16" s="3054">
        <v>1</v>
      </c>
    </row>
    <row r="17" spans="1:29" ht="71.25">
      <c r="A17" s="921"/>
      <c r="B17" s="1236" t="s">
        <v>1447</v>
      </c>
      <c r="C17" s="654" t="str">
        <f>估价对象房地状况!C16</f>
        <v>估价对象位于XX商圈，周边商业氛围成熟，人流量大，商业繁华度好</v>
      </c>
      <c r="D17" s="944">
        <v>100</v>
      </c>
      <c r="E17" s="947"/>
      <c r="F17" s="944">
        <f>SUMIF(90:90,E18,91:91)-SUMIF(90:90,C18,91:91)+100</f>
        <v>97</v>
      </c>
      <c r="G17" s="947"/>
      <c r="H17" s="948">
        <f>SUMIF(90:90,G18,91:91)-SUMIF(90:90,C18,91:91)+100</f>
        <v>97</v>
      </c>
      <c r="I17" s="1059"/>
      <c r="J17" s="948">
        <f>SUMIF(90:90,I18,91:91)-SUMIF(90:90,C18,91:91)+100</f>
        <v>97</v>
      </c>
      <c r="K17" s="1054">
        <v>3</v>
      </c>
      <c r="L17" s="1057"/>
      <c r="M17" s="1045"/>
      <c r="N17" s="1045"/>
      <c r="O17" s="1056"/>
      <c r="P17" s="3294"/>
      <c r="Q17" s="3053" t="str">
        <f>B17</f>
        <v>商业繁华度</v>
      </c>
      <c r="R17" s="1093" t="s">
        <v>1367</v>
      </c>
      <c r="S17" s="1094">
        <f>F17</f>
        <v>97</v>
      </c>
      <c r="T17" s="1093" t="s">
        <v>1367</v>
      </c>
      <c r="U17" s="1094">
        <f>H17</f>
        <v>97</v>
      </c>
      <c r="V17" s="1093" t="s">
        <v>1367</v>
      </c>
      <c r="W17" s="1094">
        <f>J17</f>
        <v>97</v>
      </c>
      <c r="X17" s="3055"/>
      <c r="Y17" s="3294"/>
      <c r="Z17" s="3056" t="str">
        <f>Q17</f>
        <v>商业繁华度</v>
      </c>
      <c r="AA17" s="3054">
        <f t="shared" si="3"/>
        <v>1.0309278350515463</v>
      </c>
      <c r="AB17" s="3054">
        <f t="shared" si="4"/>
        <v>1.0309278350515463</v>
      </c>
      <c r="AC17" s="3054">
        <f t="shared" si="5"/>
        <v>1.0309278350515463</v>
      </c>
    </row>
    <row r="18" spans="1:29" ht="15">
      <c r="A18" s="921"/>
      <c r="B18" s="969"/>
      <c r="C18" s="1237" t="s">
        <v>1498</v>
      </c>
      <c r="D18" s="944"/>
      <c r="E18" s="1238" t="s">
        <v>1499</v>
      </c>
      <c r="F18" s="944"/>
      <c r="G18" s="1238" t="s">
        <v>1499</v>
      </c>
      <c r="H18" s="942"/>
      <c r="I18" s="1247" t="s">
        <v>1499</v>
      </c>
      <c r="J18" s="942"/>
      <c r="K18" s="1050"/>
      <c r="L18" s="1057"/>
      <c r="M18" s="1045"/>
      <c r="N18" s="1045"/>
      <c r="O18" s="1056"/>
      <c r="P18" s="3294"/>
      <c r="Q18" s="3053"/>
      <c r="R18" s="1093"/>
      <c r="S18" s="1094"/>
      <c r="T18" s="1093"/>
      <c r="U18" s="1094"/>
      <c r="V18" s="1093"/>
      <c r="W18" s="1094"/>
      <c r="X18" s="3055"/>
      <c r="Y18" s="3294"/>
      <c r="Z18" s="3056"/>
      <c r="AA18" s="3054">
        <v>1</v>
      </c>
      <c r="AB18" s="3054">
        <v>1</v>
      </c>
      <c r="AC18" s="3054">
        <v>1</v>
      </c>
    </row>
    <row r="19" spans="1:29" ht="71.25" hidden="1">
      <c r="A19" s="921"/>
      <c r="B19" s="1236" t="s">
        <v>1460</v>
      </c>
      <c r="C19" s="654" t="str">
        <f>估价对象房地状况!C17</f>
        <v>估价对象位于XX商圈，周边办公楼项目较多，入驻率高，办公集聚程度较好</v>
      </c>
      <c r="D19" s="948">
        <v>100</v>
      </c>
      <c r="E19" s="1239"/>
      <c r="F19" s="948">
        <f>SUMIF(92:92,E20,93:93)-SUMIF(92:92,C20,93:93)+100</f>
        <v>100</v>
      </c>
      <c r="G19" s="1239"/>
      <c r="H19" s="944">
        <f>SUMIF(92:92,G20,93:93)-SUMIF(92:92,C20,93:93)+100</f>
        <v>100</v>
      </c>
      <c r="I19" s="1248"/>
      <c r="J19" s="944">
        <f>SUMIF(92:92,I20,93:93)-SUMIF(92:92,C20,93:93)+100</f>
        <v>100</v>
      </c>
      <c r="K19" s="1054"/>
      <c r="L19" s="1057"/>
      <c r="M19" s="1045"/>
      <c r="N19" s="1045"/>
      <c r="O19" s="1056"/>
      <c r="P19" s="3294"/>
      <c r="Q19" s="3053" t="str">
        <f>B19</f>
        <v>办公集聚程度</v>
      </c>
      <c r="R19" s="1093" t="s">
        <v>1367</v>
      </c>
      <c r="S19" s="1094">
        <f>F19</f>
        <v>100</v>
      </c>
      <c r="T19" s="1093" t="s">
        <v>1367</v>
      </c>
      <c r="U19" s="1094">
        <f>H19</f>
        <v>100</v>
      </c>
      <c r="V19" s="1093" t="s">
        <v>1367</v>
      </c>
      <c r="W19" s="1094">
        <f>J19</f>
        <v>100</v>
      </c>
      <c r="X19" s="3055"/>
      <c r="Y19" s="3294"/>
      <c r="Z19" s="3056" t="str">
        <f>Q19</f>
        <v>办公集聚程度</v>
      </c>
      <c r="AA19" s="3054">
        <f t="shared" si="3"/>
        <v>1</v>
      </c>
      <c r="AB19" s="3054">
        <f t="shared" si="4"/>
        <v>1</v>
      </c>
      <c r="AC19" s="3054">
        <f t="shared" si="5"/>
        <v>1</v>
      </c>
    </row>
    <row r="20" spans="1:29" ht="15" hidden="1">
      <c r="A20" s="921"/>
      <c r="B20" s="969"/>
      <c r="C20" s="941"/>
      <c r="D20" s="942"/>
      <c r="E20" s="950"/>
      <c r="F20" s="942"/>
      <c r="G20" s="950"/>
      <c r="H20" s="942"/>
      <c r="I20" s="1060"/>
      <c r="J20" s="942"/>
      <c r="K20" s="1050"/>
      <c r="L20" s="1057"/>
      <c r="M20" s="1045"/>
      <c r="N20" s="1045"/>
      <c r="O20" s="1056"/>
      <c r="P20" s="3294"/>
      <c r="Q20" s="3053"/>
      <c r="R20" s="1093"/>
      <c r="S20" s="1094"/>
      <c r="T20" s="1093"/>
      <c r="U20" s="1094"/>
      <c r="V20" s="1093"/>
      <c r="W20" s="1094"/>
      <c r="X20" s="3055"/>
      <c r="Y20" s="3294"/>
      <c r="Z20" s="3056"/>
      <c r="AA20" s="3054">
        <v>1</v>
      </c>
      <c r="AB20" s="3054">
        <v>1</v>
      </c>
      <c r="AC20" s="3054">
        <v>1</v>
      </c>
    </row>
    <row r="21" spans="1:29" ht="85.5">
      <c r="A21" s="921"/>
      <c r="B21" s="1236" t="s">
        <v>1380</v>
      </c>
      <c r="C21" s="946" t="str">
        <f>估价对象房地状况!C18</f>
        <v>估价对象周边道路状况、公共交通通达情况、停车便捷程度，综合评价交通便捷度较好</v>
      </c>
      <c r="D21" s="944">
        <v>100</v>
      </c>
      <c r="E21" s="947"/>
      <c r="F21" s="948">
        <f>SUMIF(94:94,E22,95:95)-SUMIF(94:94,C22,95:95)+100</f>
        <v>97</v>
      </c>
      <c r="G21" s="947"/>
      <c r="H21" s="944">
        <f>SUMIF(94:94,G22,95:95)-SUMIF(94:94,C22,95:95)+100</f>
        <v>97</v>
      </c>
      <c r="I21" s="1059"/>
      <c r="J21" s="944">
        <f>SUMIF(94:94,I22,95:95)-SUMIF(94:94,C22,95:95)+100</f>
        <v>97</v>
      </c>
      <c r="K21" s="1054">
        <v>3</v>
      </c>
      <c r="L21" s="1057"/>
      <c r="M21" s="1045"/>
      <c r="N21" s="1045"/>
      <c r="O21" s="1056"/>
      <c r="P21" s="3294"/>
      <c r="Q21" s="3053" t="str">
        <f>B21</f>
        <v>交通便捷度</v>
      </c>
      <c r="R21" s="1093" t="s">
        <v>1367</v>
      </c>
      <c r="S21" s="1094">
        <f>F21</f>
        <v>97</v>
      </c>
      <c r="T21" s="1093" t="s">
        <v>1367</v>
      </c>
      <c r="U21" s="1094">
        <f>H21</f>
        <v>97</v>
      </c>
      <c r="V21" s="1093" t="s">
        <v>1367</v>
      </c>
      <c r="W21" s="1094">
        <f>J21</f>
        <v>97</v>
      </c>
      <c r="X21" s="3055"/>
      <c r="Y21" s="3294"/>
      <c r="Z21" s="3056" t="str">
        <f>Q21</f>
        <v>交通便捷度</v>
      </c>
      <c r="AA21" s="3054">
        <f t="shared" si="3"/>
        <v>1.0309278350515463</v>
      </c>
      <c r="AB21" s="3054">
        <f t="shared" si="4"/>
        <v>1.0309278350515463</v>
      </c>
      <c r="AC21" s="3054">
        <f t="shared" si="5"/>
        <v>1.0309278350515463</v>
      </c>
    </row>
    <row r="22" spans="1:29" ht="15">
      <c r="A22" s="921"/>
      <c r="B22" s="1240"/>
      <c r="C22" s="941" t="s">
        <v>1498</v>
      </c>
      <c r="D22" s="944"/>
      <c r="E22" s="950" t="s">
        <v>1499</v>
      </c>
      <c r="F22" s="942"/>
      <c r="G22" s="950" t="s">
        <v>1499</v>
      </c>
      <c r="H22" s="942"/>
      <c r="I22" s="1060" t="s">
        <v>1499</v>
      </c>
      <c r="J22" s="942"/>
      <c r="K22" s="1050"/>
      <c r="L22" s="1057"/>
      <c r="M22" s="1045"/>
      <c r="N22" s="1045"/>
      <c r="O22" s="1056"/>
      <c r="P22" s="3294"/>
      <c r="Q22" s="3053"/>
      <c r="R22" s="1093"/>
      <c r="S22" s="1094"/>
      <c r="T22" s="1093"/>
      <c r="U22" s="1094"/>
      <c r="V22" s="1093"/>
      <c r="W22" s="1094"/>
      <c r="X22" s="3055"/>
      <c r="Y22" s="3294"/>
      <c r="Z22" s="3056"/>
      <c r="AA22" s="3054">
        <v>1</v>
      </c>
      <c r="AB22" s="3054">
        <v>1</v>
      </c>
      <c r="AC22" s="3054">
        <v>1</v>
      </c>
    </row>
    <row r="23" spans="1:29" ht="15">
      <c r="A23" s="901"/>
      <c r="B23" s="1236" t="s">
        <v>1500</v>
      </c>
      <c r="C23" s="959">
        <f>估价对象房地状况!C19</f>
        <v>0</v>
      </c>
      <c r="D23" s="948">
        <v>100</v>
      </c>
      <c r="E23" s="947"/>
      <c r="F23" s="948">
        <f>SUMIF(96:96,E24,97:97)-SUMIF(96:96,C24,97:97)+100</f>
        <v>100</v>
      </c>
      <c r="G23" s="1059"/>
      <c r="H23" s="948">
        <f>SUMIF(96:96,G24,97:97)-SUMIF(96:96,C24,97:97)+100</f>
        <v>100</v>
      </c>
      <c r="I23" s="1059"/>
      <c r="J23" s="948">
        <f>SUMIF(96:96,I24,97:97)-SUMIF(96:96,C24,97:97)+100</f>
        <v>100</v>
      </c>
      <c r="K23" s="1054"/>
      <c r="L23" s="1057"/>
      <c r="M23" s="1045"/>
      <c r="N23" s="1045"/>
      <c r="O23" s="1056"/>
      <c r="P23" s="3294"/>
      <c r="Q23" s="3053" t="str">
        <f t="shared" ref="Q23:Q45" si="8">B23</f>
        <v>区域土地利用方向</v>
      </c>
      <c r="R23" s="1093" t="s">
        <v>1367</v>
      </c>
      <c r="S23" s="1094">
        <f>F23</f>
        <v>100</v>
      </c>
      <c r="T23" s="1093" t="s">
        <v>1367</v>
      </c>
      <c r="U23" s="1094">
        <f>H23</f>
        <v>100</v>
      </c>
      <c r="V23" s="1093" t="s">
        <v>1367</v>
      </c>
      <c r="W23" s="1094">
        <f>J23</f>
        <v>100</v>
      </c>
      <c r="X23" s="3055"/>
      <c r="Y23" s="3294"/>
      <c r="Z23" s="3056" t="str">
        <f>Q23</f>
        <v>区域土地利用方向</v>
      </c>
      <c r="AA23" s="3054">
        <f t="shared" si="3"/>
        <v>1</v>
      </c>
      <c r="AB23" s="3054">
        <f t="shared" si="4"/>
        <v>1</v>
      </c>
      <c r="AC23" s="3054">
        <f t="shared" si="5"/>
        <v>1</v>
      </c>
    </row>
    <row r="24" spans="1:29" ht="15">
      <c r="A24" s="901"/>
      <c r="B24" s="969"/>
      <c r="C24" s="955"/>
      <c r="D24" s="942"/>
      <c r="E24" s="950"/>
      <c r="F24" s="942"/>
      <c r="G24" s="1060"/>
      <c r="H24" s="942"/>
      <c r="I24" s="1060"/>
      <c r="J24" s="942"/>
      <c r="K24" s="1061"/>
      <c r="L24" s="1057"/>
      <c r="M24" s="1045"/>
      <c r="N24" s="1045"/>
      <c r="O24" s="1056"/>
      <c r="P24" s="3294"/>
      <c r="Q24" s="3053"/>
      <c r="R24" s="1093"/>
      <c r="S24" s="1094"/>
      <c r="T24" s="1093"/>
      <c r="U24" s="1094"/>
      <c r="V24" s="1093"/>
      <c r="W24" s="1094"/>
      <c r="X24" s="3055"/>
      <c r="Y24" s="3294"/>
      <c r="Z24" s="3056"/>
      <c r="AA24" s="3054"/>
      <c r="AB24" s="3054"/>
      <c r="AC24" s="3054"/>
    </row>
    <row r="25" spans="1:29" ht="57">
      <c r="A25" s="901"/>
      <c r="B25" s="1240" t="s">
        <v>1501</v>
      </c>
      <c r="C25" s="654" t="str">
        <f>估价对象房地状况!C20</f>
        <v>区域自然环境：；人文环境；综合评价环境状况一般</v>
      </c>
      <c r="D25" s="944">
        <v>100</v>
      </c>
      <c r="E25" s="947"/>
      <c r="F25" s="944">
        <f>SUMIF(98:98,E26,99:99)-SUMIF(98:98,C26,99:99)+100</f>
        <v>97</v>
      </c>
      <c r="G25" s="947"/>
      <c r="H25" s="944">
        <f>SUMIF(98:98,G26,99:99)-SUMIF(98:98,C26,99:99)+100</f>
        <v>97</v>
      </c>
      <c r="I25" s="1059"/>
      <c r="J25" s="944">
        <f>SUMIF(98:98,I26,99:99)-SUMIF(98:98,C26,99:99)+100</f>
        <v>97</v>
      </c>
      <c r="K25" s="1054">
        <v>3</v>
      </c>
      <c r="L25" s="1057"/>
      <c r="M25" s="1045"/>
      <c r="N25" s="1045"/>
      <c r="O25" s="1056"/>
      <c r="P25" s="3294"/>
      <c r="Q25" s="3053" t="str">
        <f t="shared" si="8"/>
        <v>自然及人文环境状况</v>
      </c>
      <c r="R25" s="1093" t="s">
        <v>1367</v>
      </c>
      <c r="S25" s="1094">
        <f>F25</f>
        <v>97</v>
      </c>
      <c r="T25" s="1093" t="s">
        <v>1367</v>
      </c>
      <c r="U25" s="1094">
        <f>H25</f>
        <v>97</v>
      </c>
      <c r="V25" s="1093" t="s">
        <v>1367</v>
      </c>
      <c r="W25" s="1094">
        <f>J25</f>
        <v>97</v>
      </c>
      <c r="X25" s="3055"/>
      <c r="Y25" s="3294"/>
      <c r="Z25" s="3056" t="str">
        <f>Q25</f>
        <v>自然及人文环境状况</v>
      </c>
      <c r="AA25" s="3054">
        <f t="shared" si="3"/>
        <v>1.0309278350515463</v>
      </c>
      <c r="AB25" s="3054">
        <f t="shared" si="4"/>
        <v>1.0309278350515463</v>
      </c>
      <c r="AC25" s="3054">
        <f t="shared" si="5"/>
        <v>1.0309278350515463</v>
      </c>
    </row>
    <row r="26" spans="1:29" ht="15">
      <c r="A26" s="901"/>
      <c r="B26" s="969"/>
      <c r="C26" s="941" t="s">
        <v>1498</v>
      </c>
      <c r="D26" s="942"/>
      <c r="E26" s="943" t="s">
        <v>1499</v>
      </c>
      <c r="F26" s="942"/>
      <c r="G26" s="943" t="s">
        <v>1499</v>
      </c>
      <c r="H26" s="942"/>
      <c r="I26" s="941" t="s">
        <v>1499</v>
      </c>
      <c r="J26" s="942"/>
      <c r="K26" s="1050"/>
      <c r="L26" s="1057"/>
      <c r="M26" s="1045"/>
      <c r="N26" s="1045"/>
      <c r="O26" s="1056"/>
      <c r="P26" s="3294"/>
      <c r="Q26" s="3053"/>
      <c r="R26" s="1093"/>
      <c r="S26" s="1094"/>
      <c r="T26" s="1093"/>
      <c r="U26" s="1094"/>
      <c r="V26" s="1093"/>
      <c r="W26" s="1094"/>
      <c r="X26" s="3055"/>
      <c r="Y26" s="3294"/>
      <c r="Z26" s="3056"/>
      <c r="AA26" s="3054">
        <v>1</v>
      </c>
      <c r="AB26" s="3054">
        <v>1</v>
      </c>
      <c r="AC26" s="3054">
        <v>1</v>
      </c>
    </row>
    <row r="27" spans="1:29" s="880" customFormat="1" ht="42.75">
      <c r="A27" s="951"/>
      <c r="B27" s="1240" t="s">
        <v>1381</v>
      </c>
      <c r="C27" s="946" t="str">
        <f>估价对象房地状况!C21</f>
        <v>估价对象所在区域公共配套设施齐备情况</v>
      </c>
      <c r="D27" s="944">
        <v>100</v>
      </c>
      <c r="E27" s="947"/>
      <c r="F27" s="944">
        <f>SUMIF(100:100,E28,101:101)-SUMIF(100:100,C28,101:101)+100</f>
        <v>97</v>
      </c>
      <c r="G27" s="947"/>
      <c r="H27" s="944">
        <f>SUMIF(100:100,G28,101:101)-SUMIF(100:100,C28,101:101)+100</f>
        <v>94</v>
      </c>
      <c r="I27" s="1059"/>
      <c r="J27" s="944">
        <f>SUMIF(100:100,I28,101:101)-SUMIF(100:100,C28,101:101)+100</f>
        <v>94</v>
      </c>
      <c r="K27" s="1054">
        <v>3</v>
      </c>
      <c r="L27" s="1047"/>
      <c r="M27" s="1048"/>
      <c r="N27" s="1048"/>
      <c r="O27" s="1049"/>
      <c r="P27" s="3294"/>
      <c r="Q27" s="3052" t="str">
        <f t="shared" si="8"/>
        <v>公共配套设施</v>
      </c>
      <c r="R27" s="1088" t="s">
        <v>1367</v>
      </c>
      <c r="S27" s="1089">
        <f>F27</f>
        <v>97</v>
      </c>
      <c r="T27" s="1088" t="s">
        <v>1367</v>
      </c>
      <c r="U27" s="1089">
        <f>H27</f>
        <v>94</v>
      </c>
      <c r="V27" s="1088" t="s">
        <v>1367</v>
      </c>
      <c r="W27" s="1089">
        <f>J27</f>
        <v>94</v>
      </c>
      <c r="X27" s="1090"/>
      <c r="Y27" s="3294"/>
      <c r="Z27" s="3051" t="str">
        <f>Q27</f>
        <v>公共配套设施</v>
      </c>
      <c r="AA27" s="3054">
        <f>D27/F27</f>
        <v>1.0309278350515463</v>
      </c>
      <c r="AB27" s="3054">
        <f>D27/H27</f>
        <v>1.0638297872340425</v>
      </c>
      <c r="AC27" s="3054">
        <f>D27/J27</f>
        <v>1.0638297872340425</v>
      </c>
    </row>
    <row r="28" spans="1:29" s="880" customFormat="1" ht="15">
      <c r="A28" s="951"/>
      <c r="B28" s="969"/>
      <c r="C28" s="953" t="s">
        <v>1498</v>
      </c>
      <c r="D28" s="942"/>
      <c r="E28" s="943" t="s">
        <v>1499</v>
      </c>
      <c r="F28" s="942"/>
      <c r="G28" s="943" t="s">
        <v>1502</v>
      </c>
      <c r="H28" s="942"/>
      <c r="I28" s="941" t="s">
        <v>1502</v>
      </c>
      <c r="J28" s="942"/>
      <c r="K28" s="1050"/>
      <c r="L28" s="1047"/>
      <c r="M28" s="1048"/>
      <c r="N28" s="1048"/>
      <c r="O28" s="1049"/>
      <c r="P28" s="3294"/>
      <c r="Q28" s="3052"/>
      <c r="R28" s="1088"/>
      <c r="S28" s="1089"/>
      <c r="T28" s="1088"/>
      <c r="U28" s="1089"/>
      <c r="V28" s="1088"/>
      <c r="W28" s="1089"/>
      <c r="X28" s="1090"/>
      <c r="Y28" s="3294"/>
      <c r="Z28" s="3051"/>
      <c r="AA28" s="3054">
        <v>1</v>
      </c>
      <c r="AB28" s="3054">
        <v>1</v>
      </c>
      <c r="AC28" s="3054">
        <v>1</v>
      </c>
    </row>
    <row r="29" spans="1:29" s="880" customFormat="1" ht="28.5">
      <c r="A29" s="951"/>
      <c r="B29" s="1240" t="s">
        <v>1382</v>
      </c>
      <c r="C29" s="946" t="str">
        <f>估价对象房地状况!C22</f>
        <v>估价对象所在区域基础设施水平</v>
      </c>
      <c r="D29" s="944">
        <v>100</v>
      </c>
      <c r="E29" s="947"/>
      <c r="F29" s="944">
        <f>SUMIF(102:102,E30,103:103)-SUMIF(102:102,C30,103:103)+100</f>
        <v>100</v>
      </c>
      <c r="G29" s="947"/>
      <c r="H29" s="944">
        <f>SUMIF(102:102,G30,103:103)-SUMIF(102:102,C30,103:103)+100</f>
        <v>100</v>
      </c>
      <c r="I29" s="1059"/>
      <c r="J29" s="944">
        <f>SUMIF(102:102,I30,103:103)-SUMIF(102:102,C30,103:103)+100</f>
        <v>100</v>
      </c>
      <c r="K29" s="1054">
        <v>2</v>
      </c>
      <c r="L29" s="1047"/>
      <c r="M29" s="1048"/>
      <c r="N29" s="1048"/>
      <c r="O29" s="1049"/>
      <c r="P29" s="3294"/>
      <c r="Q29" s="3052" t="str">
        <f>B29</f>
        <v>基础设施水平</v>
      </c>
      <c r="R29" s="1088" t="s">
        <v>1367</v>
      </c>
      <c r="S29" s="1089">
        <f>F29</f>
        <v>100</v>
      </c>
      <c r="T29" s="1088" t="s">
        <v>1367</v>
      </c>
      <c r="U29" s="1089">
        <f>H29</f>
        <v>100</v>
      </c>
      <c r="V29" s="1088" t="s">
        <v>1367</v>
      </c>
      <c r="W29" s="1089">
        <f>J29</f>
        <v>100</v>
      </c>
      <c r="X29" s="1090"/>
      <c r="Y29" s="3294"/>
      <c r="Z29" s="3051" t="str">
        <f>Q29</f>
        <v>基础设施水平</v>
      </c>
      <c r="AA29" s="3054">
        <f>D29/F29</f>
        <v>1</v>
      </c>
      <c r="AB29" s="3054">
        <f>D29/H29</f>
        <v>1</v>
      </c>
      <c r="AC29" s="3054">
        <f>D29/J29</f>
        <v>1</v>
      </c>
    </row>
    <row r="30" spans="1:29" s="880" customFormat="1" ht="15">
      <c r="A30" s="951"/>
      <c r="B30" s="969"/>
      <c r="C30" s="953" t="s">
        <v>238</v>
      </c>
      <c r="D30" s="942"/>
      <c r="E30" s="954" t="s">
        <v>238</v>
      </c>
      <c r="F30" s="942"/>
      <c r="G30" s="954" t="s">
        <v>238</v>
      </c>
      <c r="H30" s="942"/>
      <c r="I30" s="954" t="s">
        <v>238</v>
      </c>
      <c r="J30" s="942"/>
      <c r="K30" s="1050"/>
      <c r="L30" s="1047"/>
      <c r="M30" s="1048"/>
      <c r="N30" s="1048"/>
      <c r="O30" s="1049"/>
      <c r="P30" s="3294"/>
      <c r="Q30" s="3052"/>
      <c r="R30" s="1088"/>
      <c r="S30" s="1089"/>
      <c r="T30" s="1088"/>
      <c r="U30" s="1089"/>
      <c r="V30" s="1088"/>
      <c r="W30" s="1089"/>
      <c r="X30" s="1090"/>
      <c r="Y30" s="3294"/>
      <c r="Z30" s="3051"/>
      <c r="AA30" s="3054">
        <v>1</v>
      </c>
      <c r="AB30" s="3054">
        <v>1</v>
      </c>
      <c r="AC30" s="3054">
        <v>1</v>
      </c>
    </row>
    <row r="31" spans="1:29" ht="15">
      <c r="A31" s="921"/>
      <c r="B31" s="969" t="s">
        <v>1448</v>
      </c>
      <c r="C31" s="955"/>
      <c r="D31" s="930">
        <v>100</v>
      </c>
      <c r="E31" s="956"/>
      <c r="F31" s="930">
        <f>SUMIF(104:104,E31,105:105)-SUMIF(104:104,C31,105:105)+100</f>
        <v>100</v>
      </c>
      <c r="G31" s="956"/>
      <c r="H31" s="930">
        <f>SUMIF(104:104,G31,105:105)-SUMIF(104:104,C31,105:105)+100</f>
        <v>100</v>
      </c>
      <c r="I31" s="956"/>
      <c r="J31" s="930">
        <f>SUMIF(104:104,I31,105:105)-SUMIF(104:104,C31,105:105)+100</f>
        <v>100</v>
      </c>
      <c r="K31" s="1054"/>
      <c r="L31" s="1057"/>
      <c r="M31" s="1045"/>
      <c r="N31" s="1045"/>
      <c r="O31" s="1056"/>
      <c r="P31" s="3294"/>
      <c r="Q31" s="3053" t="str">
        <f t="shared" si="8"/>
        <v>临街状况</v>
      </c>
      <c r="R31" s="1093" t="s">
        <v>1367</v>
      </c>
      <c r="S31" s="1094">
        <f t="shared" ref="S31:S45" si="9">F31</f>
        <v>100</v>
      </c>
      <c r="T31" s="1093" t="s">
        <v>1367</v>
      </c>
      <c r="U31" s="1094">
        <f t="shared" ref="U31:U45" si="10">H31</f>
        <v>100</v>
      </c>
      <c r="V31" s="1093" t="s">
        <v>1367</v>
      </c>
      <c r="W31" s="1094">
        <f t="shared" ref="W31:W45" si="11">J31</f>
        <v>100</v>
      </c>
      <c r="X31" s="3055"/>
      <c r="Y31" s="3294"/>
      <c r="Z31" s="3056" t="str">
        <f t="shared" ref="Z31:Z45" si="12">Q31</f>
        <v>临街状况</v>
      </c>
      <c r="AA31" s="3054">
        <f t="shared" si="3"/>
        <v>1</v>
      </c>
      <c r="AB31" s="3054">
        <f t="shared" si="4"/>
        <v>1</v>
      </c>
      <c r="AC31" s="3054">
        <f t="shared" si="5"/>
        <v>1</v>
      </c>
    </row>
    <row r="32" spans="1:29" ht="27">
      <c r="A32" s="921"/>
      <c r="B32" s="1240" t="s">
        <v>1462</v>
      </c>
      <c r="C32" s="1059"/>
      <c r="D32" s="944">
        <v>100</v>
      </c>
      <c r="E32" s="947"/>
      <c r="F32" s="944">
        <f>SUMIF(106:106,E33,107:107)-SUMIF(106:106,C33,107:107)+100</f>
        <v>100</v>
      </c>
      <c r="G32" s="947"/>
      <c r="H32" s="944">
        <f>SUMIF(106:106,G33,107:107)-SUMIF(106:106,C33,107:107)+100</f>
        <v>100</v>
      </c>
      <c r="I32" s="1059"/>
      <c r="J32" s="944">
        <f>SUMIF(106:106,I33,107:107)-SUMIF(106:106,C33,107:107)+100</f>
        <v>100</v>
      </c>
      <c r="K32" s="1054"/>
      <c r="L32" s="1057"/>
      <c r="M32" s="1045"/>
      <c r="N32" s="1045"/>
      <c r="O32" s="1056"/>
      <c r="P32" s="3294"/>
      <c r="Q32" s="3053" t="str">
        <f t="shared" si="8"/>
        <v>毗邻道路的类型与等级</v>
      </c>
      <c r="R32" s="1093" t="s">
        <v>1367</v>
      </c>
      <c r="S32" s="1094">
        <f t="shared" si="9"/>
        <v>100</v>
      </c>
      <c r="T32" s="1093" t="s">
        <v>1367</v>
      </c>
      <c r="U32" s="1094">
        <f t="shared" si="10"/>
        <v>100</v>
      </c>
      <c r="V32" s="1093" t="s">
        <v>1367</v>
      </c>
      <c r="W32" s="1094">
        <f t="shared" si="11"/>
        <v>100</v>
      </c>
      <c r="X32" s="3055"/>
      <c r="Y32" s="3294"/>
      <c r="Z32" s="3056" t="str">
        <f t="shared" si="12"/>
        <v>毗邻道路的类型与等级</v>
      </c>
      <c r="AA32" s="3054">
        <f t="shared" si="3"/>
        <v>1</v>
      </c>
      <c r="AB32" s="3054">
        <f t="shared" si="4"/>
        <v>1</v>
      </c>
      <c r="AC32" s="3054">
        <f t="shared" si="5"/>
        <v>1</v>
      </c>
    </row>
    <row r="33" spans="1:29" ht="15">
      <c r="A33" s="921"/>
      <c r="B33" s="969"/>
      <c r="C33" s="941"/>
      <c r="D33" s="942"/>
      <c r="E33" s="943"/>
      <c r="F33" s="942"/>
      <c r="G33" s="943"/>
      <c r="H33" s="942"/>
      <c r="I33" s="941"/>
      <c r="J33" s="942"/>
      <c r="K33" s="1062"/>
      <c r="L33" s="1057"/>
      <c r="M33" s="1045"/>
      <c r="N33" s="1045"/>
      <c r="O33" s="1056"/>
      <c r="P33" s="3294"/>
      <c r="Q33" s="3053"/>
      <c r="R33" s="1093"/>
      <c r="S33" s="1094"/>
      <c r="T33" s="1093"/>
      <c r="U33" s="1094"/>
      <c r="V33" s="1093"/>
      <c r="W33" s="1094"/>
      <c r="X33" s="3055"/>
      <c r="Y33" s="3294"/>
      <c r="Z33" s="3056"/>
      <c r="AA33" s="3054">
        <v>1</v>
      </c>
      <c r="AB33" s="3054">
        <v>1</v>
      </c>
      <c r="AC33" s="3054">
        <v>1</v>
      </c>
    </row>
    <row r="34" spans="1:29" ht="15">
      <c r="A34" s="921"/>
      <c r="B34" s="918" t="s">
        <v>1503</v>
      </c>
      <c r="C34" s="955"/>
      <c r="D34" s="930">
        <v>100</v>
      </c>
      <c r="E34" s="956"/>
      <c r="F34" s="930">
        <f>SUMIF(108:108,E34,109:109)-SUMIF(108:108,C34,109:109)+100</f>
        <v>100</v>
      </c>
      <c r="G34" s="956"/>
      <c r="H34" s="930">
        <f>SUMIF(108:108,G34,109:109)-SUMIF(108:108,C34,109:109)+100</f>
        <v>100</v>
      </c>
      <c r="I34" s="955"/>
      <c r="J34" s="930">
        <f>SUMIF(108:108,I34,109:109)-SUMIF(108:108,C34,109:109)+100</f>
        <v>100</v>
      </c>
      <c r="K34" s="1063"/>
      <c r="L34" s="1057"/>
      <c r="M34" s="1045"/>
      <c r="N34" s="1045"/>
      <c r="O34" s="1056"/>
      <c r="P34" s="3294"/>
      <c r="Q34" s="3053" t="str">
        <f t="shared" si="8"/>
        <v>土地级别</v>
      </c>
      <c r="R34" s="1093" t="s">
        <v>1367</v>
      </c>
      <c r="S34" s="1094">
        <f t="shared" si="9"/>
        <v>100</v>
      </c>
      <c r="T34" s="1093" t="s">
        <v>1367</v>
      </c>
      <c r="U34" s="1094">
        <f t="shared" si="10"/>
        <v>100</v>
      </c>
      <c r="V34" s="1093" t="s">
        <v>1367</v>
      </c>
      <c r="W34" s="1094">
        <f t="shared" si="11"/>
        <v>100</v>
      </c>
      <c r="X34" s="3055"/>
      <c r="Y34" s="3294"/>
      <c r="Z34" s="3056" t="str">
        <f t="shared" si="12"/>
        <v>土地级别</v>
      </c>
      <c r="AA34" s="3054">
        <f t="shared" si="3"/>
        <v>1</v>
      </c>
      <c r="AB34" s="3054">
        <f t="shared" si="4"/>
        <v>1</v>
      </c>
      <c r="AC34" s="3054">
        <f t="shared" si="5"/>
        <v>1</v>
      </c>
    </row>
    <row r="35" spans="1:29" ht="15">
      <c r="A35" s="901"/>
      <c r="B35" s="1241">
        <v>111</v>
      </c>
      <c r="C35" s="928"/>
      <c r="D35" s="930">
        <v>100</v>
      </c>
      <c r="E35" s="961"/>
      <c r="F35" s="930">
        <f>SUMIF(110:110,E35,111:111)-SUMIF(110:110,C35,111:111)+100</f>
        <v>100</v>
      </c>
      <c r="G35" s="961"/>
      <c r="H35" s="930">
        <f>SUMIF(110:110,G35,111:111)-SUMIF(110:110,C35,111:111)+100</f>
        <v>100</v>
      </c>
      <c r="I35" s="928"/>
      <c r="J35" s="930">
        <f>SUMIF(110:110,I35,111:111)-SUMIF(110:110,C35,111:111)+100</f>
        <v>100</v>
      </c>
      <c r="K35" s="1062"/>
      <c r="L35" s="1057"/>
      <c r="M35" s="1045"/>
      <c r="N35" s="1045"/>
      <c r="O35" s="1056"/>
      <c r="P35" s="3294"/>
      <c r="Q35" s="3053">
        <f t="shared" si="8"/>
        <v>111</v>
      </c>
      <c r="R35" s="1093" t="s">
        <v>1367</v>
      </c>
      <c r="S35" s="1094">
        <f t="shared" si="9"/>
        <v>100</v>
      </c>
      <c r="T35" s="1093" t="s">
        <v>1367</v>
      </c>
      <c r="U35" s="1094">
        <f t="shared" si="10"/>
        <v>100</v>
      </c>
      <c r="V35" s="1093" t="s">
        <v>1367</v>
      </c>
      <c r="W35" s="1094">
        <f t="shared" si="11"/>
        <v>100</v>
      </c>
      <c r="X35" s="3055"/>
      <c r="Y35" s="3294"/>
      <c r="Z35" s="3056">
        <f t="shared" si="12"/>
        <v>111</v>
      </c>
      <c r="AA35" s="3054">
        <f t="shared" si="3"/>
        <v>1</v>
      </c>
      <c r="AB35" s="3054">
        <f t="shared" si="4"/>
        <v>1</v>
      </c>
      <c r="AC35" s="3054">
        <f t="shared" si="5"/>
        <v>1</v>
      </c>
    </row>
    <row r="36" spans="1:29" ht="15">
      <c r="A36" s="962"/>
      <c r="B36" s="976">
        <v>111</v>
      </c>
      <c r="C36" s="928"/>
      <c r="D36" s="930">
        <v>100</v>
      </c>
      <c r="E36" s="961"/>
      <c r="F36" s="930">
        <f>SUMIF(112:112,E37,113:113)-SUMIF(112:112,C37,113:113)+100</f>
        <v>100</v>
      </c>
      <c r="G36" s="961"/>
      <c r="H36" s="930">
        <f>SUMIF(112:112,G36,113:113)-SUMIF(112:112,C36,113:113)+100</f>
        <v>100</v>
      </c>
      <c r="I36" s="928"/>
      <c r="J36" s="930">
        <f>SUMIF(112:112,I36,113:113)-SUMIF(112:112,C36,113:113)+100</f>
        <v>100</v>
      </c>
      <c r="K36" s="1062"/>
      <c r="L36" s="1057"/>
      <c r="M36" s="1045"/>
      <c r="N36" s="1045"/>
      <c r="O36" s="1056"/>
      <c r="P36" s="3295" t="s">
        <v>1388</v>
      </c>
      <c r="Q36" s="3053">
        <f t="shared" si="8"/>
        <v>111</v>
      </c>
      <c r="R36" s="1093" t="s">
        <v>1367</v>
      </c>
      <c r="S36" s="1094">
        <f t="shared" si="9"/>
        <v>100</v>
      </c>
      <c r="T36" s="1093" t="s">
        <v>1367</v>
      </c>
      <c r="U36" s="1094">
        <f t="shared" si="10"/>
        <v>100</v>
      </c>
      <c r="V36" s="1093" t="s">
        <v>1367</v>
      </c>
      <c r="W36" s="1094">
        <f t="shared" si="11"/>
        <v>100</v>
      </c>
      <c r="X36" s="3055"/>
      <c r="Y36" s="3296" t="s">
        <v>1388</v>
      </c>
      <c r="Z36" s="3056">
        <f t="shared" si="12"/>
        <v>111</v>
      </c>
      <c r="AA36" s="3054">
        <f t="shared" si="3"/>
        <v>1</v>
      </c>
      <c r="AB36" s="3054">
        <f t="shared" si="4"/>
        <v>1</v>
      </c>
      <c r="AC36" s="3054">
        <f t="shared" si="5"/>
        <v>1</v>
      </c>
    </row>
    <row r="37" spans="1:29" s="882" customFormat="1" ht="15.75" thickBot="1">
      <c r="A37" s="964"/>
      <c r="B37" s="1242">
        <v>111</v>
      </c>
      <c r="C37" s="966"/>
      <c r="D37" s="967">
        <v>100</v>
      </c>
      <c r="E37" s="968"/>
      <c r="F37" s="934">
        <f>SUMIF(114:114,E37,115:115)-SUMIF(114:114,C37,115:115)+100</f>
        <v>100</v>
      </c>
      <c r="G37" s="968"/>
      <c r="H37" s="934">
        <f>SUMIF(114:114,G37,115:115)-SUMIF(114:114,C37,115:115)+100</f>
        <v>100</v>
      </c>
      <c r="I37" s="966"/>
      <c r="J37" s="934">
        <f>SUMIF(114:114,I37,115:115)-SUMIF(114:114,C37,115:115)+100</f>
        <v>100</v>
      </c>
      <c r="K37" s="1062"/>
      <c r="L37" s="1055"/>
      <c r="M37" s="1064"/>
      <c r="N37" s="1064"/>
      <c r="O37" s="1065"/>
      <c r="P37" s="3296"/>
      <c r="Q37" s="3053">
        <f t="shared" si="8"/>
        <v>111</v>
      </c>
      <c r="R37" s="1095" t="s">
        <v>1367</v>
      </c>
      <c r="S37" s="1096">
        <f t="shared" si="9"/>
        <v>100</v>
      </c>
      <c r="T37" s="1095" t="s">
        <v>1367</v>
      </c>
      <c r="U37" s="1096">
        <f t="shared" si="10"/>
        <v>100</v>
      </c>
      <c r="V37" s="1095" t="s">
        <v>1367</v>
      </c>
      <c r="W37" s="1096">
        <f t="shared" si="11"/>
        <v>100</v>
      </c>
      <c r="X37" s="1097"/>
      <c r="Y37" s="3296"/>
      <c r="Z37" s="1105">
        <f t="shared" si="12"/>
        <v>111</v>
      </c>
      <c r="AA37" s="3054">
        <f t="shared" si="3"/>
        <v>1</v>
      </c>
      <c r="AB37" s="3054">
        <f t="shared" si="4"/>
        <v>1</v>
      </c>
      <c r="AC37" s="3054">
        <f t="shared" si="5"/>
        <v>1</v>
      </c>
    </row>
    <row r="38" spans="1:29" ht="15">
      <c r="A38" s="972" t="s">
        <v>1386</v>
      </c>
      <c r="B38" s="969" t="s">
        <v>1504</v>
      </c>
      <c r="C38" s="970">
        <v>27227.86</v>
      </c>
      <c r="D38" s="971">
        <v>100</v>
      </c>
      <c r="E38" s="970">
        <f>土地案例!E2</f>
        <v>26609.75</v>
      </c>
      <c r="F38" s="971">
        <f>LOOKUP(E38,117:117,118:118)-LOOKUP(C38,117:117,118:118)+100</f>
        <v>100</v>
      </c>
      <c r="G38" s="970">
        <f>土地案例!E5</f>
        <v>67309.960000000006</v>
      </c>
      <c r="H38" s="971">
        <f>LOOKUP(G38,117:117,118:118)-LOOKUP(C38,117:117,118:118)+100</f>
        <v>104</v>
      </c>
      <c r="I38" s="1066">
        <f>土地案例!E6</f>
        <v>48727.09</v>
      </c>
      <c r="J38" s="971">
        <f>LOOKUP(I38,117:117,118:118)-LOOKUP(C38,117:117,118:118)+100</f>
        <v>102</v>
      </c>
      <c r="K38" s="1062"/>
      <c r="L38" s="1057"/>
      <c r="M38" s="1045"/>
      <c r="N38" s="1045"/>
      <c r="O38" s="1056"/>
      <c r="P38" s="3296"/>
      <c r="Q38" s="3053" t="str">
        <f t="shared" si="8"/>
        <v>宗地面积</v>
      </c>
      <c r="R38" s="1093" t="s">
        <v>1367</v>
      </c>
      <c r="S38" s="1094">
        <f t="shared" si="9"/>
        <v>100</v>
      </c>
      <c r="T38" s="1093" t="s">
        <v>1367</v>
      </c>
      <c r="U38" s="1094">
        <f t="shared" si="10"/>
        <v>104</v>
      </c>
      <c r="V38" s="1093" t="s">
        <v>1367</v>
      </c>
      <c r="W38" s="1094">
        <f t="shared" si="11"/>
        <v>102</v>
      </c>
      <c r="X38" s="3055"/>
      <c r="Y38" s="3296"/>
      <c r="Z38" s="3056" t="str">
        <f t="shared" si="12"/>
        <v>宗地面积</v>
      </c>
      <c r="AA38" s="3054">
        <f t="shared" si="3"/>
        <v>1</v>
      </c>
      <c r="AB38" s="3054">
        <f t="shared" si="4"/>
        <v>0.96153846153846156</v>
      </c>
      <c r="AC38" s="3054">
        <f t="shared" si="5"/>
        <v>0.98039215686274506</v>
      </c>
    </row>
    <row r="39" spans="1:29" ht="15">
      <c r="A39" s="972"/>
      <c r="B39" s="918" t="s">
        <v>1505</v>
      </c>
      <c r="C39" s="973"/>
      <c r="D39" s="930">
        <v>100</v>
      </c>
      <c r="E39" s="973"/>
      <c r="F39" s="930">
        <f>SUMIF(119:119,E39,120:120)-SUMIF(119:119,C39,120:120)+100</f>
        <v>100</v>
      </c>
      <c r="G39" s="973"/>
      <c r="H39" s="930">
        <f>SUMIF(119:119,G39,120:120)-SUMIF(119:119,C39,120:120)+100</f>
        <v>100</v>
      </c>
      <c r="I39" s="973"/>
      <c r="J39" s="930">
        <f>SUMIF(119:119,I39,120:120)-SUMIF(119:119,C39,120:120)+100</f>
        <v>100</v>
      </c>
      <c r="K39" s="1063"/>
      <c r="L39" s="1057"/>
      <c r="M39" s="1045"/>
      <c r="N39" s="1045"/>
      <c r="O39" s="1056"/>
      <c r="P39" s="3296"/>
      <c r="Q39" s="3053" t="str">
        <f t="shared" si="8"/>
        <v>宗地形状</v>
      </c>
      <c r="R39" s="1093" t="s">
        <v>1367</v>
      </c>
      <c r="S39" s="1094">
        <f t="shared" si="9"/>
        <v>100</v>
      </c>
      <c r="T39" s="1093" t="s">
        <v>1367</v>
      </c>
      <c r="U39" s="1094">
        <f t="shared" si="10"/>
        <v>100</v>
      </c>
      <c r="V39" s="1093" t="s">
        <v>1367</v>
      </c>
      <c r="W39" s="1094">
        <f t="shared" si="11"/>
        <v>100</v>
      </c>
      <c r="X39" s="3055"/>
      <c r="Y39" s="3296"/>
      <c r="Z39" s="3056" t="str">
        <f t="shared" si="12"/>
        <v>宗地形状</v>
      </c>
      <c r="AA39" s="3054">
        <f t="shared" si="3"/>
        <v>1</v>
      </c>
      <c r="AB39" s="3054">
        <f t="shared" si="4"/>
        <v>1</v>
      </c>
      <c r="AC39" s="3054">
        <f t="shared" si="5"/>
        <v>1</v>
      </c>
    </row>
    <row r="40" spans="1:29" ht="15">
      <c r="A40" s="972"/>
      <c r="B40" s="918" t="s">
        <v>1506</v>
      </c>
      <c r="C40" s="973"/>
      <c r="D40" s="930">
        <v>100</v>
      </c>
      <c r="E40" s="973"/>
      <c r="F40" s="930">
        <f>SUMIF(121:121,E40,122:122)-SUMIF(121:121,C40,122:122)+100</f>
        <v>100</v>
      </c>
      <c r="G40" s="973"/>
      <c r="H40" s="930">
        <f>SUMIF(121:121,G40,122:122)-SUMIF(121:121,C40,122:122)+100</f>
        <v>100</v>
      </c>
      <c r="I40" s="973"/>
      <c r="J40" s="930">
        <f>SUMIF(121:121,I40,122:122)-SUMIF(121:121,C40,122:122)+100</f>
        <v>100</v>
      </c>
      <c r="K40" s="1063"/>
      <c r="L40" s="1057"/>
      <c r="M40" s="1045"/>
      <c r="N40" s="1045"/>
      <c r="O40" s="1056"/>
      <c r="P40" s="3296"/>
      <c r="Q40" s="3053" t="str">
        <f t="shared" si="8"/>
        <v>临街宽度及深度</v>
      </c>
      <c r="R40" s="1093" t="s">
        <v>1367</v>
      </c>
      <c r="S40" s="1094">
        <f t="shared" si="9"/>
        <v>100</v>
      </c>
      <c r="T40" s="1093" t="s">
        <v>1367</v>
      </c>
      <c r="U40" s="1094">
        <f t="shared" si="10"/>
        <v>100</v>
      </c>
      <c r="V40" s="1093" t="s">
        <v>1367</v>
      </c>
      <c r="W40" s="1094">
        <f t="shared" si="11"/>
        <v>100</v>
      </c>
      <c r="X40" s="3055"/>
      <c r="Y40" s="3296"/>
      <c r="Z40" s="3056" t="str">
        <f t="shared" si="12"/>
        <v>临街宽度及深度</v>
      </c>
      <c r="AA40" s="3054">
        <f t="shared" si="3"/>
        <v>1</v>
      </c>
      <c r="AB40" s="3054">
        <f t="shared" si="4"/>
        <v>1</v>
      </c>
      <c r="AC40" s="3054">
        <f t="shared" si="5"/>
        <v>1</v>
      </c>
    </row>
    <row r="41" spans="1:29" s="880" customFormat="1" ht="15">
      <c r="A41" s="974"/>
      <c r="B41" s="918" t="s">
        <v>1507</v>
      </c>
      <c r="C41" s="1243" t="s">
        <v>238</v>
      </c>
      <c r="D41" s="920">
        <v>100</v>
      </c>
      <c r="E41" s="1243" t="s">
        <v>257</v>
      </c>
      <c r="F41" s="930">
        <f>SUMIF(123:123,E41,124:124)-SUMIF(123:123,C41,124:124)+100</f>
        <v>98</v>
      </c>
      <c r="G41" s="1243" t="s">
        <v>257</v>
      </c>
      <c r="H41" s="930">
        <f>SUMIF(123:123,G41,124:124)-SUMIF(123:123,C41,124:124)+100</f>
        <v>98</v>
      </c>
      <c r="I41" s="1243" t="s">
        <v>257</v>
      </c>
      <c r="J41" s="930">
        <f>SUMIF(123:123,I41,124:124)-SUMIF(123:123,C41,124:124)+100</f>
        <v>98</v>
      </c>
      <c r="K41" s="1063">
        <v>1</v>
      </c>
      <c r="L41" s="1047"/>
      <c r="M41" s="1048"/>
      <c r="N41" s="1048"/>
      <c r="O41" s="1049"/>
      <c r="P41" s="3296"/>
      <c r="Q41" s="3053" t="str">
        <f t="shared" si="8"/>
        <v>宗地开发程度</v>
      </c>
      <c r="R41" s="1088" t="s">
        <v>1367</v>
      </c>
      <c r="S41" s="1089">
        <f t="shared" si="9"/>
        <v>98</v>
      </c>
      <c r="T41" s="1088" t="s">
        <v>1367</v>
      </c>
      <c r="U41" s="1089">
        <f t="shared" si="10"/>
        <v>98</v>
      </c>
      <c r="V41" s="1088" t="s">
        <v>1367</v>
      </c>
      <c r="W41" s="1089">
        <f t="shared" si="11"/>
        <v>98</v>
      </c>
      <c r="X41" s="1090"/>
      <c r="Y41" s="3296"/>
      <c r="Z41" s="3051" t="str">
        <f t="shared" si="12"/>
        <v>宗地开发程度</v>
      </c>
      <c r="AA41" s="1102">
        <f t="shared" si="3"/>
        <v>1.0204081632653061</v>
      </c>
      <c r="AB41" s="1102">
        <f t="shared" si="4"/>
        <v>1.0204081632653061</v>
      </c>
      <c r="AC41" s="1102">
        <f t="shared" si="5"/>
        <v>1.0204081632653061</v>
      </c>
    </row>
    <row r="42" spans="1:29" ht="15">
      <c r="A42" s="972"/>
      <c r="B42" s="918" t="s">
        <v>1508</v>
      </c>
      <c r="C42" s="973"/>
      <c r="D42" s="930">
        <v>100</v>
      </c>
      <c r="E42" s="973"/>
      <c r="F42" s="930">
        <f>SUMIF(125:125,E42,126:126)-SUMIF(125:125,C42,126:126)+100</f>
        <v>100</v>
      </c>
      <c r="G42" s="973"/>
      <c r="H42" s="930">
        <f>SUMIF(125:125,G42,126:126)-SUMIF(125:125,C42,126:126)+100</f>
        <v>100</v>
      </c>
      <c r="I42" s="973"/>
      <c r="J42" s="930">
        <f>SUMIF(125:125,I42,126:126)-SUMIF(125:125,C42,126:126)+100</f>
        <v>100</v>
      </c>
      <c r="K42" s="1063"/>
      <c r="L42" s="1057"/>
      <c r="M42" s="1045"/>
      <c r="N42" s="1045"/>
      <c r="O42" s="1056"/>
      <c r="P42" s="3296" t="s">
        <v>1388</v>
      </c>
      <c r="Q42" s="3053" t="str">
        <f t="shared" si="8"/>
        <v>工程地质条件</v>
      </c>
      <c r="R42" s="1093" t="s">
        <v>1367</v>
      </c>
      <c r="S42" s="1094">
        <f t="shared" si="9"/>
        <v>100</v>
      </c>
      <c r="T42" s="1093" t="s">
        <v>1367</v>
      </c>
      <c r="U42" s="1094">
        <f t="shared" si="10"/>
        <v>100</v>
      </c>
      <c r="V42" s="1093" t="s">
        <v>1367</v>
      </c>
      <c r="W42" s="1094">
        <f t="shared" si="11"/>
        <v>100</v>
      </c>
      <c r="X42" s="3055"/>
      <c r="Y42" s="3296" t="s">
        <v>1388</v>
      </c>
      <c r="Z42" s="3056" t="str">
        <f t="shared" si="12"/>
        <v>工程地质条件</v>
      </c>
      <c r="AA42" s="3054">
        <f t="shared" si="3"/>
        <v>1</v>
      </c>
      <c r="AB42" s="3054">
        <f t="shared" si="4"/>
        <v>1</v>
      </c>
      <c r="AC42" s="3054">
        <f t="shared" si="5"/>
        <v>1</v>
      </c>
    </row>
    <row r="43" spans="1:29" ht="15">
      <c r="A43" s="972"/>
      <c r="B43" s="976">
        <v>111</v>
      </c>
      <c r="C43" s="928"/>
      <c r="D43" s="930">
        <v>100</v>
      </c>
      <c r="E43" s="928"/>
      <c r="F43" s="930">
        <f>SUMIF(127:127,E43,128:128)-SUMIF(127:127,C43,128:128)+100</f>
        <v>100</v>
      </c>
      <c r="G43" s="928"/>
      <c r="H43" s="930">
        <f>SUMIF(127:127,G43,128:128)-SUMIF(127:127,C43,128:128)+100</f>
        <v>100</v>
      </c>
      <c r="I43" s="927"/>
      <c r="J43" s="930">
        <f>SUMIF(127:127,I43,128:128)-SUMIF(127:127,C43,128:128)+100</f>
        <v>100</v>
      </c>
      <c r="K43" s="1062"/>
      <c r="L43" s="1057"/>
      <c r="M43" s="1045"/>
      <c r="N43" s="1045"/>
      <c r="O43" s="1056"/>
      <c r="P43" s="3296"/>
      <c r="Q43" s="3053">
        <f t="shared" si="8"/>
        <v>111</v>
      </c>
      <c r="R43" s="1093" t="s">
        <v>1367</v>
      </c>
      <c r="S43" s="1094">
        <f t="shared" si="9"/>
        <v>100</v>
      </c>
      <c r="T43" s="1093" t="s">
        <v>1367</v>
      </c>
      <c r="U43" s="1094">
        <f t="shared" si="10"/>
        <v>100</v>
      </c>
      <c r="V43" s="1093" t="s">
        <v>1367</v>
      </c>
      <c r="W43" s="1094">
        <f t="shared" si="11"/>
        <v>100</v>
      </c>
      <c r="X43" s="3055"/>
      <c r="Y43" s="3296"/>
      <c r="Z43" s="3056">
        <f t="shared" si="12"/>
        <v>111</v>
      </c>
      <c r="AA43" s="3054">
        <f t="shared" si="3"/>
        <v>1</v>
      </c>
      <c r="AB43" s="3054">
        <f t="shared" si="4"/>
        <v>1</v>
      </c>
      <c r="AC43" s="3054">
        <f t="shared" si="5"/>
        <v>1</v>
      </c>
    </row>
    <row r="44" spans="1:29" ht="15">
      <c r="A44" s="972"/>
      <c r="B44" s="976">
        <v>111</v>
      </c>
      <c r="C44" s="928"/>
      <c r="D44" s="930">
        <v>100</v>
      </c>
      <c r="E44" s="928"/>
      <c r="F44" s="930">
        <f>SUMIF(129:129,E44,130:130)-SUMIF(129:129,C44,130:130)+100</f>
        <v>100</v>
      </c>
      <c r="G44" s="928"/>
      <c r="H44" s="930">
        <f>SUMIF(129:129,G44,130:130)-SUMIF(129:129,C44,130:130)+100</f>
        <v>100</v>
      </c>
      <c r="I44" s="927"/>
      <c r="J44" s="930">
        <f>SUMIF(129:129,I44,130:130)-SUMIF(129:129,C44,130:130)+100</f>
        <v>100</v>
      </c>
      <c r="K44" s="1062"/>
      <c r="L44" s="1057"/>
      <c r="M44" s="1045"/>
      <c r="N44" s="1045"/>
      <c r="O44" s="1056"/>
      <c r="P44" s="3296"/>
      <c r="Q44" s="3053">
        <f t="shared" si="8"/>
        <v>111</v>
      </c>
      <c r="R44" s="1093" t="s">
        <v>1367</v>
      </c>
      <c r="S44" s="1094">
        <f t="shared" si="9"/>
        <v>100</v>
      </c>
      <c r="T44" s="1093" t="s">
        <v>1367</v>
      </c>
      <c r="U44" s="1094">
        <f t="shared" si="10"/>
        <v>100</v>
      </c>
      <c r="V44" s="1093" t="s">
        <v>1367</v>
      </c>
      <c r="W44" s="1094">
        <f t="shared" si="11"/>
        <v>100</v>
      </c>
      <c r="X44" s="3055"/>
      <c r="Y44" s="3296"/>
      <c r="Z44" s="3056">
        <f t="shared" si="12"/>
        <v>111</v>
      </c>
      <c r="AA44" s="3054">
        <f t="shared" si="3"/>
        <v>1</v>
      </c>
      <c r="AB44" s="3054">
        <f t="shared" si="4"/>
        <v>1</v>
      </c>
      <c r="AC44" s="3054">
        <f t="shared" si="5"/>
        <v>1</v>
      </c>
    </row>
    <row r="45" spans="1:29" s="882" customFormat="1" ht="15.75" thickBot="1">
      <c r="A45" s="977"/>
      <c r="B45" s="976">
        <v>111</v>
      </c>
      <c r="C45" s="978"/>
      <c r="D45" s="1244">
        <v>100</v>
      </c>
      <c r="E45" s="928"/>
      <c r="F45" s="934">
        <f>SUMIF(131:131,E45,132:132)-SUMIF(131:131,C45,132:132)+100</f>
        <v>100</v>
      </c>
      <c r="G45" s="928"/>
      <c r="H45" s="934">
        <f>SUMIF(131:131,G45,132:132)-SUMIF(131:131,C45,132:132)+100</f>
        <v>100</v>
      </c>
      <c r="I45" s="928"/>
      <c r="J45" s="934">
        <f>SUMIF(131:131,I45,132:132)-SUMIF(131:131,C45,132:132)+100</f>
        <v>100</v>
      </c>
      <c r="K45" s="1067"/>
      <c r="L45" s="1055"/>
      <c r="M45" s="1064"/>
      <c r="N45" s="1064"/>
      <c r="O45" s="1065"/>
      <c r="P45" s="3296"/>
      <c r="Q45" s="3053">
        <f t="shared" si="8"/>
        <v>111</v>
      </c>
      <c r="R45" s="1095" t="s">
        <v>1367</v>
      </c>
      <c r="S45" s="1096">
        <f t="shared" si="9"/>
        <v>100</v>
      </c>
      <c r="T45" s="1095" t="s">
        <v>1367</v>
      </c>
      <c r="U45" s="1096">
        <f t="shared" si="10"/>
        <v>100</v>
      </c>
      <c r="V45" s="1095" t="s">
        <v>1367</v>
      </c>
      <c r="W45" s="1096">
        <f t="shared" si="11"/>
        <v>100</v>
      </c>
      <c r="X45" s="1097"/>
      <c r="Y45" s="3296"/>
      <c r="Z45" s="1105">
        <f t="shared" si="12"/>
        <v>111</v>
      </c>
      <c r="AA45" s="3054">
        <f t="shared" si="3"/>
        <v>1</v>
      </c>
      <c r="AB45" s="3054">
        <f t="shared" si="4"/>
        <v>1</v>
      </c>
      <c r="AC45" s="3054">
        <f t="shared" si="5"/>
        <v>1</v>
      </c>
    </row>
    <row r="46" spans="1:29" ht="15">
      <c r="A46" s="979" t="s">
        <v>1479</v>
      </c>
      <c r="B46" s="980" t="s">
        <v>1509</v>
      </c>
      <c r="C46" s="981" t="s">
        <v>124</v>
      </c>
      <c r="D46" s="982"/>
      <c r="E46" s="983">
        <v>47008</v>
      </c>
      <c r="F46" s="984"/>
      <c r="G46" s="985">
        <v>46670</v>
      </c>
      <c r="H46" s="986"/>
      <c r="I46" s="983">
        <v>50587</v>
      </c>
      <c r="J46" s="986"/>
      <c r="K46" s="1068"/>
      <c r="L46" s="1069"/>
      <c r="M46" s="996"/>
      <c r="N46" s="1045"/>
      <c r="O46" s="996"/>
      <c r="P46" s="3276" t="str">
        <f>A46</f>
        <v>成交单价</v>
      </c>
      <c r="Q46" s="3276"/>
      <c r="R46" s="3289">
        <f>E46</f>
        <v>47008</v>
      </c>
      <c r="S46" s="3289"/>
      <c r="T46" s="3289">
        <f>G46</f>
        <v>46670</v>
      </c>
      <c r="U46" s="3289"/>
      <c r="V46" s="3289">
        <f>I46</f>
        <v>50587</v>
      </c>
      <c r="W46" s="3289"/>
      <c r="X46" s="1033"/>
      <c r="Y46" s="1106"/>
      <c r="Z46" s="1033"/>
      <c r="AA46" s="1033"/>
      <c r="AB46" s="1033"/>
      <c r="AC46" s="1033"/>
    </row>
    <row r="47" spans="1:29" ht="15.75" thickBot="1">
      <c r="A47" s="987" t="s">
        <v>1400</v>
      </c>
      <c r="B47" s="988"/>
      <c r="C47" s="989">
        <f>R48</f>
        <v>60178</v>
      </c>
      <c r="D47" s="990" t="s">
        <v>1401</v>
      </c>
      <c r="E47" s="989">
        <f>R47</f>
        <v>58344</v>
      </c>
      <c r="F47" s="991"/>
      <c r="G47" s="992">
        <f>T47</f>
        <v>58684</v>
      </c>
      <c r="H47" s="991"/>
      <c r="I47" s="989">
        <f>V47</f>
        <v>63506</v>
      </c>
      <c r="J47" s="991"/>
      <c r="K47" s="1070">
        <f>F47+H47+J47</f>
        <v>0</v>
      </c>
      <c r="L47" s="1069"/>
      <c r="M47" s="996"/>
      <c r="N47" s="996"/>
      <c r="O47" s="996"/>
      <c r="P47" s="3276" t="str">
        <f>A47</f>
        <v>比较价值（元/平方米）</v>
      </c>
      <c r="Q47" s="3276"/>
      <c r="R47" s="3297">
        <f>ROUND(PRODUCT(R46,AA7:AA45),0)</f>
        <v>58344</v>
      </c>
      <c r="S47" s="3297"/>
      <c r="T47" s="3297">
        <f>ROUND(PRODUCT(T46,AB7:AB45),0)</f>
        <v>58684</v>
      </c>
      <c r="U47" s="3297"/>
      <c r="V47" s="3297">
        <f>ROUND(PRODUCT(V46,AC7:AC45),0)</f>
        <v>63506</v>
      </c>
      <c r="W47" s="3297"/>
      <c r="X47" s="1033"/>
      <c r="Y47" s="1033"/>
      <c r="Z47" s="1033"/>
      <c r="AA47" s="1033"/>
      <c r="AB47" s="1033"/>
      <c r="AC47" s="1033"/>
    </row>
    <row r="48" spans="1:29" ht="15.75" thickBot="1">
      <c r="A48" s="993" t="s">
        <v>1510</v>
      </c>
      <c r="B48" s="994"/>
      <c r="C48" s="995">
        <f>R48</f>
        <v>60178</v>
      </c>
      <c r="D48" s="995"/>
      <c r="E48" s="995"/>
      <c r="F48" s="995"/>
      <c r="G48" s="995"/>
      <c r="H48" s="995"/>
      <c r="I48" s="995"/>
      <c r="J48" s="995"/>
      <c r="K48" s="1071"/>
      <c r="L48" s="1069"/>
      <c r="M48" s="996"/>
      <c r="N48" s="996"/>
      <c r="O48" s="996"/>
      <c r="P48" s="3298" t="str">
        <f>A48</f>
        <v>估价对象XX用房的比较价值（楼面单价，元/平方米）</v>
      </c>
      <c r="Q48" s="3299"/>
      <c r="R48" s="3300">
        <f>ROUND(IF(D47="简单平均",AVERAGE(R47:W47),R47*F47+T47*H47+V47*J47),0)</f>
        <v>60178</v>
      </c>
      <c r="S48" s="3300"/>
      <c r="T48" s="3300"/>
      <c r="U48" s="3300"/>
      <c r="V48" s="3300"/>
      <c r="W48" s="3300"/>
      <c r="X48" s="1033"/>
      <c r="Y48" s="1033"/>
      <c r="Z48" s="1033"/>
      <c r="AA48" s="1033"/>
      <c r="AB48" s="1033"/>
      <c r="AC48" s="1033"/>
    </row>
    <row r="49" spans="1:29">
      <c r="A49" s="996"/>
      <c r="B49" s="996"/>
      <c r="C49" s="996"/>
      <c r="D49" s="996"/>
      <c r="E49" s="996"/>
      <c r="F49" s="996"/>
      <c r="G49" s="997"/>
      <c r="H49" s="996"/>
      <c r="I49" s="996"/>
      <c r="J49" s="996"/>
      <c r="K49" s="1073"/>
      <c r="L49" s="1074"/>
      <c r="M49" s="996"/>
      <c r="N49" s="996"/>
      <c r="O49" s="996"/>
      <c r="P49" s="996"/>
      <c r="Q49" s="996"/>
      <c r="R49" s="996"/>
      <c r="S49" s="996"/>
      <c r="T49" s="996"/>
      <c r="U49" s="996"/>
      <c r="V49" s="996"/>
      <c r="W49" s="996"/>
      <c r="X49" s="996"/>
      <c r="Y49" s="996"/>
      <c r="Z49" s="996"/>
      <c r="AA49" s="996"/>
      <c r="AB49" s="996"/>
      <c r="AC49" s="996"/>
    </row>
    <row r="50" spans="1:29">
      <c r="A50" s="996"/>
      <c r="B50" s="996"/>
      <c r="C50" s="996"/>
      <c r="D50" s="996"/>
      <c r="E50" s="996"/>
      <c r="F50" s="996"/>
      <c r="G50" s="996"/>
      <c r="H50" s="996"/>
      <c r="I50" s="996"/>
      <c r="J50" s="996"/>
      <c r="K50" s="1073"/>
      <c r="L50" s="1074"/>
      <c r="M50" s="996"/>
      <c r="N50" s="996"/>
      <c r="O50" s="996"/>
      <c r="P50" s="996"/>
      <c r="Q50" s="996"/>
      <c r="R50" s="996"/>
      <c r="S50" s="996"/>
      <c r="T50" s="996"/>
      <c r="U50" s="996"/>
      <c r="V50" s="996"/>
      <c r="W50" s="996"/>
      <c r="X50" s="996"/>
      <c r="Y50" s="996"/>
      <c r="Z50" s="996"/>
      <c r="AA50" s="996"/>
      <c r="AB50" s="996"/>
      <c r="AC50" s="996"/>
    </row>
    <row r="51" spans="1:29" ht="13.5" customHeight="1">
      <c r="A51" s="996"/>
      <c r="B51" s="996"/>
      <c r="C51" s="998" t="s">
        <v>1403</v>
      </c>
      <c r="D51" s="698"/>
      <c r="E51" s="999">
        <f>IF(E46&lt;E47,E47/E46-1,E46/E47-1)</f>
        <v>0.24115044247787609</v>
      </c>
      <c r="F51" s="1000" t="str">
        <f>IF(OR(E51&gt;=0.3,E51&lt;=-0.3),"超过30%","")</f>
        <v/>
      </c>
      <c r="G51" s="999">
        <f>IF(G46&lt;G47,G47/G46-1,G46/G47-1)</f>
        <v>0.25742446968073707</v>
      </c>
      <c r="H51" s="1000" t="str">
        <f>IF(OR(G51&gt;=0.3,G51&lt;=-0.3),"超过30%","")</f>
        <v/>
      </c>
      <c r="I51" s="999">
        <f>IF(I46&lt;I47,I47/I46-1,I46/I47-1)</f>
        <v>0.2553818174629845</v>
      </c>
      <c r="J51" s="1000" t="str">
        <f>IF(OR(I51&gt;=0.3,I51&lt;=-0.3),"超过30%","")</f>
        <v/>
      </c>
      <c r="K51" s="1073"/>
      <c r="L51" s="1074"/>
      <c r="M51" s="996"/>
      <c r="N51" s="996"/>
      <c r="O51" s="996"/>
      <c r="P51" s="996"/>
      <c r="Q51" s="996"/>
      <c r="R51" s="996"/>
      <c r="S51" s="996"/>
      <c r="T51" s="996"/>
      <c r="U51" s="996"/>
      <c r="V51" s="996"/>
      <c r="W51" s="996"/>
      <c r="X51" s="996"/>
      <c r="Y51" s="996"/>
      <c r="Z51" s="996"/>
      <c r="AA51" s="996"/>
      <c r="AB51" s="996"/>
      <c r="AC51" s="996"/>
    </row>
    <row r="52" spans="1:29" ht="13.5" customHeight="1">
      <c r="A52" s="996"/>
      <c r="B52" s="996"/>
      <c r="C52" s="998" t="s">
        <v>1404</v>
      </c>
      <c r="D52" s="697"/>
      <c r="E52" s="999">
        <f>IF(E47&lt;G47,G47/E47-1,E47/G47-1)</f>
        <v>5.8275058275059077E-3</v>
      </c>
      <c r="F52" s="1000" t="str">
        <f>IF(OR(E52&gt;=0.2,E52&lt;=-0.2),"超过20%","")</f>
        <v/>
      </c>
      <c r="G52" s="999">
        <f>IF(G47&lt;I47,I47/G47-1,G47/I47-1)</f>
        <v>8.216890464181037E-2</v>
      </c>
      <c r="H52" s="1000" t="str">
        <f>IF(OR(G52&gt;=0.2,G52&lt;=-0.2),"超过20%","")</f>
        <v/>
      </c>
      <c r="I52" s="999">
        <f>IF(I47&lt;E47,E47/I47-1,I47/E47-1)</f>
        <v>8.8475250239956171E-2</v>
      </c>
      <c r="J52" s="1000" t="str">
        <f>IF(OR(I52&gt;=0.2,I52&lt;=-0.2),"超过20%","")</f>
        <v/>
      </c>
      <c r="K52" s="1073"/>
      <c r="L52" s="1074"/>
      <c r="M52" s="996"/>
      <c r="N52" s="996"/>
      <c r="O52" s="996"/>
      <c r="P52" s="996"/>
      <c r="Q52" s="996"/>
      <c r="R52" s="996"/>
      <c r="S52" s="996"/>
      <c r="T52" s="996"/>
      <c r="U52" s="996"/>
      <c r="V52" s="996"/>
      <c r="W52" s="996"/>
      <c r="X52" s="996"/>
      <c r="Y52" s="996"/>
      <c r="Z52" s="996"/>
      <c r="AA52" s="996"/>
      <c r="AB52" s="996"/>
      <c r="AC52" s="996"/>
    </row>
    <row r="53" spans="1:29" s="883" customFormat="1" ht="13.5" customHeight="1">
      <c r="A53" s="1001"/>
      <c r="B53" s="1001"/>
      <c r="C53" s="998" t="s">
        <v>1405</v>
      </c>
      <c r="D53" s="697"/>
      <c r="E53" s="999">
        <f>IF(E46&lt;G46,G46/E46-1,E46/G46-1)</f>
        <v>7.2423398328691491E-3</v>
      </c>
      <c r="F53" s="1000" t="str">
        <f>IF(OR(E53&gt;=0.3,E53&lt;=-0.3),"超过30%","")</f>
        <v/>
      </c>
      <c r="G53" s="999">
        <f>IF(G46&lt;I46,I46/G46-1,G46/I46-1)</f>
        <v>8.3929719305763983E-2</v>
      </c>
      <c r="H53" s="1000" t="str">
        <f>IF(OR(G53&gt;=0.3,G53&lt;=-0.3),"超过30%","")</f>
        <v/>
      </c>
      <c r="I53" s="999">
        <f>IF(I46&lt;E46,E46/I46-1,I46/E46-1)</f>
        <v>7.6135976855003396E-2</v>
      </c>
      <c r="J53" s="1000" t="str">
        <f>IF(OR(I53&gt;=0.3,I53&lt;=-0.3),"超过30%","")</f>
        <v/>
      </c>
      <c r="K53" s="1075"/>
      <c r="L53" s="1076"/>
      <c r="M53" s="1001"/>
      <c r="N53" s="1001"/>
      <c r="O53" s="1001"/>
      <c r="P53" s="1001"/>
      <c r="Q53" s="1001"/>
      <c r="R53" s="1001"/>
      <c r="S53" s="1001"/>
      <c r="T53" s="1001"/>
      <c r="U53" s="1001"/>
      <c r="V53" s="1001"/>
      <c r="W53" s="1001"/>
      <c r="X53" s="1001"/>
      <c r="Y53" s="1001"/>
      <c r="Z53" s="1001"/>
      <c r="AA53" s="1001"/>
      <c r="AB53" s="1001"/>
      <c r="AC53" s="1001"/>
    </row>
    <row r="54" spans="1:29" s="883" customFormat="1" ht="15" thickBot="1">
      <c r="A54" s="1001"/>
      <c r="B54" s="1002"/>
      <c r="C54" s="1003"/>
      <c r="D54" s="1004"/>
      <c r="E54" s="1004"/>
      <c r="F54" s="1004"/>
      <c r="G54" s="1004"/>
      <c r="H54" s="1004"/>
      <c r="I54" s="1004"/>
      <c r="J54" s="1004"/>
      <c r="K54" s="1075"/>
      <c r="L54" s="1076"/>
      <c r="M54" s="1001"/>
      <c r="N54" s="1001"/>
      <c r="O54" s="1001"/>
      <c r="P54" s="1001"/>
      <c r="Q54" s="1001"/>
      <c r="R54" s="1001"/>
      <c r="S54" s="1001"/>
      <c r="T54" s="1001"/>
      <c r="U54" s="1001"/>
      <c r="V54" s="1001"/>
      <c r="W54" s="1001"/>
      <c r="X54" s="1001"/>
      <c r="Y54" s="1001"/>
      <c r="Z54" s="1001"/>
      <c r="AA54" s="1001"/>
      <c r="AB54" s="1001"/>
      <c r="AC54" s="1001"/>
    </row>
    <row r="55" spans="1:29" ht="27" customHeight="1">
      <c r="A55" s="1005" t="s">
        <v>1511</v>
      </c>
      <c r="B55" s="1006" t="s">
        <v>1512</v>
      </c>
      <c r="C55" s="1007" t="s">
        <v>1513</v>
      </c>
      <c r="D55" s="1008" t="s">
        <v>1514</v>
      </c>
      <c r="E55" s="3057" t="s">
        <v>1515</v>
      </c>
      <c r="F55" s="1245" t="s">
        <v>1516</v>
      </c>
      <c r="G55" s="3273" t="s">
        <v>1517</v>
      </c>
      <c r="H55" s="3274"/>
      <c r="I55" s="1249" t="s">
        <v>1518</v>
      </c>
      <c r="J55" s="1250">
        <f>项目基本情况!F35</f>
        <v>0</v>
      </c>
      <c r="K55" s="1078" t="s">
        <v>1519</v>
      </c>
      <c r="L55" s="1074"/>
      <c r="M55" s="996"/>
      <c r="N55" s="996"/>
      <c r="O55" s="996"/>
      <c r="P55" s="996"/>
      <c r="Q55" s="996"/>
      <c r="R55" s="996"/>
      <c r="S55" s="996"/>
      <c r="T55" s="996"/>
      <c r="U55" s="996"/>
      <c r="V55" s="996"/>
      <c r="W55" s="996"/>
      <c r="X55" s="996"/>
      <c r="Y55" s="996"/>
      <c r="Z55" s="996"/>
      <c r="AA55" s="996"/>
      <c r="AB55" s="996"/>
      <c r="AC55" s="996"/>
    </row>
    <row r="56" spans="1:29" s="884" customFormat="1">
      <c r="A56" s="1011" t="s">
        <v>1520</v>
      </c>
      <c r="B56" s="1012">
        <f>C48</f>
        <v>60178</v>
      </c>
      <c r="C56" s="1013">
        <v>1</v>
      </c>
      <c r="D56" s="1014">
        <v>1</v>
      </c>
      <c r="E56" s="1013">
        <f>'数据-汇总表'!E8+'数据-汇总表'!E9</f>
        <v>37552.749999999993</v>
      </c>
      <c r="F56" s="1246">
        <f t="shared" ref="F56:F65" si="13">ROUND(B56*E56/10000,0)</f>
        <v>225985</v>
      </c>
      <c r="G56" s="3275"/>
      <c r="H56" s="3276"/>
      <c r="I56" s="1251">
        <v>1</v>
      </c>
      <c r="J56" s="1252">
        <v>1</v>
      </c>
      <c r="K56" s="1001"/>
      <c r="L56" s="1079"/>
      <c r="M56" s="1079"/>
      <c r="N56" s="1079"/>
      <c r="O56" s="1079"/>
      <c r="P56" s="1079"/>
      <c r="Q56" s="1079"/>
      <c r="R56" s="1079"/>
      <c r="S56" s="1079"/>
      <c r="T56" s="1079"/>
      <c r="U56" s="1079"/>
      <c r="V56" s="1079"/>
      <c r="W56" s="1079"/>
      <c r="X56" s="1079"/>
      <c r="Y56" s="1079"/>
      <c r="Z56" s="1079"/>
      <c r="AA56" s="1079"/>
      <c r="AB56" s="1079"/>
      <c r="AC56" s="1079"/>
    </row>
    <row r="57" spans="1:29" s="884" customFormat="1">
      <c r="A57" s="1016" t="s">
        <v>1521</v>
      </c>
      <c r="B57" s="162">
        <f>ROUND($C$48*C57*D57,0)</f>
        <v>10531</v>
      </c>
      <c r="C57" s="601">
        <f t="shared" ref="C57:C65" si="14">IF($C$55="北京市系数",I57,J57)</f>
        <v>0.7</v>
      </c>
      <c r="D57" s="1017">
        <v>0.25</v>
      </c>
      <c r="E57" s="1018"/>
      <c r="F57" s="1246">
        <f t="shared" si="13"/>
        <v>0</v>
      </c>
      <c r="G57" s="3292" t="s">
        <v>1522</v>
      </c>
      <c r="H57" s="1020" t="str">
        <f>项目基本情况!B37</f>
        <v>四级</v>
      </c>
      <c r="I57" s="1251">
        <f>SUMIF(修正!A45:A56,H57,修正!B45:B56)</f>
        <v>0.7</v>
      </c>
      <c r="J57" s="1253"/>
      <c r="K57" s="996"/>
      <c r="L57" s="1079"/>
      <c r="M57" s="1079"/>
      <c r="N57" s="1079"/>
      <c r="O57" s="1079"/>
      <c r="P57" s="1079"/>
      <c r="Q57" s="1079"/>
      <c r="R57" s="1079"/>
      <c r="S57" s="1079"/>
      <c r="T57" s="1079"/>
      <c r="U57" s="1079"/>
      <c r="V57" s="1079"/>
      <c r="W57" s="1079"/>
      <c r="X57" s="1079"/>
      <c r="Y57" s="1079"/>
      <c r="Z57" s="1079"/>
      <c r="AA57" s="1079"/>
      <c r="AB57" s="1079"/>
      <c r="AC57" s="1079"/>
    </row>
    <row r="58" spans="1:29" s="884" customFormat="1">
      <c r="A58" s="1016" t="s">
        <v>1523</v>
      </c>
      <c r="B58" s="162">
        <f t="shared" ref="B58:B65" si="15">ROUND($C$48*C58*D58,0)</f>
        <v>6018</v>
      </c>
      <c r="C58" s="601">
        <f t="shared" si="14"/>
        <v>0.4</v>
      </c>
      <c r="D58" s="1017">
        <v>0.25</v>
      </c>
      <c r="E58" s="1018"/>
      <c r="F58" s="1246">
        <f t="shared" si="13"/>
        <v>0</v>
      </c>
      <c r="G58" s="3292"/>
      <c r="H58" s="1020" t="str">
        <f>项目基本情况!B37</f>
        <v>四级</v>
      </c>
      <c r="I58" s="1251">
        <f>SUMIF(修正!A45:A56,H58,修正!C45:C56)</f>
        <v>0.4</v>
      </c>
      <c r="J58" s="1253"/>
      <c r="K58" s="1001"/>
      <c r="L58" s="1079"/>
      <c r="M58" s="1079"/>
      <c r="N58" s="1079"/>
      <c r="O58" s="1079"/>
      <c r="P58" s="1079"/>
      <c r="Q58" s="1079"/>
      <c r="R58" s="1079"/>
      <c r="S58" s="1079"/>
      <c r="T58" s="1079"/>
      <c r="U58" s="1079"/>
      <c r="V58" s="1079"/>
      <c r="W58" s="1079"/>
      <c r="X58" s="1079"/>
      <c r="Y58" s="1079"/>
      <c r="Z58" s="1079"/>
      <c r="AA58" s="1079"/>
      <c r="AB58" s="1079"/>
      <c r="AC58" s="1079"/>
    </row>
    <row r="59" spans="1:29" s="884" customFormat="1">
      <c r="A59" s="1016" t="s">
        <v>1524</v>
      </c>
      <c r="B59" s="162">
        <f t="shared" si="15"/>
        <v>4212</v>
      </c>
      <c r="C59" s="601">
        <f t="shared" si="14"/>
        <v>0.28000000000000003</v>
      </c>
      <c r="D59" s="1017">
        <v>0.25</v>
      </c>
      <c r="E59" s="1018"/>
      <c r="F59" s="1246">
        <f t="shared" si="13"/>
        <v>0</v>
      </c>
      <c r="G59" s="3292"/>
      <c r="H59" s="1020" t="str">
        <f>项目基本情况!B37</f>
        <v>四级</v>
      </c>
      <c r="I59" s="1251">
        <f>SUMIF(修正!A45:A56,H59,修正!D45:D56)</f>
        <v>0.28000000000000003</v>
      </c>
      <c r="J59" s="1253"/>
      <c r="K59" s="996"/>
      <c r="L59" s="1079"/>
      <c r="M59" s="1079"/>
      <c r="N59" s="1079"/>
      <c r="O59" s="1079"/>
      <c r="P59" s="1079"/>
      <c r="Q59" s="1079"/>
      <c r="R59" s="1079"/>
      <c r="S59" s="1079"/>
      <c r="T59" s="1079"/>
      <c r="U59" s="1079"/>
      <c r="V59" s="1079"/>
      <c r="W59" s="1079"/>
      <c r="X59" s="1079"/>
      <c r="Y59" s="1079"/>
      <c r="Z59" s="1079"/>
      <c r="AA59" s="1079"/>
      <c r="AB59" s="1079"/>
      <c r="AC59" s="1079"/>
    </row>
    <row r="60" spans="1:29" s="884" customFormat="1">
      <c r="A60" s="1016" t="s">
        <v>1525</v>
      </c>
      <c r="B60" s="162">
        <f t="shared" si="15"/>
        <v>3761</v>
      </c>
      <c r="C60" s="601">
        <f t="shared" si="14"/>
        <v>0.25</v>
      </c>
      <c r="D60" s="1017">
        <v>0.25</v>
      </c>
      <c r="E60" s="1018"/>
      <c r="F60" s="1246">
        <f t="shared" si="13"/>
        <v>0</v>
      </c>
      <c r="G60" s="3292"/>
      <c r="H60" s="1020" t="str">
        <f>项目基本情况!B37</f>
        <v>四级</v>
      </c>
      <c r="I60" s="1251">
        <f>SUMIF(修正!A45:A56,H60,修正!E45:E56)</f>
        <v>0.25</v>
      </c>
      <c r="J60" s="1253"/>
      <c r="K60" s="1001"/>
      <c r="L60" s="1079"/>
      <c r="M60" s="1079"/>
      <c r="N60" s="1079"/>
      <c r="O60" s="1079"/>
      <c r="P60" s="1079"/>
      <c r="Q60" s="1079"/>
      <c r="R60" s="1079"/>
      <c r="S60" s="1079"/>
      <c r="T60" s="1079"/>
      <c r="U60" s="1079"/>
      <c r="V60" s="1079"/>
      <c r="W60" s="1079"/>
      <c r="X60" s="1079"/>
      <c r="Y60" s="1079"/>
      <c r="Z60" s="1079"/>
      <c r="AA60" s="1079"/>
      <c r="AB60" s="1079"/>
      <c r="AC60" s="1079"/>
    </row>
    <row r="61" spans="1:29" s="884" customFormat="1">
      <c r="A61" s="1016" t="s">
        <v>1526</v>
      </c>
      <c r="B61" s="162">
        <f t="shared" si="15"/>
        <v>0</v>
      </c>
      <c r="C61" s="601">
        <f t="shared" si="14"/>
        <v>0</v>
      </c>
      <c r="D61" s="1017">
        <v>0.25</v>
      </c>
      <c r="E61" s="161">
        <f>'数据-汇总表'!E11</f>
        <v>0</v>
      </c>
      <c r="F61" s="1246">
        <f t="shared" si="13"/>
        <v>0</v>
      </c>
      <c r="G61" s="3058" t="s">
        <v>1527</v>
      </c>
      <c r="H61" s="1020">
        <f>项目基本情况!C37</f>
        <v>0</v>
      </c>
      <c r="I61" s="1251">
        <f>SUMIF(修正!A45:A56,H61,修正!F45:F56)</f>
        <v>0</v>
      </c>
      <c r="J61" s="1253"/>
      <c r="K61" s="996"/>
      <c r="L61" s="1079"/>
      <c r="M61" s="1079"/>
      <c r="N61" s="1079"/>
      <c r="O61" s="1079"/>
      <c r="P61" s="1079"/>
      <c r="Q61" s="1079"/>
      <c r="R61" s="1079"/>
      <c r="S61" s="1079"/>
      <c r="T61" s="1079"/>
      <c r="U61" s="1079"/>
      <c r="V61" s="1079"/>
      <c r="W61" s="1079"/>
      <c r="X61" s="1079"/>
      <c r="Y61" s="1079"/>
      <c r="Z61" s="1079"/>
      <c r="AA61" s="1079"/>
      <c r="AB61" s="1079"/>
      <c r="AC61" s="1079"/>
    </row>
    <row r="62" spans="1:29" s="884" customFormat="1">
      <c r="A62" s="1016" t="s">
        <v>1528</v>
      </c>
      <c r="B62" s="162">
        <f t="shared" si="15"/>
        <v>3761</v>
      </c>
      <c r="C62" s="601">
        <f t="shared" si="14"/>
        <v>0.25</v>
      </c>
      <c r="D62" s="1017">
        <v>0.25</v>
      </c>
      <c r="E62" s="161">
        <f>'数据-汇总表'!E12</f>
        <v>1669.98</v>
      </c>
      <c r="F62" s="1246">
        <f t="shared" si="13"/>
        <v>628</v>
      </c>
      <c r="G62" s="1021" t="s">
        <v>464</v>
      </c>
      <c r="H62" s="1020" t="str">
        <f>IF(G62="商业",项目基本情况!B37,IF(G62="办公",项目基本情况!C37,IF(G62="住宅",项目基本情况!D37,项目基本情况!E37)))</f>
        <v>四级</v>
      </c>
      <c r="I62" s="1251">
        <f>SUMIF(修正!A45:A56,H62,修正!G45:G56)</f>
        <v>0.25</v>
      </c>
      <c r="J62" s="1253"/>
      <c r="K62" s="1001"/>
      <c r="L62" s="1079"/>
      <c r="M62" s="1079"/>
      <c r="N62" s="1079"/>
      <c r="O62" s="1079"/>
      <c r="P62" s="1079"/>
      <c r="Q62" s="1079"/>
      <c r="R62" s="1079"/>
      <c r="S62" s="1079"/>
      <c r="T62" s="1079"/>
      <c r="U62" s="1079"/>
      <c r="V62" s="1079"/>
      <c r="W62" s="1079"/>
      <c r="X62" s="1079"/>
      <c r="Y62" s="1079"/>
      <c r="Z62" s="1079"/>
      <c r="AA62" s="1079"/>
      <c r="AB62" s="1079"/>
      <c r="AC62" s="1079"/>
    </row>
    <row r="63" spans="1:29" s="884" customFormat="1">
      <c r="A63" s="1016" t="s">
        <v>1530</v>
      </c>
      <c r="B63" s="162">
        <f t="shared" si="15"/>
        <v>3009</v>
      </c>
      <c r="C63" s="601">
        <f t="shared" si="14"/>
        <v>0.2</v>
      </c>
      <c r="D63" s="1017">
        <v>0.25</v>
      </c>
      <c r="E63" s="161">
        <f>'数据-汇总表'!E13</f>
        <v>0</v>
      </c>
      <c r="F63" s="1246">
        <f t="shared" si="13"/>
        <v>0</v>
      </c>
      <c r="G63" s="1021" t="s">
        <v>1531</v>
      </c>
      <c r="H63" s="1020" t="str">
        <f>IF(G63="商业",项目基本情况!B37,IF(G63="办公",项目基本情况!C37,IF(G63="住宅",项目基本情况!D37,项目基本情况!E37)))</f>
        <v>四级</v>
      </c>
      <c r="I63" s="1251">
        <f>SUMIF(修正!A45:A56,H63,修正!H45:H56)</f>
        <v>0.2</v>
      </c>
      <c r="J63" s="1253"/>
      <c r="K63" s="996"/>
      <c r="L63" s="1079"/>
      <c r="M63" s="1079"/>
      <c r="N63" s="1079"/>
      <c r="O63" s="1079"/>
      <c r="P63" s="1079"/>
      <c r="Q63" s="1079"/>
      <c r="R63" s="1079"/>
      <c r="S63" s="1079"/>
      <c r="T63" s="1079"/>
      <c r="U63" s="1079"/>
      <c r="V63" s="1079"/>
      <c r="W63" s="1079"/>
      <c r="X63" s="1079"/>
      <c r="Y63" s="1079"/>
      <c r="Z63" s="1079"/>
      <c r="AA63" s="1079"/>
      <c r="AB63" s="1079"/>
      <c r="AC63" s="1079"/>
    </row>
    <row r="64" spans="1:29" s="884" customFormat="1">
      <c r="A64" s="1016" t="s">
        <v>1532</v>
      </c>
      <c r="B64" s="162">
        <f t="shared" si="15"/>
        <v>3009</v>
      </c>
      <c r="C64" s="601">
        <f t="shared" si="14"/>
        <v>0.2</v>
      </c>
      <c r="D64" s="1017">
        <v>0.25</v>
      </c>
      <c r="E64" s="161">
        <f>'数据-汇总表'!E14</f>
        <v>0</v>
      </c>
      <c r="F64" s="1246">
        <f t="shared" si="13"/>
        <v>0</v>
      </c>
      <c r="G64" s="3058" t="s">
        <v>1522</v>
      </c>
      <c r="H64" s="1020" t="str">
        <f>项目基本情况!B37</f>
        <v>四级</v>
      </c>
      <c r="I64" s="1251">
        <f>SUMIF(修正!A45:A56,H64,修正!H45:H56)</f>
        <v>0.2</v>
      </c>
      <c r="J64" s="1253"/>
      <c r="K64" s="1001"/>
      <c r="L64" s="1079"/>
      <c r="M64" s="1079"/>
      <c r="N64" s="1079"/>
      <c r="O64" s="1079"/>
      <c r="P64" s="1079"/>
      <c r="Q64" s="1079"/>
      <c r="R64" s="1079"/>
      <c r="S64" s="1079"/>
      <c r="T64" s="1079"/>
      <c r="U64" s="1079"/>
      <c r="V64" s="1079"/>
      <c r="W64" s="1079"/>
      <c r="X64" s="1079"/>
      <c r="Y64" s="1079"/>
      <c r="Z64" s="1079"/>
      <c r="AA64" s="1079"/>
      <c r="AB64" s="1079"/>
      <c r="AC64" s="1079"/>
    </row>
    <row r="65" spans="1:29" s="884" customFormat="1" ht="15" thickBot="1">
      <c r="A65" s="1016" t="s">
        <v>1533</v>
      </c>
      <c r="B65" s="162">
        <f t="shared" si="15"/>
        <v>0</v>
      </c>
      <c r="C65" s="601">
        <f t="shared" si="14"/>
        <v>0</v>
      </c>
      <c r="D65" s="1017">
        <v>0.25</v>
      </c>
      <c r="E65" s="161">
        <f>'数据-汇总表'!E15</f>
        <v>0</v>
      </c>
      <c r="F65" s="1246">
        <f t="shared" si="13"/>
        <v>0</v>
      </c>
      <c r="G65" s="1022" t="s">
        <v>1527</v>
      </c>
      <c r="H65" s="1023">
        <f>项目基本情况!C37</f>
        <v>0</v>
      </c>
      <c r="I65" s="1261">
        <f>SUMIF(修正!A45:A56,H65,修正!H45:H56)</f>
        <v>0</v>
      </c>
      <c r="J65" s="1262"/>
      <c r="K65" s="996"/>
      <c r="L65" s="1079"/>
      <c r="M65" s="1079"/>
      <c r="N65" s="1079"/>
      <c r="O65" s="1079"/>
      <c r="P65" s="1079"/>
      <c r="Q65" s="1079"/>
      <c r="R65" s="1079"/>
      <c r="S65" s="1079"/>
      <c r="T65" s="1079"/>
      <c r="U65" s="1079"/>
      <c r="V65" s="1079"/>
      <c r="W65" s="1079"/>
      <c r="X65" s="1079"/>
      <c r="Y65" s="1079"/>
      <c r="Z65" s="1079"/>
      <c r="AA65" s="1079"/>
      <c r="AB65" s="1079"/>
      <c r="AC65" s="1079"/>
    </row>
    <row r="66" spans="1:29" s="884" customFormat="1" ht="13.5" thickBot="1">
      <c r="A66" s="1024" t="s">
        <v>1534</v>
      </c>
      <c r="B66" s="1025" t="s">
        <v>1457</v>
      </c>
      <c r="C66" s="1025" t="s">
        <v>1457</v>
      </c>
      <c r="D66" s="1025" t="s">
        <v>1457</v>
      </c>
      <c r="E66" s="1025">
        <f>IF(B46="楼面地价",SUM(E56:E65),'数据-汇总表'!D3)</f>
        <v>39222.729999999996</v>
      </c>
      <c r="F66" s="1026">
        <f>IF(B46="楼面地价",SUM(F56:F65),ROUND(C48*E66/10000,0))</f>
        <v>226613</v>
      </c>
      <c r="G66" s="1255"/>
      <c r="H66" s="1255"/>
      <c r="I66" s="1255"/>
      <c r="J66" s="1255"/>
      <c r="K66" s="1263"/>
      <c r="L66" s="1079"/>
      <c r="M66" s="1079"/>
      <c r="N66" s="1079"/>
      <c r="O66" s="1079"/>
      <c r="P66" s="1079"/>
      <c r="Q66" s="1079"/>
      <c r="R66" s="1079"/>
      <c r="S66" s="1079"/>
      <c r="T66" s="1079"/>
      <c r="U66" s="1079"/>
      <c r="V66" s="1079"/>
      <c r="W66" s="1079"/>
      <c r="X66" s="1079"/>
      <c r="Y66" s="1079"/>
      <c r="Z66" s="1079"/>
      <c r="AA66" s="1079"/>
      <c r="AB66" s="1079"/>
      <c r="AC66" s="1079"/>
    </row>
    <row r="67" spans="1:29">
      <c r="A67" s="1033"/>
      <c r="B67" s="1031"/>
      <c r="C67" s="1003"/>
      <c r="D67" s="1033"/>
      <c r="E67" s="1033"/>
      <c r="F67" s="1033"/>
      <c r="G67" s="1033"/>
      <c r="H67" s="1033"/>
      <c r="I67" s="1033"/>
      <c r="J67" s="1028"/>
      <c r="K67" s="1081"/>
      <c r="L67" s="1082"/>
      <c r="M67" s="1028"/>
      <c r="N67" s="1028"/>
      <c r="O67" s="1028"/>
      <c r="P67" s="996"/>
      <c r="Q67" s="996"/>
      <c r="R67" s="996"/>
      <c r="S67" s="996"/>
      <c r="T67" s="996"/>
      <c r="U67" s="996"/>
      <c r="V67" s="996"/>
      <c r="W67" s="996"/>
      <c r="X67" s="996"/>
      <c r="Y67" s="996"/>
      <c r="Z67" s="996"/>
      <c r="AA67" s="996"/>
      <c r="AB67" s="996"/>
      <c r="AC67" s="996"/>
    </row>
    <row r="68" spans="1:29">
      <c r="A68" s="1033"/>
      <c r="B68" s="1031"/>
      <c r="C68" s="1031" t="str">
        <f>YEAR(C7)&amp;"-"&amp;MONTH(C7)&amp;"-1"</f>
        <v>2021-4-1</v>
      </c>
      <c r="D68" s="1031">
        <f>EDATE(C68,-3)</f>
        <v>44197</v>
      </c>
      <c r="E68" s="1031">
        <f>EDATE(D68,-3)</f>
        <v>44105</v>
      </c>
      <c r="F68" s="1031">
        <f t="shared" ref="F68:O68" si="16">EDATE(E68,-3)</f>
        <v>44013</v>
      </c>
      <c r="G68" s="1031">
        <f t="shared" si="16"/>
        <v>43922</v>
      </c>
      <c r="H68" s="1031">
        <f t="shared" si="16"/>
        <v>43831</v>
      </c>
      <c r="I68" s="1031">
        <f t="shared" si="16"/>
        <v>43739</v>
      </c>
      <c r="J68" s="1031">
        <f t="shared" si="16"/>
        <v>43647</v>
      </c>
      <c r="K68" s="1031">
        <f t="shared" si="16"/>
        <v>43556</v>
      </c>
      <c r="L68" s="1031">
        <f t="shared" si="16"/>
        <v>43466</v>
      </c>
      <c r="M68" s="1031">
        <f t="shared" si="16"/>
        <v>43374</v>
      </c>
      <c r="N68" s="1031">
        <f t="shared" si="16"/>
        <v>43282</v>
      </c>
      <c r="O68" s="1031">
        <f t="shared" si="16"/>
        <v>43191</v>
      </c>
      <c r="P68" s="996"/>
      <c r="Q68" s="996"/>
      <c r="R68" s="996"/>
      <c r="S68" s="996"/>
      <c r="T68" s="996"/>
      <c r="U68" s="996"/>
      <c r="V68" s="996"/>
      <c r="W68" s="996"/>
      <c r="X68" s="996"/>
      <c r="Y68" s="996"/>
      <c r="Z68" s="996"/>
      <c r="AA68" s="996"/>
      <c r="AB68" s="996"/>
      <c r="AC68" s="996"/>
    </row>
    <row r="69" spans="1:29" ht="21.75" thickBot="1">
      <c r="A69" s="1032" t="s">
        <v>1406</v>
      </c>
      <c r="B69" s="1033"/>
      <c r="C69" s="1034"/>
      <c r="D69" s="1034"/>
      <c r="E69" s="1034"/>
      <c r="F69" s="1035"/>
      <c r="G69" s="1035"/>
      <c r="H69" s="1034"/>
      <c r="I69" s="1034"/>
      <c r="J69" s="1085"/>
      <c r="K69" s="1264"/>
      <c r="L69" s="1265"/>
      <c r="M69" s="1085"/>
      <c r="N69" s="1086"/>
      <c r="O69" s="1086"/>
      <c r="P69" s="1086"/>
      <c r="Q69" s="1098"/>
      <c r="R69" s="996"/>
      <c r="S69" s="996"/>
      <c r="T69" s="996"/>
      <c r="U69" s="996"/>
      <c r="V69" s="996"/>
      <c r="W69" s="996"/>
      <c r="X69" s="996"/>
      <c r="Y69" s="996"/>
      <c r="Z69" s="996"/>
      <c r="AA69" s="996"/>
      <c r="AB69" s="996"/>
      <c r="AC69" s="996"/>
    </row>
    <row r="70" spans="1:29" s="885" customFormat="1" ht="15">
      <c r="A70" s="1107" t="s">
        <v>1535</v>
      </c>
      <c r="B70" s="1108"/>
      <c r="C70" s="1109" t="str">
        <f>YEAR(C68)&amp;"-"&amp;ROUNDUP(MONTH(C68)/3,0)</f>
        <v>2021-2</v>
      </c>
      <c r="D70" s="1109" t="str">
        <f>YEAR(D68)&amp;"-"&amp;ROUNDUP(MONTH(D68)/3,0)</f>
        <v>2021-1</v>
      </c>
      <c r="E70" s="1109" t="str">
        <f t="shared" ref="E70:O70" si="17">YEAR(E68)&amp;"-"&amp;ROUNDUP(MONTH(E68)/3,0)</f>
        <v>2020-4</v>
      </c>
      <c r="F70" s="1109" t="str">
        <f t="shared" si="17"/>
        <v>2020-3</v>
      </c>
      <c r="G70" s="1109" t="str">
        <f t="shared" si="17"/>
        <v>2020-2</v>
      </c>
      <c r="H70" s="1109" t="str">
        <f t="shared" si="17"/>
        <v>2020-1</v>
      </c>
      <c r="I70" s="1109" t="str">
        <f t="shared" si="17"/>
        <v>2019-4</v>
      </c>
      <c r="J70" s="1109" t="str">
        <f t="shared" si="17"/>
        <v>2019-3</v>
      </c>
      <c r="K70" s="1109" t="str">
        <f t="shared" si="17"/>
        <v>2019-2</v>
      </c>
      <c r="L70" s="1109" t="str">
        <f t="shared" si="17"/>
        <v>2019-1</v>
      </c>
      <c r="M70" s="1109" t="str">
        <f t="shared" si="17"/>
        <v>2018-4</v>
      </c>
      <c r="N70" s="1109" t="str">
        <f t="shared" si="17"/>
        <v>2018-3</v>
      </c>
      <c r="O70" s="1109" t="str">
        <f t="shared" si="17"/>
        <v>2018-2</v>
      </c>
      <c r="P70" s="1161"/>
      <c r="Q70" s="1217"/>
      <c r="R70" s="1217"/>
      <c r="S70" s="1217"/>
      <c r="T70" s="1217"/>
      <c r="U70" s="1217"/>
      <c r="V70" s="1217"/>
      <c r="W70" s="1217"/>
      <c r="X70" s="1217"/>
      <c r="Y70" s="1217"/>
      <c r="Z70" s="1217"/>
      <c r="AA70" s="1217"/>
      <c r="AB70" s="1217"/>
      <c r="AC70" s="1217"/>
    </row>
    <row r="71" spans="1:29" s="880" customFormat="1" ht="30" customHeight="1">
      <c r="A71" s="1256" t="s">
        <v>464</v>
      </c>
      <c r="B71" s="1111" t="str">
        <f>"北京市平均增长率"&amp;TEXT(SUMIF(基准地价修正!N21:N25,A71,基准地价修正!P21:P25),"0.00%")</f>
        <v>北京市平均增长率0.00%</v>
      </c>
      <c r="C71" s="815">
        <v>100</v>
      </c>
      <c r="D71" s="1112">
        <v>100</v>
      </c>
      <c r="E71" s="1112">
        <v>100</v>
      </c>
      <c r="F71" s="1112">
        <v>100</v>
      </c>
      <c r="G71" s="1112">
        <v>100</v>
      </c>
      <c r="H71" s="1112">
        <v>100</v>
      </c>
      <c r="I71" s="1112">
        <v>99</v>
      </c>
      <c r="J71" s="1112">
        <v>98</v>
      </c>
      <c r="K71" s="1112">
        <v>97</v>
      </c>
      <c r="L71" s="1112">
        <v>96</v>
      </c>
      <c r="M71" s="1112">
        <v>95</v>
      </c>
      <c r="N71" s="1112">
        <v>94</v>
      </c>
      <c r="O71" s="1112">
        <v>93</v>
      </c>
      <c r="P71" s="1098"/>
      <c r="Q71" s="1218"/>
      <c r="R71" s="1218"/>
      <c r="S71" s="1218"/>
      <c r="T71" s="1218"/>
      <c r="U71" s="1218"/>
      <c r="V71" s="1218"/>
      <c r="W71" s="1218"/>
      <c r="X71" s="1218"/>
      <c r="Y71" s="1218"/>
      <c r="Z71" s="1218"/>
      <c r="AA71" s="1218"/>
      <c r="AB71" s="1218"/>
      <c r="AC71" s="1218"/>
    </row>
    <row r="72" spans="1:29" s="880" customFormat="1" ht="15.75" thickBot="1">
      <c r="A72" s="1113" t="s">
        <v>1407</v>
      </c>
      <c r="B72" s="1114"/>
      <c r="C72" s="1115"/>
      <c r="D72" s="1116"/>
      <c r="E72" s="1116"/>
      <c r="F72" s="1116"/>
      <c r="G72" s="1116"/>
      <c r="H72" s="1116"/>
      <c r="I72" s="1116"/>
      <c r="J72" s="1116"/>
      <c r="K72" s="1116"/>
      <c r="L72" s="1116"/>
      <c r="M72" s="1164"/>
      <c r="N72" s="1116"/>
      <c r="O72" s="1266"/>
      <c r="P72" s="1098"/>
      <c r="Q72" s="1098"/>
      <c r="R72" s="1218"/>
      <c r="S72" s="1218"/>
      <c r="T72" s="1218"/>
      <c r="U72" s="1218"/>
      <c r="V72" s="1218"/>
      <c r="W72" s="1218"/>
      <c r="X72" s="1218"/>
      <c r="Y72" s="1218"/>
      <c r="Z72" s="1218"/>
      <c r="AA72" s="1218"/>
      <c r="AB72" s="1218"/>
      <c r="AC72" s="1218"/>
    </row>
    <row r="73" spans="1:29" s="880" customFormat="1" ht="15">
      <c r="A73" s="1117" t="s">
        <v>1368</v>
      </c>
      <c r="B73" s="1118"/>
      <c r="C73" s="1119" t="s">
        <v>1369</v>
      </c>
      <c r="D73" s="1120"/>
      <c r="E73" s="1120"/>
      <c r="F73" s="1120"/>
      <c r="G73" s="1120"/>
      <c r="H73" s="1120"/>
      <c r="I73" s="1120"/>
      <c r="J73" s="1120"/>
      <c r="K73" s="1120"/>
      <c r="L73" s="1166"/>
      <c r="M73" s="1167"/>
      <c r="N73" s="1168"/>
      <c r="O73" s="1168"/>
      <c r="P73" s="1169"/>
      <c r="Q73" s="1098"/>
      <c r="R73" s="1218"/>
      <c r="S73" s="1218"/>
      <c r="T73" s="1218"/>
      <c r="U73" s="1218"/>
      <c r="V73" s="1218"/>
      <c r="W73" s="1218"/>
      <c r="X73" s="1218"/>
      <c r="Y73" s="1218"/>
      <c r="Z73" s="1218"/>
      <c r="AA73" s="1218"/>
      <c r="AB73" s="1218"/>
      <c r="AC73" s="1218"/>
    </row>
    <row r="74" spans="1:29" s="880" customFormat="1" ht="15.75" thickBot="1">
      <c r="A74" s="1117"/>
      <c r="B74" s="1118"/>
      <c r="C74" s="1121">
        <v>100</v>
      </c>
      <c r="D74" s="1122"/>
      <c r="E74" s="1122"/>
      <c r="F74" s="1122"/>
      <c r="G74" s="1122"/>
      <c r="H74" s="1122"/>
      <c r="I74" s="1122"/>
      <c r="J74" s="1122"/>
      <c r="K74" s="1122"/>
      <c r="L74" s="1122"/>
      <c r="M74" s="1170"/>
      <c r="N74" s="1168"/>
      <c r="O74" s="1168"/>
      <c r="P74" s="1098"/>
      <c r="Q74" s="1098"/>
      <c r="R74" s="1218"/>
      <c r="S74" s="1218"/>
      <c r="T74" s="1218"/>
      <c r="U74" s="1218"/>
      <c r="V74" s="1218"/>
      <c r="W74" s="1218"/>
      <c r="X74" s="1218"/>
      <c r="Y74" s="1218"/>
      <c r="Z74" s="1218"/>
      <c r="AA74" s="1218"/>
      <c r="AB74" s="1218"/>
      <c r="AC74" s="1218"/>
    </row>
    <row r="75" spans="1:29">
      <c r="A75" s="1123" t="s">
        <v>1408</v>
      </c>
      <c r="B75" s="1124" t="s">
        <v>1372</v>
      </c>
      <c r="C75" s="1257" t="s">
        <v>464</v>
      </c>
      <c r="D75" s="1066"/>
      <c r="E75" s="1066"/>
      <c r="F75" s="1066"/>
      <c r="G75" s="1066"/>
      <c r="H75" s="1066"/>
      <c r="I75" s="1066"/>
      <c r="J75" s="1066"/>
      <c r="K75" s="1171"/>
      <c r="L75" s="1172"/>
      <c r="M75" s="1173"/>
      <c r="N75" s="1174"/>
      <c r="O75" s="1174"/>
      <c r="P75" s="1175"/>
      <c r="Q75" s="1098"/>
      <c r="R75" s="996"/>
      <c r="S75" s="996"/>
      <c r="T75" s="996"/>
      <c r="U75" s="996"/>
      <c r="V75" s="996"/>
      <c r="W75" s="996"/>
      <c r="X75" s="996"/>
      <c r="Y75" s="996"/>
      <c r="Z75" s="996"/>
      <c r="AA75" s="996"/>
      <c r="AB75" s="996"/>
      <c r="AC75" s="996"/>
    </row>
    <row r="76" spans="1:29" ht="15.75" thickBot="1">
      <c r="A76" s="1125"/>
      <c r="B76" s="1126"/>
      <c r="C76" s="1127">
        <v>100</v>
      </c>
      <c r="D76" s="1127"/>
      <c r="E76" s="1127"/>
      <c r="F76" s="1127"/>
      <c r="G76" s="1127"/>
      <c r="H76" s="1127"/>
      <c r="I76" s="1127"/>
      <c r="J76" s="1127"/>
      <c r="K76" s="1127"/>
      <c r="L76" s="1127"/>
      <c r="M76" s="1176"/>
      <c r="N76" s="1177"/>
      <c r="O76" s="1177"/>
      <c r="P76" s="1175"/>
      <c r="Q76" s="1098"/>
      <c r="R76" s="996"/>
      <c r="S76" s="996"/>
      <c r="T76" s="996"/>
      <c r="U76" s="996"/>
      <c r="V76" s="996"/>
      <c r="W76" s="996"/>
      <c r="X76" s="996"/>
      <c r="Y76" s="996"/>
      <c r="Z76" s="996"/>
      <c r="AA76" s="996"/>
      <c r="AB76" s="996"/>
      <c r="AC76" s="996"/>
    </row>
    <row r="77" spans="1:29" ht="27.75" thickTop="1">
      <c r="A77" s="1125"/>
      <c r="B77" s="1128" t="s">
        <v>1375</v>
      </c>
      <c r="C77" s="1129"/>
      <c r="D77" s="1129"/>
      <c r="E77" s="1129"/>
      <c r="F77" s="1129"/>
      <c r="G77" s="1129"/>
      <c r="H77" s="1129"/>
      <c r="I77" s="1129"/>
      <c r="J77" s="1129"/>
      <c r="K77" s="1178"/>
      <c r="L77" s="1179"/>
      <c r="M77" s="1180"/>
      <c r="N77" s="1174"/>
      <c r="O77" s="1174"/>
      <c r="P77" s="1175"/>
      <c r="Q77" s="1098"/>
      <c r="R77" s="996"/>
      <c r="S77" s="996"/>
      <c r="T77" s="996"/>
      <c r="U77" s="996"/>
      <c r="V77" s="996"/>
      <c r="W77" s="996"/>
      <c r="X77" s="996"/>
      <c r="Y77" s="996"/>
      <c r="Z77" s="996"/>
      <c r="AA77" s="996"/>
      <c r="AB77" s="996"/>
      <c r="AC77" s="996"/>
    </row>
    <row r="78" spans="1:29" ht="15.75" thickBot="1">
      <c r="A78" s="1125"/>
      <c r="B78" s="1130"/>
      <c r="C78" s="1131"/>
      <c r="D78" s="1131"/>
      <c r="E78" s="1131"/>
      <c r="F78" s="1131"/>
      <c r="G78" s="1131"/>
      <c r="H78" s="1131"/>
      <c r="I78" s="1131"/>
      <c r="J78" s="1131"/>
      <c r="K78" s="1131"/>
      <c r="L78" s="1131"/>
      <c r="M78" s="1181"/>
      <c r="N78" s="1177"/>
      <c r="O78" s="1177"/>
      <c r="P78" s="1175"/>
      <c r="Q78" s="1098"/>
      <c r="R78" s="996"/>
      <c r="S78" s="996"/>
      <c r="T78" s="996"/>
      <c r="U78" s="996"/>
      <c r="V78" s="996"/>
      <c r="W78" s="996"/>
      <c r="X78" s="996"/>
      <c r="Y78" s="996"/>
      <c r="Z78" s="996"/>
      <c r="AA78" s="996"/>
      <c r="AB78" s="996"/>
      <c r="AC78" s="996"/>
    </row>
    <row r="79" spans="1:29" ht="15.75" thickTop="1">
      <c r="A79" s="1125"/>
      <c r="B79" s="1132" t="s">
        <v>1376</v>
      </c>
      <c r="C79" s="1133" t="str">
        <f>C80&amp;"（含）"&amp;"-"&amp;D80</f>
        <v>0（含）-1</v>
      </c>
      <c r="D79" s="1133" t="str">
        <f t="shared" ref="D79:L79" si="18">D80&amp;"（含）"&amp;"-"&amp;E80</f>
        <v>1（含）-2</v>
      </c>
      <c r="E79" s="1133" t="str">
        <f t="shared" si="18"/>
        <v>2（含）-3</v>
      </c>
      <c r="F79" s="1133" t="str">
        <f t="shared" si="18"/>
        <v>3（含）-4</v>
      </c>
      <c r="G79" s="1133" t="str">
        <f t="shared" si="18"/>
        <v>4（含）-5</v>
      </c>
      <c r="H79" s="1133" t="str">
        <f t="shared" si="18"/>
        <v>5（含）-</v>
      </c>
      <c r="I79" s="1133" t="str">
        <f t="shared" si="18"/>
        <v>（含）-</v>
      </c>
      <c r="J79" s="1133" t="str">
        <f t="shared" si="18"/>
        <v>（含）-</v>
      </c>
      <c r="K79" s="1133" t="str">
        <f t="shared" si="18"/>
        <v>（含）-</v>
      </c>
      <c r="L79" s="1133" t="str">
        <f t="shared" si="18"/>
        <v>（含）-</v>
      </c>
      <c r="M79" s="942" t="str">
        <f>M80&amp;"（含）"&amp;"-"&amp;P80</f>
        <v>（含）-</v>
      </c>
      <c r="N79" s="1177"/>
      <c r="O79" s="1177"/>
      <c r="P79" s="1175"/>
      <c r="Q79" s="1098"/>
      <c r="R79" s="996"/>
      <c r="S79" s="996"/>
      <c r="T79" s="996"/>
      <c r="U79" s="996"/>
      <c r="V79" s="996"/>
      <c r="W79" s="996"/>
      <c r="X79" s="996"/>
      <c r="Y79" s="996"/>
      <c r="Z79" s="996"/>
      <c r="AA79" s="996"/>
      <c r="AB79" s="996"/>
      <c r="AC79" s="996"/>
    </row>
    <row r="80" spans="1:29" ht="15">
      <c r="A80" s="1125"/>
      <c r="B80" s="1134"/>
      <c r="C80" s="927">
        <v>0</v>
      </c>
      <c r="D80" s="927">
        <v>1</v>
      </c>
      <c r="E80" s="927">
        <v>2</v>
      </c>
      <c r="F80" s="927">
        <v>3</v>
      </c>
      <c r="G80" s="927">
        <v>4</v>
      </c>
      <c r="H80" s="927">
        <v>5</v>
      </c>
      <c r="I80" s="927"/>
      <c r="J80" s="927"/>
      <c r="K80" s="1182"/>
      <c r="L80" s="1183"/>
      <c r="M80" s="1184"/>
      <c r="N80" s="1174"/>
      <c r="O80" s="1174"/>
      <c r="P80" s="1175"/>
      <c r="Q80" s="1098"/>
      <c r="R80" s="996"/>
      <c r="S80" s="996"/>
      <c r="T80" s="996"/>
      <c r="U80" s="996"/>
      <c r="V80" s="996"/>
      <c r="W80" s="996"/>
      <c r="X80" s="996"/>
      <c r="Y80" s="996"/>
      <c r="Z80" s="996"/>
      <c r="AA80" s="996"/>
      <c r="AB80" s="996"/>
      <c r="AC80" s="996"/>
    </row>
    <row r="81" spans="1:29" ht="15.75" thickBot="1">
      <c r="A81" s="1125"/>
      <c r="B81" s="1126"/>
      <c r="C81" s="1131">
        <v>100</v>
      </c>
      <c r="D81" s="1131">
        <f t="shared" ref="D81:M81" si="19">IF($B$46="单位面积地价",C81+$K11,C81-$K11)</f>
        <v>95</v>
      </c>
      <c r="E81" s="1131">
        <f t="shared" si="19"/>
        <v>90</v>
      </c>
      <c r="F81" s="1131">
        <f t="shared" si="19"/>
        <v>85</v>
      </c>
      <c r="G81" s="1131">
        <f t="shared" si="19"/>
        <v>80</v>
      </c>
      <c r="H81" s="1131">
        <f t="shared" si="19"/>
        <v>75</v>
      </c>
      <c r="I81" s="1131">
        <f t="shared" si="19"/>
        <v>70</v>
      </c>
      <c r="J81" s="1131">
        <f t="shared" si="19"/>
        <v>65</v>
      </c>
      <c r="K81" s="1131">
        <f t="shared" si="19"/>
        <v>60</v>
      </c>
      <c r="L81" s="1131">
        <f t="shared" si="19"/>
        <v>55</v>
      </c>
      <c r="M81" s="1131">
        <f t="shared" si="19"/>
        <v>50</v>
      </c>
      <c r="N81" s="1177"/>
      <c r="O81" s="1177"/>
      <c r="P81" s="1175"/>
      <c r="Q81" s="1098"/>
      <c r="R81" s="996"/>
      <c r="S81" s="996"/>
      <c r="T81" s="996"/>
      <c r="U81" s="996"/>
      <c r="V81" s="996"/>
      <c r="W81" s="996"/>
      <c r="X81" s="996"/>
      <c r="Y81" s="996"/>
      <c r="Z81" s="996"/>
      <c r="AA81" s="996"/>
      <c r="AB81" s="996"/>
      <c r="AC81" s="996"/>
    </row>
    <row r="82" spans="1:29" s="882" customFormat="1" ht="15.75" thickTop="1">
      <c r="A82" s="1135"/>
      <c r="B82" s="1128" t="str">
        <f>B12</f>
        <v>是否配建</v>
      </c>
      <c r="C82" s="1258" t="s">
        <v>370</v>
      </c>
      <c r="D82" s="1258" t="s">
        <v>1490</v>
      </c>
      <c r="E82" s="1258" t="s">
        <v>1492</v>
      </c>
      <c r="F82" s="1258" t="s">
        <v>1491</v>
      </c>
      <c r="G82" s="1136"/>
      <c r="H82" s="1137"/>
      <c r="I82" s="1137"/>
      <c r="J82" s="1137"/>
      <c r="K82" s="1137"/>
      <c r="L82" s="1185"/>
      <c r="M82" s="1186"/>
      <c r="N82" s="1187"/>
      <c r="O82" s="1187"/>
      <c r="P82" s="1188"/>
      <c r="Q82" s="1219"/>
      <c r="R82" s="1220"/>
      <c r="S82" s="1220"/>
      <c r="T82" s="1220"/>
      <c r="U82" s="1220"/>
      <c r="V82" s="1220"/>
      <c r="W82" s="1220"/>
      <c r="X82" s="1220"/>
      <c r="Y82" s="1220"/>
      <c r="Z82" s="1220"/>
      <c r="AA82" s="1220"/>
      <c r="AB82" s="1220"/>
      <c r="AC82" s="1220"/>
    </row>
    <row r="83" spans="1:29" s="882" customFormat="1" ht="15.75" thickBot="1">
      <c r="A83" s="1135"/>
      <c r="B83" s="1130"/>
      <c r="C83" s="1138">
        <v>100</v>
      </c>
      <c r="D83" s="1127">
        <v>98</v>
      </c>
      <c r="E83" s="1127">
        <v>96</v>
      </c>
      <c r="F83" s="1127">
        <v>94</v>
      </c>
      <c r="G83" s="1127"/>
      <c r="H83" s="1127"/>
      <c r="I83" s="1127"/>
      <c r="J83" s="1127"/>
      <c r="K83" s="1127"/>
      <c r="L83" s="1127"/>
      <c r="M83" s="1176"/>
      <c r="N83" s="1177"/>
      <c r="O83" s="1177"/>
      <c r="P83" s="1188"/>
      <c r="Q83" s="1219"/>
      <c r="R83" s="1220"/>
      <c r="S83" s="1220"/>
      <c r="T83" s="1220"/>
      <c r="U83" s="1220"/>
      <c r="V83" s="1220"/>
      <c r="W83" s="1220"/>
      <c r="X83" s="1220"/>
      <c r="Y83" s="1220"/>
      <c r="Z83" s="1220"/>
      <c r="AA83" s="1220"/>
      <c r="AB83" s="1220"/>
      <c r="AC83" s="1220"/>
    </row>
    <row r="84" spans="1:29" s="882" customFormat="1" ht="15.75" thickTop="1">
      <c r="A84" s="1135"/>
      <c r="B84" s="1128" t="str">
        <f>B13</f>
        <v>是否自持</v>
      </c>
      <c r="C84" s="1258" t="s">
        <v>370</v>
      </c>
      <c r="D84" s="1258" t="s">
        <v>475</v>
      </c>
      <c r="E84" s="1136"/>
      <c r="F84" s="1136"/>
      <c r="G84" s="1136"/>
      <c r="H84" s="1137"/>
      <c r="I84" s="1137"/>
      <c r="J84" s="1137"/>
      <c r="K84" s="1137"/>
      <c r="L84" s="1185"/>
      <c r="M84" s="1186"/>
      <c r="N84" s="1187"/>
      <c r="O84" s="1187"/>
      <c r="P84" s="1064"/>
      <c r="Q84" s="1221"/>
      <c r="R84" s="1220"/>
      <c r="S84" s="1220"/>
      <c r="T84" s="1220"/>
      <c r="U84" s="1220"/>
      <c r="V84" s="1220"/>
      <c r="W84" s="1220"/>
      <c r="X84" s="1220"/>
      <c r="Y84" s="1220"/>
      <c r="Z84" s="1220"/>
      <c r="AA84" s="1220"/>
      <c r="AB84" s="1220"/>
      <c r="AC84" s="1220"/>
    </row>
    <row r="85" spans="1:29" s="882" customFormat="1" ht="15.75" thickBot="1">
      <c r="A85" s="1135"/>
      <c r="B85" s="1130"/>
      <c r="C85" s="1138">
        <v>100</v>
      </c>
      <c r="D85" s="1138">
        <v>95</v>
      </c>
      <c r="E85" s="1138"/>
      <c r="F85" s="1138"/>
      <c r="G85" s="1138"/>
      <c r="H85" s="1139"/>
      <c r="I85" s="1139"/>
      <c r="J85" s="1139"/>
      <c r="K85" s="1139"/>
      <c r="L85" s="1139"/>
      <c r="M85" s="1189"/>
      <c r="N85" s="1187"/>
      <c r="O85" s="1187"/>
      <c r="P85" s="1188"/>
      <c r="Q85" s="1219"/>
      <c r="R85" s="1220"/>
      <c r="S85" s="1220"/>
      <c r="T85" s="1220"/>
      <c r="U85" s="1220"/>
      <c r="V85" s="1220"/>
      <c r="W85" s="1220"/>
      <c r="X85" s="1220"/>
      <c r="Y85" s="1220"/>
      <c r="Z85" s="1220"/>
      <c r="AA85" s="1220"/>
      <c r="AB85" s="1220"/>
      <c r="AC85" s="1220"/>
    </row>
    <row r="86" spans="1:29" s="882" customFormat="1" ht="15.75" thickTop="1">
      <c r="A86" s="1135"/>
      <c r="B86" s="1132" t="str">
        <f>B14</f>
        <v>溢价比例</v>
      </c>
      <c r="C86" s="1259" t="s">
        <v>1536</v>
      </c>
      <c r="D86" s="1120" t="s">
        <v>1497</v>
      </c>
      <c r="E86" s="1120"/>
      <c r="F86" s="1120"/>
      <c r="G86" s="1120"/>
      <c r="H86" s="1140"/>
      <c r="I86" s="1140"/>
      <c r="J86" s="1140"/>
      <c r="K86" s="1140"/>
      <c r="L86" s="1190"/>
      <c r="M86" s="1191"/>
      <c r="N86" s="1187"/>
      <c r="O86" s="1187"/>
      <c r="P86" s="1192"/>
      <c r="Q86" s="1219"/>
      <c r="R86" s="1220"/>
      <c r="S86" s="1220"/>
      <c r="T86" s="1220"/>
      <c r="U86" s="1220"/>
      <c r="V86" s="1220"/>
      <c r="W86" s="1220"/>
      <c r="X86" s="1220"/>
      <c r="Y86" s="1220"/>
      <c r="Z86" s="1220"/>
      <c r="AA86" s="1220"/>
      <c r="AB86" s="1220"/>
      <c r="AC86" s="1220"/>
    </row>
    <row r="87" spans="1:29" s="882" customFormat="1" ht="15.75" thickBot="1">
      <c r="A87" s="1141"/>
      <c r="B87" s="1142"/>
      <c r="C87" s="1143">
        <v>100</v>
      </c>
      <c r="D87" s="1143">
        <v>97</v>
      </c>
      <c r="E87" s="1143"/>
      <c r="F87" s="1143"/>
      <c r="G87" s="1143"/>
      <c r="H87" s="1144"/>
      <c r="I87" s="1144"/>
      <c r="J87" s="1144"/>
      <c r="K87" s="1144"/>
      <c r="L87" s="1144"/>
      <c r="M87" s="1193"/>
      <c r="N87" s="1187"/>
      <c r="O87" s="1187"/>
      <c r="P87" s="1188"/>
      <c r="Q87" s="1219"/>
      <c r="R87" s="1220"/>
      <c r="S87" s="1220"/>
      <c r="T87" s="1220"/>
      <c r="U87" s="1220"/>
      <c r="V87" s="1220"/>
      <c r="W87" s="1220"/>
      <c r="X87" s="1220"/>
      <c r="Y87" s="1220"/>
      <c r="Z87" s="1220"/>
      <c r="AA87" s="1220"/>
      <c r="AB87" s="1220"/>
      <c r="AC87" s="1220"/>
    </row>
    <row r="88" spans="1:29">
      <c r="A88" s="1123" t="s">
        <v>1377</v>
      </c>
      <c r="B88" s="1124" t="s">
        <v>1378</v>
      </c>
      <c r="C88" s="1145" t="s">
        <v>1416</v>
      </c>
      <c r="D88" s="1145" t="s">
        <v>1417</v>
      </c>
      <c r="E88" s="1145" t="s">
        <v>1418</v>
      </c>
      <c r="F88" s="1145" t="s">
        <v>1419</v>
      </c>
      <c r="G88" s="1145" t="s">
        <v>1420</v>
      </c>
      <c r="H88" s="1146"/>
      <c r="I88" s="1146"/>
      <c r="J88" s="1146"/>
      <c r="K88" s="1194"/>
      <c r="L88" s="1195"/>
      <c r="M88" s="1196"/>
      <c r="N88" s="1174"/>
      <c r="O88" s="1174"/>
      <c r="P88" s="1197"/>
      <c r="Q88" s="1098"/>
      <c r="R88" s="996"/>
      <c r="S88" s="996"/>
      <c r="T88" s="996"/>
      <c r="U88" s="996"/>
      <c r="V88" s="996"/>
      <c r="W88" s="996"/>
      <c r="X88" s="996"/>
      <c r="Y88" s="996"/>
      <c r="Z88" s="996"/>
      <c r="AA88" s="996"/>
      <c r="AB88" s="996"/>
      <c r="AC88" s="996"/>
    </row>
    <row r="89" spans="1:29" ht="15.75" thickBot="1">
      <c r="A89" s="1125"/>
      <c r="B89" s="1130"/>
      <c r="C89" s="1131">
        <v>100</v>
      </c>
      <c r="D89" s="1131">
        <f>C89-$K15</f>
        <v>95</v>
      </c>
      <c r="E89" s="1131">
        <f>D89-$K15</f>
        <v>90</v>
      </c>
      <c r="F89" s="1131">
        <f>E89-$K15</f>
        <v>85</v>
      </c>
      <c r="G89" s="1131">
        <f>F89-$K15</f>
        <v>80</v>
      </c>
      <c r="H89" s="1131"/>
      <c r="I89" s="1131"/>
      <c r="J89" s="1131"/>
      <c r="K89" s="1131"/>
      <c r="L89" s="1131"/>
      <c r="M89" s="1181"/>
      <c r="N89" s="1177"/>
      <c r="O89" s="1177"/>
      <c r="P89" s="1175"/>
      <c r="Q89" s="1098"/>
      <c r="R89" s="996"/>
      <c r="S89" s="996"/>
      <c r="T89" s="996"/>
      <c r="U89" s="996"/>
      <c r="V89" s="996"/>
      <c r="W89" s="996"/>
      <c r="X89" s="996"/>
      <c r="Y89" s="996"/>
      <c r="Z89" s="996"/>
      <c r="AA89" s="996"/>
      <c r="AB89" s="996"/>
      <c r="AC89" s="996"/>
    </row>
    <row r="90" spans="1:29" ht="15.75" thickTop="1">
      <c r="A90" s="1125"/>
      <c r="B90" s="1128" t="s">
        <v>1447</v>
      </c>
      <c r="C90" s="1147" t="s">
        <v>1416</v>
      </c>
      <c r="D90" s="1147" t="s">
        <v>1417</v>
      </c>
      <c r="E90" s="1147" t="s">
        <v>1418</v>
      </c>
      <c r="F90" s="1147" t="s">
        <v>1419</v>
      </c>
      <c r="G90" s="1147" t="s">
        <v>1420</v>
      </c>
      <c r="H90" s="1129"/>
      <c r="I90" s="1129"/>
      <c r="J90" s="1129"/>
      <c r="K90" s="1178"/>
      <c r="L90" s="1179"/>
      <c r="M90" s="1180"/>
      <c r="N90" s="1174"/>
      <c r="O90" s="1174"/>
      <c r="P90" s="1175"/>
      <c r="Q90" s="1098"/>
      <c r="R90" s="996"/>
      <c r="S90" s="996"/>
      <c r="T90" s="996"/>
      <c r="U90" s="996"/>
      <c r="V90" s="996"/>
      <c r="W90" s="996"/>
      <c r="X90" s="996"/>
      <c r="Y90" s="996"/>
      <c r="Z90" s="996"/>
      <c r="AA90" s="996"/>
      <c r="AB90" s="996"/>
      <c r="AC90" s="996"/>
    </row>
    <row r="91" spans="1:29" ht="15.75" thickBot="1">
      <c r="A91" s="1125"/>
      <c r="B91" s="1130"/>
      <c r="C91" s="1131">
        <v>100</v>
      </c>
      <c r="D91" s="1131">
        <f>C91-$K17</f>
        <v>97</v>
      </c>
      <c r="E91" s="1131">
        <f>D91-$K17</f>
        <v>94</v>
      </c>
      <c r="F91" s="1131">
        <f>E91-$K17</f>
        <v>91</v>
      </c>
      <c r="G91" s="1131">
        <f>F91-$K17</f>
        <v>88</v>
      </c>
      <c r="H91" s="1131"/>
      <c r="I91" s="1131"/>
      <c r="J91" s="1131"/>
      <c r="K91" s="1131"/>
      <c r="L91" s="1131"/>
      <c r="M91" s="1181"/>
      <c r="N91" s="1177"/>
      <c r="O91" s="1177"/>
      <c r="P91" s="1175"/>
      <c r="Q91" s="1098"/>
      <c r="R91" s="996"/>
      <c r="S91" s="996"/>
      <c r="T91" s="996"/>
      <c r="U91" s="996"/>
      <c r="V91" s="996"/>
      <c r="W91" s="996"/>
      <c r="X91" s="996"/>
      <c r="Y91" s="996"/>
      <c r="Z91" s="996"/>
      <c r="AA91" s="996"/>
      <c r="AB91" s="996"/>
      <c r="AC91" s="996"/>
    </row>
    <row r="92" spans="1:29" ht="15.75" thickTop="1">
      <c r="A92" s="1125"/>
      <c r="B92" s="1128" t="s">
        <v>1460</v>
      </c>
      <c r="C92" s="1147" t="s">
        <v>1416</v>
      </c>
      <c r="D92" s="1147" t="s">
        <v>1417</v>
      </c>
      <c r="E92" s="1147" t="s">
        <v>1418</v>
      </c>
      <c r="F92" s="1147" t="s">
        <v>1419</v>
      </c>
      <c r="G92" s="1147" t="s">
        <v>1420</v>
      </c>
      <c r="H92" s="1129"/>
      <c r="I92" s="1129"/>
      <c r="J92" s="1129"/>
      <c r="K92" s="1178"/>
      <c r="L92" s="1179"/>
      <c r="M92" s="1180"/>
      <c r="N92" s="1174"/>
      <c r="O92" s="1174"/>
      <c r="P92" s="1175"/>
      <c r="Q92" s="1098"/>
      <c r="R92" s="996"/>
      <c r="S92" s="996"/>
      <c r="T92" s="996"/>
      <c r="U92" s="996"/>
      <c r="V92" s="996"/>
      <c r="W92" s="996"/>
      <c r="X92" s="996"/>
      <c r="Y92" s="996"/>
      <c r="Z92" s="996"/>
      <c r="AA92" s="996"/>
      <c r="AB92" s="996"/>
      <c r="AC92" s="996"/>
    </row>
    <row r="93" spans="1:29" ht="15.75" thickBot="1">
      <c r="A93" s="1125"/>
      <c r="B93" s="1130"/>
      <c r="C93" s="1131">
        <v>100</v>
      </c>
      <c r="D93" s="1131">
        <f>C93-$K19</f>
        <v>100</v>
      </c>
      <c r="E93" s="1131">
        <f>D93-$K19</f>
        <v>100</v>
      </c>
      <c r="F93" s="1131">
        <f>E93-$K19</f>
        <v>100</v>
      </c>
      <c r="G93" s="1131">
        <f>F93-$K19</f>
        <v>100</v>
      </c>
      <c r="H93" s="1131"/>
      <c r="I93" s="1131"/>
      <c r="J93" s="1131"/>
      <c r="K93" s="1131"/>
      <c r="L93" s="1131"/>
      <c r="M93" s="1181"/>
      <c r="N93" s="1177"/>
      <c r="O93" s="1177"/>
      <c r="P93" s="1175"/>
      <c r="Q93" s="1098"/>
      <c r="R93" s="996"/>
      <c r="S93" s="996"/>
      <c r="T93" s="996"/>
      <c r="U93" s="996"/>
      <c r="V93" s="996"/>
      <c r="W93" s="996"/>
      <c r="X93" s="996"/>
      <c r="Y93" s="996"/>
      <c r="Z93" s="996"/>
      <c r="AA93" s="996"/>
      <c r="AB93" s="996"/>
      <c r="AC93" s="996"/>
    </row>
    <row r="94" spans="1:29" ht="15.75" thickTop="1">
      <c r="A94" s="1125"/>
      <c r="B94" s="1128" t="s">
        <v>1380</v>
      </c>
      <c r="C94" s="1147" t="s">
        <v>1416</v>
      </c>
      <c r="D94" s="1147" t="s">
        <v>1417</v>
      </c>
      <c r="E94" s="1147" t="s">
        <v>1418</v>
      </c>
      <c r="F94" s="1147" t="s">
        <v>1419</v>
      </c>
      <c r="G94" s="1147" t="s">
        <v>1420</v>
      </c>
      <c r="H94" s="1129"/>
      <c r="I94" s="1129"/>
      <c r="J94" s="1129"/>
      <c r="K94" s="1178"/>
      <c r="L94" s="1179"/>
      <c r="M94" s="1180"/>
      <c r="N94" s="1174"/>
      <c r="O94" s="1174"/>
      <c r="P94" s="1175"/>
      <c r="Q94" s="1098"/>
      <c r="R94" s="996"/>
      <c r="S94" s="996"/>
      <c r="T94" s="996"/>
      <c r="U94" s="996"/>
      <c r="V94" s="996"/>
      <c r="W94" s="996"/>
      <c r="X94" s="996"/>
      <c r="Y94" s="996"/>
      <c r="Z94" s="996"/>
      <c r="AA94" s="996"/>
      <c r="AB94" s="996"/>
      <c r="AC94" s="996"/>
    </row>
    <row r="95" spans="1:29" ht="15.75" thickBot="1">
      <c r="A95" s="1125"/>
      <c r="B95" s="1130"/>
      <c r="C95" s="1131">
        <v>100</v>
      </c>
      <c r="D95" s="1131">
        <f>C95-$K21</f>
        <v>97</v>
      </c>
      <c r="E95" s="1131">
        <f>D95-$K21</f>
        <v>94</v>
      </c>
      <c r="F95" s="1131">
        <f>E95-$K21</f>
        <v>91</v>
      </c>
      <c r="G95" s="1131">
        <f>F95-$K21</f>
        <v>88</v>
      </c>
      <c r="H95" s="1131"/>
      <c r="I95" s="1131"/>
      <c r="J95" s="1131"/>
      <c r="K95" s="1131"/>
      <c r="L95" s="1131"/>
      <c r="M95" s="1181"/>
      <c r="N95" s="1177"/>
      <c r="O95" s="1177"/>
      <c r="P95" s="1175"/>
      <c r="Q95" s="1098"/>
      <c r="R95" s="996"/>
      <c r="S95" s="996"/>
      <c r="T95" s="996"/>
      <c r="U95" s="996"/>
      <c r="V95" s="996"/>
      <c r="W95" s="996"/>
      <c r="X95" s="996"/>
      <c r="Y95" s="996"/>
      <c r="Z95" s="996"/>
      <c r="AA95" s="996"/>
      <c r="AB95" s="996"/>
      <c r="AC95" s="996"/>
    </row>
    <row r="96" spans="1:29" s="880" customFormat="1" ht="15.75" thickTop="1">
      <c r="A96" s="1148"/>
      <c r="B96" s="1128" t="s">
        <v>1500</v>
      </c>
      <c r="C96" s="1147" t="s">
        <v>1416</v>
      </c>
      <c r="D96" s="1147" t="s">
        <v>1417</v>
      </c>
      <c r="E96" s="1147" t="s">
        <v>1418</v>
      </c>
      <c r="F96" s="1147" t="s">
        <v>1419</v>
      </c>
      <c r="G96" s="1147" t="s">
        <v>1420</v>
      </c>
      <c r="H96" s="1147"/>
      <c r="I96" s="1147"/>
      <c r="J96" s="1147"/>
      <c r="K96" s="1147"/>
      <c r="L96" s="1198"/>
      <c r="M96" s="1199"/>
      <c r="N96" s="1168"/>
      <c r="O96" s="1168"/>
      <c r="P96" s="1175"/>
      <c r="Q96" s="1098"/>
      <c r="R96" s="1218"/>
      <c r="S96" s="1218"/>
      <c r="T96" s="1218"/>
      <c r="U96" s="1218"/>
      <c r="V96" s="1218"/>
      <c r="W96" s="1218"/>
      <c r="X96" s="1218"/>
      <c r="Y96" s="1218"/>
      <c r="Z96" s="1218"/>
      <c r="AA96" s="1218"/>
      <c r="AB96" s="1218"/>
      <c r="AC96" s="1218"/>
    </row>
    <row r="97" spans="1:29" s="880" customFormat="1" ht="15.75" thickBot="1">
      <c r="A97" s="1148"/>
      <c r="B97" s="1130"/>
      <c r="C97" s="1149">
        <v>100</v>
      </c>
      <c r="D97" s="1131">
        <f>C97-$K23</f>
        <v>100</v>
      </c>
      <c r="E97" s="1131">
        <f>D97-$K23</f>
        <v>100</v>
      </c>
      <c r="F97" s="1131">
        <f>E97-$K23</f>
        <v>100</v>
      </c>
      <c r="G97" s="1131">
        <f>F97-$K23</f>
        <v>100</v>
      </c>
      <c r="H97" s="1131"/>
      <c r="I97" s="1131"/>
      <c r="J97" s="1131"/>
      <c r="K97" s="1131"/>
      <c r="L97" s="1131"/>
      <c r="M97" s="1181"/>
      <c r="N97" s="1177"/>
      <c r="O97" s="1177"/>
      <c r="P97" s="1175"/>
      <c r="Q97" s="1098"/>
      <c r="R97" s="1218"/>
      <c r="S97" s="1218"/>
      <c r="T97" s="1218"/>
      <c r="U97" s="1218"/>
      <c r="V97" s="1218"/>
      <c r="W97" s="1218"/>
      <c r="X97" s="1218"/>
      <c r="Y97" s="1218"/>
      <c r="Z97" s="1218"/>
      <c r="AA97" s="1218"/>
      <c r="AB97" s="1218"/>
      <c r="AC97" s="1218"/>
    </row>
    <row r="98" spans="1:29" s="880" customFormat="1" ht="27.75" thickTop="1">
      <c r="A98" s="1148"/>
      <c r="B98" s="1128" t="s">
        <v>1501</v>
      </c>
      <c r="C98" s="1145" t="s">
        <v>1416</v>
      </c>
      <c r="D98" s="1145" t="s">
        <v>1417</v>
      </c>
      <c r="E98" s="1145" t="s">
        <v>1418</v>
      </c>
      <c r="F98" s="1145" t="s">
        <v>1419</v>
      </c>
      <c r="G98" s="1145" t="s">
        <v>1420</v>
      </c>
      <c r="H98" s="1147"/>
      <c r="I98" s="1147"/>
      <c r="J98" s="1147"/>
      <c r="K98" s="1147"/>
      <c r="L98" s="1147"/>
      <c r="M98" s="1199"/>
      <c r="N98" s="1168"/>
      <c r="O98" s="1168"/>
      <c r="P98" s="1175"/>
      <c r="Q98" s="1098"/>
      <c r="R98" s="1218"/>
      <c r="S98" s="1218"/>
      <c r="T98" s="1218"/>
      <c r="U98" s="1218"/>
      <c r="V98" s="1218"/>
      <c r="W98" s="1218"/>
      <c r="X98" s="1218"/>
      <c r="Y98" s="1218"/>
      <c r="Z98" s="1218"/>
      <c r="AA98" s="1218"/>
      <c r="AB98" s="1218"/>
      <c r="AC98" s="1218"/>
    </row>
    <row r="99" spans="1:29" s="880" customFormat="1" ht="15.75" thickBot="1">
      <c r="A99" s="1148"/>
      <c r="B99" s="1130"/>
      <c r="C99" s="1131">
        <v>100</v>
      </c>
      <c r="D99" s="1131">
        <f>C99-$K25</f>
        <v>97</v>
      </c>
      <c r="E99" s="1131">
        <f>D99-$K25</f>
        <v>94</v>
      </c>
      <c r="F99" s="1131">
        <f>E99-$K25</f>
        <v>91</v>
      </c>
      <c r="G99" s="1131">
        <f>F99-$K25</f>
        <v>88</v>
      </c>
      <c r="H99" s="1131"/>
      <c r="I99" s="1131"/>
      <c r="J99" s="1131"/>
      <c r="K99" s="1131"/>
      <c r="L99" s="1131"/>
      <c r="M99" s="1181"/>
      <c r="N99" s="1177"/>
      <c r="O99" s="1177"/>
      <c r="P99" s="1175"/>
      <c r="Q99" s="1098"/>
      <c r="R99" s="1218"/>
      <c r="S99" s="1218"/>
      <c r="T99" s="1218"/>
      <c r="U99" s="1218"/>
      <c r="V99" s="1218"/>
      <c r="W99" s="1218"/>
      <c r="X99" s="1218"/>
      <c r="Y99" s="1218"/>
      <c r="Z99" s="1218"/>
      <c r="AA99" s="1218"/>
      <c r="AB99" s="1218"/>
      <c r="AC99" s="1218"/>
    </row>
    <row r="100" spans="1:29" s="882" customFormat="1" ht="15.75" thickTop="1">
      <c r="A100" s="1135"/>
      <c r="B100" s="1128" t="s">
        <v>1381</v>
      </c>
      <c r="C100" s="1145" t="s">
        <v>1416</v>
      </c>
      <c r="D100" s="1145" t="s">
        <v>1417</v>
      </c>
      <c r="E100" s="1145" t="s">
        <v>1418</v>
      </c>
      <c r="F100" s="1145" t="s">
        <v>1419</v>
      </c>
      <c r="G100" s="1145" t="s">
        <v>1420</v>
      </c>
      <c r="H100" s="1150"/>
      <c r="I100" s="1150"/>
      <c r="J100" s="1150"/>
      <c r="K100" s="1150"/>
      <c r="L100" s="1200"/>
      <c r="M100" s="1201"/>
      <c r="N100" s="1187"/>
      <c r="O100" s="1187"/>
      <c r="P100" s="1188"/>
      <c r="Q100" s="1219"/>
      <c r="R100" s="1220"/>
      <c r="S100" s="1220"/>
      <c r="T100" s="1220"/>
      <c r="U100" s="1220"/>
      <c r="V100" s="1220"/>
      <c r="W100" s="1220"/>
      <c r="X100" s="1220"/>
      <c r="Y100" s="1220"/>
      <c r="Z100" s="1220"/>
      <c r="AA100" s="1220"/>
      <c r="AB100" s="1220"/>
      <c r="AC100" s="1220"/>
    </row>
    <row r="101" spans="1:29" s="882" customFormat="1" ht="15.75" thickBot="1">
      <c r="A101" s="1135"/>
      <c r="B101" s="1130"/>
      <c r="C101" s="1131">
        <v>100</v>
      </c>
      <c r="D101" s="1131">
        <f>C101-$K27</f>
        <v>97</v>
      </c>
      <c r="E101" s="1131">
        <f>D101-$K27</f>
        <v>94</v>
      </c>
      <c r="F101" s="1131">
        <f>E101-$K27</f>
        <v>91</v>
      </c>
      <c r="G101" s="1131">
        <f>F101-$K27</f>
        <v>88</v>
      </c>
      <c r="H101" s="1151"/>
      <c r="I101" s="1151"/>
      <c r="J101" s="1151"/>
      <c r="K101" s="1151"/>
      <c r="L101" s="1151"/>
      <c r="M101" s="1202"/>
      <c r="N101" s="1187"/>
      <c r="O101" s="1187"/>
      <c r="P101" s="1188"/>
      <c r="Q101" s="1219"/>
      <c r="R101" s="1220"/>
      <c r="S101" s="1220"/>
      <c r="T101" s="1220"/>
      <c r="U101" s="1220"/>
      <c r="V101" s="1220"/>
      <c r="W101" s="1220"/>
      <c r="X101" s="1220"/>
      <c r="Y101" s="1220"/>
      <c r="Z101" s="1220"/>
      <c r="AA101" s="1220"/>
      <c r="AB101" s="1220"/>
      <c r="AC101" s="1220"/>
    </row>
    <row r="102" spans="1:29" s="882" customFormat="1" ht="15.75" thickTop="1">
      <c r="A102" s="1135"/>
      <c r="B102" s="1132" t="s">
        <v>1382</v>
      </c>
      <c r="C102" s="1152" t="s">
        <v>1421</v>
      </c>
      <c r="D102" s="1152" t="s">
        <v>1422</v>
      </c>
      <c r="E102" s="1152" t="s">
        <v>1423</v>
      </c>
      <c r="F102" s="1152" t="s">
        <v>1424</v>
      </c>
      <c r="G102" s="1152" t="s">
        <v>1425</v>
      </c>
      <c r="H102" s="1150"/>
      <c r="I102" s="1150"/>
      <c r="J102" s="1150"/>
      <c r="K102" s="1150"/>
      <c r="L102" s="1150"/>
      <c r="M102" s="1203"/>
      <c r="N102" s="1187"/>
      <c r="O102" s="1187"/>
      <c r="P102" s="1188"/>
      <c r="Q102" s="1219"/>
      <c r="R102" s="1220"/>
      <c r="S102" s="1220"/>
      <c r="T102" s="1220"/>
      <c r="U102" s="1220"/>
      <c r="V102" s="1220"/>
      <c r="W102" s="1220"/>
      <c r="X102" s="1220"/>
      <c r="Y102" s="1220"/>
      <c r="Z102" s="1220"/>
      <c r="AA102" s="1220"/>
      <c r="AB102" s="1220"/>
      <c r="AC102" s="1220"/>
    </row>
    <row r="103" spans="1:29" s="882" customFormat="1" ht="15.75" thickBot="1">
      <c r="A103" s="1135"/>
      <c r="B103" s="1132"/>
      <c r="C103" s="1131">
        <v>100</v>
      </c>
      <c r="D103" s="1131">
        <f>C103-$K29</f>
        <v>98</v>
      </c>
      <c r="E103" s="1131">
        <f>D103-$K29</f>
        <v>96</v>
      </c>
      <c r="F103" s="1131">
        <f>E103-$K29</f>
        <v>94</v>
      </c>
      <c r="G103" s="1131">
        <f>F103-$K29</f>
        <v>92</v>
      </c>
      <c r="H103" s="1134"/>
      <c r="I103" s="1134"/>
      <c r="J103" s="1134"/>
      <c r="K103" s="1134"/>
      <c r="L103" s="1134"/>
      <c r="M103" s="1203"/>
      <c r="N103" s="1187"/>
      <c r="O103" s="1187"/>
      <c r="P103" s="1188"/>
      <c r="Q103" s="1219"/>
      <c r="R103" s="1220"/>
      <c r="S103" s="1220"/>
      <c r="T103" s="1220"/>
      <c r="U103" s="1220"/>
      <c r="V103" s="1220"/>
      <c r="W103" s="1220"/>
      <c r="X103" s="1220"/>
      <c r="Y103" s="1220"/>
      <c r="Z103" s="1220"/>
      <c r="AA103" s="1220"/>
      <c r="AB103" s="1220"/>
      <c r="AC103" s="1220"/>
    </row>
    <row r="104" spans="1:29" ht="15.75" thickTop="1">
      <c r="A104" s="1125"/>
      <c r="B104" s="1128" t="str">
        <f>B31</f>
        <v>临街状况</v>
      </c>
      <c r="C104" s="1129" t="s">
        <v>1537</v>
      </c>
      <c r="D104" s="1129" t="s">
        <v>1538</v>
      </c>
      <c r="E104" s="1129" t="s">
        <v>1539</v>
      </c>
      <c r="F104" s="1129" t="s">
        <v>1540</v>
      </c>
      <c r="G104" s="1129"/>
      <c r="H104" s="1129"/>
      <c r="I104" s="1129"/>
      <c r="J104" s="1129"/>
      <c r="K104" s="1178"/>
      <c r="L104" s="1179"/>
      <c r="M104" s="1180"/>
      <c r="N104" s="1174"/>
      <c r="O104" s="1174"/>
      <c r="P104" s="1175"/>
      <c r="Q104" s="1098"/>
      <c r="R104" s="996"/>
      <c r="S104" s="996"/>
      <c r="T104" s="996"/>
      <c r="U104" s="996"/>
      <c r="V104" s="996"/>
      <c r="W104" s="996"/>
      <c r="X104" s="996"/>
      <c r="Y104" s="996"/>
      <c r="Z104" s="996"/>
      <c r="AA104" s="996"/>
      <c r="AB104" s="996"/>
      <c r="AC104" s="996"/>
    </row>
    <row r="105" spans="1:29" ht="15.75" thickBot="1">
      <c r="A105" s="1125"/>
      <c r="B105" s="1130"/>
      <c r="C105" s="1131">
        <v>100</v>
      </c>
      <c r="D105" s="1131">
        <f>C105-$K31</f>
        <v>100</v>
      </c>
      <c r="E105" s="1131">
        <f t="shared" ref="E105:M105" si="20">D105-$K31</f>
        <v>100</v>
      </c>
      <c r="F105" s="1131">
        <f t="shared" si="20"/>
        <v>100</v>
      </c>
      <c r="G105" s="1131">
        <f t="shared" si="20"/>
        <v>100</v>
      </c>
      <c r="H105" s="1131">
        <f t="shared" si="20"/>
        <v>100</v>
      </c>
      <c r="I105" s="1131">
        <f t="shared" si="20"/>
        <v>100</v>
      </c>
      <c r="J105" s="1131">
        <f t="shared" si="20"/>
        <v>100</v>
      </c>
      <c r="K105" s="1131">
        <f t="shared" si="20"/>
        <v>100</v>
      </c>
      <c r="L105" s="1131">
        <f t="shared" si="20"/>
        <v>100</v>
      </c>
      <c r="M105" s="1131">
        <f t="shared" si="20"/>
        <v>100</v>
      </c>
      <c r="N105" s="1177"/>
      <c r="O105" s="1177"/>
      <c r="P105" s="1175"/>
      <c r="Q105" s="1098"/>
      <c r="R105" s="996"/>
      <c r="S105" s="996"/>
      <c r="T105" s="996"/>
      <c r="U105" s="996"/>
      <c r="V105" s="996"/>
      <c r="W105" s="996"/>
      <c r="X105" s="996"/>
      <c r="Y105" s="996"/>
      <c r="Z105" s="996"/>
      <c r="AA105" s="996"/>
      <c r="AB105" s="996"/>
      <c r="AC105" s="996"/>
    </row>
    <row r="106" spans="1:29" ht="27.75" thickTop="1">
      <c r="A106" s="1125"/>
      <c r="B106" s="1128" t="s">
        <v>1462</v>
      </c>
      <c r="C106" s="1136"/>
      <c r="D106" s="1136"/>
      <c r="E106" s="1136"/>
      <c r="F106" s="1136"/>
      <c r="G106" s="1136"/>
      <c r="H106" s="1153"/>
      <c r="I106" s="1153"/>
      <c r="J106" s="1153"/>
      <c r="K106" s="1204"/>
      <c r="L106" s="1205"/>
      <c r="M106" s="1206"/>
      <c r="N106" s="1174"/>
      <c r="O106" s="1174"/>
      <c r="P106" s="1175"/>
      <c r="Q106" s="1098"/>
      <c r="R106" s="996"/>
      <c r="S106" s="996"/>
      <c r="T106" s="996"/>
      <c r="U106" s="996"/>
      <c r="V106" s="996"/>
      <c r="W106" s="996"/>
      <c r="X106" s="996"/>
      <c r="Y106" s="996"/>
      <c r="Z106" s="996"/>
      <c r="AA106" s="996"/>
      <c r="AB106" s="996"/>
      <c r="AC106" s="996"/>
    </row>
    <row r="107" spans="1:29" ht="15.75" thickBot="1">
      <c r="A107" s="1125"/>
      <c r="B107" s="1130"/>
      <c r="C107" s="1131">
        <v>100</v>
      </c>
      <c r="D107" s="1131">
        <f>C107-$K32</f>
        <v>100</v>
      </c>
      <c r="E107" s="1131">
        <f t="shared" ref="E107:M107" si="21">D107-$K32</f>
        <v>100</v>
      </c>
      <c r="F107" s="1131">
        <f t="shared" si="21"/>
        <v>100</v>
      </c>
      <c r="G107" s="1131">
        <f t="shared" si="21"/>
        <v>100</v>
      </c>
      <c r="H107" s="1131">
        <f t="shared" si="21"/>
        <v>100</v>
      </c>
      <c r="I107" s="1131">
        <f t="shared" si="21"/>
        <v>100</v>
      </c>
      <c r="J107" s="1131">
        <f t="shared" si="21"/>
        <v>100</v>
      </c>
      <c r="K107" s="1131">
        <f t="shared" si="21"/>
        <v>100</v>
      </c>
      <c r="L107" s="1131">
        <f t="shared" si="21"/>
        <v>100</v>
      </c>
      <c r="M107" s="1131">
        <f t="shared" si="21"/>
        <v>100</v>
      </c>
      <c r="N107" s="1177"/>
      <c r="O107" s="1177"/>
      <c r="P107" s="1175"/>
      <c r="Q107" s="1098"/>
      <c r="R107" s="996"/>
      <c r="S107" s="996"/>
      <c r="T107" s="996"/>
      <c r="U107" s="996"/>
      <c r="V107" s="996"/>
      <c r="W107" s="996"/>
      <c r="X107" s="996"/>
      <c r="Y107" s="996"/>
      <c r="Z107" s="996"/>
      <c r="AA107" s="996"/>
      <c r="AB107" s="996"/>
      <c r="AC107" s="996"/>
    </row>
    <row r="108" spans="1:29" ht="15.75" thickTop="1">
      <c r="A108" s="1125"/>
      <c r="B108" s="1128" t="s">
        <v>1503</v>
      </c>
      <c r="C108" s="1153"/>
      <c r="D108" s="1153"/>
      <c r="E108" s="1153"/>
      <c r="F108" s="1153"/>
      <c r="G108" s="1153"/>
      <c r="H108" s="1153"/>
      <c r="I108" s="1153"/>
      <c r="J108" s="1153"/>
      <c r="K108" s="1204"/>
      <c r="L108" s="1205"/>
      <c r="M108" s="1206"/>
      <c r="N108" s="1174"/>
      <c r="O108" s="1174"/>
      <c r="P108" s="1175"/>
      <c r="Q108" s="1098"/>
      <c r="R108" s="996"/>
      <c r="S108" s="996"/>
      <c r="T108" s="996"/>
      <c r="U108" s="996"/>
      <c r="V108" s="996"/>
      <c r="W108" s="996"/>
      <c r="X108" s="996"/>
      <c r="Y108" s="996"/>
      <c r="Z108" s="996"/>
      <c r="AA108" s="996"/>
      <c r="AB108" s="996"/>
      <c r="AC108" s="996"/>
    </row>
    <row r="109" spans="1:29" ht="15.75" thickBot="1">
      <c r="A109" s="1125"/>
      <c r="B109" s="1130"/>
      <c r="C109" s="1131">
        <v>100</v>
      </c>
      <c r="D109" s="1131">
        <f>C109-$K34</f>
        <v>100</v>
      </c>
      <c r="E109" s="1131">
        <f t="shared" ref="E109:M109" si="22">D109-$K34</f>
        <v>100</v>
      </c>
      <c r="F109" s="1131">
        <f t="shared" si="22"/>
        <v>100</v>
      </c>
      <c r="G109" s="1131">
        <f t="shared" si="22"/>
        <v>100</v>
      </c>
      <c r="H109" s="1131">
        <f t="shared" si="22"/>
        <v>100</v>
      </c>
      <c r="I109" s="1131">
        <f t="shared" si="22"/>
        <v>100</v>
      </c>
      <c r="J109" s="1131">
        <f t="shared" si="22"/>
        <v>100</v>
      </c>
      <c r="K109" s="1131">
        <f t="shared" si="22"/>
        <v>100</v>
      </c>
      <c r="L109" s="1131">
        <f t="shared" si="22"/>
        <v>100</v>
      </c>
      <c r="M109" s="1131">
        <f t="shared" si="22"/>
        <v>100</v>
      </c>
      <c r="N109" s="1177"/>
      <c r="O109" s="1177"/>
      <c r="P109" s="1175"/>
      <c r="Q109" s="1098"/>
      <c r="R109" s="996"/>
      <c r="S109" s="996"/>
      <c r="T109" s="996"/>
      <c r="U109" s="996"/>
      <c r="V109" s="996"/>
      <c r="W109" s="996"/>
      <c r="X109" s="996"/>
      <c r="Y109" s="996"/>
      <c r="Z109" s="996"/>
      <c r="AA109" s="996"/>
      <c r="AB109" s="996"/>
      <c r="AC109" s="996"/>
    </row>
    <row r="110" spans="1:29" ht="15.75" thickTop="1">
      <c r="A110" s="1125"/>
      <c r="B110" s="1132">
        <f>B35</f>
        <v>111</v>
      </c>
      <c r="C110" s="1136"/>
      <c r="D110" s="1136"/>
      <c r="E110" s="1136"/>
      <c r="F110" s="1136"/>
      <c r="G110" s="1154"/>
      <c r="H110" s="1154"/>
      <c r="I110" s="1154"/>
      <c r="J110" s="1154"/>
      <c r="K110" s="1207"/>
      <c r="L110" s="1208"/>
      <c r="M110" s="1209"/>
      <c r="N110" s="1174"/>
      <c r="O110" s="1174"/>
      <c r="P110" s="1175"/>
      <c r="Q110" s="1098"/>
      <c r="R110" s="996"/>
      <c r="S110" s="996"/>
      <c r="T110" s="996"/>
      <c r="U110" s="996"/>
      <c r="V110" s="996"/>
      <c r="W110" s="996"/>
      <c r="X110" s="996"/>
      <c r="Y110" s="996"/>
      <c r="Z110" s="996"/>
      <c r="AA110" s="996"/>
      <c r="AB110" s="996"/>
      <c r="AC110" s="996"/>
    </row>
    <row r="111" spans="1:29" ht="15.75" thickBot="1">
      <c r="A111" s="1125"/>
      <c r="B111" s="1142"/>
      <c r="C111" s="1138"/>
      <c r="D111" s="1138"/>
      <c r="E111" s="1138"/>
      <c r="F111" s="1138"/>
      <c r="G111" s="1155"/>
      <c r="H111" s="1155"/>
      <c r="I111" s="1155"/>
      <c r="J111" s="1155"/>
      <c r="K111" s="1155"/>
      <c r="L111" s="1155"/>
      <c r="M111" s="1210"/>
      <c r="N111" s="1177"/>
      <c r="O111" s="1177"/>
      <c r="P111" s="1175"/>
      <c r="Q111" s="1098"/>
      <c r="R111" s="996"/>
      <c r="S111" s="996"/>
      <c r="T111" s="996"/>
      <c r="U111" s="996"/>
      <c r="V111" s="996"/>
      <c r="W111" s="996"/>
      <c r="X111" s="996"/>
      <c r="Y111" s="996"/>
      <c r="Z111" s="996"/>
      <c r="AA111" s="996"/>
      <c r="AB111" s="996"/>
      <c r="AC111" s="996"/>
    </row>
    <row r="112" spans="1:29" ht="15" thickTop="1">
      <c r="A112" s="962"/>
      <c r="B112" s="1128">
        <f>B36</f>
        <v>111</v>
      </c>
      <c r="C112" s="1120"/>
      <c r="D112" s="1120"/>
      <c r="E112" s="1120"/>
      <c r="F112" s="1120"/>
      <c r="G112" s="1153"/>
      <c r="H112" s="1153"/>
      <c r="I112" s="1153"/>
      <c r="J112" s="1153"/>
      <c r="K112" s="1204"/>
      <c r="L112" s="1205"/>
      <c r="M112" s="1206"/>
      <c r="N112" s="1174"/>
      <c r="O112" s="1174"/>
      <c r="P112" s="1175"/>
      <c r="Q112" s="1098"/>
      <c r="R112" s="996"/>
      <c r="S112" s="996"/>
      <c r="T112" s="996"/>
      <c r="U112" s="996"/>
      <c r="V112" s="996"/>
      <c r="W112" s="996"/>
      <c r="X112" s="996"/>
      <c r="Y112" s="996"/>
      <c r="Z112" s="996"/>
      <c r="AA112" s="996"/>
      <c r="AB112" s="996"/>
      <c r="AC112" s="996"/>
    </row>
    <row r="113" spans="1:29" ht="15.75" thickBot="1">
      <c r="A113" s="1125"/>
      <c r="B113" s="1130"/>
      <c r="C113" s="1143"/>
      <c r="D113" s="1143"/>
      <c r="E113" s="1143"/>
      <c r="F113" s="1143"/>
      <c r="G113" s="1127"/>
      <c r="H113" s="1127"/>
      <c r="I113" s="1127"/>
      <c r="J113" s="1127"/>
      <c r="K113" s="1127"/>
      <c r="L113" s="1127"/>
      <c r="M113" s="1176"/>
      <c r="N113" s="1177"/>
      <c r="O113" s="1177"/>
      <c r="P113" s="1175"/>
      <c r="Q113" s="1098"/>
      <c r="R113" s="996"/>
      <c r="S113" s="996"/>
      <c r="T113" s="996"/>
      <c r="U113" s="996"/>
      <c r="V113" s="996"/>
      <c r="W113" s="996"/>
      <c r="X113" s="996"/>
      <c r="Y113" s="996"/>
      <c r="Z113" s="996"/>
      <c r="AA113" s="996"/>
      <c r="AB113" s="996"/>
      <c r="AC113" s="996"/>
    </row>
    <row r="114" spans="1:29" s="882" customFormat="1" ht="15" thickTop="1">
      <c r="A114" s="1156"/>
      <c r="B114" s="1157">
        <f>B37</f>
        <v>111</v>
      </c>
      <c r="C114" s="1112"/>
      <c r="D114" s="1112"/>
      <c r="E114" s="1112"/>
      <c r="F114" s="1112"/>
      <c r="G114" s="1112"/>
      <c r="H114" s="1112"/>
      <c r="I114" s="1112"/>
      <c r="J114" s="1211"/>
      <c r="K114" s="1211"/>
      <c r="L114" s="1212"/>
      <c r="M114" s="1213"/>
      <c r="N114" s="1187"/>
      <c r="O114" s="1187"/>
      <c r="P114" s="1188"/>
      <c r="Q114" s="1219"/>
      <c r="R114" s="1220"/>
      <c r="S114" s="1220"/>
      <c r="T114" s="1220"/>
      <c r="U114" s="1220"/>
      <c r="V114" s="1220"/>
      <c r="W114" s="1220"/>
      <c r="X114" s="1220"/>
      <c r="Y114" s="1220"/>
      <c r="Z114" s="1220"/>
      <c r="AA114" s="1220"/>
      <c r="AB114" s="1220"/>
      <c r="AC114" s="1220"/>
    </row>
    <row r="115" spans="1:29" s="882" customFormat="1" ht="15.75" thickBot="1">
      <c r="A115" s="1135"/>
      <c r="B115" s="1132"/>
      <c r="C115" s="1122"/>
      <c r="D115" s="1158"/>
      <c r="E115" s="1158"/>
      <c r="F115" s="1158"/>
      <c r="G115" s="1158"/>
      <c r="H115" s="1158"/>
      <c r="I115" s="1158"/>
      <c r="J115" s="1158"/>
      <c r="K115" s="1158"/>
      <c r="L115" s="1158"/>
      <c r="M115" s="1214"/>
      <c r="N115" s="1177"/>
      <c r="O115" s="1177"/>
      <c r="P115" s="1188"/>
      <c r="Q115" s="1219"/>
      <c r="R115" s="1220"/>
      <c r="S115" s="1220"/>
      <c r="T115" s="1220"/>
      <c r="U115" s="1220"/>
      <c r="V115" s="1220"/>
      <c r="W115" s="1220"/>
      <c r="X115" s="1220"/>
      <c r="Y115" s="1220"/>
      <c r="Z115" s="1220"/>
      <c r="AA115" s="1220"/>
      <c r="AB115" s="1220"/>
      <c r="AC115" s="1220"/>
    </row>
    <row r="116" spans="1:29" ht="28.5">
      <c r="A116" s="1123" t="s">
        <v>1386</v>
      </c>
      <c r="B116" s="1124" t="s">
        <v>1504</v>
      </c>
      <c r="C116" s="1146" t="str">
        <f>C117&amp;"(含)"&amp;"-"&amp;D117</f>
        <v>0(含)-20000</v>
      </c>
      <c r="D116" s="1146" t="str">
        <f t="shared" ref="D116:M116" si="23">D117&amp;"(含)"&amp;"-"&amp;E117</f>
        <v>20000(含)-40000</v>
      </c>
      <c r="E116" s="1146" t="str">
        <f t="shared" si="23"/>
        <v>40000(含)-60000</v>
      </c>
      <c r="F116" s="1146" t="str">
        <f t="shared" si="23"/>
        <v>60000(含)-80000</v>
      </c>
      <c r="G116" s="1146" t="str">
        <f t="shared" si="23"/>
        <v>80000(含)-100000</v>
      </c>
      <c r="H116" s="1146" t="str">
        <f t="shared" si="23"/>
        <v>100000(含)-</v>
      </c>
      <c r="I116" s="1146" t="str">
        <f t="shared" si="23"/>
        <v>(含)-</v>
      </c>
      <c r="J116" s="1146" t="str">
        <f t="shared" si="23"/>
        <v>(含)-</v>
      </c>
      <c r="K116" s="1146" t="str">
        <f t="shared" si="23"/>
        <v>(含)-</v>
      </c>
      <c r="L116" s="1146" t="str">
        <f t="shared" si="23"/>
        <v>(含)-</v>
      </c>
      <c r="M116" s="1146" t="str">
        <f t="shared" si="23"/>
        <v>(含)-</v>
      </c>
      <c r="N116" s="1174"/>
      <c r="O116" s="1174"/>
      <c r="P116" s="1175"/>
      <c r="Q116" s="1098"/>
      <c r="R116" s="996"/>
      <c r="S116" s="996"/>
      <c r="T116" s="996"/>
      <c r="U116" s="996"/>
      <c r="V116" s="996"/>
      <c r="W116" s="996"/>
      <c r="X116" s="996"/>
      <c r="Y116" s="996"/>
      <c r="Z116" s="996"/>
      <c r="AA116" s="996"/>
      <c r="AB116" s="996"/>
      <c r="AC116" s="996"/>
    </row>
    <row r="117" spans="1:29" ht="15">
      <c r="A117" s="1125"/>
      <c r="B117" s="1132"/>
      <c r="C117" s="1112">
        <v>0</v>
      </c>
      <c r="D117" s="1112">
        <v>20000</v>
      </c>
      <c r="E117" s="1112">
        <v>40000</v>
      </c>
      <c r="F117" s="1112">
        <v>60000</v>
      </c>
      <c r="G117" s="1112">
        <v>80000</v>
      </c>
      <c r="H117" s="1112">
        <v>100000</v>
      </c>
      <c r="I117" s="1112"/>
      <c r="J117" s="1211"/>
      <c r="K117" s="1211"/>
      <c r="L117" s="1212"/>
      <c r="M117" s="1213"/>
      <c r="N117" s="1174"/>
      <c r="O117" s="1174"/>
      <c r="P117" s="1175"/>
      <c r="Q117" s="1098"/>
      <c r="R117" s="996"/>
      <c r="S117" s="996"/>
      <c r="T117" s="996"/>
      <c r="U117" s="996"/>
      <c r="V117" s="996"/>
      <c r="W117" s="996"/>
      <c r="X117" s="996"/>
      <c r="Y117" s="996"/>
      <c r="Z117" s="996"/>
      <c r="AA117" s="996"/>
      <c r="AB117" s="996"/>
      <c r="AC117" s="996"/>
    </row>
    <row r="118" spans="1:29" ht="15.75" thickBot="1">
      <c r="A118" s="1125"/>
      <c r="B118" s="1130"/>
      <c r="C118" s="1143">
        <v>100</v>
      </c>
      <c r="D118" s="1155">
        <v>102</v>
      </c>
      <c r="E118" s="1155">
        <v>104</v>
      </c>
      <c r="F118" s="1155">
        <v>106</v>
      </c>
      <c r="G118" s="1155">
        <v>108</v>
      </c>
      <c r="H118" s="1155">
        <v>110</v>
      </c>
      <c r="I118" s="1155"/>
      <c r="J118" s="1155"/>
      <c r="K118" s="1155"/>
      <c r="L118" s="1155"/>
      <c r="M118" s="1210"/>
      <c r="N118" s="1177"/>
      <c r="O118" s="1177"/>
      <c r="P118" s="1175"/>
      <c r="Q118" s="1098"/>
      <c r="R118" s="996"/>
      <c r="S118" s="996"/>
      <c r="T118" s="996"/>
      <c r="U118" s="996"/>
      <c r="V118" s="996"/>
      <c r="W118" s="996"/>
      <c r="X118" s="996"/>
      <c r="Y118" s="996"/>
      <c r="Z118" s="996"/>
      <c r="AA118" s="996"/>
      <c r="AB118" s="996"/>
      <c r="AC118" s="996"/>
    </row>
    <row r="119" spans="1:29" ht="15" thickTop="1">
      <c r="A119" s="1159"/>
      <c r="B119" s="1128" t="s">
        <v>1505</v>
      </c>
      <c r="C119" s="1153"/>
      <c r="D119" s="1153"/>
      <c r="E119" s="1153"/>
      <c r="F119" s="1153"/>
      <c r="G119" s="1153"/>
      <c r="H119" s="1153"/>
      <c r="I119" s="1153"/>
      <c r="J119" s="1153"/>
      <c r="K119" s="1204"/>
      <c r="L119" s="1205"/>
      <c r="M119" s="1206"/>
      <c r="N119" s="1174"/>
      <c r="O119" s="1174"/>
      <c r="P119" s="1175"/>
      <c r="Q119" s="1098"/>
      <c r="R119" s="996"/>
      <c r="S119" s="996"/>
      <c r="T119" s="996"/>
      <c r="U119" s="996"/>
      <c r="V119" s="996"/>
      <c r="W119" s="996"/>
      <c r="X119" s="996"/>
      <c r="Y119" s="996"/>
      <c r="Z119" s="996"/>
      <c r="AA119" s="996"/>
      <c r="AB119" s="996"/>
      <c r="AC119" s="996"/>
    </row>
    <row r="120" spans="1:29" ht="15.75" thickBot="1">
      <c r="A120" s="1125"/>
      <c r="B120" s="1130"/>
      <c r="C120" s="1131">
        <v>100</v>
      </c>
      <c r="D120" s="1131">
        <f t="shared" ref="D120:M120" si="24">C120-$K39</f>
        <v>100</v>
      </c>
      <c r="E120" s="1131">
        <f t="shared" si="24"/>
        <v>100</v>
      </c>
      <c r="F120" s="1131">
        <f t="shared" si="24"/>
        <v>100</v>
      </c>
      <c r="G120" s="1131">
        <f t="shared" si="24"/>
        <v>100</v>
      </c>
      <c r="H120" s="1131">
        <f t="shared" si="24"/>
        <v>100</v>
      </c>
      <c r="I120" s="1131">
        <f t="shared" si="24"/>
        <v>100</v>
      </c>
      <c r="J120" s="1131">
        <f t="shared" si="24"/>
        <v>100</v>
      </c>
      <c r="K120" s="1131">
        <f t="shared" si="24"/>
        <v>100</v>
      </c>
      <c r="L120" s="1131">
        <f t="shared" si="24"/>
        <v>100</v>
      </c>
      <c r="M120" s="1181">
        <f t="shared" si="24"/>
        <v>100</v>
      </c>
      <c r="N120" s="1177"/>
      <c r="O120" s="1177"/>
      <c r="P120" s="1175"/>
      <c r="Q120" s="1098"/>
      <c r="R120" s="996"/>
      <c r="S120" s="996"/>
      <c r="T120" s="996"/>
      <c r="U120" s="996"/>
      <c r="V120" s="996"/>
      <c r="W120" s="996"/>
      <c r="X120" s="996"/>
      <c r="Y120" s="996"/>
      <c r="Z120" s="996"/>
      <c r="AA120" s="996"/>
      <c r="AB120" s="996"/>
      <c r="AC120" s="996"/>
    </row>
    <row r="121" spans="1:29" ht="15" thickTop="1">
      <c r="A121" s="1159"/>
      <c r="B121" s="1128" t="s">
        <v>1506</v>
      </c>
      <c r="C121" s="1136"/>
      <c r="D121" s="1136"/>
      <c r="E121" s="1136"/>
      <c r="F121" s="1153"/>
      <c r="G121" s="1153"/>
      <c r="H121" s="1153"/>
      <c r="I121" s="1153"/>
      <c r="J121" s="1153"/>
      <c r="K121" s="1204"/>
      <c r="L121" s="1205"/>
      <c r="M121" s="1206"/>
      <c r="N121" s="1174"/>
      <c r="O121" s="1174"/>
      <c r="P121" s="1175"/>
      <c r="Q121" s="1098"/>
      <c r="R121" s="996"/>
      <c r="S121" s="996"/>
      <c r="T121" s="996"/>
      <c r="U121" s="996"/>
      <c r="V121" s="996"/>
      <c r="W121" s="996"/>
      <c r="X121" s="996"/>
      <c r="Y121" s="996"/>
      <c r="Z121" s="996"/>
      <c r="AA121" s="996"/>
      <c r="AB121" s="996"/>
      <c r="AC121" s="996"/>
    </row>
    <row r="122" spans="1:29" ht="15.75" thickBot="1">
      <c r="A122" s="1125"/>
      <c r="B122" s="1130"/>
      <c r="C122" s="1131">
        <v>100</v>
      </c>
      <c r="D122" s="1131">
        <f t="shared" ref="D122:M122" si="25">C122-$K40</f>
        <v>100</v>
      </c>
      <c r="E122" s="1131">
        <f t="shared" si="25"/>
        <v>100</v>
      </c>
      <c r="F122" s="1131">
        <f t="shared" si="25"/>
        <v>100</v>
      </c>
      <c r="G122" s="1131">
        <f t="shared" si="25"/>
        <v>100</v>
      </c>
      <c r="H122" s="1131">
        <f t="shared" si="25"/>
        <v>100</v>
      </c>
      <c r="I122" s="1131">
        <f t="shared" si="25"/>
        <v>100</v>
      </c>
      <c r="J122" s="1131">
        <f t="shared" si="25"/>
        <v>100</v>
      </c>
      <c r="K122" s="1131">
        <f t="shared" si="25"/>
        <v>100</v>
      </c>
      <c r="L122" s="1131">
        <f t="shared" si="25"/>
        <v>100</v>
      </c>
      <c r="M122" s="1181">
        <f t="shared" si="25"/>
        <v>100</v>
      </c>
      <c r="N122" s="1177"/>
      <c r="O122" s="1177"/>
      <c r="P122" s="1175"/>
      <c r="Q122" s="1098"/>
      <c r="R122" s="996"/>
      <c r="S122" s="996"/>
      <c r="T122" s="996"/>
      <c r="U122" s="996"/>
      <c r="V122" s="996"/>
      <c r="W122" s="996"/>
      <c r="X122" s="996"/>
      <c r="Y122" s="996"/>
      <c r="Z122" s="996"/>
      <c r="AA122" s="996"/>
      <c r="AB122" s="996"/>
      <c r="AC122" s="996"/>
    </row>
    <row r="123" spans="1:29" s="882" customFormat="1" ht="15" thickTop="1">
      <c r="A123" s="1156"/>
      <c r="B123" s="1128" t="s">
        <v>1507</v>
      </c>
      <c r="C123" s="1260" t="s">
        <v>1421</v>
      </c>
      <c r="D123" s="1260" t="s">
        <v>1422</v>
      </c>
      <c r="E123" s="1260" t="s">
        <v>1423</v>
      </c>
      <c r="F123" s="1260" t="s">
        <v>1424</v>
      </c>
      <c r="G123" s="1260" t="s">
        <v>1425</v>
      </c>
      <c r="H123" s="1153"/>
      <c r="I123" s="1153"/>
      <c r="J123" s="1153"/>
      <c r="K123" s="1204"/>
      <c r="L123" s="1205"/>
      <c r="M123" s="1206"/>
      <c r="N123" s="1187"/>
      <c r="O123" s="1187"/>
      <c r="P123" s="1188"/>
      <c r="Q123" s="1219"/>
      <c r="R123" s="1220"/>
      <c r="S123" s="1220"/>
      <c r="T123" s="1220"/>
      <c r="U123" s="1220"/>
      <c r="V123" s="1220"/>
      <c r="W123" s="1220"/>
      <c r="X123" s="1220"/>
      <c r="Y123" s="1220"/>
      <c r="Z123" s="1220"/>
      <c r="AA123" s="1220"/>
      <c r="AB123" s="1220"/>
      <c r="AC123" s="1220"/>
    </row>
    <row r="124" spans="1:29" s="882" customFormat="1" ht="15.75" thickBot="1">
      <c r="A124" s="1135"/>
      <c r="B124" s="1130"/>
      <c r="C124" s="1131">
        <v>100</v>
      </c>
      <c r="D124" s="1131">
        <f>C124-$K41</f>
        <v>99</v>
      </c>
      <c r="E124" s="1131">
        <f t="shared" ref="E124:M124" si="26">D124-$K41</f>
        <v>98</v>
      </c>
      <c r="F124" s="1131">
        <f t="shared" si="26"/>
        <v>97</v>
      </c>
      <c r="G124" s="1131">
        <f t="shared" si="26"/>
        <v>96</v>
      </c>
      <c r="H124" s="1131">
        <f t="shared" si="26"/>
        <v>95</v>
      </c>
      <c r="I124" s="1131">
        <f t="shared" si="26"/>
        <v>94</v>
      </c>
      <c r="J124" s="1131">
        <f t="shared" si="26"/>
        <v>93</v>
      </c>
      <c r="K124" s="1131">
        <f t="shared" si="26"/>
        <v>92</v>
      </c>
      <c r="L124" s="1131">
        <f t="shared" si="26"/>
        <v>91</v>
      </c>
      <c r="M124" s="1181">
        <f t="shared" si="26"/>
        <v>90</v>
      </c>
      <c r="N124" s="1187"/>
      <c r="O124" s="1187"/>
      <c r="P124" s="1188"/>
      <c r="Q124" s="1219"/>
      <c r="R124" s="1220"/>
      <c r="S124" s="1220"/>
      <c r="T124" s="1220"/>
      <c r="U124" s="1220"/>
      <c r="V124" s="1220"/>
      <c r="W124" s="1220"/>
      <c r="X124" s="1220"/>
      <c r="Y124" s="1220"/>
      <c r="Z124" s="1220"/>
      <c r="AA124" s="1220"/>
      <c r="AB124" s="1220"/>
      <c r="AC124" s="1220"/>
    </row>
    <row r="125" spans="1:29" ht="15" thickTop="1">
      <c r="A125" s="1159"/>
      <c r="B125" s="1128" t="s">
        <v>1508</v>
      </c>
      <c r="C125" s="1136"/>
      <c r="D125" s="1136"/>
      <c r="E125" s="1153"/>
      <c r="F125" s="1153"/>
      <c r="G125" s="1153"/>
      <c r="H125" s="1153"/>
      <c r="I125" s="1153"/>
      <c r="J125" s="1153"/>
      <c r="K125" s="1204"/>
      <c r="L125" s="1205"/>
      <c r="M125" s="1206"/>
      <c r="N125" s="1174"/>
      <c r="O125" s="1174"/>
      <c r="P125" s="1175"/>
      <c r="Q125" s="1098"/>
      <c r="R125" s="996"/>
      <c r="S125" s="996"/>
      <c r="T125" s="996"/>
      <c r="U125" s="996"/>
      <c r="V125" s="996"/>
      <c r="W125" s="996"/>
      <c r="X125" s="996"/>
      <c r="Y125" s="996"/>
      <c r="Z125" s="996"/>
      <c r="AA125" s="996"/>
      <c r="AB125" s="996"/>
      <c r="AC125" s="996"/>
    </row>
    <row r="126" spans="1:29" ht="15.75" thickBot="1">
      <c r="A126" s="1125"/>
      <c r="B126" s="1130"/>
      <c r="C126" s="1131">
        <v>100</v>
      </c>
      <c r="D126" s="1131">
        <f t="shared" ref="D126:M126" si="27">C126-$K42</f>
        <v>100</v>
      </c>
      <c r="E126" s="1131">
        <f t="shared" si="27"/>
        <v>100</v>
      </c>
      <c r="F126" s="1131">
        <f t="shared" si="27"/>
        <v>100</v>
      </c>
      <c r="G126" s="1131">
        <f t="shared" si="27"/>
        <v>100</v>
      </c>
      <c r="H126" s="1131">
        <f t="shared" si="27"/>
        <v>100</v>
      </c>
      <c r="I126" s="1131">
        <f t="shared" si="27"/>
        <v>100</v>
      </c>
      <c r="J126" s="1131">
        <f t="shared" si="27"/>
        <v>100</v>
      </c>
      <c r="K126" s="1131">
        <f t="shared" si="27"/>
        <v>100</v>
      </c>
      <c r="L126" s="1131">
        <f t="shared" si="27"/>
        <v>100</v>
      </c>
      <c r="M126" s="1181">
        <f t="shared" si="27"/>
        <v>100</v>
      </c>
      <c r="N126" s="1177"/>
      <c r="O126" s="1177"/>
      <c r="P126" s="1175"/>
      <c r="Q126" s="1098"/>
      <c r="R126" s="996"/>
      <c r="S126" s="996"/>
      <c r="T126" s="996"/>
      <c r="U126" s="996"/>
      <c r="V126" s="996"/>
      <c r="W126" s="996"/>
      <c r="X126" s="996"/>
      <c r="Y126" s="996"/>
      <c r="Z126" s="996"/>
      <c r="AA126" s="996"/>
      <c r="AB126" s="996"/>
      <c r="AC126" s="996"/>
    </row>
    <row r="127" spans="1:29" ht="15" thickTop="1">
      <c r="A127" s="1159"/>
      <c r="B127" s="1128">
        <f>B43</f>
        <v>111</v>
      </c>
      <c r="C127" s="1136"/>
      <c r="D127" s="1136"/>
      <c r="E127" s="1136"/>
      <c r="F127" s="1136"/>
      <c r="G127" s="1136"/>
      <c r="H127" s="1153"/>
      <c r="I127" s="1153"/>
      <c r="J127" s="1153"/>
      <c r="K127" s="1204"/>
      <c r="L127" s="1205"/>
      <c r="M127" s="1206"/>
      <c r="N127" s="1174"/>
      <c r="O127" s="1174"/>
      <c r="P127" s="1175"/>
      <c r="Q127" s="1098"/>
      <c r="R127" s="996"/>
      <c r="S127" s="996"/>
      <c r="T127" s="996"/>
      <c r="U127" s="996"/>
      <c r="V127" s="996"/>
      <c r="W127" s="996"/>
      <c r="X127" s="996"/>
      <c r="Y127" s="996"/>
      <c r="Z127" s="996"/>
      <c r="AA127" s="996"/>
      <c r="AB127" s="996"/>
      <c r="AC127" s="996"/>
    </row>
    <row r="128" spans="1:29" ht="15.75" thickBot="1">
      <c r="A128" s="1125"/>
      <c r="B128" s="1130"/>
      <c r="C128" s="1138"/>
      <c r="D128" s="1138"/>
      <c r="E128" s="1138"/>
      <c r="F128" s="1138"/>
      <c r="G128" s="1127"/>
      <c r="H128" s="1127"/>
      <c r="I128" s="1127"/>
      <c r="J128" s="1127"/>
      <c r="K128" s="1127"/>
      <c r="L128" s="1127"/>
      <c r="M128" s="1176"/>
      <c r="N128" s="1177"/>
      <c r="O128" s="1177"/>
      <c r="P128" s="1175"/>
      <c r="Q128" s="1098"/>
      <c r="R128" s="996"/>
      <c r="S128" s="996"/>
      <c r="T128" s="996"/>
      <c r="U128" s="996"/>
      <c r="V128" s="996"/>
      <c r="W128" s="996"/>
      <c r="X128" s="996"/>
      <c r="Y128" s="996"/>
      <c r="Z128" s="996"/>
      <c r="AA128" s="996"/>
      <c r="AB128" s="996"/>
      <c r="AC128" s="996"/>
    </row>
    <row r="129" spans="1:29" ht="15" thickTop="1">
      <c r="A129" s="1159"/>
      <c r="B129" s="1128">
        <f>B44</f>
        <v>111</v>
      </c>
      <c r="C129" s="1120"/>
      <c r="D129" s="1120"/>
      <c r="E129" s="1120"/>
      <c r="F129" s="1120"/>
      <c r="G129" s="1153"/>
      <c r="H129" s="1153"/>
      <c r="I129" s="1153"/>
      <c r="J129" s="1153"/>
      <c r="K129" s="1204"/>
      <c r="L129" s="1205"/>
      <c r="M129" s="1206"/>
      <c r="N129" s="1174"/>
      <c r="O129" s="1174"/>
      <c r="P129" s="1175"/>
      <c r="Q129" s="1098"/>
      <c r="R129" s="996"/>
      <c r="S129" s="996"/>
      <c r="T129" s="996"/>
      <c r="U129" s="996"/>
      <c r="V129" s="996"/>
      <c r="W129" s="996"/>
      <c r="X129" s="996"/>
      <c r="Y129" s="996"/>
      <c r="Z129" s="996"/>
      <c r="AA129" s="996"/>
      <c r="AB129" s="996"/>
      <c r="AC129" s="996"/>
    </row>
    <row r="130" spans="1:29" ht="15.75" thickBot="1">
      <c r="A130" s="1125"/>
      <c r="B130" s="1130"/>
      <c r="C130" s="1143"/>
      <c r="D130" s="1143"/>
      <c r="E130" s="1143"/>
      <c r="F130" s="1143"/>
      <c r="G130" s="1127"/>
      <c r="H130" s="1127"/>
      <c r="I130" s="1127"/>
      <c r="J130" s="1127"/>
      <c r="K130" s="1127"/>
      <c r="L130" s="1127"/>
      <c r="M130" s="1176"/>
      <c r="N130" s="1177"/>
      <c r="O130" s="1177"/>
      <c r="P130" s="1175"/>
      <c r="Q130" s="1098"/>
      <c r="R130" s="996"/>
      <c r="S130" s="996"/>
      <c r="T130" s="996"/>
      <c r="U130" s="996"/>
      <c r="V130" s="996"/>
      <c r="W130" s="996"/>
      <c r="X130" s="996"/>
      <c r="Y130" s="996"/>
      <c r="Z130" s="996"/>
      <c r="AA130" s="996"/>
      <c r="AB130" s="996"/>
      <c r="AC130" s="996"/>
    </row>
    <row r="131" spans="1:29" s="882" customFormat="1" ht="15" thickTop="1">
      <c r="A131" s="1156"/>
      <c r="B131" s="1128">
        <f>B45</f>
        <v>111</v>
      </c>
      <c r="C131" s="1120"/>
      <c r="D131" s="1120"/>
      <c r="E131" s="1120"/>
      <c r="F131" s="1120"/>
      <c r="G131" s="1137"/>
      <c r="H131" s="1137"/>
      <c r="I131" s="1137"/>
      <c r="J131" s="1137"/>
      <c r="K131" s="1137"/>
      <c r="L131" s="1185"/>
      <c r="M131" s="1186"/>
      <c r="N131" s="1187"/>
      <c r="O131" s="1187"/>
      <c r="P131" s="1188"/>
      <c r="Q131" s="1219"/>
      <c r="R131" s="1220"/>
      <c r="S131" s="1220"/>
      <c r="T131" s="1220"/>
      <c r="U131" s="1220"/>
      <c r="V131" s="1220"/>
      <c r="W131" s="1220"/>
      <c r="X131" s="1220"/>
      <c r="Y131" s="1220"/>
      <c r="Z131" s="1220"/>
      <c r="AA131" s="1220"/>
      <c r="AB131" s="1220"/>
      <c r="AC131" s="1220"/>
    </row>
    <row r="132" spans="1:29" s="882" customFormat="1" ht="15.75" thickBot="1">
      <c r="A132" s="1141"/>
      <c r="B132" s="1160"/>
      <c r="C132" s="1143"/>
      <c r="D132" s="1143"/>
      <c r="E132" s="1143"/>
      <c r="F132" s="1143"/>
      <c r="G132" s="1155"/>
      <c r="H132" s="1155"/>
      <c r="I132" s="1155"/>
      <c r="J132" s="1155"/>
      <c r="K132" s="1155"/>
      <c r="L132" s="1155"/>
      <c r="M132" s="1210"/>
      <c r="N132" s="1187"/>
      <c r="O132" s="1187"/>
      <c r="P132" s="1188"/>
      <c r="Q132" s="1219"/>
      <c r="R132" s="1220"/>
      <c r="S132" s="1220"/>
      <c r="T132" s="1220"/>
      <c r="U132" s="1220"/>
      <c r="V132" s="1220"/>
      <c r="W132" s="1220"/>
      <c r="X132" s="1220"/>
      <c r="Y132" s="1220"/>
      <c r="Z132" s="1220"/>
      <c r="AA132" s="1220"/>
      <c r="AB132" s="1220"/>
      <c r="AC132" s="1220"/>
    </row>
  </sheetData>
  <sheetProtection password="CEE9"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12"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D57:D65" xr:uid="{00000000-0002-0000-2000-000000000000}">
      <formula1>"25%,1"</formula1>
    </dataValidation>
    <dataValidation type="list" allowBlank="1" showInputMessage="1" showErrorMessage="1" sqref="A71" xr:uid="{00000000-0002-0000-2000-000001000000}">
      <formula1>"综合,商业,办公,住宅"</formula1>
    </dataValidation>
    <dataValidation type="list" allowBlank="1" showInputMessage="1" showErrorMessage="1" sqref="G62" xr:uid="{00000000-0002-0000-2000-000002000000}">
      <formula1>"商业,办公,住宅,工业"</formula1>
    </dataValidation>
    <dataValidation type="list" allowBlank="1" showInputMessage="1" showErrorMessage="1" sqref="C55" xr:uid="{00000000-0002-0000-2000-000003000000}">
      <formula1>"北京市系数,其他省市系数"</formula1>
    </dataValidation>
    <dataValidation type="list" allowBlank="1" showInputMessage="1" showErrorMessage="1" sqref="D47" xr:uid="{00000000-0002-0000-2000-000004000000}">
      <formula1>"简单平均,加权平均"</formula1>
    </dataValidation>
    <dataValidation type="list" allowBlank="1" showInputMessage="1" showErrorMessage="1" sqref="B46" xr:uid="{00000000-0002-0000-2000-000005000000}">
      <formula1>单价内涵</formula1>
    </dataValidation>
    <dataValidation type="list" allowBlank="1" showInputMessage="1" showErrorMessage="1" sqref="C42 E42 G42 I42" xr:uid="{00000000-0002-0000-2000-000006000000}">
      <formula1>套综工程地质条件</formula1>
    </dataValidation>
    <dataValidation type="list" allowBlank="1" showInputMessage="1" showErrorMessage="1" sqref="C41 E41 G41 I41" xr:uid="{00000000-0002-0000-2000-000007000000}">
      <formula1>套综宗地内开发程度</formula1>
    </dataValidation>
    <dataValidation type="list" allowBlank="1" showInputMessage="1" showErrorMessage="1" sqref="C40 E40 G40 I40" xr:uid="{00000000-0002-0000-2000-000008000000}">
      <formula1>套综临街宽度及深度</formula1>
    </dataValidation>
    <dataValidation type="list" allowBlank="1" showInputMessage="1" showErrorMessage="1" sqref="C34 E34 G34 I34" xr:uid="{00000000-0002-0000-2000-000009000000}">
      <formula1>套综土地级别</formula1>
    </dataValidation>
    <dataValidation type="list" allowBlank="1" showInputMessage="1" showErrorMessage="1" sqref="C31 E31 G31 I31" xr:uid="{00000000-0002-0000-2000-00000A000000}">
      <formula1>临街状况</formula1>
    </dataValidation>
    <dataValidation type="list" allowBlank="1" showInputMessage="1" showErrorMessage="1" sqref="C30 E30 G30 I30" xr:uid="{00000000-0002-0000-2000-00000B000000}">
      <formula1>基础设施水平</formula1>
    </dataValidation>
    <dataValidation type="list" allowBlank="1" showInputMessage="1" showErrorMessage="1" sqref="C28 E28 G28 I28" xr:uid="{00000000-0002-0000-2000-00000C000000}">
      <formula1>公共配套设施</formula1>
    </dataValidation>
    <dataValidation type="list" allowBlank="1" showInputMessage="1" showErrorMessage="1" sqref="C25" xr:uid="{00000000-0002-0000-2000-00000D000000}">
      <formula1>住宅朝向</formula1>
    </dataValidation>
    <dataValidation type="list" allowBlank="1" showInputMessage="1" showErrorMessage="1" sqref="C33 E33 G33 I33" xr:uid="{00000000-0002-0000-2000-00000E000000}">
      <formula1>套综道路等级</formula1>
    </dataValidation>
    <dataValidation type="list" allowBlank="1" showInputMessage="1" showErrorMessage="1" sqref="G63" xr:uid="{00000000-0002-0000-2000-00000F000000}">
      <formula1>"住宅,工业"</formula1>
    </dataValidation>
    <dataValidation type="list" allowBlank="1" showInputMessage="1" showErrorMessage="1" sqref="C24 E24 G24 I24" xr:uid="{00000000-0002-0000-2000-000010000000}">
      <formula1>区域土地利用方向</formula1>
    </dataValidation>
    <dataValidation type="list" allowBlank="1" showInputMessage="1" showErrorMessage="1" sqref="C22 E22 G22 I22" xr:uid="{00000000-0002-0000-2000-000011000000}">
      <formula1>交通便捷度</formula1>
    </dataValidation>
    <dataValidation type="list" allowBlank="1" showInputMessage="1" showErrorMessage="1" sqref="C26 E26 G26 I26" xr:uid="{00000000-0002-0000-2000-000012000000}">
      <formula1>环境</formula1>
    </dataValidation>
    <dataValidation type="list" allowBlank="1" showInputMessage="1" showErrorMessage="1" sqref="C18 E18 G18 I18" xr:uid="{00000000-0002-0000-2000-000013000000}">
      <formula1>商业繁华度</formula1>
    </dataValidation>
    <dataValidation type="list" allowBlank="1" showInputMessage="1" showErrorMessage="1" sqref="C9 E9 G9 I9" xr:uid="{00000000-0002-0000-2000-000014000000}">
      <formula1>套综用途</formula1>
    </dataValidation>
    <dataValidation type="list" allowBlank="1" showInputMessage="1" showErrorMessage="1" sqref="C20 E20 G20 I20" xr:uid="{00000000-0002-0000-2000-000015000000}">
      <formula1>办公集聚程度</formula1>
    </dataValidation>
    <dataValidation type="list" allowBlank="1" showInputMessage="1" showErrorMessage="1" sqref="C39 E39 G39 I39" xr:uid="{00000000-0002-0000-2000-000016000000}">
      <formula1>套综宗地形状</formula1>
    </dataValidation>
    <dataValidation type="list" allowBlank="1" showInputMessage="1" showErrorMessage="1" sqref="C8 E8 G8 I8" xr:uid="{00000000-0002-0000-2000-000017000000}">
      <formula1>套综交易情况</formula1>
    </dataValidation>
    <dataValidation type="list" allowBlank="1" showInputMessage="1" showErrorMessage="1" sqref="C16 E16 G16 I16" xr:uid="{00000000-0002-0000-2000-000018000000}">
      <formula1>居住社区成熟度</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79" customFormat="1" ht="28.5" customHeight="1">
      <c r="A1" s="889" t="s">
        <v>1486</v>
      </c>
      <c r="B1" s="890"/>
      <c r="C1" s="891" t="s">
        <v>1466</v>
      </c>
      <c r="D1" s="892"/>
      <c r="E1" s="892"/>
      <c r="F1" s="893" t="s">
        <v>1350</v>
      </c>
      <c r="G1" s="892"/>
      <c r="H1" s="892"/>
      <c r="I1" s="892"/>
      <c r="J1" s="892"/>
      <c r="K1" s="1036"/>
      <c r="L1" s="1037"/>
      <c r="M1" s="1038"/>
      <c r="N1" s="1038"/>
      <c r="O1" s="1038"/>
      <c r="P1" s="1039"/>
      <c r="Q1" s="1039"/>
      <c r="R1" s="1039"/>
      <c r="S1" s="1039"/>
      <c r="T1" s="1039"/>
      <c r="U1" s="1039"/>
      <c r="V1" s="1039"/>
      <c r="W1" s="1039"/>
      <c r="X1" s="1039"/>
      <c r="Y1" s="1039"/>
      <c r="Z1" s="1039"/>
      <c r="AA1" s="1039"/>
      <c r="AB1" s="1039"/>
      <c r="AC1" s="1099"/>
    </row>
    <row r="2" spans="1:29" s="879" customFormat="1" ht="28.5" customHeight="1">
      <c r="A2" s="145" t="s">
        <v>926</v>
      </c>
      <c r="B2" s="894" t="e">
        <f>F61</f>
        <v>#DIV/0!</v>
      </c>
      <c r="C2" s="895"/>
      <c r="D2" s="895"/>
      <c r="E2" s="895"/>
      <c r="F2" s="896"/>
      <c r="G2" s="895"/>
      <c r="H2" s="895"/>
      <c r="I2" s="895"/>
      <c r="J2" s="895"/>
      <c r="K2" s="1040"/>
      <c r="L2" s="1041"/>
      <c r="M2" s="1042"/>
      <c r="N2" s="1042"/>
      <c r="O2" s="1042"/>
      <c r="P2" s="1039"/>
      <c r="Q2" s="1039"/>
      <c r="R2" s="1039"/>
      <c r="S2" s="1039"/>
      <c r="T2" s="1039"/>
      <c r="U2" s="1039"/>
      <c r="V2" s="1039"/>
      <c r="W2" s="1039"/>
      <c r="X2" s="1039"/>
      <c r="Y2" s="1039"/>
      <c r="Z2" s="1039"/>
      <c r="AA2" s="1039"/>
      <c r="AB2" s="1039"/>
      <c r="AC2" s="1099"/>
    </row>
    <row r="3" spans="1:29" s="879" customFormat="1" ht="28.5" customHeight="1">
      <c r="A3" s="148" t="s">
        <v>928</v>
      </c>
      <c r="B3" s="897" t="e">
        <f>ROUND(IF(D3="",B2*10000/'数据-汇总表'!E3,B2*10000/D3),0)</f>
        <v>#DIV/0!</v>
      </c>
      <c r="C3" s="148" t="s">
        <v>1351</v>
      </c>
      <c r="D3" s="898"/>
      <c r="E3" s="895"/>
      <c r="F3" s="896"/>
      <c r="G3" s="895"/>
      <c r="H3" s="895"/>
      <c r="I3" s="895"/>
      <c r="J3" s="895"/>
      <c r="K3" s="1040"/>
      <c r="L3" s="1041"/>
      <c r="M3" s="1042"/>
      <c r="N3" s="1042"/>
      <c r="O3" s="1042"/>
      <c r="P3" s="1039"/>
      <c r="Q3" s="1039"/>
      <c r="R3" s="1039"/>
      <c r="S3" s="1039"/>
      <c r="T3" s="1039"/>
      <c r="U3" s="1039"/>
      <c r="V3" s="1039"/>
      <c r="W3" s="1039"/>
      <c r="X3" s="1039"/>
      <c r="Y3" s="1039"/>
      <c r="Z3" s="1039"/>
      <c r="AA3" s="1039"/>
      <c r="AB3" s="1100"/>
      <c r="AC3" s="1101"/>
    </row>
    <row r="4" spans="1:29" ht="15">
      <c r="A4" s="899" t="s">
        <v>1352</v>
      </c>
      <c r="B4" s="900"/>
      <c r="C4" s="3273" t="s">
        <v>1353</v>
      </c>
      <c r="D4" s="3306"/>
      <c r="E4" s="3307" t="s">
        <v>1354</v>
      </c>
      <c r="F4" s="3308"/>
      <c r="G4" s="3273" t="s">
        <v>1355</v>
      </c>
      <c r="H4" s="3306"/>
      <c r="I4" s="3273" t="s">
        <v>1356</v>
      </c>
      <c r="J4" s="3306"/>
      <c r="K4" s="1043" t="s">
        <v>1357</v>
      </c>
      <c r="L4" s="1044"/>
      <c r="M4" s="1045"/>
      <c r="N4" s="1045"/>
      <c r="O4" s="1045"/>
      <c r="P4" s="3277" t="s">
        <v>1358</v>
      </c>
      <c r="Q4" s="3278"/>
      <c r="R4" s="3283" t="s">
        <v>1354</v>
      </c>
      <c r="S4" s="3284"/>
      <c r="T4" s="3283" t="s">
        <v>1355</v>
      </c>
      <c r="U4" s="3284"/>
      <c r="V4" s="3289" t="s">
        <v>1356</v>
      </c>
      <c r="W4" s="3289"/>
      <c r="X4" s="1087"/>
      <c r="Y4" s="3283" t="s">
        <v>1358</v>
      </c>
      <c r="Z4" s="3284"/>
      <c r="AA4" s="3270" t="s">
        <v>1354</v>
      </c>
      <c r="AB4" s="3271" t="s">
        <v>1355</v>
      </c>
      <c r="AC4" s="3270" t="s">
        <v>1356</v>
      </c>
    </row>
    <row r="5" spans="1:29" ht="15">
      <c r="A5" s="901"/>
      <c r="B5" s="902"/>
      <c r="C5" s="3309" t="s">
        <v>1359</v>
      </c>
      <c r="D5" s="3310"/>
      <c r="E5" s="3311" t="s">
        <v>1360</v>
      </c>
      <c r="F5" s="3312"/>
      <c r="G5" s="3309" t="s">
        <v>1361</v>
      </c>
      <c r="H5" s="3310"/>
      <c r="I5" s="3309" t="s">
        <v>1362</v>
      </c>
      <c r="J5" s="3310"/>
      <c r="K5" s="1043"/>
      <c r="L5" s="1044"/>
      <c r="M5" s="1045"/>
      <c r="N5" s="1045"/>
      <c r="O5" s="1045"/>
      <c r="P5" s="3279"/>
      <c r="Q5" s="3280"/>
      <c r="R5" s="3285"/>
      <c r="S5" s="3286"/>
      <c r="T5" s="3285"/>
      <c r="U5" s="3286"/>
      <c r="V5" s="3289"/>
      <c r="W5" s="3289"/>
      <c r="X5" s="1087"/>
      <c r="Y5" s="3285"/>
      <c r="Z5" s="3286"/>
      <c r="AA5" s="3271"/>
      <c r="AB5" s="3271"/>
      <c r="AC5" s="3271"/>
    </row>
    <row r="6" spans="1:29" ht="15">
      <c r="A6" s="903"/>
      <c r="B6" s="904"/>
      <c r="C6" s="3366" t="s">
        <v>1541</v>
      </c>
      <c r="D6" s="3367"/>
      <c r="E6" s="3368" t="s">
        <v>1541</v>
      </c>
      <c r="F6" s="3369"/>
      <c r="G6" s="3366" t="s">
        <v>1541</v>
      </c>
      <c r="H6" s="3367"/>
      <c r="I6" s="3366" t="s">
        <v>1541</v>
      </c>
      <c r="J6" s="3367"/>
      <c r="K6" s="1043" t="s">
        <v>1364</v>
      </c>
      <c r="L6" s="1044"/>
      <c r="M6" s="1045"/>
      <c r="N6" s="1045"/>
      <c r="O6" s="1045"/>
      <c r="P6" s="3281"/>
      <c r="Q6" s="3282"/>
      <c r="R6" s="3285"/>
      <c r="S6" s="3286"/>
      <c r="T6" s="3287"/>
      <c r="U6" s="3288"/>
      <c r="V6" s="3289"/>
      <c r="W6" s="3289"/>
      <c r="X6" s="1087"/>
      <c r="Y6" s="3287"/>
      <c r="Z6" s="3288"/>
      <c r="AA6" s="3272"/>
      <c r="AB6" s="3272"/>
      <c r="AC6" s="3272"/>
    </row>
    <row r="7" spans="1:29" s="880" customFormat="1" ht="15">
      <c r="A7" s="905" t="s">
        <v>1365</v>
      </c>
      <c r="B7" s="906"/>
      <c r="C7" s="907">
        <f>'数据-取费表'!B2</f>
        <v>44288</v>
      </c>
      <c r="D7" s="908">
        <v>100</v>
      </c>
      <c r="E7" s="909"/>
      <c r="F7" s="910">
        <f>SUMIF(65:65,YEAR(E7)&amp;"-"&amp;INT((MONTH(E7)+2)/3),66:66)</f>
        <v>0</v>
      </c>
      <c r="G7" s="911"/>
      <c r="H7" s="908">
        <f>SUMIF(65:65,YEAR(G7)&amp;"-"&amp;INT((MONTH(G7)+2)/3),66:66)</f>
        <v>0</v>
      </c>
      <c r="I7" s="911"/>
      <c r="J7" s="908">
        <f>SUMIF(65:65,YEAR(I7)&amp;"-"&amp;INT((MONTH(I7)+2)/3),66:66)</f>
        <v>0</v>
      </c>
      <c r="K7" s="1046"/>
      <c r="L7" s="1047"/>
      <c r="M7" s="1048"/>
      <c r="N7" s="1048"/>
      <c r="O7" s="1048"/>
      <c r="P7" s="3290" t="s">
        <v>1366</v>
      </c>
      <c r="Q7" s="3305"/>
      <c r="R7" s="1088" t="s">
        <v>1367</v>
      </c>
      <c r="S7" s="1089">
        <f t="shared" ref="S7:S15" si="0">F7</f>
        <v>0</v>
      </c>
      <c r="T7" s="1088" t="s">
        <v>1367</v>
      </c>
      <c r="U7" s="1089">
        <f t="shared" ref="U7:U15" si="1">H7</f>
        <v>0</v>
      </c>
      <c r="V7" s="1088" t="s">
        <v>1367</v>
      </c>
      <c r="W7" s="1089">
        <f t="shared" ref="W7:W15" si="2">J7</f>
        <v>0</v>
      </c>
      <c r="X7" s="1090"/>
      <c r="Y7" s="3290" t="s">
        <v>1366</v>
      </c>
      <c r="Z7" s="3291"/>
      <c r="AA7" s="1102" t="e">
        <f>D7/F7</f>
        <v>#DIV/0!</v>
      </c>
      <c r="AB7" s="1102" t="e">
        <f>D7/H7</f>
        <v>#DIV/0!</v>
      </c>
      <c r="AC7" s="1102" t="e">
        <f>D7/J7</f>
        <v>#DIV/0!</v>
      </c>
    </row>
    <row r="8" spans="1:29" s="880" customFormat="1" ht="15">
      <c r="A8" s="905" t="s">
        <v>1368</v>
      </c>
      <c r="B8" s="906"/>
      <c r="C8" s="912" t="s">
        <v>1369</v>
      </c>
      <c r="D8" s="908">
        <v>100</v>
      </c>
      <c r="E8" s="912"/>
      <c r="F8" s="910">
        <f>SUMIF(68:68,E8,69:69)-SUMIF(68:68,C8,69:69)+100</f>
        <v>0</v>
      </c>
      <c r="G8" s="912"/>
      <c r="H8" s="908">
        <f>SUMIF(68:68,G8,69:69)-SUMIF(68:68,C8,69:69)+100</f>
        <v>0</v>
      </c>
      <c r="I8" s="912"/>
      <c r="J8" s="908">
        <f>SUMIF(68:68,I8,69:69)-SUMIF(68:68,C8,69:69)+100</f>
        <v>0</v>
      </c>
      <c r="K8" s="1046"/>
      <c r="L8" s="1047"/>
      <c r="M8" s="1048"/>
      <c r="N8" s="1048"/>
      <c r="O8" s="1048"/>
      <c r="P8" s="3290" t="s">
        <v>1370</v>
      </c>
      <c r="Q8" s="3291"/>
      <c r="R8" s="1088" t="s">
        <v>1367</v>
      </c>
      <c r="S8" s="1089">
        <f t="shared" si="0"/>
        <v>0</v>
      </c>
      <c r="T8" s="1088" t="s">
        <v>1367</v>
      </c>
      <c r="U8" s="1089">
        <f t="shared" si="1"/>
        <v>0</v>
      </c>
      <c r="V8" s="1088" t="s">
        <v>1367</v>
      </c>
      <c r="W8" s="1089">
        <f t="shared" si="2"/>
        <v>0</v>
      </c>
      <c r="X8" s="1090"/>
      <c r="Y8" s="3290" t="s">
        <v>1370</v>
      </c>
      <c r="Z8" s="3291"/>
      <c r="AA8" s="1102" t="e">
        <f t="shared" ref="AA8:AA40" si="3">D8/F8</f>
        <v>#DIV/0!</v>
      </c>
      <c r="AB8" s="1102" t="e">
        <f t="shared" ref="AB8:AB40" si="4">D8/H8</f>
        <v>#DIV/0!</v>
      </c>
      <c r="AC8" s="1102" t="e">
        <f t="shared" ref="AC8:AC40" si="5">D8/J8</f>
        <v>#DIV/0!</v>
      </c>
    </row>
    <row r="9" spans="1:29" s="880" customFormat="1">
      <c r="A9" s="913" t="s">
        <v>1371</v>
      </c>
      <c r="B9" s="914" t="s">
        <v>1372</v>
      </c>
      <c r="C9" s="915"/>
      <c r="D9" s="916">
        <v>100</v>
      </c>
      <c r="E9" s="915"/>
      <c r="F9" s="916">
        <f>SUMIF(70:70,E9,71:71)-SUMIF(70:70,C9,71:71)+100</f>
        <v>100</v>
      </c>
      <c r="G9" s="915"/>
      <c r="H9" s="916">
        <f>SUMIF(70:70,G9,71:71)-SUMIF(70:70,C9,71:71)+100</f>
        <v>100</v>
      </c>
      <c r="I9" s="915"/>
      <c r="J9" s="916">
        <f>SUMIF(70:70,I9,71:71)-SUMIF(70:70,C9,71:71)+100</f>
        <v>100</v>
      </c>
      <c r="K9" s="1046"/>
      <c r="L9" s="1047"/>
      <c r="M9" s="1048"/>
      <c r="N9" s="1048"/>
      <c r="O9" s="1049"/>
      <c r="P9" s="3276" t="s">
        <v>1373</v>
      </c>
      <c r="Q9" s="1092" t="str">
        <f t="shared" ref="Q9:Q15" si="6">B9</f>
        <v>用途</v>
      </c>
      <c r="R9" s="1088" t="s">
        <v>1367</v>
      </c>
      <c r="S9" s="1089">
        <f t="shared" si="0"/>
        <v>100</v>
      </c>
      <c r="T9" s="1088" t="s">
        <v>1367</v>
      </c>
      <c r="U9" s="1089">
        <f t="shared" si="1"/>
        <v>100</v>
      </c>
      <c r="V9" s="1088" t="s">
        <v>1367</v>
      </c>
      <c r="W9" s="1089">
        <f t="shared" si="2"/>
        <v>100</v>
      </c>
      <c r="X9" s="1090"/>
      <c r="Y9" s="3179" t="s">
        <v>1374</v>
      </c>
      <c r="Z9" s="1103" t="str">
        <f t="shared" ref="Z9:Z15" si="7">Q9</f>
        <v>用途</v>
      </c>
      <c r="AA9" s="1102">
        <f t="shared" si="3"/>
        <v>1</v>
      </c>
      <c r="AB9" s="1102">
        <f t="shared" si="4"/>
        <v>1</v>
      </c>
      <c r="AC9" s="1102">
        <f t="shared" si="5"/>
        <v>1</v>
      </c>
    </row>
    <row r="10" spans="1:29" s="881" customFormat="1" ht="27">
      <c r="A10" s="917"/>
      <c r="B10" s="918" t="s">
        <v>1375</v>
      </c>
      <c r="C10" s="919"/>
      <c r="D10" s="920">
        <v>100</v>
      </c>
      <c r="E10" s="919"/>
      <c r="F10" s="920">
        <f>ROUND(100/'数据-取费表'!G16,0)</f>
        <v>100</v>
      </c>
      <c r="G10" s="919"/>
      <c r="H10" s="920">
        <f>ROUND(100/'数据-取费表'!G16,0)</f>
        <v>100</v>
      </c>
      <c r="I10" s="919"/>
      <c r="J10" s="920">
        <f>ROUND(100/'数据-取费表'!G16,0)</f>
        <v>100</v>
      </c>
      <c r="K10" s="1050"/>
      <c r="L10" s="1051"/>
      <c r="M10" s="1052"/>
      <c r="N10" s="1052"/>
      <c r="O10" s="1053"/>
      <c r="P10" s="3276"/>
      <c r="Q10" s="1092" t="str">
        <f t="shared" si="6"/>
        <v>土地使用年限（年）</v>
      </c>
      <c r="R10" s="1088" t="s">
        <v>1367</v>
      </c>
      <c r="S10" s="1089">
        <f t="shared" si="0"/>
        <v>100</v>
      </c>
      <c r="T10" s="1088" t="s">
        <v>1367</v>
      </c>
      <c r="U10" s="1089">
        <f t="shared" si="1"/>
        <v>100</v>
      </c>
      <c r="V10" s="1088" t="s">
        <v>1367</v>
      </c>
      <c r="W10" s="1089">
        <f t="shared" si="2"/>
        <v>100</v>
      </c>
      <c r="X10" s="1090"/>
      <c r="Y10" s="3179"/>
      <c r="Z10" s="1103" t="str">
        <f t="shared" si="7"/>
        <v>土地使用年限（年）</v>
      </c>
      <c r="AA10" s="1102">
        <f t="shared" si="3"/>
        <v>1</v>
      </c>
      <c r="AB10" s="1102">
        <f t="shared" si="4"/>
        <v>1</v>
      </c>
      <c r="AC10" s="1102">
        <f t="shared" si="5"/>
        <v>1</v>
      </c>
    </row>
    <row r="11" spans="1:29" ht="15">
      <c r="A11" s="921"/>
      <c r="B11" s="918" t="s">
        <v>1376</v>
      </c>
      <c r="C11" s="922"/>
      <c r="D11" s="920">
        <v>100</v>
      </c>
      <c r="E11" s="922"/>
      <c r="F11" s="920" t="e">
        <f>LOOKUP(E11,75:75,76:76)-LOOKUP(C11,75:75,76:76)+100</f>
        <v>#N/A</v>
      </c>
      <c r="G11" s="923"/>
      <c r="H11" s="920" t="e">
        <f>LOOKUP(G11,75:75,76:76)-LOOKUP(C11,75:75,76:76)+100</f>
        <v>#N/A</v>
      </c>
      <c r="I11" s="922"/>
      <c r="J11" s="920" t="e">
        <f>LOOKUP(I11,75:75,76:76)-LOOKUP(C11,75:75,76:76)+100</f>
        <v>#N/A</v>
      </c>
      <c r="K11" s="1054"/>
      <c r="L11" s="1055"/>
      <c r="M11" s="1045"/>
      <c r="N11" s="1045"/>
      <c r="O11" s="1056"/>
      <c r="P11" s="3276"/>
      <c r="Q11" s="1092" t="str">
        <f t="shared" si="6"/>
        <v>容积率</v>
      </c>
      <c r="R11" s="1088" t="s">
        <v>1367</v>
      </c>
      <c r="S11" s="1089" t="e">
        <f t="shared" si="0"/>
        <v>#N/A</v>
      </c>
      <c r="T11" s="1088" t="s">
        <v>1367</v>
      </c>
      <c r="U11" s="1089" t="e">
        <f t="shared" si="1"/>
        <v>#N/A</v>
      </c>
      <c r="V11" s="1088" t="s">
        <v>1367</v>
      </c>
      <c r="W11" s="1089" t="e">
        <f t="shared" si="2"/>
        <v>#N/A</v>
      </c>
      <c r="X11" s="1090"/>
      <c r="Y11" s="3179"/>
      <c r="Z11" s="1103" t="str">
        <f t="shared" si="7"/>
        <v>容积率</v>
      </c>
      <c r="AA11" s="1102" t="e">
        <f t="shared" si="3"/>
        <v>#N/A</v>
      </c>
      <c r="AB11" s="1102" t="e">
        <f t="shared" si="4"/>
        <v>#N/A</v>
      </c>
      <c r="AC11" s="1102" t="e">
        <f t="shared" si="5"/>
        <v>#N/A</v>
      </c>
    </row>
    <row r="12" spans="1:29" s="880" customFormat="1" ht="15">
      <c r="A12" s="924"/>
      <c r="B12" s="925">
        <v>111</v>
      </c>
      <c r="C12" s="919"/>
      <c r="D12" s="926">
        <v>100</v>
      </c>
      <c r="E12" s="927"/>
      <c r="F12" s="920">
        <f>SUMIF(77:77,E12,78:78)-SUMIF(77:77,C12,78:78)+100</f>
        <v>100</v>
      </c>
      <c r="G12" s="928"/>
      <c r="H12" s="920">
        <f>SUMIF(77:77,G12,78:78)-SUMIF(77:77,C12,78:78)+100</f>
        <v>100</v>
      </c>
      <c r="I12" s="927"/>
      <c r="J12" s="920">
        <f>SUMIF(77:77,I12,78:78)-SUMIF(77:77,C12,78:78)+100</f>
        <v>100</v>
      </c>
      <c r="K12" s="1050"/>
      <c r="L12" s="1047"/>
      <c r="M12" s="1048"/>
      <c r="N12" s="1048"/>
      <c r="O12" s="1049"/>
      <c r="P12" s="3276"/>
      <c r="Q12" s="1092">
        <f t="shared" si="6"/>
        <v>111</v>
      </c>
      <c r="R12" s="1088" t="s">
        <v>1367</v>
      </c>
      <c r="S12" s="1089">
        <f t="shared" si="0"/>
        <v>100</v>
      </c>
      <c r="T12" s="1088" t="s">
        <v>1367</v>
      </c>
      <c r="U12" s="1089">
        <f t="shared" si="1"/>
        <v>100</v>
      </c>
      <c r="V12" s="1088" t="s">
        <v>1367</v>
      </c>
      <c r="W12" s="1089">
        <f t="shared" si="2"/>
        <v>100</v>
      </c>
      <c r="X12" s="1090"/>
      <c r="Y12" s="3179"/>
      <c r="Z12" s="1103">
        <f t="shared" si="7"/>
        <v>111</v>
      </c>
      <c r="AA12" s="1102">
        <f t="shared" si="3"/>
        <v>1</v>
      </c>
      <c r="AB12" s="1102">
        <f t="shared" si="4"/>
        <v>1</v>
      </c>
      <c r="AC12" s="1102">
        <f t="shared" si="5"/>
        <v>1</v>
      </c>
    </row>
    <row r="13" spans="1:29" ht="15">
      <c r="A13" s="921"/>
      <c r="B13" s="925">
        <v>111</v>
      </c>
      <c r="C13" s="929"/>
      <c r="D13" s="930">
        <v>100</v>
      </c>
      <c r="E13" s="927"/>
      <c r="F13" s="920">
        <f>SUMIF(79:79,E13,80:80)-SUMIF(79:79,C13,80:80)+100</f>
        <v>100</v>
      </c>
      <c r="G13" s="928"/>
      <c r="H13" s="930">
        <f>SUMIF(79:79,G13,80:80)-SUMIF(79:79,C13,80:80)+100</f>
        <v>100</v>
      </c>
      <c r="I13" s="927"/>
      <c r="J13" s="930">
        <f>SUMIF(79:79,I13,80:80)-SUMIF(79:79,C13,80:80)+100</f>
        <v>100</v>
      </c>
      <c r="K13" s="1050"/>
      <c r="L13" s="1057"/>
      <c r="M13" s="1045"/>
      <c r="N13" s="1045"/>
      <c r="O13" s="1056"/>
      <c r="P13" s="3276"/>
      <c r="Q13" s="1092">
        <f t="shared" si="6"/>
        <v>111</v>
      </c>
      <c r="R13" s="1088" t="s">
        <v>1367</v>
      </c>
      <c r="S13" s="1089">
        <f t="shared" si="0"/>
        <v>100</v>
      </c>
      <c r="T13" s="1088" t="s">
        <v>1367</v>
      </c>
      <c r="U13" s="1089">
        <f t="shared" si="1"/>
        <v>100</v>
      </c>
      <c r="V13" s="1088" t="s">
        <v>1367</v>
      </c>
      <c r="W13" s="1089">
        <f t="shared" si="2"/>
        <v>100</v>
      </c>
      <c r="X13" s="1090"/>
      <c r="Y13" s="3179"/>
      <c r="Z13" s="1103">
        <f t="shared" si="7"/>
        <v>111</v>
      </c>
      <c r="AA13" s="1102">
        <f t="shared" si="3"/>
        <v>1</v>
      </c>
      <c r="AB13" s="1102">
        <f t="shared" si="4"/>
        <v>1</v>
      </c>
      <c r="AC13" s="1102">
        <f t="shared" si="5"/>
        <v>1</v>
      </c>
    </row>
    <row r="14" spans="1:29" ht="15">
      <c r="A14" s="931"/>
      <c r="B14" s="932">
        <v>111</v>
      </c>
      <c r="C14" s="933"/>
      <c r="D14" s="934">
        <v>100</v>
      </c>
      <c r="E14" s="927"/>
      <c r="F14" s="934">
        <f>SUMIF(81:81,E14,82:82)-SUMIF(81:81,C14,82:82)+100</f>
        <v>100</v>
      </c>
      <c r="G14" s="928"/>
      <c r="H14" s="934">
        <f>SUMIF(81:81,G14,82:82)-SUMIF(81:81,C14,82:82)+100</f>
        <v>100</v>
      </c>
      <c r="I14" s="927"/>
      <c r="J14" s="934">
        <f>SUMIF(81:81,I14,82:82)-SUMIF(81:81,C14,82:82)+100</f>
        <v>100</v>
      </c>
      <c r="K14" s="1050"/>
      <c r="L14" s="1057"/>
      <c r="M14" s="1045"/>
      <c r="N14" s="1045"/>
      <c r="O14" s="1056"/>
      <c r="P14" s="3276"/>
      <c r="Q14" s="1092">
        <f t="shared" si="6"/>
        <v>111</v>
      </c>
      <c r="R14" s="1088" t="s">
        <v>1367</v>
      </c>
      <c r="S14" s="1089">
        <f t="shared" si="0"/>
        <v>100</v>
      </c>
      <c r="T14" s="1088" t="s">
        <v>1367</v>
      </c>
      <c r="U14" s="1089">
        <f t="shared" si="1"/>
        <v>100</v>
      </c>
      <c r="V14" s="1088" t="s">
        <v>1367</v>
      </c>
      <c r="W14" s="1089">
        <f t="shared" si="2"/>
        <v>100</v>
      </c>
      <c r="X14" s="1090"/>
      <c r="Y14" s="3179"/>
      <c r="Z14" s="1103">
        <f t="shared" si="7"/>
        <v>111</v>
      </c>
      <c r="AA14" s="1102">
        <f t="shared" si="3"/>
        <v>1</v>
      </c>
      <c r="AB14" s="1102">
        <f t="shared" si="4"/>
        <v>1</v>
      </c>
      <c r="AC14" s="1102">
        <f t="shared" si="5"/>
        <v>1</v>
      </c>
    </row>
    <row r="15" spans="1:29" ht="57">
      <c r="A15" s="935" t="s">
        <v>1377</v>
      </c>
      <c r="B15" s="936" t="s">
        <v>1467</v>
      </c>
      <c r="C15" s="937" t="str">
        <f>估价对象房地状况!G15</f>
        <v>估价对象位于XX开发区，园区建设成熟度XX，产业集聚程度XX</v>
      </c>
      <c r="D15" s="938">
        <v>100</v>
      </c>
      <c r="E15" s="939"/>
      <c r="F15" s="938">
        <f>SUMIF(83:83,E16,84:84)-SUMIF(83:83,C16,84:84)+100</f>
        <v>100</v>
      </c>
      <c r="G15" s="939"/>
      <c r="H15" s="938">
        <f>SUMIF(83:83,G16,84:84)-SUMIF(83:83,C16,84:84)+100</f>
        <v>100</v>
      </c>
      <c r="I15" s="1058"/>
      <c r="J15" s="938">
        <f>SUMIF(83:83,I16,84:84)-SUMIF(83:83,C16,84:84)+100</f>
        <v>100</v>
      </c>
      <c r="K15" s="1054"/>
      <c r="L15" s="1057"/>
      <c r="M15" s="1045"/>
      <c r="N15" s="1045"/>
      <c r="O15" s="1056"/>
      <c r="P15" s="3293" t="s">
        <v>1379</v>
      </c>
      <c r="Q15" s="656" t="str">
        <f t="shared" si="6"/>
        <v>产业集聚程度</v>
      </c>
      <c r="R15" s="1093" t="s">
        <v>1367</v>
      </c>
      <c r="S15" s="1094">
        <f t="shared" si="0"/>
        <v>100</v>
      </c>
      <c r="T15" s="1093" t="s">
        <v>1367</v>
      </c>
      <c r="U15" s="1094">
        <f t="shared" si="1"/>
        <v>100</v>
      </c>
      <c r="V15" s="1093" t="s">
        <v>1367</v>
      </c>
      <c r="W15" s="1094">
        <f t="shared" si="2"/>
        <v>100</v>
      </c>
      <c r="X15" s="1087"/>
      <c r="Y15" s="3293" t="s">
        <v>1379</v>
      </c>
      <c r="Z15" s="1077" t="str">
        <f t="shared" si="7"/>
        <v>产业集聚程度</v>
      </c>
      <c r="AA15" s="1104">
        <f t="shared" si="3"/>
        <v>1</v>
      </c>
      <c r="AB15" s="1104">
        <f t="shared" si="4"/>
        <v>1</v>
      </c>
      <c r="AC15" s="1104">
        <f t="shared" si="5"/>
        <v>1</v>
      </c>
    </row>
    <row r="16" spans="1:29" ht="15">
      <c r="A16" s="921"/>
      <c r="B16" s="940"/>
      <c r="C16" s="941"/>
      <c r="D16" s="942"/>
      <c r="E16" s="943"/>
      <c r="F16" s="942"/>
      <c r="G16" s="943"/>
      <c r="H16" s="944"/>
      <c r="I16" s="943"/>
      <c r="J16" s="942"/>
      <c r="K16" s="1050"/>
      <c r="L16" s="1057"/>
      <c r="M16" s="1045"/>
      <c r="N16" s="1045"/>
      <c r="O16" s="1056"/>
      <c r="P16" s="3294"/>
      <c r="Q16" s="656"/>
      <c r="R16" s="1093"/>
      <c r="S16" s="1094"/>
      <c r="T16" s="1093"/>
      <c r="U16" s="1094"/>
      <c r="V16" s="1093"/>
      <c r="W16" s="1094"/>
      <c r="X16" s="1087"/>
      <c r="Y16" s="3294"/>
      <c r="Z16" s="1077"/>
      <c r="AA16" s="1104">
        <v>1</v>
      </c>
      <c r="AB16" s="1104">
        <v>1</v>
      </c>
      <c r="AC16" s="1104">
        <v>1</v>
      </c>
    </row>
    <row r="17" spans="1:29" ht="85.5">
      <c r="A17" s="921"/>
      <c r="B17" s="945" t="s">
        <v>1380</v>
      </c>
      <c r="C17" s="946" t="str">
        <f>估价对象房地状况!G16</f>
        <v>估价对象周边道路状况、公共交通通达情况、停车便捷程度，综合评价交通便捷度较好</v>
      </c>
      <c r="D17" s="944">
        <v>100</v>
      </c>
      <c r="E17" s="947"/>
      <c r="F17" s="948">
        <f>SUMIF(85:85,E18,86:86)-SUMIF(85:85,C18,86:86)+100</f>
        <v>100</v>
      </c>
      <c r="G17" s="947"/>
      <c r="H17" s="948">
        <f>SUMIF(85:85,G18,86:86)-SUMIF(85:85,C18,86:86)+100</f>
        <v>100</v>
      </c>
      <c r="I17" s="1059"/>
      <c r="J17" s="944">
        <f>SUMIF(85:85,I18,86:86)-SUMIF(85:85,C18,86:86)+100</f>
        <v>100</v>
      </c>
      <c r="K17" s="1054"/>
      <c r="L17" s="1057"/>
      <c r="M17" s="1045"/>
      <c r="N17" s="1045"/>
      <c r="O17" s="1056"/>
      <c r="P17" s="3294"/>
      <c r="Q17" s="656" t="str">
        <f>B17</f>
        <v>交通便捷度</v>
      </c>
      <c r="R17" s="1093" t="s">
        <v>1367</v>
      </c>
      <c r="S17" s="1094">
        <f>F17</f>
        <v>100</v>
      </c>
      <c r="T17" s="1093" t="s">
        <v>1367</v>
      </c>
      <c r="U17" s="1094">
        <f>H17</f>
        <v>100</v>
      </c>
      <c r="V17" s="1093" t="s">
        <v>1367</v>
      </c>
      <c r="W17" s="1094">
        <f>J17</f>
        <v>100</v>
      </c>
      <c r="X17" s="1087"/>
      <c r="Y17" s="3294"/>
      <c r="Z17" s="1077" t="str">
        <f>Q17</f>
        <v>交通便捷度</v>
      </c>
      <c r="AA17" s="1104">
        <f t="shared" si="3"/>
        <v>1</v>
      </c>
      <c r="AB17" s="1104">
        <f t="shared" si="4"/>
        <v>1</v>
      </c>
      <c r="AC17" s="1104">
        <f t="shared" si="5"/>
        <v>1</v>
      </c>
    </row>
    <row r="18" spans="1:29" ht="15">
      <c r="A18" s="921"/>
      <c r="B18" s="949"/>
      <c r="C18" s="941"/>
      <c r="D18" s="942"/>
      <c r="E18" s="950"/>
      <c r="F18" s="942"/>
      <c r="G18" s="950"/>
      <c r="H18" s="942"/>
      <c r="I18" s="1060"/>
      <c r="J18" s="942"/>
      <c r="K18" s="1050"/>
      <c r="L18" s="1057"/>
      <c r="M18" s="1045"/>
      <c r="N18" s="1045"/>
      <c r="O18" s="1056"/>
      <c r="P18" s="3294"/>
      <c r="Q18" s="656"/>
      <c r="R18" s="1093"/>
      <c r="S18" s="1094"/>
      <c r="T18" s="1093"/>
      <c r="U18" s="1094"/>
      <c r="V18" s="1093"/>
      <c r="W18" s="1094"/>
      <c r="X18" s="1087"/>
      <c r="Y18" s="3294"/>
      <c r="Z18" s="1077"/>
      <c r="AA18" s="1104">
        <v>1</v>
      </c>
      <c r="AB18" s="1104">
        <v>1</v>
      </c>
      <c r="AC18" s="1104">
        <v>1</v>
      </c>
    </row>
    <row r="19" spans="1:29" ht="15">
      <c r="A19" s="921"/>
      <c r="B19" s="945" t="s">
        <v>1500</v>
      </c>
      <c r="C19" s="946">
        <f>估价对象房地状况!G17</f>
        <v>0</v>
      </c>
      <c r="D19" s="944">
        <v>100</v>
      </c>
      <c r="E19" s="947"/>
      <c r="F19" s="948">
        <f>SUMIF(87:87,E20,88:88)-SUMIF(87:87,C20,88:88)+100</f>
        <v>100</v>
      </c>
      <c r="G19" s="947"/>
      <c r="H19" s="948">
        <f>SUMIF(87:87,G20,88:88)-SUMIF(87:87,C20,88:88)+100</f>
        <v>100</v>
      </c>
      <c r="I19" s="947"/>
      <c r="J19" s="948">
        <f>SUMIF(87:87,I20,88:88)-SUMIF(87:87,C20,88:88)+100</f>
        <v>100</v>
      </c>
      <c r="K19" s="1054"/>
      <c r="L19" s="1057"/>
      <c r="M19" s="1045"/>
      <c r="N19" s="1045"/>
      <c r="O19" s="1056"/>
      <c r="P19" s="3294"/>
      <c r="Q19" s="656" t="str">
        <f t="shared" ref="Q19:Q34" si="8">B19</f>
        <v>区域土地利用方向</v>
      </c>
      <c r="R19" s="1093" t="s">
        <v>1367</v>
      </c>
      <c r="S19" s="1094">
        <f>F19</f>
        <v>100</v>
      </c>
      <c r="T19" s="1093" t="s">
        <v>1367</v>
      </c>
      <c r="U19" s="1094">
        <f>H19</f>
        <v>100</v>
      </c>
      <c r="V19" s="1093" t="s">
        <v>1367</v>
      </c>
      <c r="W19" s="1094">
        <f>J19</f>
        <v>100</v>
      </c>
      <c r="X19" s="1087"/>
      <c r="Y19" s="3294"/>
      <c r="Z19" s="1077" t="str">
        <f>Q19</f>
        <v>区域土地利用方向</v>
      </c>
      <c r="AA19" s="1104">
        <f t="shared" si="3"/>
        <v>1</v>
      </c>
      <c r="AB19" s="1104">
        <f t="shared" si="4"/>
        <v>1</v>
      </c>
      <c r="AC19" s="1104">
        <f t="shared" si="5"/>
        <v>1</v>
      </c>
    </row>
    <row r="20" spans="1:29" ht="15">
      <c r="A20" s="901"/>
      <c r="B20" s="949"/>
      <c r="C20" s="941"/>
      <c r="D20" s="942"/>
      <c r="E20" s="950"/>
      <c r="F20" s="942"/>
      <c r="G20" s="950"/>
      <c r="H20" s="942"/>
      <c r="I20" s="950"/>
      <c r="J20" s="942"/>
      <c r="K20" s="1061"/>
      <c r="L20" s="1057"/>
      <c r="M20" s="1045"/>
      <c r="N20" s="1045"/>
      <c r="O20" s="1056"/>
      <c r="P20" s="3294"/>
      <c r="Q20" s="656"/>
      <c r="R20" s="1093"/>
      <c r="S20" s="1094"/>
      <c r="T20" s="1093"/>
      <c r="U20" s="1094"/>
      <c r="V20" s="1093"/>
      <c r="W20" s="1094"/>
      <c r="X20" s="1087"/>
      <c r="Y20" s="3294"/>
      <c r="Z20" s="1077"/>
      <c r="AA20" s="1104"/>
      <c r="AB20" s="1104"/>
      <c r="AC20" s="1104"/>
    </row>
    <row r="21" spans="1:29" ht="71.25">
      <c r="A21" s="901"/>
      <c r="B21" s="945" t="s">
        <v>1542</v>
      </c>
      <c r="C21" s="946" t="str">
        <f>估价对象房地状况!G18</f>
        <v>该园区内是否有污染型企业，绿化情况，卫生条件，整体环境状况判断</v>
      </c>
      <c r="D21" s="944">
        <v>100</v>
      </c>
      <c r="E21" s="947"/>
      <c r="F21" s="944">
        <f>SUMIF(89:89,E22,90:90)-SUMIF(89:89,C22,90:90)+100</f>
        <v>100</v>
      </c>
      <c r="G21" s="947"/>
      <c r="H21" s="944">
        <f>SUMIF(89:89,G22,90:90)-SUMIF(89:89,C22,90:90)+100</f>
        <v>100</v>
      </c>
      <c r="I21" s="1059"/>
      <c r="J21" s="944">
        <f>SUMIF(89:89,I22,90:90)-SUMIF(89:89,C22,90:90)+100</f>
        <v>100</v>
      </c>
      <c r="K21" s="1054"/>
      <c r="L21" s="1057"/>
      <c r="M21" s="1045"/>
      <c r="N21" s="1045"/>
      <c r="O21" s="1056"/>
      <c r="P21" s="3294"/>
      <c r="Q21" s="656" t="str">
        <f t="shared" si="8"/>
        <v>环境状况</v>
      </c>
      <c r="R21" s="1093" t="s">
        <v>1367</v>
      </c>
      <c r="S21" s="1094">
        <f>F21</f>
        <v>100</v>
      </c>
      <c r="T21" s="1093" t="s">
        <v>1367</v>
      </c>
      <c r="U21" s="1094">
        <f>H21</f>
        <v>100</v>
      </c>
      <c r="V21" s="1093" t="s">
        <v>1367</v>
      </c>
      <c r="W21" s="1094">
        <f>J21</f>
        <v>100</v>
      </c>
      <c r="X21" s="1087"/>
      <c r="Y21" s="3294"/>
      <c r="Z21" s="1077" t="str">
        <f>Q21</f>
        <v>环境状况</v>
      </c>
      <c r="AA21" s="1104">
        <f t="shared" si="3"/>
        <v>1</v>
      </c>
      <c r="AB21" s="1104">
        <f t="shared" si="4"/>
        <v>1</v>
      </c>
      <c r="AC21" s="1104">
        <f t="shared" si="5"/>
        <v>1</v>
      </c>
    </row>
    <row r="22" spans="1:29" ht="15">
      <c r="A22" s="901"/>
      <c r="B22" s="949"/>
      <c r="C22" s="941"/>
      <c r="D22" s="942"/>
      <c r="E22" s="943"/>
      <c r="F22" s="942"/>
      <c r="G22" s="943"/>
      <c r="H22" s="942"/>
      <c r="I22" s="941"/>
      <c r="J22" s="942"/>
      <c r="K22" s="1050"/>
      <c r="L22" s="1057"/>
      <c r="M22" s="1045"/>
      <c r="N22" s="1045"/>
      <c r="O22" s="1056"/>
      <c r="P22" s="3294"/>
      <c r="Q22" s="656"/>
      <c r="R22" s="1093"/>
      <c r="S22" s="1094"/>
      <c r="T22" s="1093"/>
      <c r="U22" s="1094"/>
      <c r="V22" s="1093"/>
      <c r="W22" s="1094"/>
      <c r="X22" s="1087"/>
      <c r="Y22" s="3294"/>
      <c r="Z22" s="1077"/>
      <c r="AA22" s="1104">
        <v>1</v>
      </c>
      <c r="AB22" s="1104">
        <v>1</v>
      </c>
      <c r="AC22" s="1104">
        <v>1</v>
      </c>
    </row>
    <row r="23" spans="1:29" s="880" customFormat="1" ht="42.75">
      <c r="A23" s="951"/>
      <c r="B23" s="952" t="s">
        <v>1381</v>
      </c>
      <c r="C23" s="946" t="str">
        <f>估价对象房地状况!G19</f>
        <v>估价对象所在区域公共配套设施齐备情况</v>
      </c>
      <c r="D23" s="944">
        <v>100</v>
      </c>
      <c r="E23" s="947"/>
      <c r="F23" s="944">
        <f>SUMIF(91:91,E24,92:92)-SUMIF(91:91,C24,92:92)+100</f>
        <v>100</v>
      </c>
      <c r="G23" s="947"/>
      <c r="H23" s="944">
        <f>SUMIF(91:91,G24,92:92)-SUMIF(91:91,C24,92:92)+100</f>
        <v>100</v>
      </c>
      <c r="I23" s="1059"/>
      <c r="J23" s="944">
        <f>SUMIF(91:91,I24,92:92)-SUMIF(91:91,C24,92:92)+100</f>
        <v>100</v>
      </c>
      <c r="K23" s="1054"/>
      <c r="L23" s="1047"/>
      <c r="M23" s="1048"/>
      <c r="N23" s="1048"/>
      <c r="O23" s="1049"/>
      <c r="P23" s="3294"/>
      <c r="Q23" s="1092" t="str">
        <f t="shared" si="8"/>
        <v>公共配套设施</v>
      </c>
      <c r="R23" s="1088" t="s">
        <v>1367</v>
      </c>
      <c r="S23" s="1089">
        <f>F23</f>
        <v>100</v>
      </c>
      <c r="T23" s="1088" t="s">
        <v>1367</v>
      </c>
      <c r="U23" s="1089">
        <f>H23</f>
        <v>100</v>
      </c>
      <c r="V23" s="1088" t="s">
        <v>1367</v>
      </c>
      <c r="W23" s="1089">
        <f>J23</f>
        <v>100</v>
      </c>
      <c r="X23" s="1090"/>
      <c r="Y23" s="3294"/>
      <c r="Z23" s="1103" t="str">
        <f>Q23</f>
        <v>公共配套设施</v>
      </c>
      <c r="AA23" s="1104">
        <f>D23/F23</f>
        <v>1</v>
      </c>
      <c r="AB23" s="1104">
        <f>D23/H23</f>
        <v>1</v>
      </c>
      <c r="AC23" s="1104">
        <f>D23/J23</f>
        <v>1</v>
      </c>
    </row>
    <row r="24" spans="1:29" s="880" customFormat="1" ht="15">
      <c r="A24" s="951"/>
      <c r="B24" s="949"/>
      <c r="C24" s="953"/>
      <c r="D24" s="942"/>
      <c r="E24" s="943"/>
      <c r="F24" s="942"/>
      <c r="G24" s="943"/>
      <c r="H24" s="942"/>
      <c r="I24" s="941"/>
      <c r="J24" s="942"/>
      <c r="K24" s="1050"/>
      <c r="L24" s="1047"/>
      <c r="M24" s="1048"/>
      <c r="N24" s="1048"/>
      <c r="O24" s="1049"/>
      <c r="P24" s="3294"/>
      <c r="Q24" s="1092"/>
      <c r="R24" s="1088"/>
      <c r="S24" s="1089"/>
      <c r="T24" s="1088"/>
      <c r="U24" s="1089"/>
      <c r="V24" s="1088"/>
      <c r="W24" s="1089"/>
      <c r="X24" s="1090"/>
      <c r="Y24" s="3294"/>
      <c r="Z24" s="1103"/>
      <c r="AA24" s="1102">
        <v>1</v>
      </c>
      <c r="AB24" s="1102">
        <v>1</v>
      </c>
      <c r="AC24" s="1102">
        <v>1</v>
      </c>
    </row>
    <row r="25" spans="1:29" s="880" customFormat="1" ht="28.5">
      <c r="A25" s="951"/>
      <c r="B25" s="952" t="s">
        <v>1382</v>
      </c>
      <c r="C25" s="946" t="str">
        <f>估价对象房地状况!G20</f>
        <v>估价对象所在区域基础设施水平</v>
      </c>
      <c r="D25" s="944">
        <v>100</v>
      </c>
      <c r="E25" s="947"/>
      <c r="F25" s="944">
        <f>SUMIF(93:93,E26,94:94)-SUMIF(93:93,C26,94:94)+100</f>
        <v>100</v>
      </c>
      <c r="G25" s="947"/>
      <c r="H25" s="944">
        <f>SUMIF(93:93,G26,94:94)-SUMIF(93:93,C26,94:94)+100</f>
        <v>100</v>
      </c>
      <c r="I25" s="1059"/>
      <c r="J25" s="944">
        <f>SUMIF(93:93,I26,94:94)-SUMIF(93:93,C26,94:94)+100</f>
        <v>100</v>
      </c>
      <c r="K25" s="1054"/>
      <c r="L25" s="1047"/>
      <c r="M25" s="1048"/>
      <c r="N25" s="1048"/>
      <c r="O25" s="1049"/>
      <c r="P25" s="3294"/>
      <c r="Q25" s="1092" t="str">
        <f>B25</f>
        <v>基础设施水平</v>
      </c>
      <c r="R25" s="1088" t="s">
        <v>1367</v>
      </c>
      <c r="S25" s="1089">
        <f>F25</f>
        <v>100</v>
      </c>
      <c r="T25" s="1088" t="s">
        <v>1367</v>
      </c>
      <c r="U25" s="1089">
        <f>H25</f>
        <v>100</v>
      </c>
      <c r="V25" s="1088" t="s">
        <v>1367</v>
      </c>
      <c r="W25" s="1089">
        <f>J25</f>
        <v>100</v>
      </c>
      <c r="X25" s="1090"/>
      <c r="Y25" s="3294"/>
      <c r="Z25" s="1103" t="str">
        <f>Q25</f>
        <v>基础设施水平</v>
      </c>
      <c r="AA25" s="1104">
        <f>D25/F25</f>
        <v>1</v>
      </c>
      <c r="AB25" s="1104">
        <f>D25/H25</f>
        <v>1</v>
      </c>
      <c r="AC25" s="1104">
        <f>D25/J25</f>
        <v>1</v>
      </c>
    </row>
    <row r="26" spans="1:29" s="880" customFormat="1" ht="15">
      <c r="A26" s="951"/>
      <c r="B26" s="949"/>
      <c r="C26" s="953"/>
      <c r="D26" s="942"/>
      <c r="E26" s="954"/>
      <c r="F26" s="942"/>
      <c r="G26" s="954"/>
      <c r="H26" s="942"/>
      <c r="I26" s="954"/>
      <c r="J26" s="942"/>
      <c r="K26" s="1050"/>
      <c r="L26" s="1047"/>
      <c r="M26" s="1048"/>
      <c r="N26" s="1048"/>
      <c r="O26" s="1049"/>
      <c r="P26" s="3294"/>
      <c r="Q26" s="1092"/>
      <c r="R26" s="1088"/>
      <c r="S26" s="1089"/>
      <c r="T26" s="1088"/>
      <c r="U26" s="1089"/>
      <c r="V26" s="1088"/>
      <c r="W26" s="1089"/>
      <c r="X26" s="1090"/>
      <c r="Y26" s="3294"/>
      <c r="Z26" s="1103"/>
      <c r="AA26" s="1102">
        <v>1</v>
      </c>
      <c r="AB26" s="1102">
        <v>1</v>
      </c>
      <c r="AC26" s="1102">
        <v>1</v>
      </c>
    </row>
    <row r="27" spans="1:29" ht="15">
      <c r="A27" s="921"/>
      <c r="B27" s="949" t="s">
        <v>1448</v>
      </c>
      <c r="C27" s="955"/>
      <c r="D27" s="930">
        <v>100</v>
      </c>
      <c r="E27" s="956"/>
      <c r="F27" s="930">
        <f>SUMIF(95:95,E27,96:96)-SUMIF(95:95,C27,96:96)+100</f>
        <v>100</v>
      </c>
      <c r="G27" s="956"/>
      <c r="H27" s="930">
        <f>SUMIF(95:95,G27,96:96)-SUMIF(95:95,C27,96:96)+100</f>
        <v>100</v>
      </c>
      <c r="I27" s="956"/>
      <c r="J27" s="930">
        <f>SUMIF(95:95,I27,96:96)-SUMIF(95:95,C27,96:96)+100</f>
        <v>100</v>
      </c>
      <c r="K27" s="1054"/>
      <c r="L27" s="1057"/>
      <c r="M27" s="1045"/>
      <c r="N27" s="1045"/>
      <c r="O27" s="1056"/>
      <c r="P27" s="3294"/>
      <c r="Q27" s="656" t="str">
        <f t="shared" si="8"/>
        <v>临街状况</v>
      </c>
      <c r="R27" s="1093" t="s">
        <v>1367</v>
      </c>
      <c r="S27" s="1094">
        <f t="shared" ref="S27:S40" si="9">F27</f>
        <v>100</v>
      </c>
      <c r="T27" s="1093" t="s">
        <v>1367</v>
      </c>
      <c r="U27" s="1094">
        <f t="shared" ref="U27:U40" si="10">H27</f>
        <v>100</v>
      </c>
      <c r="V27" s="1093" t="s">
        <v>1367</v>
      </c>
      <c r="W27" s="1094">
        <f t="shared" ref="W27:W40" si="11">J27</f>
        <v>100</v>
      </c>
      <c r="X27" s="1087"/>
      <c r="Y27" s="3294"/>
      <c r="Z27" s="1077" t="str">
        <f t="shared" ref="Z27:Z40" si="12">Q27</f>
        <v>临街状况</v>
      </c>
      <c r="AA27" s="1104">
        <f t="shared" si="3"/>
        <v>1</v>
      </c>
      <c r="AB27" s="1104">
        <f t="shared" si="4"/>
        <v>1</v>
      </c>
      <c r="AC27" s="1104">
        <f t="shared" si="5"/>
        <v>1</v>
      </c>
    </row>
    <row r="28" spans="1:29" ht="27">
      <c r="A28" s="921"/>
      <c r="B28" s="952" t="s">
        <v>1462</v>
      </c>
      <c r="C28" s="957">
        <f>估价对象房地状况!G22</f>
        <v>0</v>
      </c>
      <c r="D28" s="944">
        <v>100</v>
      </c>
      <c r="E28" s="947"/>
      <c r="F28" s="944">
        <f>SUMIF(97:97,E29,98:98)-SUMIF(97:97,C29,98:98)+100</f>
        <v>100</v>
      </c>
      <c r="G28" s="947"/>
      <c r="H28" s="944">
        <f>SUMIF(97:97,G29,98:98)-SUMIF(97:97,C29,98:98)+100</f>
        <v>100</v>
      </c>
      <c r="I28" s="1059"/>
      <c r="J28" s="944">
        <f>SUMIF(97:97,I29,98:98)-SUMIF(97:97,C29,98:98)+100</f>
        <v>100</v>
      </c>
      <c r="K28" s="1054"/>
      <c r="L28" s="1057"/>
      <c r="M28" s="1045"/>
      <c r="N28" s="1045"/>
      <c r="O28" s="1056"/>
      <c r="P28" s="3294"/>
      <c r="Q28" s="656" t="str">
        <f t="shared" si="8"/>
        <v>毗邻道路的类型与等级</v>
      </c>
      <c r="R28" s="1093" t="s">
        <v>1367</v>
      </c>
      <c r="S28" s="1094">
        <f t="shared" si="9"/>
        <v>100</v>
      </c>
      <c r="T28" s="1093" t="s">
        <v>1367</v>
      </c>
      <c r="U28" s="1094">
        <f t="shared" si="10"/>
        <v>100</v>
      </c>
      <c r="V28" s="1093" t="s">
        <v>1367</v>
      </c>
      <c r="W28" s="1094">
        <f t="shared" si="11"/>
        <v>100</v>
      </c>
      <c r="X28" s="1087"/>
      <c r="Y28" s="3294"/>
      <c r="Z28" s="1077" t="str">
        <f t="shared" si="12"/>
        <v>毗邻道路的类型与等级</v>
      </c>
      <c r="AA28" s="1104">
        <f t="shared" si="3"/>
        <v>1</v>
      </c>
      <c r="AB28" s="1104">
        <f t="shared" si="4"/>
        <v>1</v>
      </c>
      <c r="AC28" s="1104">
        <f t="shared" si="5"/>
        <v>1</v>
      </c>
    </row>
    <row r="29" spans="1:29" ht="15">
      <c r="A29" s="921"/>
      <c r="B29" s="949"/>
      <c r="C29" s="941"/>
      <c r="D29" s="942"/>
      <c r="E29" s="943"/>
      <c r="F29" s="942"/>
      <c r="G29" s="943"/>
      <c r="H29" s="942"/>
      <c r="I29" s="943"/>
      <c r="J29" s="942"/>
      <c r="K29" s="1062"/>
      <c r="L29" s="1057"/>
      <c r="M29" s="1045"/>
      <c r="N29" s="1045"/>
      <c r="O29" s="1056"/>
      <c r="P29" s="3294"/>
      <c r="Q29" s="656"/>
      <c r="R29" s="1093"/>
      <c r="S29" s="1094"/>
      <c r="T29" s="1093"/>
      <c r="U29" s="1094"/>
      <c r="V29" s="1093"/>
      <c r="W29" s="1094"/>
      <c r="X29" s="1087"/>
      <c r="Y29" s="3294"/>
      <c r="Z29" s="1077"/>
      <c r="AA29" s="1104">
        <v>1</v>
      </c>
      <c r="AB29" s="1104">
        <v>1</v>
      </c>
      <c r="AC29" s="1104">
        <v>1</v>
      </c>
    </row>
    <row r="30" spans="1:29" ht="15">
      <c r="A30" s="921"/>
      <c r="B30" s="958" t="s">
        <v>1503</v>
      </c>
      <c r="C30" s="959">
        <f>估价对象房地状况!G23</f>
        <v>0</v>
      </c>
      <c r="D30" s="930">
        <v>100</v>
      </c>
      <c r="E30" s="956"/>
      <c r="F30" s="930">
        <f>SUMIF(99:99,E30,100:100)-SUMIF(99:99,C30,100:100)+100</f>
        <v>100</v>
      </c>
      <c r="G30" s="956"/>
      <c r="H30" s="930">
        <f>SUMIF(99:99,G30,100:100)-SUMIF(99:99,C30,100:100)+100</f>
        <v>100</v>
      </c>
      <c r="I30" s="956"/>
      <c r="J30" s="930">
        <f>SUMIF(99:99,I30,100:100)-SUMIF(99:99,C30,100:100)+100</f>
        <v>100</v>
      </c>
      <c r="K30" s="1063"/>
      <c r="L30" s="1057"/>
      <c r="M30" s="1045"/>
      <c r="N30" s="1045"/>
      <c r="O30" s="1056"/>
      <c r="P30" s="3294"/>
      <c r="Q30" s="656" t="str">
        <f t="shared" si="8"/>
        <v>土地级别</v>
      </c>
      <c r="R30" s="1093" t="s">
        <v>1367</v>
      </c>
      <c r="S30" s="1094">
        <f t="shared" si="9"/>
        <v>100</v>
      </c>
      <c r="T30" s="1093" t="s">
        <v>1367</v>
      </c>
      <c r="U30" s="1094">
        <f t="shared" si="10"/>
        <v>100</v>
      </c>
      <c r="V30" s="1093" t="s">
        <v>1367</v>
      </c>
      <c r="W30" s="1094">
        <f t="shared" si="11"/>
        <v>100</v>
      </c>
      <c r="X30" s="1087"/>
      <c r="Y30" s="3294"/>
      <c r="Z30" s="1077" t="str">
        <f t="shared" si="12"/>
        <v>土地级别</v>
      </c>
      <c r="AA30" s="1104">
        <f t="shared" si="3"/>
        <v>1</v>
      </c>
      <c r="AB30" s="1104">
        <f t="shared" si="4"/>
        <v>1</v>
      </c>
      <c r="AC30" s="1104">
        <f t="shared" si="5"/>
        <v>1</v>
      </c>
    </row>
    <row r="31" spans="1:29" ht="15">
      <c r="A31" s="901"/>
      <c r="B31" s="960">
        <v>111</v>
      </c>
      <c r="C31" s="928"/>
      <c r="D31" s="930">
        <v>100</v>
      </c>
      <c r="E31" s="961"/>
      <c r="F31" s="930">
        <f>SUMIF(101:101,E31,102:102)-SUMIF(101:101,C31,102:102)+100</f>
        <v>100</v>
      </c>
      <c r="G31" s="961"/>
      <c r="H31" s="930">
        <f>SUMIF(101:101,G31,102:102)-SUMIF(101:101,C31,102:102)+100</f>
        <v>100</v>
      </c>
      <c r="I31" s="927"/>
      <c r="J31" s="930">
        <f>SUMIF(101:101,I31,102:102)-SUMIF(101:101,C31,102:102)+100</f>
        <v>100</v>
      </c>
      <c r="K31" s="1062"/>
      <c r="L31" s="1057"/>
      <c r="M31" s="1045"/>
      <c r="N31" s="1045"/>
      <c r="O31" s="1056"/>
      <c r="P31" s="3294"/>
      <c r="Q31" s="656">
        <f t="shared" si="8"/>
        <v>111</v>
      </c>
      <c r="R31" s="1093" t="s">
        <v>1367</v>
      </c>
      <c r="S31" s="1094">
        <f t="shared" si="9"/>
        <v>100</v>
      </c>
      <c r="T31" s="1093" t="s">
        <v>1367</v>
      </c>
      <c r="U31" s="1094">
        <f t="shared" si="10"/>
        <v>100</v>
      </c>
      <c r="V31" s="1093" t="s">
        <v>1367</v>
      </c>
      <c r="W31" s="1094">
        <f t="shared" si="11"/>
        <v>100</v>
      </c>
      <c r="X31" s="1087"/>
      <c r="Y31" s="3294"/>
      <c r="Z31" s="1077">
        <f t="shared" si="12"/>
        <v>111</v>
      </c>
      <c r="AA31" s="1104">
        <f t="shared" si="3"/>
        <v>1</v>
      </c>
      <c r="AB31" s="1104">
        <f t="shared" si="4"/>
        <v>1</v>
      </c>
      <c r="AC31" s="1104">
        <f t="shared" si="5"/>
        <v>1</v>
      </c>
    </row>
    <row r="32" spans="1:29" ht="15">
      <c r="A32" s="962"/>
      <c r="B32" s="963">
        <v>111</v>
      </c>
      <c r="C32" s="928"/>
      <c r="D32" s="930">
        <v>100</v>
      </c>
      <c r="E32" s="961"/>
      <c r="F32" s="930">
        <f>SUMIF(103:103,E33,104:104)-SUMIF(103:103,C33,104:104)+100</f>
        <v>100</v>
      </c>
      <c r="G32" s="961"/>
      <c r="H32" s="930">
        <f>SUMIF(103:103,G32,104:104)-SUMIF(103:103,C32,104:104)+100</f>
        <v>100</v>
      </c>
      <c r="I32" s="928"/>
      <c r="J32" s="930">
        <f>SUMIF(103:103,I32,104:104)-SUMIF(103:103,C32,104:104)+100</f>
        <v>100</v>
      </c>
      <c r="K32" s="1062"/>
      <c r="L32" s="1057"/>
      <c r="M32" s="1045"/>
      <c r="N32" s="1045"/>
      <c r="O32" s="1056"/>
      <c r="P32" s="3295" t="s">
        <v>1388</v>
      </c>
      <c r="Q32" s="656">
        <f t="shared" si="8"/>
        <v>111</v>
      </c>
      <c r="R32" s="1093" t="s">
        <v>1367</v>
      </c>
      <c r="S32" s="1094">
        <f t="shared" si="9"/>
        <v>100</v>
      </c>
      <c r="T32" s="1093" t="s">
        <v>1367</v>
      </c>
      <c r="U32" s="1094">
        <f t="shared" si="10"/>
        <v>100</v>
      </c>
      <c r="V32" s="1093" t="s">
        <v>1367</v>
      </c>
      <c r="W32" s="1094">
        <f t="shared" si="11"/>
        <v>100</v>
      </c>
      <c r="X32" s="1087"/>
      <c r="Y32" s="3296" t="s">
        <v>1388</v>
      </c>
      <c r="Z32" s="1077">
        <f t="shared" si="12"/>
        <v>111</v>
      </c>
      <c r="AA32" s="1104">
        <f t="shared" si="3"/>
        <v>1</v>
      </c>
      <c r="AB32" s="1104">
        <f t="shared" si="4"/>
        <v>1</v>
      </c>
      <c r="AC32" s="1104">
        <f t="shared" si="5"/>
        <v>1</v>
      </c>
    </row>
    <row r="33" spans="1:31" s="882" customFormat="1" ht="15">
      <c r="A33" s="964"/>
      <c r="B33" s="965">
        <v>111</v>
      </c>
      <c r="C33" s="966"/>
      <c r="D33" s="967">
        <v>100</v>
      </c>
      <c r="E33" s="968"/>
      <c r="F33" s="934">
        <f>SUMIF(105:105,E33,106:106)-SUMIF(105:105,C33,106:106)+100</f>
        <v>100</v>
      </c>
      <c r="G33" s="968"/>
      <c r="H33" s="934">
        <f>SUMIF(105:105,G33,106:106)-SUMIF(105:105,C33,106:106)+100</f>
        <v>100</v>
      </c>
      <c r="I33" s="966"/>
      <c r="J33" s="934">
        <f>SUMIF(105:105,I33,106:106)-SUMIF(105:105,C33,106:106)+100</f>
        <v>100</v>
      </c>
      <c r="K33" s="1062"/>
      <c r="L33" s="1055"/>
      <c r="M33" s="1064"/>
      <c r="N33" s="1064"/>
      <c r="O33" s="1065"/>
      <c r="P33" s="3296"/>
      <c r="Q33" s="656">
        <f t="shared" si="8"/>
        <v>111</v>
      </c>
      <c r="R33" s="1095" t="s">
        <v>1367</v>
      </c>
      <c r="S33" s="1096">
        <f t="shared" si="9"/>
        <v>100</v>
      </c>
      <c r="T33" s="1095" t="s">
        <v>1367</v>
      </c>
      <c r="U33" s="1096">
        <f t="shared" si="10"/>
        <v>100</v>
      </c>
      <c r="V33" s="1095" t="s">
        <v>1367</v>
      </c>
      <c r="W33" s="1096">
        <f t="shared" si="11"/>
        <v>100</v>
      </c>
      <c r="X33" s="1097"/>
      <c r="Y33" s="3296"/>
      <c r="Z33" s="1105">
        <f t="shared" si="12"/>
        <v>111</v>
      </c>
      <c r="AA33" s="1104">
        <f t="shared" si="3"/>
        <v>1</v>
      </c>
      <c r="AB33" s="1104">
        <f t="shared" si="4"/>
        <v>1</v>
      </c>
      <c r="AC33" s="1104">
        <f t="shared" si="5"/>
        <v>1</v>
      </c>
    </row>
    <row r="34" spans="1:31" ht="15">
      <c r="A34" s="935" t="s">
        <v>1386</v>
      </c>
      <c r="B34" s="969" t="s">
        <v>1504</v>
      </c>
      <c r="C34" s="970"/>
      <c r="D34" s="971">
        <v>100</v>
      </c>
      <c r="E34" s="970"/>
      <c r="F34" s="971" t="e">
        <f>LOOKUP(E34,108:108,109:109)-LOOKUP(C34,108:108,109:109)+100</f>
        <v>#N/A</v>
      </c>
      <c r="G34" s="970"/>
      <c r="H34" s="971" t="e">
        <f>LOOKUP(G34,108:108,109:109)-LOOKUP(C34,108:108,109:109)+100</f>
        <v>#N/A</v>
      </c>
      <c r="I34" s="1066"/>
      <c r="J34" s="971" t="e">
        <f>LOOKUP(I34,108:108,109:109)-LOOKUP(C34,108:108,109:109)+100</f>
        <v>#N/A</v>
      </c>
      <c r="K34" s="1062"/>
      <c r="L34" s="1057"/>
      <c r="M34" s="1045"/>
      <c r="N34" s="1045"/>
      <c r="O34" s="1056"/>
      <c r="P34" s="3296"/>
      <c r="Q34" s="656" t="str">
        <f t="shared" si="8"/>
        <v>宗地面积</v>
      </c>
      <c r="R34" s="1093" t="s">
        <v>1367</v>
      </c>
      <c r="S34" s="1094" t="e">
        <f t="shared" si="9"/>
        <v>#N/A</v>
      </c>
      <c r="T34" s="1093" t="s">
        <v>1367</v>
      </c>
      <c r="U34" s="1094" t="e">
        <f t="shared" si="10"/>
        <v>#N/A</v>
      </c>
      <c r="V34" s="1093" t="s">
        <v>1367</v>
      </c>
      <c r="W34" s="1094" t="e">
        <f t="shared" si="11"/>
        <v>#N/A</v>
      </c>
      <c r="X34" s="1087"/>
      <c r="Y34" s="3296"/>
      <c r="Z34" s="1077" t="str">
        <f t="shared" si="12"/>
        <v>宗地面积</v>
      </c>
      <c r="AA34" s="1104" t="e">
        <f t="shared" si="3"/>
        <v>#N/A</v>
      </c>
      <c r="AB34" s="1104" t="e">
        <f t="shared" si="4"/>
        <v>#N/A</v>
      </c>
      <c r="AC34" s="1104" t="e">
        <f t="shared" si="5"/>
        <v>#N/A</v>
      </c>
    </row>
    <row r="35" spans="1:31" ht="15">
      <c r="A35" s="972"/>
      <c r="B35" s="918" t="s">
        <v>1505</v>
      </c>
      <c r="C35" s="973"/>
      <c r="D35" s="930">
        <v>100</v>
      </c>
      <c r="E35" s="973"/>
      <c r="F35" s="930">
        <f>SUMIF(110:110,E35,111:111)-SUMIF(110:110,C35,111:111)+100</f>
        <v>100</v>
      </c>
      <c r="G35" s="973"/>
      <c r="H35" s="930">
        <f>SUMIF(110:110,G35,111:111)-SUMIF(110:110,C35,111:111)+100</f>
        <v>100</v>
      </c>
      <c r="I35" s="973"/>
      <c r="J35" s="930">
        <f>SUMIF(110:110,I35,111:111)-SUMIF(110:110,C35,111:111)+100</f>
        <v>100</v>
      </c>
      <c r="K35" s="1063"/>
      <c r="L35" s="1057"/>
      <c r="M35" s="1045"/>
      <c r="N35" s="1045"/>
      <c r="O35" s="1056"/>
      <c r="P35" s="3296"/>
      <c r="Q35" s="656" t="str">
        <f t="shared" ref="Q35:Q40" si="13">B35</f>
        <v>宗地形状</v>
      </c>
      <c r="R35" s="1093" t="s">
        <v>1367</v>
      </c>
      <c r="S35" s="1094">
        <f t="shared" si="9"/>
        <v>100</v>
      </c>
      <c r="T35" s="1093" t="s">
        <v>1367</v>
      </c>
      <c r="U35" s="1094">
        <f t="shared" si="10"/>
        <v>100</v>
      </c>
      <c r="V35" s="1093" t="s">
        <v>1367</v>
      </c>
      <c r="W35" s="1094">
        <f t="shared" si="11"/>
        <v>100</v>
      </c>
      <c r="X35" s="1087"/>
      <c r="Y35" s="3296"/>
      <c r="Z35" s="1077" t="str">
        <f t="shared" si="12"/>
        <v>宗地形状</v>
      </c>
      <c r="AA35" s="1104">
        <f t="shared" si="3"/>
        <v>1</v>
      </c>
      <c r="AB35" s="1104">
        <f t="shared" si="4"/>
        <v>1</v>
      </c>
      <c r="AC35" s="1104">
        <f t="shared" si="5"/>
        <v>1</v>
      </c>
    </row>
    <row r="36" spans="1:31" s="880" customFormat="1" ht="15">
      <c r="A36" s="974"/>
      <c r="B36" s="918" t="s">
        <v>1507</v>
      </c>
      <c r="C36" s="975"/>
      <c r="D36" s="920">
        <v>100</v>
      </c>
      <c r="E36" s="975"/>
      <c r="F36" s="930">
        <f>SUMIF(112:112,E36,113:113)-SUMIF(112:112,C36,113:113)+100</f>
        <v>100</v>
      </c>
      <c r="G36" s="975"/>
      <c r="H36" s="930">
        <f>SUMIF(112:112,G36,113:113)-SUMIF(112:112,C36,113:113)+100</f>
        <v>100</v>
      </c>
      <c r="I36" s="975"/>
      <c r="J36" s="930">
        <f>SUMIF(112:112,I36,113:113)-SUMIF(112:112,C36,113:113)+100</f>
        <v>100</v>
      </c>
      <c r="K36" s="1063"/>
      <c r="L36" s="1047"/>
      <c r="M36" s="1048"/>
      <c r="N36" s="1048"/>
      <c r="O36" s="1049"/>
      <c r="P36" s="3296"/>
      <c r="Q36" s="656" t="str">
        <f t="shared" si="13"/>
        <v>宗地开发程度</v>
      </c>
      <c r="R36" s="1088" t="s">
        <v>1367</v>
      </c>
      <c r="S36" s="1089">
        <f t="shared" si="9"/>
        <v>100</v>
      </c>
      <c r="T36" s="1088" t="s">
        <v>1367</v>
      </c>
      <c r="U36" s="1089">
        <f t="shared" si="10"/>
        <v>100</v>
      </c>
      <c r="V36" s="1088" t="s">
        <v>1367</v>
      </c>
      <c r="W36" s="1089">
        <f t="shared" si="11"/>
        <v>100</v>
      </c>
      <c r="X36" s="1090"/>
      <c r="Y36" s="3296"/>
      <c r="Z36" s="1103" t="str">
        <f t="shared" si="12"/>
        <v>宗地开发程度</v>
      </c>
      <c r="AA36" s="1102">
        <f t="shared" si="3"/>
        <v>1</v>
      </c>
      <c r="AB36" s="1102">
        <f t="shared" si="4"/>
        <v>1</v>
      </c>
      <c r="AC36" s="1102">
        <f t="shared" si="5"/>
        <v>1</v>
      </c>
    </row>
    <row r="37" spans="1:31" ht="15">
      <c r="A37" s="972"/>
      <c r="B37" s="918" t="s">
        <v>1508</v>
      </c>
      <c r="C37" s="973"/>
      <c r="D37" s="930">
        <v>100</v>
      </c>
      <c r="E37" s="973"/>
      <c r="F37" s="930">
        <f>SUMIF(114:114,E37,115:115)-SUMIF(114:114,C37,115:115)+100</f>
        <v>100</v>
      </c>
      <c r="G37" s="973"/>
      <c r="H37" s="930">
        <f>SUMIF(114:114,G37,115:115)-SUMIF(114:114,C37,115:115)+100</f>
        <v>100</v>
      </c>
      <c r="I37" s="973"/>
      <c r="J37" s="930">
        <f>SUMIF(114:114,I37,115:115)-SUMIF(114:114,C37,115:115)+100</f>
        <v>100</v>
      </c>
      <c r="K37" s="1063"/>
      <c r="L37" s="1057"/>
      <c r="M37" s="1045"/>
      <c r="N37" s="1045"/>
      <c r="O37" s="1056"/>
      <c r="P37" s="3296" t="s">
        <v>1388</v>
      </c>
      <c r="Q37" s="656" t="str">
        <f t="shared" si="13"/>
        <v>工程地质条件</v>
      </c>
      <c r="R37" s="1093" t="s">
        <v>1367</v>
      </c>
      <c r="S37" s="1094">
        <f t="shared" si="9"/>
        <v>100</v>
      </c>
      <c r="T37" s="1093" t="s">
        <v>1367</v>
      </c>
      <c r="U37" s="1094">
        <f t="shared" si="10"/>
        <v>100</v>
      </c>
      <c r="V37" s="1093" t="s">
        <v>1367</v>
      </c>
      <c r="W37" s="1094">
        <f t="shared" si="11"/>
        <v>100</v>
      </c>
      <c r="X37" s="1087"/>
      <c r="Y37" s="3296" t="s">
        <v>1388</v>
      </c>
      <c r="Z37" s="1077" t="str">
        <f t="shared" si="12"/>
        <v>工程地质条件</v>
      </c>
      <c r="AA37" s="1104">
        <f t="shared" si="3"/>
        <v>1</v>
      </c>
      <c r="AB37" s="1104">
        <f t="shared" si="4"/>
        <v>1</v>
      </c>
      <c r="AC37" s="1104">
        <f t="shared" si="5"/>
        <v>1</v>
      </c>
    </row>
    <row r="38" spans="1:31" ht="15">
      <c r="A38" s="972"/>
      <c r="B38" s="976">
        <v>111</v>
      </c>
      <c r="C38" s="928"/>
      <c r="D38" s="930">
        <v>100</v>
      </c>
      <c r="E38" s="928"/>
      <c r="F38" s="930">
        <f>SUMIF(116:116,E38,117:117)-SUMIF(116:116,C38,117:117)+100</f>
        <v>100</v>
      </c>
      <c r="G38" s="928"/>
      <c r="H38" s="930">
        <f>SUMIF(116:116,G38,117:117)-SUMIF(116:116,C38,117:117)+100</f>
        <v>100</v>
      </c>
      <c r="I38" s="927"/>
      <c r="J38" s="930">
        <f>SUMIF(116:116,I38,117:117)-SUMIF(116:116,C38,117:117)+100</f>
        <v>100</v>
      </c>
      <c r="K38" s="1062"/>
      <c r="L38" s="1057"/>
      <c r="M38" s="1045"/>
      <c r="N38" s="1045"/>
      <c r="O38" s="1056"/>
      <c r="P38" s="3296"/>
      <c r="Q38" s="656">
        <f t="shared" si="13"/>
        <v>111</v>
      </c>
      <c r="R38" s="1093" t="s">
        <v>1367</v>
      </c>
      <c r="S38" s="1094">
        <f t="shared" si="9"/>
        <v>100</v>
      </c>
      <c r="T38" s="1093" t="s">
        <v>1367</v>
      </c>
      <c r="U38" s="1094">
        <f t="shared" si="10"/>
        <v>100</v>
      </c>
      <c r="V38" s="1093" t="s">
        <v>1367</v>
      </c>
      <c r="W38" s="1094">
        <f t="shared" si="11"/>
        <v>100</v>
      </c>
      <c r="X38" s="1087"/>
      <c r="Y38" s="3296"/>
      <c r="Z38" s="1077">
        <f t="shared" si="12"/>
        <v>111</v>
      </c>
      <c r="AA38" s="1104">
        <f t="shared" si="3"/>
        <v>1</v>
      </c>
      <c r="AB38" s="1104">
        <f t="shared" si="4"/>
        <v>1</v>
      </c>
      <c r="AC38" s="1104">
        <f t="shared" si="5"/>
        <v>1</v>
      </c>
    </row>
    <row r="39" spans="1:31" ht="15">
      <c r="A39" s="972"/>
      <c r="B39" s="976">
        <v>111</v>
      </c>
      <c r="C39" s="928"/>
      <c r="D39" s="930">
        <v>100</v>
      </c>
      <c r="E39" s="928"/>
      <c r="F39" s="930">
        <f>SUMIF(118:118,E39,119:119)-SUMIF(118:118,C39,119:119)+100</f>
        <v>100</v>
      </c>
      <c r="G39" s="928"/>
      <c r="H39" s="930">
        <f>SUMIF(118:118,G39,119:119)-SUMIF(118:118,C39,119:119)+100</f>
        <v>100</v>
      </c>
      <c r="I39" s="927"/>
      <c r="J39" s="930">
        <f>SUMIF(118:118,I39,119:119)-SUMIF(118:118,C39,119:119)+100</f>
        <v>100</v>
      </c>
      <c r="K39" s="1062"/>
      <c r="L39" s="1057"/>
      <c r="M39" s="1045"/>
      <c r="N39" s="1045"/>
      <c r="O39" s="1056"/>
      <c r="P39" s="3296"/>
      <c r="Q39" s="656">
        <f t="shared" si="13"/>
        <v>111</v>
      </c>
      <c r="R39" s="1093" t="s">
        <v>1367</v>
      </c>
      <c r="S39" s="1094">
        <f t="shared" si="9"/>
        <v>100</v>
      </c>
      <c r="T39" s="1093" t="s">
        <v>1367</v>
      </c>
      <c r="U39" s="1094">
        <f t="shared" si="10"/>
        <v>100</v>
      </c>
      <c r="V39" s="1093" t="s">
        <v>1367</v>
      </c>
      <c r="W39" s="1094">
        <f t="shared" si="11"/>
        <v>100</v>
      </c>
      <c r="X39" s="1087"/>
      <c r="Y39" s="3296"/>
      <c r="Z39" s="1077">
        <f t="shared" si="12"/>
        <v>111</v>
      </c>
      <c r="AA39" s="1104">
        <f t="shared" si="3"/>
        <v>1</v>
      </c>
      <c r="AB39" s="1104">
        <f t="shared" si="4"/>
        <v>1</v>
      </c>
      <c r="AC39" s="1104">
        <f t="shared" si="5"/>
        <v>1</v>
      </c>
    </row>
    <row r="40" spans="1:31" s="882" customFormat="1" ht="15">
      <c r="A40" s="977"/>
      <c r="B40" s="976">
        <v>111</v>
      </c>
      <c r="C40" s="978"/>
      <c r="D40" s="967">
        <v>100</v>
      </c>
      <c r="E40" s="928"/>
      <c r="F40" s="934">
        <f>SUMIF(120:120,E40,121:121)-SUMIF(120:120,C40,121:121)+100</f>
        <v>100</v>
      </c>
      <c r="G40" s="928"/>
      <c r="H40" s="934">
        <f>SUMIF(120:120,G40,121:121)-SUMIF(120:120,C40,121:121)+100</f>
        <v>100</v>
      </c>
      <c r="I40" s="927"/>
      <c r="J40" s="934">
        <f>SUMIF(120:120,I40,121:121)-SUMIF(120:120,C40,121:121)+100</f>
        <v>100</v>
      </c>
      <c r="K40" s="1067"/>
      <c r="L40" s="1055"/>
      <c r="M40" s="1064"/>
      <c r="N40" s="1064"/>
      <c r="O40" s="1065"/>
      <c r="P40" s="3296"/>
      <c r="Q40" s="656">
        <f t="shared" si="13"/>
        <v>111</v>
      </c>
      <c r="R40" s="1095" t="s">
        <v>1367</v>
      </c>
      <c r="S40" s="1096">
        <f t="shared" si="9"/>
        <v>100</v>
      </c>
      <c r="T40" s="1095" t="s">
        <v>1367</v>
      </c>
      <c r="U40" s="1096">
        <f t="shared" si="10"/>
        <v>100</v>
      </c>
      <c r="V40" s="1095" t="s">
        <v>1367</v>
      </c>
      <c r="W40" s="1096">
        <f t="shared" si="11"/>
        <v>100</v>
      </c>
      <c r="X40" s="1097"/>
      <c r="Y40" s="3296"/>
      <c r="Z40" s="1105">
        <f t="shared" si="12"/>
        <v>111</v>
      </c>
      <c r="AA40" s="1104">
        <f t="shared" si="3"/>
        <v>1</v>
      </c>
      <c r="AB40" s="1104">
        <f t="shared" si="4"/>
        <v>1</v>
      </c>
      <c r="AC40" s="1104">
        <f t="shared" si="5"/>
        <v>1</v>
      </c>
    </row>
    <row r="41" spans="1:31" ht="15">
      <c r="A41" s="979" t="s">
        <v>1479</v>
      </c>
      <c r="B41" s="980" t="s">
        <v>1543</v>
      </c>
      <c r="C41" s="981" t="s">
        <v>124</v>
      </c>
      <c r="D41" s="982"/>
      <c r="E41" s="983"/>
      <c r="F41" s="984"/>
      <c r="G41" s="985"/>
      <c r="H41" s="986"/>
      <c r="I41" s="983"/>
      <c r="J41" s="986"/>
      <c r="K41" s="1068"/>
      <c r="L41" s="1069"/>
      <c r="M41" s="1045"/>
      <c r="N41" s="1045"/>
      <c r="O41" s="996"/>
      <c r="P41" s="3276" t="str">
        <f>A41</f>
        <v>成交单价</v>
      </c>
      <c r="Q41" s="3276"/>
      <c r="R41" s="3289">
        <f>E41</f>
        <v>0</v>
      </c>
      <c r="S41" s="3289"/>
      <c r="T41" s="3289">
        <f>G41</f>
        <v>0</v>
      </c>
      <c r="U41" s="3289"/>
      <c r="V41" s="3289">
        <f>I41</f>
        <v>0</v>
      </c>
      <c r="W41" s="3289"/>
      <c r="X41" s="1033"/>
      <c r="Y41" s="1106"/>
      <c r="Z41" s="1033"/>
      <c r="AA41" s="1033"/>
      <c r="AB41" s="1033"/>
      <c r="AC41" s="1033"/>
    </row>
    <row r="42" spans="1:31" ht="15">
      <c r="A42" s="987" t="s">
        <v>1400</v>
      </c>
      <c r="B42" s="988"/>
      <c r="C42" s="989" t="e">
        <f>R43</f>
        <v>#DIV/0!</v>
      </c>
      <c r="D42" s="990" t="s">
        <v>1401</v>
      </c>
      <c r="E42" s="989" t="e">
        <f>R42</f>
        <v>#DIV/0!</v>
      </c>
      <c r="F42" s="991"/>
      <c r="G42" s="992" t="e">
        <f>T42</f>
        <v>#DIV/0!</v>
      </c>
      <c r="H42" s="991"/>
      <c r="I42" s="989" t="e">
        <f>V42</f>
        <v>#DIV/0!</v>
      </c>
      <c r="J42" s="991"/>
      <c r="K42" s="1070">
        <f>F42+H42+J42</f>
        <v>0</v>
      </c>
      <c r="L42" s="1069"/>
      <c r="M42" s="1045"/>
      <c r="N42" s="1045"/>
      <c r="O42" s="996"/>
      <c r="P42" s="3276" t="str">
        <f>A42</f>
        <v>比较价值（元/平方米）</v>
      </c>
      <c r="Q42" s="3276"/>
      <c r="R42" s="3297" t="e">
        <f>ROUND(PRODUCT(R41,AA7:AA40),0)</f>
        <v>#DIV/0!</v>
      </c>
      <c r="S42" s="3297"/>
      <c r="T42" s="3297" t="e">
        <f>ROUND(PRODUCT(T41,AB7:AB40),0)</f>
        <v>#DIV/0!</v>
      </c>
      <c r="U42" s="3297"/>
      <c r="V42" s="3297" t="e">
        <f>ROUND(PRODUCT(V41,AC7:AC40),0)</f>
        <v>#DIV/0!</v>
      </c>
      <c r="W42" s="3297"/>
      <c r="X42" s="1033"/>
      <c r="Y42" s="1033"/>
      <c r="Z42" s="1033"/>
      <c r="AA42" s="1033"/>
      <c r="AB42" s="1033"/>
      <c r="AC42" s="1033"/>
    </row>
    <row r="43" spans="1:31" ht="15">
      <c r="A43" s="993" t="s">
        <v>1402</v>
      </c>
      <c r="B43" s="994"/>
      <c r="C43" s="995" t="e">
        <f>R43</f>
        <v>#DIV/0!</v>
      </c>
      <c r="D43" s="995"/>
      <c r="E43" s="995"/>
      <c r="F43" s="995"/>
      <c r="G43" s="995"/>
      <c r="H43" s="995"/>
      <c r="I43" s="995"/>
      <c r="J43" s="995"/>
      <c r="K43" s="1071"/>
      <c r="L43" s="1069"/>
      <c r="M43" s="1045"/>
      <c r="N43" s="1045"/>
      <c r="O43" s="996"/>
      <c r="P43" s="3298" t="str">
        <f>A43</f>
        <v>估价对象XX用房的比较价值（楼面单价，元/平方米）</v>
      </c>
      <c r="Q43" s="3299"/>
      <c r="R43" s="3300" t="e">
        <f>ROUND(IF(D42="简单平均",AVERAGE(R42:W42),R42*F42+T42*H42+V42*J42),0)</f>
        <v>#DIV/0!</v>
      </c>
      <c r="S43" s="3300"/>
      <c r="T43" s="3300"/>
      <c r="U43" s="3300"/>
      <c r="V43" s="3300"/>
      <c r="W43" s="3300"/>
      <c r="X43" s="1033"/>
      <c r="Y43" s="1033"/>
      <c r="Z43" s="1033"/>
      <c r="AA43" s="1033"/>
      <c r="AB43" s="1033"/>
      <c r="AC43" s="1033"/>
    </row>
    <row r="44" spans="1:31">
      <c r="A44" s="996"/>
      <c r="B44" s="996"/>
      <c r="C44" s="996"/>
      <c r="D44" s="996"/>
      <c r="E44" s="996"/>
      <c r="F44" s="996"/>
      <c r="G44" s="997"/>
      <c r="H44" s="996"/>
      <c r="I44" s="996"/>
      <c r="J44" s="996"/>
      <c r="K44" s="1073"/>
      <c r="L44" s="1074"/>
      <c r="M44" s="1045"/>
      <c r="N44" s="1045"/>
      <c r="O44" s="996"/>
      <c r="P44" s="996"/>
      <c r="Q44" s="996"/>
      <c r="R44" s="996"/>
      <c r="S44" s="996"/>
      <c r="T44" s="996"/>
      <c r="U44" s="996"/>
      <c r="V44" s="996"/>
      <c r="W44" s="996"/>
      <c r="X44" s="996"/>
      <c r="Y44" s="996"/>
      <c r="Z44" s="996"/>
      <c r="AA44" s="996"/>
      <c r="AB44" s="996"/>
      <c r="AC44" s="996"/>
      <c r="AD44" s="996"/>
      <c r="AE44" s="996"/>
    </row>
    <row r="45" spans="1:31">
      <c r="A45" s="996"/>
      <c r="B45" s="996"/>
      <c r="C45" s="996"/>
      <c r="D45" s="996"/>
      <c r="E45" s="996"/>
      <c r="F45" s="996"/>
      <c r="G45" s="996"/>
      <c r="H45" s="996"/>
      <c r="I45" s="996"/>
      <c r="J45" s="996"/>
      <c r="K45" s="1073"/>
      <c r="L45" s="1074"/>
      <c r="M45" s="1045"/>
      <c r="N45" s="1045"/>
      <c r="O45" s="996"/>
      <c r="P45" s="996"/>
      <c r="Q45" s="996"/>
      <c r="R45" s="996"/>
      <c r="S45" s="996"/>
      <c r="T45" s="996"/>
      <c r="U45" s="996"/>
      <c r="V45" s="996"/>
      <c r="W45" s="996"/>
      <c r="X45" s="996"/>
      <c r="Y45" s="996"/>
      <c r="Z45" s="996"/>
      <c r="AA45" s="996"/>
      <c r="AB45" s="996"/>
      <c r="AC45" s="996"/>
      <c r="AD45" s="996"/>
      <c r="AE45" s="996"/>
    </row>
    <row r="46" spans="1:31" ht="13.5" customHeight="1">
      <c r="A46" s="996"/>
      <c r="B46" s="996"/>
      <c r="C46" s="998" t="s">
        <v>1403</v>
      </c>
      <c r="D46" s="698"/>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3"/>
      <c r="L46" s="1074"/>
      <c r="M46" s="1045"/>
      <c r="N46" s="1045"/>
      <c r="O46" s="996"/>
      <c r="P46" s="996"/>
      <c r="Q46" s="996"/>
      <c r="R46" s="996"/>
      <c r="S46" s="996"/>
      <c r="T46" s="996"/>
      <c r="U46" s="996"/>
      <c r="V46" s="996"/>
      <c r="W46" s="996"/>
      <c r="X46" s="996"/>
      <c r="Y46" s="996"/>
      <c r="Z46" s="996"/>
      <c r="AA46" s="996"/>
      <c r="AB46" s="996"/>
      <c r="AC46" s="996"/>
      <c r="AD46" s="996"/>
      <c r="AE46" s="996"/>
    </row>
    <row r="47" spans="1:31" ht="13.5" customHeight="1">
      <c r="A47" s="996"/>
      <c r="B47" s="996"/>
      <c r="C47" s="998" t="s">
        <v>1404</v>
      </c>
      <c r="D47" s="697"/>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3"/>
      <c r="L47" s="1074"/>
      <c r="M47" s="996"/>
      <c r="N47" s="996"/>
      <c r="O47" s="996"/>
      <c r="P47" s="996"/>
      <c r="Q47" s="996"/>
      <c r="R47" s="996"/>
      <c r="S47" s="996"/>
      <c r="T47" s="996"/>
      <c r="U47" s="996"/>
      <c r="V47" s="996"/>
      <c r="W47" s="996"/>
      <c r="X47" s="996"/>
      <c r="Y47" s="996"/>
      <c r="Z47" s="996"/>
      <c r="AA47" s="996"/>
      <c r="AB47" s="996"/>
      <c r="AC47" s="996"/>
      <c r="AD47" s="996"/>
      <c r="AE47" s="996"/>
    </row>
    <row r="48" spans="1:31" s="883" customFormat="1" ht="13.5" customHeight="1">
      <c r="A48" s="1001"/>
      <c r="B48" s="1001"/>
      <c r="C48" s="998" t="s">
        <v>1405</v>
      </c>
      <c r="D48" s="697"/>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5"/>
      <c r="L48" s="1076"/>
      <c r="M48" s="1001"/>
      <c r="N48" s="1001"/>
      <c r="O48" s="1001"/>
      <c r="P48" s="1001"/>
      <c r="Q48" s="1001"/>
      <c r="R48" s="1001"/>
      <c r="S48" s="1001"/>
      <c r="T48" s="1001"/>
      <c r="U48" s="1001"/>
      <c r="V48" s="1001"/>
      <c r="W48" s="1001"/>
      <c r="X48" s="1001"/>
      <c r="Y48" s="1001"/>
      <c r="Z48" s="1001"/>
      <c r="AA48" s="1001"/>
      <c r="AB48" s="1001"/>
      <c r="AC48" s="1001"/>
      <c r="AD48" s="1001"/>
      <c r="AE48" s="1001"/>
    </row>
    <row r="49" spans="1:31" s="883" customFormat="1">
      <c r="A49" s="1001"/>
      <c r="B49" s="1002"/>
      <c r="C49" s="1003"/>
      <c r="D49" s="1004"/>
      <c r="E49" s="1004"/>
      <c r="F49" s="1004"/>
      <c r="G49" s="1004"/>
      <c r="H49" s="1004"/>
      <c r="I49" s="1004"/>
      <c r="J49" s="1004"/>
      <c r="K49" s="1075"/>
      <c r="L49" s="1076"/>
      <c r="M49" s="1001"/>
      <c r="N49" s="1001"/>
      <c r="O49" s="1001"/>
      <c r="P49" s="1001"/>
      <c r="Q49" s="1001"/>
      <c r="R49" s="1001"/>
      <c r="S49" s="1001"/>
      <c r="T49" s="1001"/>
      <c r="U49" s="1001"/>
      <c r="V49" s="1001"/>
      <c r="W49" s="1001"/>
      <c r="X49" s="1001"/>
      <c r="Y49" s="1001"/>
      <c r="Z49" s="1001"/>
      <c r="AA49" s="1001"/>
      <c r="AB49" s="1001"/>
      <c r="AC49" s="1001"/>
      <c r="AD49" s="1001"/>
      <c r="AE49" s="1001"/>
    </row>
    <row r="50" spans="1:31" ht="27">
      <c r="A50" s="1005" t="s">
        <v>1511</v>
      </c>
      <c r="B50" s="1006" t="s">
        <v>1512</v>
      </c>
      <c r="C50" s="1007" t="s">
        <v>1513</v>
      </c>
      <c r="D50" s="1008" t="s">
        <v>1514</v>
      </c>
      <c r="E50" s="1009" t="s">
        <v>1515</v>
      </c>
      <c r="F50" s="1010" t="s">
        <v>1516</v>
      </c>
      <c r="G50" s="3273" t="s">
        <v>1517</v>
      </c>
      <c r="H50" s="3274"/>
      <c r="I50" s="1077" t="s">
        <v>1544</v>
      </c>
      <c r="J50" s="1077">
        <f>项目基本情况!F35</f>
        <v>0</v>
      </c>
      <c r="K50" s="1078" t="s">
        <v>1519</v>
      </c>
      <c r="L50" s="1074"/>
      <c r="M50" s="996"/>
      <c r="N50" s="996"/>
      <c r="O50" s="996"/>
      <c r="P50" s="996"/>
      <c r="Q50" s="996"/>
      <c r="R50" s="996"/>
      <c r="S50" s="996"/>
      <c r="T50" s="996"/>
      <c r="U50" s="996"/>
      <c r="V50" s="996"/>
      <c r="W50" s="996"/>
      <c r="X50" s="996"/>
      <c r="Y50" s="996"/>
      <c r="Z50" s="996"/>
      <c r="AA50" s="996"/>
      <c r="AB50" s="996"/>
      <c r="AC50" s="996"/>
      <c r="AD50" s="996"/>
      <c r="AE50" s="996"/>
    </row>
    <row r="51" spans="1:31" s="884" customFormat="1">
      <c r="A51" s="1011" t="s">
        <v>1520</v>
      </c>
      <c r="B51" s="1012" t="e">
        <f>C43</f>
        <v>#DIV/0!</v>
      </c>
      <c r="C51" s="1013">
        <v>1</v>
      </c>
      <c r="D51" s="1014">
        <v>1</v>
      </c>
      <c r="E51" s="1013">
        <f>'数据-汇总表'!E8+'数据-汇总表'!E9</f>
        <v>37552.749999999993</v>
      </c>
      <c r="F51" s="1015" t="e">
        <f t="shared" ref="F51:F60" si="14">ROUND(B51*E51/10000,0)</f>
        <v>#DIV/0!</v>
      </c>
      <c r="G51" s="3275"/>
      <c r="H51" s="3276"/>
      <c r="I51" s="685">
        <v>1</v>
      </c>
      <c r="J51" s="685">
        <v>1</v>
      </c>
      <c r="K51" s="1001"/>
      <c r="L51" s="1079"/>
      <c r="M51" s="1079"/>
      <c r="N51" s="1079"/>
      <c r="O51" s="1079"/>
      <c r="P51" s="1079"/>
      <c r="Q51" s="1079"/>
      <c r="R51" s="1079"/>
      <c r="S51" s="1079"/>
      <c r="T51" s="1079"/>
      <c r="U51" s="1079"/>
      <c r="V51" s="1079"/>
      <c r="W51" s="1079"/>
      <c r="X51" s="1079"/>
      <c r="Y51" s="1079"/>
      <c r="Z51" s="1079"/>
      <c r="AA51" s="1079"/>
      <c r="AB51" s="1079"/>
      <c r="AC51" s="1079"/>
      <c r="AD51" s="1079"/>
      <c r="AE51" s="1079"/>
    </row>
    <row r="52" spans="1:31" s="884" customFormat="1">
      <c r="A52" s="1016" t="s">
        <v>1521</v>
      </c>
      <c r="B52" s="162" t="e">
        <f>ROUND($C$43*C52*D52,0)</f>
        <v>#DIV/0!</v>
      </c>
      <c r="C52" s="601">
        <f t="shared" ref="C52:C60" si="15">IF($C$50="北京市系数",I52,J52)</f>
        <v>0.7</v>
      </c>
      <c r="D52" s="1017">
        <v>0.25</v>
      </c>
      <c r="E52" s="1018"/>
      <c r="F52" s="1015" t="e">
        <f t="shared" si="14"/>
        <v>#DIV/0!</v>
      </c>
      <c r="G52" s="3292" t="s">
        <v>1522</v>
      </c>
      <c r="H52" s="1020" t="str">
        <f>项目基本情况!B37</f>
        <v>四级</v>
      </c>
      <c r="I52" s="685">
        <f>SUMIF(修正!A45:A56,H52,修正!B45:B56)</f>
        <v>0.7</v>
      </c>
      <c r="J52" s="1080"/>
      <c r="K52" s="996"/>
      <c r="L52" s="1079"/>
      <c r="M52" s="1079"/>
      <c r="N52" s="1079"/>
      <c r="O52" s="1079"/>
      <c r="P52" s="1079"/>
      <c r="Q52" s="1079"/>
      <c r="R52" s="1079"/>
      <c r="S52" s="1079"/>
      <c r="T52" s="1079"/>
      <c r="U52" s="1079"/>
      <c r="V52" s="1079"/>
      <c r="W52" s="1079"/>
      <c r="X52" s="1079"/>
      <c r="Y52" s="1079"/>
      <c r="Z52" s="1079"/>
      <c r="AA52" s="1079"/>
      <c r="AB52" s="1079"/>
      <c r="AC52" s="1079"/>
      <c r="AD52" s="1079"/>
      <c r="AE52" s="1079"/>
    </row>
    <row r="53" spans="1:31" s="884" customFormat="1">
      <c r="A53" s="1016" t="s">
        <v>1523</v>
      </c>
      <c r="B53" s="162" t="e">
        <f t="shared" ref="B53:B60" si="16">ROUND($C$43*C53*D53,0)</f>
        <v>#DIV/0!</v>
      </c>
      <c r="C53" s="601">
        <f t="shared" si="15"/>
        <v>0.4</v>
      </c>
      <c r="D53" s="1017">
        <v>0.25</v>
      </c>
      <c r="E53" s="1018"/>
      <c r="F53" s="1015" t="e">
        <f t="shared" si="14"/>
        <v>#DIV/0!</v>
      </c>
      <c r="G53" s="3292"/>
      <c r="H53" s="1020" t="str">
        <f>项目基本情况!B37</f>
        <v>四级</v>
      </c>
      <c r="I53" s="685">
        <f>SUMIF(修正!A45:A56,H53,修正!C45:C56)</f>
        <v>0.4</v>
      </c>
      <c r="J53" s="1080"/>
      <c r="K53" s="1001"/>
      <c r="L53" s="1079"/>
      <c r="M53" s="1079"/>
      <c r="N53" s="1079"/>
      <c r="O53" s="1079"/>
      <c r="P53" s="1079"/>
      <c r="Q53" s="1079"/>
      <c r="R53" s="1079"/>
      <c r="S53" s="1079"/>
      <c r="T53" s="1079"/>
      <c r="U53" s="1079"/>
      <c r="V53" s="1079"/>
      <c r="W53" s="1079"/>
      <c r="X53" s="1079"/>
      <c r="Y53" s="1079"/>
      <c r="Z53" s="1079"/>
      <c r="AA53" s="1079"/>
      <c r="AB53" s="1079"/>
      <c r="AC53" s="1079"/>
      <c r="AD53" s="1079"/>
      <c r="AE53" s="1079"/>
    </row>
    <row r="54" spans="1:31" s="884" customFormat="1">
      <c r="A54" s="1016" t="s">
        <v>1524</v>
      </c>
      <c r="B54" s="162" t="e">
        <f t="shared" si="16"/>
        <v>#DIV/0!</v>
      </c>
      <c r="C54" s="601">
        <f t="shared" si="15"/>
        <v>0.28000000000000003</v>
      </c>
      <c r="D54" s="1017">
        <v>0.25</v>
      </c>
      <c r="E54" s="1018"/>
      <c r="F54" s="1015" t="e">
        <f t="shared" si="14"/>
        <v>#DIV/0!</v>
      </c>
      <c r="G54" s="3292"/>
      <c r="H54" s="1020" t="str">
        <f>项目基本情况!B37</f>
        <v>四级</v>
      </c>
      <c r="I54" s="685">
        <f>SUMIF(修正!A45:A56,H54,修正!D45:D56)</f>
        <v>0.28000000000000003</v>
      </c>
      <c r="J54" s="1080"/>
      <c r="K54" s="996"/>
      <c r="L54" s="1079"/>
      <c r="M54" s="1079"/>
      <c r="N54" s="1079"/>
      <c r="O54" s="1079"/>
      <c r="P54" s="1079"/>
      <c r="Q54" s="1079"/>
      <c r="R54" s="1079"/>
      <c r="S54" s="1079"/>
      <c r="T54" s="1079"/>
      <c r="U54" s="1079"/>
      <c r="V54" s="1079"/>
      <c r="W54" s="1079"/>
      <c r="X54" s="1079"/>
      <c r="Y54" s="1079"/>
      <c r="Z54" s="1079"/>
      <c r="AA54" s="1079"/>
      <c r="AB54" s="1079"/>
      <c r="AC54" s="1079"/>
      <c r="AD54" s="1079"/>
      <c r="AE54" s="1079"/>
    </row>
    <row r="55" spans="1:31" s="884" customFormat="1">
      <c r="A55" s="1016" t="s">
        <v>1525</v>
      </c>
      <c r="B55" s="162" t="e">
        <f t="shared" si="16"/>
        <v>#DIV/0!</v>
      </c>
      <c r="C55" s="601">
        <f t="shared" si="15"/>
        <v>0.25</v>
      </c>
      <c r="D55" s="1017">
        <v>0.25</v>
      </c>
      <c r="E55" s="1018"/>
      <c r="F55" s="1015" t="e">
        <f t="shared" si="14"/>
        <v>#DIV/0!</v>
      </c>
      <c r="G55" s="3292"/>
      <c r="H55" s="1020" t="str">
        <f>项目基本情况!B37</f>
        <v>四级</v>
      </c>
      <c r="I55" s="685">
        <f>SUMIF(修正!A45:A56,H55,修正!E45:E56)</f>
        <v>0.25</v>
      </c>
      <c r="J55" s="1080"/>
      <c r="K55" s="1001"/>
      <c r="L55" s="1079"/>
      <c r="M55" s="1079"/>
      <c r="N55" s="1079"/>
      <c r="O55" s="1079"/>
      <c r="P55" s="1079"/>
      <c r="Q55" s="1079"/>
      <c r="R55" s="1079"/>
      <c r="S55" s="1079"/>
      <c r="T55" s="1079"/>
      <c r="U55" s="1079"/>
      <c r="V55" s="1079"/>
      <c r="W55" s="1079"/>
      <c r="X55" s="1079"/>
      <c r="Y55" s="1079"/>
      <c r="Z55" s="1079"/>
      <c r="AA55" s="1079"/>
      <c r="AB55" s="1079"/>
      <c r="AC55" s="1079"/>
      <c r="AD55" s="1079"/>
      <c r="AE55" s="1079"/>
    </row>
    <row r="56" spans="1:31" s="884" customFormat="1">
      <c r="A56" s="1016" t="s">
        <v>1526</v>
      </c>
      <c r="B56" s="162" t="e">
        <f t="shared" si="16"/>
        <v>#DIV/0!</v>
      </c>
      <c r="C56" s="601">
        <f t="shared" si="15"/>
        <v>0</v>
      </c>
      <c r="D56" s="1017">
        <v>0.25</v>
      </c>
      <c r="E56" s="161">
        <f>'数据-汇总表'!E11</f>
        <v>0</v>
      </c>
      <c r="F56" s="1015" t="e">
        <f t="shared" si="14"/>
        <v>#DIV/0!</v>
      </c>
      <c r="G56" s="1019" t="s">
        <v>1527</v>
      </c>
      <c r="H56" s="1020">
        <f>项目基本情况!C37</f>
        <v>0</v>
      </c>
      <c r="I56" s="685">
        <f>SUMIF(修正!A45:A56,H56,修正!F45:F56)</f>
        <v>0</v>
      </c>
      <c r="J56" s="1080"/>
      <c r="K56" s="996"/>
      <c r="L56" s="1079"/>
      <c r="M56" s="1079"/>
      <c r="N56" s="1079"/>
      <c r="O56" s="1079"/>
      <c r="P56" s="1079"/>
      <c r="Q56" s="1079"/>
      <c r="R56" s="1079"/>
      <c r="S56" s="1079"/>
      <c r="T56" s="1079"/>
      <c r="U56" s="1079"/>
      <c r="V56" s="1079"/>
      <c r="W56" s="1079"/>
      <c r="X56" s="1079"/>
      <c r="Y56" s="1079"/>
      <c r="Z56" s="1079"/>
      <c r="AA56" s="1079"/>
      <c r="AB56" s="1079"/>
      <c r="AC56" s="1079"/>
      <c r="AD56" s="1079"/>
      <c r="AE56" s="1079"/>
    </row>
    <row r="57" spans="1:31" s="884" customFormat="1">
      <c r="A57" s="1016" t="s">
        <v>1528</v>
      </c>
      <c r="B57" s="162" t="e">
        <f t="shared" si="16"/>
        <v>#DIV/0!</v>
      </c>
      <c r="C57" s="601">
        <f t="shared" si="15"/>
        <v>0</v>
      </c>
      <c r="D57" s="1017">
        <v>0.25</v>
      </c>
      <c r="E57" s="161">
        <f>'数据-汇总表'!E12</f>
        <v>1669.98</v>
      </c>
      <c r="F57" s="1015" t="e">
        <f t="shared" si="14"/>
        <v>#DIV/0!</v>
      </c>
      <c r="G57" s="1021" t="s">
        <v>1529</v>
      </c>
      <c r="H57" s="1020">
        <f>IF(G57="商业",项目基本情况!B37,IF(G57="办公",项目基本情况!C37,IF(G57="住宅",项目基本情况!D37,项目基本情况!E37)))</f>
        <v>0</v>
      </c>
      <c r="I57" s="685">
        <f>SUMIF(修正!A45:A56,H57,修正!G45:G56)</f>
        <v>0</v>
      </c>
      <c r="J57" s="1080"/>
      <c r="K57" s="1001"/>
      <c r="L57" s="1079"/>
      <c r="M57" s="1079"/>
      <c r="N57" s="1079"/>
      <c r="O57" s="1079"/>
      <c r="P57" s="1079"/>
      <c r="Q57" s="1079"/>
      <c r="R57" s="1079"/>
      <c r="S57" s="1079"/>
      <c r="T57" s="1079"/>
      <c r="U57" s="1079"/>
      <c r="V57" s="1079"/>
      <c r="W57" s="1079"/>
      <c r="X57" s="1079"/>
      <c r="Y57" s="1079"/>
      <c r="Z57" s="1079"/>
      <c r="AA57" s="1079"/>
      <c r="AB57" s="1079"/>
      <c r="AC57" s="1079"/>
      <c r="AD57" s="1079"/>
      <c r="AE57" s="1079"/>
    </row>
    <row r="58" spans="1:31" s="884" customFormat="1">
      <c r="A58" s="1016" t="s">
        <v>1530</v>
      </c>
      <c r="B58" s="162" t="e">
        <f t="shared" si="16"/>
        <v>#DIV/0!</v>
      </c>
      <c r="C58" s="601">
        <f t="shared" si="15"/>
        <v>0.2</v>
      </c>
      <c r="D58" s="1017">
        <v>0.25</v>
      </c>
      <c r="E58" s="161">
        <f>'数据-汇总表'!E13</f>
        <v>0</v>
      </c>
      <c r="F58" s="1015" t="e">
        <f t="shared" si="14"/>
        <v>#DIV/0!</v>
      </c>
      <c r="G58" s="1021" t="s">
        <v>1531</v>
      </c>
      <c r="H58" s="1020" t="str">
        <f>IF(G58="商业",项目基本情况!B37,IF(G58="办公",项目基本情况!C37,IF(G58="住宅",项目基本情况!D37,项目基本情况!E37)))</f>
        <v>四级</v>
      </c>
      <c r="I58" s="685">
        <f>SUMIF(修正!A45:A56,H58,修正!H45:H56)</f>
        <v>0.2</v>
      </c>
      <c r="J58" s="1080"/>
      <c r="K58" s="996"/>
      <c r="L58" s="1079"/>
      <c r="M58" s="1079"/>
      <c r="N58" s="1079"/>
      <c r="O58" s="1079"/>
      <c r="P58" s="1079"/>
      <c r="Q58" s="1079"/>
      <c r="R58" s="1079"/>
      <c r="S58" s="1079"/>
      <c r="T58" s="1079"/>
      <c r="U58" s="1079"/>
      <c r="V58" s="1079"/>
      <c r="W58" s="1079"/>
      <c r="X58" s="1079"/>
      <c r="Y58" s="1079"/>
      <c r="Z58" s="1079"/>
      <c r="AA58" s="1079"/>
      <c r="AB58" s="1079"/>
      <c r="AC58" s="1079"/>
      <c r="AD58" s="1079"/>
      <c r="AE58" s="1079"/>
    </row>
    <row r="59" spans="1:31" s="884" customFormat="1">
      <c r="A59" s="1016" t="s">
        <v>1532</v>
      </c>
      <c r="B59" s="162" t="e">
        <f t="shared" si="16"/>
        <v>#DIV/0!</v>
      </c>
      <c r="C59" s="601">
        <f t="shared" si="15"/>
        <v>0.2</v>
      </c>
      <c r="D59" s="1017">
        <v>0.25</v>
      </c>
      <c r="E59" s="161">
        <f>'数据-汇总表'!E14</f>
        <v>0</v>
      </c>
      <c r="F59" s="1015" t="e">
        <f t="shared" si="14"/>
        <v>#DIV/0!</v>
      </c>
      <c r="G59" s="1019" t="s">
        <v>1522</v>
      </c>
      <c r="H59" s="1020" t="str">
        <f>项目基本情况!B37</f>
        <v>四级</v>
      </c>
      <c r="I59" s="685">
        <f>SUMIF(修正!A45:A56,H59,修正!H45:H56)</f>
        <v>0.2</v>
      </c>
      <c r="J59" s="1080"/>
      <c r="K59" s="1001"/>
      <c r="L59" s="1079"/>
      <c r="M59" s="1079"/>
      <c r="N59" s="1079"/>
      <c r="O59" s="1079"/>
      <c r="P59" s="1079"/>
      <c r="Q59" s="1079"/>
      <c r="R59" s="1079"/>
      <c r="S59" s="1079"/>
      <c r="T59" s="1079"/>
      <c r="U59" s="1079"/>
      <c r="V59" s="1079"/>
      <c r="W59" s="1079"/>
      <c r="X59" s="1079"/>
      <c r="Y59" s="1079"/>
      <c r="Z59" s="1079"/>
      <c r="AA59" s="1079"/>
      <c r="AB59" s="1079"/>
      <c r="AC59" s="1079"/>
      <c r="AD59" s="1079"/>
      <c r="AE59" s="1079"/>
    </row>
    <row r="60" spans="1:31" s="884" customFormat="1">
      <c r="A60" s="1016" t="s">
        <v>1533</v>
      </c>
      <c r="B60" s="162" t="e">
        <f t="shared" si="16"/>
        <v>#DIV/0!</v>
      </c>
      <c r="C60" s="601">
        <f t="shared" si="15"/>
        <v>0</v>
      </c>
      <c r="D60" s="1017">
        <v>0.25</v>
      </c>
      <c r="E60" s="161">
        <f>'数据-汇总表'!E15</f>
        <v>0</v>
      </c>
      <c r="F60" s="1015" t="e">
        <f t="shared" si="14"/>
        <v>#DIV/0!</v>
      </c>
      <c r="G60" s="1022" t="s">
        <v>1527</v>
      </c>
      <c r="H60" s="1023">
        <f>项目基本情况!C37</f>
        <v>0</v>
      </c>
      <c r="I60" s="685">
        <f>SUMIF(修正!A45:A56,H60,修正!H45:H56)</f>
        <v>0</v>
      </c>
      <c r="J60" s="1080"/>
      <c r="K60" s="996"/>
      <c r="L60" s="1079"/>
      <c r="M60" s="1079"/>
      <c r="N60" s="1079"/>
      <c r="O60" s="1079"/>
      <c r="P60" s="1079"/>
      <c r="Q60" s="1079"/>
      <c r="R60" s="1079"/>
      <c r="S60" s="1079"/>
      <c r="T60" s="1079"/>
      <c r="U60" s="1079"/>
      <c r="V60" s="1079"/>
      <c r="W60" s="1079"/>
      <c r="X60" s="1079"/>
      <c r="Y60" s="1079"/>
      <c r="Z60" s="1079"/>
      <c r="AA60" s="1079"/>
      <c r="AB60" s="1079"/>
      <c r="AC60" s="1079"/>
      <c r="AD60" s="1079"/>
      <c r="AE60" s="1079"/>
    </row>
    <row r="61" spans="1:31" s="884" customFormat="1">
      <c r="A61" s="1024" t="s">
        <v>1534</v>
      </c>
      <c r="B61" s="1025" t="s">
        <v>1457</v>
      </c>
      <c r="C61" s="1025" t="s">
        <v>1457</v>
      </c>
      <c r="D61" s="1025" t="s">
        <v>1457</v>
      </c>
      <c r="E61" s="1025">
        <f>IF(B41="楼面地价",SUM(E51:E60),'数据-汇总表'!D3)</f>
        <v>11660.67</v>
      </c>
      <c r="F61" s="1026" t="e">
        <f>IF(B41="楼面地价",SUM(F51:F60),ROUND(C43*E61/10000,0))</f>
        <v>#DIV/0!</v>
      </c>
      <c r="G61" s="1027"/>
      <c r="H61" s="1027"/>
      <c r="I61" s="1027"/>
      <c r="J61" s="1027"/>
      <c r="K61" s="1073"/>
      <c r="L61" s="1079"/>
      <c r="M61" s="1079"/>
      <c r="N61" s="1079"/>
      <c r="O61" s="1079"/>
      <c r="P61" s="1079"/>
      <c r="Q61" s="1079"/>
      <c r="R61" s="1079"/>
      <c r="S61" s="1079"/>
      <c r="T61" s="1079"/>
      <c r="U61" s="1079"/>
      <c r="V61" s="1079"/>
      <c r="W61" s="1079"/>
      <c r="X61" s="1079"/>
      <c r="Y61" s="1079"/>
      <c r="Z61" s="1079"/>
      <c r="AA61" s="1079"/>
      <c r="AB61" s="1079"/>
      <c r="AC61" s="1079"/>
      <c r="AD61" s="1079"/>
      <c r="AE61" s="1079"/>
    </row>
    <row r="62" spans="1:31">
      <c r="A62" s="1028"/>
      <c r="B62" s="1029"/>
      <c r="C62" s="1030"/>
      <c r="D62" s="1028"/>
      <c r="E62" s="1028"/>
      <c r="F62" s="1028"/>
      <c r="G62" s="1028"/>
      <c r="H62" s="1028"/>
      <c r="I62" s="1028"/>
      <c r="J62" s="1028"/>
      <c r="K62" s="1081"/>
      <c r="L62" s="1082"/>
      <c r="M62" s="1028"/>
      <c r="N62" s="1028"/>
      <c r="O62" s="1028"/>
      <c r="P62" s="996"/>
      <c r="Q62" s="996"/>
      <c r="R62" s="996"/>
      <c r="S62" s="996"/>
      <c r="T62" s="996"/>
      <c r="U62" s="996"/>
      <c r="V62" s="996"/>
      <c r="W62" s="996"/>
      <c r="X62" s="996"/>
      <c r="Y62" s="996"/>
      <c r="Z62" s="996"/>
      <c r="AA62" s="996"/>
      <c r="AB62" s="996"/>
      <c r="AC62" s="996"/>
      <c r="AD62" s="996"/>
      <c r="AE62" s="996"/>
    </row>
    <row r="63" spans="1:31">
      <c r="A63" s="1028"/>
      <c r="B63" s="1029"/>
      <c r="C63" s="1031" t="str">
        <f>YEAR(C7)&amp;"-"&amp;MONTH(C7)&amp;"-1"</f>
        <v>2021-4-1</v>
      </c>
      <c r="D63" s="1031">
        <f>EDATE(C63,-3)</f>
        <v>44197</v>
      </c>
      <c r="E63" s="1031">
        <f>EDATE(D63,-3)</f>
        <v>44105</v>
      </c>
      <c r="F63" s="1031">
        <f t="shared" ref="F63:O63" si="17">EDATE(E63,-3)</f>
        <v>44013</v>
      </c>
      <c r="G63" s="1031">
        <f t="shared" si="17"/>
        <v>43922</v>
      </c>
      <c r="H63" s="1031">
        <f t="shared" si="17"/>
        <v>43831</v>
      </c>
      <c r="I63" s="1031">
        <f t="shared" si="17"/>
        <v>43739</v>
      </c>
      <c r="J63" s="1031">
        <f t="shared" si="17"/>
        <v>43647</v>
      </c>
      <c r="K63" s="1031">
        <f t="shared" si="17"/>
        <v>43556</v>
      </c>
      <c r="L63" s="1031">
        <f t="shared" si="17"/>
        <v>43466</v>
      </c>
      <c r="M63" s="1031">
        <f t="shared" si="17"/>
        <v>43374</v>
      </c>
      <c r="N63" s="1031">
        <f t="shared" si="17"/>
        <v>43282</v>
      </c>
      <c r="O63" s="1031">
        <f t="shared" si="17"/>
        <v>43191</v>
      </c>
      <c r="P63" s="996"/>
      <c r="Q63" s="996"/>
      <c r="R63" s="996"/>
      <c r="S63" s="996"/>
      <c r="T63" s="996"/>
      <c r="U63" s="996"/>
      <c r="V63" s="996"/>
      <c r="W63" s="996"/>
      <c r="X63" s="996"/>
      <c r="Y63" s="996"/>
      <c r="Z63" s="996"/>
      <c r="AA63" s="996"/>
      <c r="AB63" s="996"/>
      <c r="AC63" s="996"/>
      <c r="AD63" s="996"/>
      <c r="AE63" s="996"/>
    </row>
    <row r="64" spans="1:31" ht="21">
      <c r="A64" s="1032" t="s">
        <v>1406</v>
      </c>
      <c r="B64" s="1033"/>
      <c r="C64" s="1034"/>
      <c r="D64" s="1034"/>
      <c r="E64" s="1034"/>
      <c r="F64" s="1035"/>
      <c r="G64" s="1035"/>
      <c r="H64" s="1034"/>
      <c r="I64" s="1034"/>
      <c r="J64" s="1034"/>
      <c r="K64" s="1083"/>
      <c r="L64" s="1084"/>
      <c r="M64" s="1034"/>
      <c r="N64" s="1034"/>
      <c r="O64" s="1085"/>
      <c r="P64" s="1086"/>
      <c r="Q64" s="1098"/>
      <c r="R64" s="996"/>
      <c r="S64" s="996"/>
      <c r="T64" s="996"/>
      <c r="U64" s="996"/>
      <c r="V64" s="996"/>
      <c r="W64" s="996"/>
      <c r="X64" s="996"/>
      <c r="Y64" s="996"/>
      <c r="Z64" s="996"/>
      <c r="AA64" s="996"/>
      <c r="AB64" s="996"/>
      <c r="AC64" s="996"/>
      <c r="AD64" s="996"/>
      <c r="AE64" s="996"/>
    </row>
    <row r="65" spans="1:31" s="885" customFormat="1" ht="15">
      <c r="A65" s="1107" t="s">
        <v>1535</v>
      </c>
      <c r="B65" s="1108"/>
      <c r="C65" s="1109" t="str">
        <f>YEAR(C63)&amp;"-"&amp;ROUNDUP(MONTH(C63)/3,0)</f>
        <v>2021-2</v>
      </c>
      <c r="D65" s="1109" t="str">
        <f t="shared" ref="D65:O65" si="18">YEAR(D63)&amp;"-"&amp;ROUNDUP(MONTH(D63)/3,0)</f>
        <v>2021-1</v>
      </c>
      <c r="E65" s="1109" t="str">
        <f t="shared" si="18"/>
        <v>2020-4</v>
      </c>
      <c r="F65" s="1109" t="str">
        <f t="shared" si="18"/>
        <v>2020-3</v>
      </c>
      <c r="G65" s="1109" t="str">
        <f t="shared" si="18"/>
        <v>2020-2</v>
      </c>
      <c r="H65" s="1109" t="str">
        <f t="shared" si="18"/>
        <v>2020-1</v>
      </c>
      <c r="I65" s="1109" t="str">
        <f t="shared" si="18"/>
        <v>2019-4</v>
      </c>
      <c r="J65" s="1109" t="str">
        <f t="shared" si="18"/>
        <v>2019-3</v>
      </c>
      <c r="K65" s="1109" t="str">
        <f t="shared" si="18"/>
        <v>2019-2</v>
      </c>
      <c r="L65" s="1109" t="str">
        <f t="shared" si="18"/>
        <v>2019-1</v>
      </c>
      <c r="M65" s="1109" t="str">
        <f t="shared" si="18"/>
        <v>2018-4</v>
      </c>
      <c r="N65" s="1109" t="str">
        <f t="shared" si="18"/>
        <v>2018-3</v>
      </c>
      <c r="O65" s="1109" t="str">
        <f t="shared" si="18"/>
        <v>2018-2</v>
      </c>
      <c r="P65" s="1161"/>
      <c r="Q65" s="1217"/>
      <c r="R65" s="1217"/>
      <c r="S65" s="1217"/>
      <c r="T65" s="1217"/>
      <c r="U65" s="1217"/>
      <c r="V65" s="1217"/>
      <c r="W65" s="1217"/>
      <c r="X65" s="1217"/>
      <c r="Y65" s="1217"/>
      <c r="Z65" s="1217"/>
      <c r="AA65" s="1217"/>
      <c r="AB65" s="1217"/>
      <c r="AC65" s="1217"/>
      <c r="AD65" s="1217"/>
      <c r="AE65" s="1217"/>
    </row>
    <row r="66" spans="1:31" s="880" customFormat="1" ht="30.75" customHeight="1">
      <c r="A66" s="1110" t="s">
        <v>1545</v>
      </c>
      <c r="B66" s="1111" t="str">
        <f>"北京市平均增长率"&amp;TEXT(基准地价修正!P24,"0.00%")</f>
        <v>北京市平均增长率0.00%</v>
      </c>
      <c r="C66" s="815">
        <v>100</v>
      </c>
      <c r="D66" s="1112"/>
      <c r="E66" s="1112"/>
      <c r="F66" s="1112"/>
      <c r="G66" s="1112"/>
      <c r="H66" s="1112"/>
      <c r="I66" s="1112"/>
      <c r="J66" s="1112"/>
      <c r="K66" s="1112"/>
      <c r="L66" s="1112"/>
      <c r="M66" s="1162"/>
      <c r="N66" s="1162"/>
      <c r="O66" s="1163"/>
      <c r="P66" s="1098"/>
      <c r="Q66" s="1218"/>
      <c r="R66" s="1218"/>
      <c r="S66" s="1218"/>
      <c r="T66" s="1218"/>
      <c r="U66" s="1218"/>
      <c r="V66" s="1218"/>
      <c r="W66" s="1218"/>
      <c r="X66" s="1218"/>
      <c r="Y66" s="1218"/>
      <c r="Z66" s="1218"/>
      <c r="AA66" s="1218"/>
      <c r="AB66" s="1218"/>
      <c r="AC66" s="1218"/>
      <c r="AD66" s="1218"/>
      <c r="AE66" s="1218"/>
    </row>
    <row r="67" spans="1:31" s="880" customFormat="1" ht="15">
      <c r="A67" s="1113" t="s">
        <v>1407</v>
      </c>
      <c r="B67" s="1114"/>
      <c r="C67" s="1115"/>
      <c r="D67" s="1116"/>
      <c r="E67" s="1116"/>
      <c r="F67" s="1116"/>
      <c r="G67" s="1116"/>
      <c r="H67" s="1116"/>
      <c r="I67" s="1116"/>
      <c r="J67" s="1116"/>
      <c r="K67" s="1116"/>
      <c r="L67" s="1116"/>
      <c r="M67" s="1164"/>
      <c r="N67" s="1164"/>
      <c r="O67" s="1165"/>
      <c r="P67" s="1098"/>
      <c r="Q67" s="1098"/>
      <c r="R67" s="1218"/>
      <c r="S67" s="1218"/>
      <c r="T67" s="1218"/>
      <c r="U67" s="1218"/>
      <c r="V67" s="1218"/>
      <c r="W67" s="1218"/>
      <c r="X67" s="1218"/>
      <c r="Y67" s="1218"/>
      <c r="Z67" s="1218"/>
      <c r="AA67" s="1218"/>
      <c r="AB67" s="1218"/>
      <c r="AC67" s="1218"/>
      <c r="AD67" s="1218"/>
      <c r="AE67" s="1218"/>
    </row>
    <row r="68" spans="1:31" s="880" customFormat="1" ht="15">
      <c r="A68" s="1117" t="s">
        <v>1368</v>
      </c>
      <c r="B68" s="1118"/>
      <c r="C68" s="1119" t="s">
        <v>1369</v>
      </c>
      <c r="D68" s="1120"/>
      <c r="E68" s="1120"/>
      <c r="F68" s="1120"/>
      <c r="G68" s="1120"/>
      <c r="H68" s="1120"/>
      <c r="I68" s="1120"/>
      <c r="J68" s="1120"/>
      <c r="K68" s="1120"/>
      <c r="L68" s="1166"/>
      <c r="M68" s="1167"/>
      <c r="N68" s="1168"/>
      <c r="O68" s="1168"/>
      <c r="P68" s="1169"/>
      <c r="Q68" s="1098"/>
      <c r="R68" s="1218"/>
      <c r="S68" s="1218"/>
      <c r="T68" s="1218"/>
      <c r="U68" s="1218"/>
      <c r="V68" s="1218"/>
      <c r="W68" s="1218"/>
      <c r="X68" s="1218"/>
      <c r="Y68" s="1218"/>
      <c r="Z68" s="1218"/>
      <c r="AA68" s="1218"/>
      <c r="AB68" s="1218"/>
      <c r="AC68" s="1218"/>
      <c r="AD68" s="1218"/>
      <c r="AE68" s="1218"/>
    </row>
    <row r="69" spans="1:31" s="880" customFormat="1" ht="15">
      <c r="A69" s="1117"/>
      <c r="B69" s="1118"/>
      <c r="C69" s="1121">
        <v>100</v>
      </c>
      <c r="D69" s="1122"/>
      <c r="E69" s="1122"/>
      <c r="F69" s="1122"/>
      <c r="G69" s="1122"/>
      <c r="H69" s="1122"/>
      <c r="I69" s="1122"/>
      <c r="J69" s="1122"/>
      <c r="K69" s="1122"/>
      <c r="L69" s="1122"/>
      <c r="M69" s="1170"/>
      <c r="N69" s="1168"/>
      <c r="O69" s="1168"/>
      <c r="P69" s="1098"/>
      <c r="Q69" s="1098"/>
      <c r="R69" s="1218"/>
      <c r="S69" s="1218"/>
      <c r="T69" s="1218"/>
      <c r="U69" s="1218"/>
      <c r="V69" s="1218"/>
      <c r="W69" s="1218"/>
      <c r="X69" s="1218"/>
      <c r="Y69" s="1218"/>
      <c r="Z69" s="1218"/>
      <c r="AA69" s="1218"/>
      <c r="AB69" s="1218"/>
      <c r="AC69" s="1218"/>
      <c r="AD69" s="1218"/>
      <c r="AE69" s="1218"/>
    </row>
    <row r="70" spans="1:31">
      <c r="A70" s="1123" t="s">
        <v>1408</v>
      </c>
      <c r="B70" s="1124" t="s">
        <v>1372</v>
      </c>
      <c r="C70" s="1066"/>
      <c r="D70" s="1066"/>
      <c r="E70" s="1066"/>
      <c r="F70" s="1066"/>
      <c r="G70" s="1066"/>
      <c r="H70" s="1066"/>
      <c r="I70" s="1066"/>
      <c r="J70" s="1066"/>
      <c r="K70" s="1171"/>
      <c r="L70" s="1172"/>
      <c r="M70" s="1173"/>
      <c r="N70" s="1174"/>
      <c r="O70" s="1174"/>
      <c r="P70" s="1175"/>
      <c r="Q70" s="1098"/>
      <c r="R70" s="996"/>
      <c r="S70" s="996"/>
      <c r="T70" s="996"/>
      <c r="U70" s="996"/>
      <c r="V70" s="996"/>
      <c r="W70" s="996"/>
      <c r="X70" s="996"/>
      <c r="Y70" s="996"/>
      <c r="Z70" s="996"/>
      <c r="AA70" s="996"/>
      <c r="AB70" s="996"/>
      <c r="AC70" s="996"/>
      <c r="AD70" s="996"/>
      <c r="AE70" s="996"/>
    </row>
    <row r="71" spans="1:31" ht="15">
      <c r="A71" s="1125"/>
      <c r="B71" s="1126"/>
      <c r="C71" s="1127"/>
      <c r="D71" s="1127"/>
      <c r="E71" s="1127"/>
      <c r="F71" s="1127"/>
      <c r="G71" s="1127"/>
      <c r="H71" s="1127"/>
      <c r="I71" s="1127"/>
      <c r="J71" s="1127"/>
      <c r="K71" s="1127"/>
      <c r="L71" s="1127"/>
      <c r="M71" s="1176"/>
      <c r="N71" s="1177"/>
      <c r="O71" s="1177"/>
      <c r="P71" s="1175"/>
      <c r="Q71" s="1098"/>
      <c r="R71" s="996"/>
      <c r="S71" s="996"/>
      <c r="T71" s="996"/>
      <c r="U71" s="996"/>
      <c r="V71" s="996"/>
      <c r="W71" s="996"/>
      <c r="X71" s="996"/>
      <c r="Y71" s="996"/>
      <c r="Z71" s="996"/>
      <c r="AA71" s="996"/>
      <c r="AB71" s="996"/>
      <c r="AC71" s="996"/>
      <c r="AD71" s="996"/>
      <c r="AE71" s="996"/>
    </row>
    <row r="72" spans="1:31" ht="27">
      <c r="A72" s="1125"/>
      <c r="B72" s="1128" t="s">
        <v>1375</v>
      </c>
      <c r="C72" s="1129"/>
      <c r="D72" s="1129"/>
      <c r="E72" s="1129"/>
      <c r="F72" s="1129"/>
      <c r="G72" s="1129"/>
      <c r="H72" s="1129"/>
      <c r="I72" s="1129"/>
      <c r="J72" s="1129"/>
      <c r="K72" s="1178"/>
      <c r="L72" s="1179"/>
      <c r="M72" s="1180"/>
      <c r="N72" s="1174"/>
      <c r="O72" s="1174"/>
      <c r="P72" s="1175"/>
      <c r="Q72" s="1098"/>
      <c r="R72" s="996"/>
      <c r="S72" s="996"/>
      <c r="T72" s="996"/>
      <c r="U72" s="996"/>
      <c r="V72" s="996"/>
      <c r="W72" s="996"/>
      <c r="X72" s="996"/>
      <c r="Y72" s="996"/>
      <c r="Z72" s="996"/>
      <c r="AA72" s="996"/>
      <c r="AB72" s="996"/>
      <c r="AC72" s="996"/>
      <c r="AD72" s="996"/>
      <c r="AE72" s="996"/>
    </row>
    <row r="73" spans="1:31" ht="15">
      <c r="A73" s="1125"/>
      <c r="B73" s="1130"/>
      <c r="C73" s="1131"/>
      <c r="D73" s="1131"/>
      <c r="E73" s="1131"/>
      <c r="F73" s="1131"/>
      <c r="G73" s="1131"/>
      <c r="H73" s="1131"/>
      <c r="I73" s="1131"/>
      <c r="J73" s="1131"/>
      <c r="K73" s="1131"/>
      <c r="L73" s="1131"/>
      <c r="M73" s="1181"/>
      <c r="N73" s="1177"/>
      <c r="O73" s="1177"/>
      <c r="P73" s="1175"/>
      <c r="Q73" s="1098"/>
      <c r="R73" s="996"/>
      <c r="S73" s="996"/>
      <c r="T73" s="996"/>
      <c r="U73" s="996"/>
      <c r="V73" s="996"/>
      <c r="W73" s="996"/>
      <c r="X73" s="996"/>
      <c r="Y73" s="996"/>
      <c r="Z73" s="996"/>
      <c r="AA73" s="996"/>
      <c r="AB73" s="996"/>
      <c r="AC73" s="996"/>
      <c r="AD73" s="996"/>
      <c r="AE73" s="996"/>
    </row>
    <row r="74" spans="1:31" ht="15">
      <c r="A74" s="1125"/>
      <c r="B74" s="1132" t="s">
        <v>1376</v>
      </c>
      <c r="C74" s="1133" t="str">
        <f>C75&amp;"（含）"&amp;"-"&amp;D75</f>
        <v>（含）-</v>
      </c>
      <c r="D74" s="1133" t="str">
        <f t="shared" ref="D74:L74" si="19">D75&amp;"（含）"&amp;"-"&amp;E75</f>
        <v>（含）-</v>
      </c>
      <c r="E74" s="1133" t="str">
        <f t="shared" si="19"/>
        <v>（含）-</v>
      </c>
      <c r="F74" s="1133" t="str">
        <f t="shared" si="19"/>
        <v>（含）-</v>
      </c>
      <c r="G74" s="1133" t="str">
        <f t="shared" si="19"/>
        <v>（含）-</v>
      </c>
      <c r="H74" s="1133" t="str">
        <f t="shared" si="19"/>
        <v>（含）-</v>
      </c>
      <c r="I74" s="1133" t="str">
        <f t="shared" si="19"/>
        <v>（含）-</v>
      </c>
      <c r="J74" s="1133" t="str">
        <f t="shared" si="19"/>
        <v>（含）-</v>
      </c>
      <c r="K74" s="1133" t="str">
        <f t="shared" si="19"/>
        <v>（含）-</v>
      </c>
      <c r="L74" s="1133" t="str">
        <f t="shared" si="19"/>
        <v>（含）-</v>
      </c>
      <c r="M74" s="942" t="str">
        <f>M75&amp;"（含）"&amp;"-"&amp;P75</f>
        <v>（含）-</v>
      </c>
      <c r="N74" s="1177"/>
      <c r="O74" s="1177"/>
      <c r="P74" s="1175"/>
      <c r="Q74" s="1098"/>
      <c r="R74" s="996"/>
      <c r="S74" s="996"/>
      <c r="T74" s="996"/>
      <c r="U74" s="996"/>
      <c r="V74" s="996"/>
      <c r="W74" s="996"/>
      <c r="X74" s="996"/>
      <c r="Y74" s="996"/>
      <c r="Z74" s="996"/>
      <c r="AA74" s="996"/>
      <c r="AB74" s="996"/>
      <c r="AC74" s="996"/>
      <c r="AD74" s="996"/>
      <c r="AE74" s="996"/>
    </row>
    <row r="75" spans="1:31" ht="15">
      <c r="A75" s="1125"/>
      <c r="B75" s="1134"/>
      <c r="C75" s="927"/>
      <c r="D75" s="927"/>
      <c r="E75" s="927"/>
      <c r="F75" s="927"/>
      <c r="G75" s="927"/>
      <c r="H75" s="927"/>
      <c r="I75" s="927"/>
      <c r="J75" s="927"/>
      <c r="K75" s="1182"/>
      <c r="L75" s="1183"/>
      <c r="M75" s="1184"/>
      <c r="N75" s="1174"/>
      <c r="O75" s="1174"/>
      <c r="P75" s="1175"/>
      <c r="Q75" s="1098"/>
      <c r="R75" s="996"/>
      <c r="S75" s="996"/>
      <c r="T75" s="996"/>
      <c r="U75" s="996"/>
      <c r="V75" s="996"/>
      <c r="W75" s="996"/>
      <c r="X75" s="996"/>
      <c r="Y75" s="996"/>
      <c r="Z75" s="996"/>
      <c r="AA75" s="996"/>
      <c r="AB75" s="996"/>
      <c r="AC75" s="996"/>
      <c r="AD75" s="996"/>
      <c r="AE75" s="996"/>
    </row>
    <row r="76" spans="1:31" ht="15">
      <c r="A76" s="1125"/>
      <c r="B76" s="1126"/>
      <c r="C76" s="1131">
        <v>100</v>
      </c>
      <c r="D76" s="1131">
        <f>IF($B$41="单位面积地价",C76+$K11,C76-$K11)</f>
        <v>100</v>
      </c>
      <c r="E76" s="1131">
        <f t="shared" ref="E76:M76" si="20">IF($B$41="单位面积地价",D76+$K11,D76-$K11)</f>
        <v>100</v>
      </c>
      <c r="F76" s="1131">
        <f t="shared" si="20"/>
        <v>100</v>
      </c>
      <c r="G76" s="1131">
        <f t="shared" si="20"/>
        <v>100</v>
      </c>
      <c r="H76" s="1131">
        <f t="shared" si="20"/>
        <v>100</v>
      </c>
      <c r="I76" s="1131">
        <f t="shared" si="20"/>
        <v>100</v>
      </c>
      <c r="J76" s="1131">
        <f t="shared" si="20"/>
        <v>100</v>
      </c>
      <c r="K76" s="1131">
        <f t="shared" si="20"/>
        <v>100</v>
      </c>
      <c r="L76" s="1131">
        <f t="shared" si="20"/>
        <v>100</v>
      </c>
      <c r="M76" s="1131">
        <f t="shared" si="20"/>
        <v>100</v>
      </c>
      <c r="N76" s="1177"/>
      <c r="O76" s="1177"/>
      <c r="P76" s="1175"/>
      <c r="Q76" s="1098"/>
      <c r="R76" s="996"/>
      <c r="S76" s="996"/>
      <c r="T76" s="996"/>
      <c r="U76" s="996"/>
      <c r="V76" s="996"/>
      <c r="W76" s="996"/>
      <c r="X76" s="996"/>
      <c r="Y76" s="996"/>
      <c r="Z76" s="996"/>
      <c r="AA76" s="996"/>
      <c r="AB76" s="996"/>
      <c r="AC76" s="996"/>
      <c r="AD76" s="996"/>
      <c r="AE76" s="996"/>
    </row>
    <row r="77" spans="1:31" s="882" customFormat="1" ht="15">
      <c r="A77" s="1135"/>
      <c r="B77" s="1128">
        <f>B12</f>
        <v>111</v>
      </c>
      <c r="C77" s="1136"/>
      <c r="D77" s="1136"/>
      <c r="E77" s="1136"/>
      <c r="F77" s="1136"/>
      <c r="G77" s="1136"/>
      <c r="H77" s="1137"/>
      <c r="I77" s="1137"/>
      <c r="J77" s="1137"/>
      <c r="K77" s="1137"/>
      <c r="L77" s="1185"/>
      <c r="M77" s="1186"/>
      <c r="N77" s="1187"/>
      <c r="O77" s="1187"/>
      <c r="P77" s="1188"/>
      <c r="Q77" s="1219"/>
      <c r="R77" s="1220"/>
      <c r="S77" s="1220"/>
      <c r="T77" s="1220"/>
      <c r="U77" s="1220"/>
      <c r="V77" s="1220"/>
      <c r="W77" s="1220"/>
      <c r="X77" s="1220"/>
      <c r="Y77" s="1220"/>
      <c r="Z77" s="1220"/>
      <c r="AA77" s="1220"/>
      <c r="AB77" s="1220"/>
      <c r="AC77" s="1220"/>
      <c r="AD77" s="1220"/>
      <c r="AE77" s="1220"/>
    </row>
    <row r="78" spans="1:31" s="882" customFormat="1" ht="15">
      <c r="A78" s="1135"/>
      <c r="B78" s="1130"/>
      <c r="C78" s="1138"/>
      <c r="D78" s="1127"/>
      <c r="E78" s="1127"/>
      <c r="F78" s="1127"/>
      <c r="G78" s="1127"/>
      <c r="H78" s="1127"/>
      <c r="I78" s="1127"/>
      <c r="J78" s="1127"/>
      <c r="K78" s="1127"/>
      <c r="L78" s="1127"/>
      <c r="M78" s="1176"/>
      <c r="N78" s="1177"/>
      <c r="O78" s="1177"/>
      <c r="P78" s="1188"/>
      <c r="Q78" s="1219"/>
      <c r="R78" s="1220"/>
      <c r="S78" s="1220"/>
      <c r="T78" s="1220"/>
      <c r="U78" s="1220"/>
      <c r="V78" s="1220"/>
      <c r="W78" s="1220"/>
      <c r="X78" s="1220"/>
      <c r="Y78" s="1220"/>
      <c r="Z78" s="1220"/>
      <c r="AA78" s="1220"/>
      <c r="AB78" s="1220"/>
      <c r="AC78" s="1220"/>
      <c r="AD78" s="1220"/>
      <c r="AE78" s="1220"/>
    </row>
    <row r="79" spans="1:31" s="882" customFormat="1" ht="15">
      <c r="A79" s="1135"/>
      <c r="B79" s="1128">
        <f>B13</f>
        <v>111</v>
      </c>
      <c r="C79" s="1136"/>
      <c r="D79" s="1136"/>
      <c r="E79" s="1136"/>
      <c r="F79" s="1136"/>
      <c r="G79" s="1136"/>
      <c r="H79" s="1137"/>
      <c r="I79" s="1137"/>
      <c r="J79" s="1137"/>
      <c r="K79" s="1137"/>
      <c r="L79" s="1185"/>
      <c r="M79" s="1186"/>
      <c r="N79" s="1187"/>
      <c r="O79" s="1187"/>
      <c r="P79" s="1064"/>
      <c r="Q79" s="1221"/>
      <c r="R79" s="1220"/>
      <c r="S79" s="1220"/>
      <c r="T79" s="1220"/>
      <c r="U79" s="1220"/>
      <c r="V79" s="1220"/>
      <c r="W79" s="1220"/>
      <c r="X79" s="1220"/>
      <c r="Y79" s="1220"/>
      <c r="Z79" s="1220"/>
      <c r="AA79" s="1220"/>
      <c r="AB79" s="1220"/>
      <c r="AC79" s="1220"/>
      <c r="AD79" s="1220"/>
      <c r="AE79" s="1220"/>
    </row>
    <row r="80" spans="1:31" s="882" customFormat="1" ht="15">
      <c r="A80" s="1135"/>
      <c r="B80" s="1130"/>
      <c r="C80" s="1138"/>
      <c r="D80" s="1138"/>
      <c r="E80" s="1138"/>
      <c r="F80" s="1138"/>
      <c r="G80" s="1138"/>
      <c r="H80" s="1139"/>
      <c r="I80" s="1139"/>
      <c r="J80" s="1139"/>
      <c r="K80" s="1139"/>
      <c r="L80" s="1139"/>
      <c r="M80" s="1189"/>
      <c r="N80" s="1187"/>
      <c r="O80" s="1187"/>
      <c r="P80" s="1188"/>
      <c r="Q80" s="1219"/>
      <c r="R80" s="1220"/>
      <c r="S80" s="1220"/>
      <c r="T80" s="1220"/>
      <c r="U80" s="1220"/>
      <c r="V80" s="1220"/>
      <c r="W80" s="1220"/>
      <c r="X80" s="1220"/>
      <c r="Y80" s="1220"/>
      <c r="Z80" s="1220"/>
      <c r="AA80" s="1220"/>
      <c r="AB80" s="1220"/>
      <c r="AC80" s="1220"/>
      <c r="AD80" s="1220"/>
      <c r="AE80" s="1220"/>
    </row>
    <row r="81" spans="1:31" s="882" customFormat="1" ht="15">
      <c r="A81" s="1135"/>
      <c r="B81" s="1132">
        <f>B14</f>
        <v>111</v>
      </c>
      <c r="C81" s="1120"/>
      <c r="D81" s="1120"/>
      <c r="E81" s="1120"/>
      <c r="F81" s="1120"/>
      <c r="G81" s="1120"/>
      <c r="H81" s="1140"/>
      <c r="I81" s="1140"/>
      <c r="J81" s="1140"/>
      <c r="K81" s="1140"/>
      <c r="L81" s="1190"/>
      <c r="M81" s="1191"/>
      <c r="N81" s="1187"/>
      <c r="O81" s="1187"/>
      <c r="P81" s="1192"/>
      <c r="Q81" s="1219"/>
      <c r="R81" s="1220"/>
      <c r="S81" s="1220"/>
      <c r="T81" s="1220"/>
      <c r="U81" s="1220"/>
      <c r="V81" s="1220"/>
      <c r="W81" s="1220"/>
      <c r="X81" s="1220"/>
      <c r="Y81" s="1220"/>
      <c r="Z81" s="1220"/>
      <c r="AA81" s="1220"/>
      <c r="AB81" s="1220"/>
      <c r="AC81" s="1220"/>
      <c r="AD81" s="1220"/>
      <c r="AE81" s="1220"/>
    </row>
    <row r="82" spans="1:31" s="882" customFormat="1" ht="15">
      <c r="A82" s="1141"/>
      <c r="B82" s="1142"/>
      <c r="C82" s="1143"/>
      <c r="D82" s="1143"/>
      <c r="E82" s="1143"/>
      <c r="F82" s="1143"/>
      <c r="G82" s="1143"/>
      <c r="H82" s="1144"/>
      <c r="I82" s="1144"/>
      <c r="J82" s="1144"/>
      <c r="K82" s="1144"/>
      <c r="L82" s="1144"/>
      <c r="M82" s="1193"/>
      <c r="N82" s="1187"/>
      <c r="O82" s="1187"/>
      <c r="P82" s="1188"/>
      <c r="Q82" s="1219"/>
      <c r="R82" s="1220"/>
      <c r="S82" s="1220"/>
      <c r="T82" s="1220"/>
      <c r="U82" s="1220"/>
      <c r="V82" s="1220"/>
      <c r="W82" s="1220"/>
      <c r="X82" s="1220"/>
      <c r="Y82" s="1220"/>
      <c r="Z82" s="1220"/>
      <c r="AA82" s="1220"/>
      <c r="AB82" s="1220"/>
      <c r="AC82" s="1220"/>
      <c r="AD82" s="1220"/>
      <c r="AE82" s="1220"/>
    </row>
    <row r="83" spans="1:31">
      <c r="A83" s="1123" t="s">
        <v>1377</v>
      </c>
      <c r="B83" s="1124" t="s">
        <v>1467</v>
      </c>
      <c r="C83" s="1145" t="s">
        <v>1416</v>
      </c>
      <c r="D83" s="1145" t="s">
        <v>1417</v>
      </c>
      <c r="E83" s="1145" t="s">
        <v>1418</v>
      </c>
      <c r="F83" s="1145" t="s">
        <v>1419</v>
      </c>
      <c r="G83" s="1145" t="s">
        <v>1420</v>
      </c>
      <c r="H83" s="1146"/>
      <c r="I83" s="1146"/>
      <c r="J83" s="1146"/>
      <c r="K83" s="1194"/>
      <c r="L83" s="1195"/>
      <c r="M83" s="1196"/>
      <c r="N83" s="1174"/>
      <c r="O83" s="1174"/>
      <c r="P83" s="1197"/>
      <c r="Q83" s="1098"/>
      <c r="R83" s="996"/>
      <c r="S83" s="996"/>
      <c r="T83" s="996"/>
      <c r="U83" s="996"/>
      <c r="V83" s="996"/>
      <c r="W83" s="996"/>
      <c r="X83" s="996"/>
      <c r="Y83" s="996"/>
      <c r="Z83" s="996"/>
      <c r="AA83" s="996"/>
      <c r="AB83" s="996"/>
      <c r="AC83" s="996"/>
      <c r="AD83" s="996"/>
      <c r="AE83" s="996"/>
    </row>
    <row r="84" spans="1:31" ht="15">
      <c r="A84" s="1125"/>
      <c r="B84" s="1130"/>
      <c r="C84" s="1131">
        <v>100</v>
      </c>
      <c r="D84" s="1131">
        <f>C84-$K15</f>
        <v>100</v>
      </c>
      <c r="E84" s="1131">
        <f>D84-$K15</f>
        <v>100</v>
      </c>
      <c r="F84" s="1131">
        <f>E84-$K15</f>
        <v>100</v>
      </c>
      <c r="G84" s="1131">
        <f>F84-$K15</f>
        <v>100</v>
      </c>
      <c r="H84" s="1131"/>
      <c r="I84" s="1131"/>
      <c r="J84" s="1131"/>
      <c r="K84" s="1131"/>
      <c r="L84" s="1131"/>
      <c r="M84" s="1181"/>
      <c r="N84" s="1177"/>
      <c r="O84" s="1177"/>
      <c r="P84" s="1175"/>
      <c r="Q84" s="1098"/>
      <c r="R84" s="996"/>
      <c r="S84" s="996"/>
      <c r="T84" s="996"/>
      <c r="U84" s="996"/>
      <c r="V84" s="996"/>
      <c r="W84" s="996"/>
      <c r="X84" s="996"/>
      <c r="Y84" s="996"/>
      <c r="Z84" s="996"/>
      <c r="AA84" s="996"/>
      <c r="AB84" s="996"/>
      <c r="AC84" s="996"/>
      <c r="AD84" s="996"/>
      <c r="AE84" s="996"/>
    </row>
    <row r="85" spans="1:31" ht="15">
      <c r="A85" s="1125"/>
      <c r="B85" s="1128" t="s">
        <v>1380</v>
      </c>
      <c r="C85" s="1147" t="s">
        <v>1416</v>
      </c>
      <c r="D85" s="1147" t="s">
        <v>1417</v>
      </c>
      <c r="E85" s="1147" t="s">
        <v>1418</v>
      </c>
      <c r="F85" s="1147" t="s">
        <v>1419</v>
      </c>
      <c r="G85" s="1147" t="s">
        <v>1420</v>
      </c>
      <c r="H85" s="1129"/>
      <c r="I85" s="1129"/>
      <c r="J85" s="1129"/>
      <c r="K85" s="1178"/>
      <c r="L85" s="1179"/>
      <c r="M85" s="1180"/>
      <c r="N85" s="1174"/>
      <c r="O85" s="1174"/>
      <c r="P85" s="1175"/>
      <c r="Q85" s="1098"/>
      <c r="R85" s="996"/>
      <c r="S85" s="996"/>
      <c r="T85" s="996"/>
      <c r="U85" s="996"/>
      <c r="V85" s="996"/>
      <c r="W85" s="996"/>
      <c r="X85" s="996"/>
      <c r="Y85" s="996"/>
      <c r="Z85" s="996"/>
      <c r="AA85" s="996"/>
      <c r="AB85" s="996"/>
      <c r="AC85" s="996"/>
      <c r="AD85" s="996"/>
      <c r="AE85" s="996"/>
    </row>
    <row r="86" spans="1:31" ht="15">
      <c r="A86" s="1125"/>
      <c r="B86" s="1130"/>
      <c r="C86" s="1131">
        <v>100</v>
      </c>
      <c r="D86" s="1131">
        <f>C86-$K17</f>
        <v>100</v>
      </c>
      <c r="E86" s="1131">
        <f>D86-$K17</f>
        <v>100</v>
      </c>
      <c r="F86" s="1131">
        <f>E86-$K17</f>
        <v>100</v>
      </c>
      <c r="G86" s="1131">
        <f>F86-$K17</f>
        <v>100</v>
      </c>
      <c r="H86" s="1131"/>
      <c r="I86" s="1131"/>
      <c r="J86" s="1131"/>
      <c r="K86" s="1131"/>
      <c r="L86" s="1131"/>
      <c r="M86" s="1181"/>
      <c r="N86" s="1177"/>
      <c r="O86" s="1177"/>
      <c r="P86" s="1175"/>
      <c r="Q86" s="1098"/>
      <c r="R86" s="996"/>
      <c r="S86" s="996"/>
      <c r="T86" s="996"/>
      <c r="U86" s="996"/>
      <c r="V86" s="996"/>
      <c r="W86" s="996"/>
      <c r="X86" s="996"/>
      <c r="Y86" s="996"/>
      <c r="Z86" s="996"/>
      <c r="AA86" s="996"/>
      <c r="AB86" s="996"/>
      <c r="AC86" s="996"/>
      <c r="AD86" s="996"/>
      <c r="AE86" s="996"/>
    </row>
    <row r="87" spans="1:31" s="880" customFormat="1" ht="15">
      <c r="A87" s="1148"/>
      <c r="B87" s="1128" t="s">
        <v>1500</v>
      </c>
      <c r="C87" s="1145" t="s">
        <v>1416</v>
      </c>
      <c r="D87" s="1145" t="s">
        <v>1417</v>
      </c>
      <c r="E87" s="1145" t="s">
        <v>1418</v>
      </c>
      <c r="F87" s="1145" t="s">
        <v>1419</v>
      </c>
      <c r="G87" s="1145" t="s">
        <v>1420</v>
      </c>
      <c r="H87" s="1147"/>
      <c r="I87" s="1147"/>
      <c r="J87" s="1147"/>
      <c r="K87" s="1147"/>
      <c r="L87" s="1198"/>
      <c r="M87" s="1199"/>
      <c r="N87" s="1168"/>
      <c r="O87" s="1168"/>
      <c r="P87" s="1175"/>
      <c r="Q87" s="1098"/>
      <c r="R87" s="1218"/>
      <c r="S87" s="1218"/>
      <c r="T87" s="1218"/>
      <c r="U87" s="1218"/>
      <c r="V87" s="1218"/>
      <c r="W87" s="1218"/>
      <c r="X87" s="1218"/>
      <c r="Y87" s="1218"/>
      <c r="Z87" s="1218"/>
      <c r="AA87" s="1218"/>
      <c r="AB87" s="1218"/>
      <c r="AC87" s="1218"/>
      <c r="AD87" s="1218"/>
      <c r="AE87" s="1218"/>
    </row>
    <row r="88" spans="1:31" s="880" customFormat="1" ht="15">
      <c r="A88" s="1148"/>
      <c r="B88" s="1130"/>
      <c r="C88" s="1149">
        <v>100</v>
      </c>
      <c r="D88" s="1131">
        <f>C88-$K19</f>
        <v>100</v>
      </c>
      <c r="E88" s="1131">
        <f>D88-$K19</f>
        <v>100</v>
      </c>
      <c r="F88" s="1131">
        <f>E88-$K19</f>
        <v>100</v>
      </c>
      <c r="G88" s="1131">
        <f>F88-$K19</f>
        <v>100</v>
      </c>
      <c r="H88" s="1131"/>
      <c r="I88" s="1131"/>
      <c r="J88" s="1131"/>
      <c r="K88" s="1131"/>
      <c r="L88" s="1131"/>
      <c r="M88" s="1181"/>
      <c r="N88" s="1177"/>
      <c r="O88" s="1177"/>
      <c r="P88" s="1175"/>
      <c r="Q88" s="1098"/>
      <c r="R88" s="1218"/>
      <c r="S88" s="1218"/>
      <c r="T88" s="1218"/>
      <c r="U88" s="1218"/>
      <c r="V88" s="1218"/>
      <c r="W88" s="1218"/>
      <c r="X88" s="1218"/>
      <c r="Y88" s="1218"/>
      <c r="Z88" s="1218"/>
      <c r="AA88" s="1218"/>
      <c r="AB88" s="1218"/>
      <c r="AC88" s="1218"/>
      <c r="AD88" s="1218"/>
      <c r="AE88" s="1218"/>
    </row>
    <row r="89" spans="1:31" s="880" customFormat="1" ht="27">
      <c r="A89" s="1148"/>
      <c r="B89" s="1128" t="s">
        <v>1501</v>
      </c>
      <c r="C89" s="1145" t="s">
        <v>1416</v>
      </c>
      <c r="D89" s="1145" t="s">
        <v>1417</v>
      </c>
      <c r="E89" s="1145" t="s">
        <v>1418</v>
      </c>
      <c r="F89" s="1145" t="s">
        <v>1419</v>
      </c>
      <c r="G89" s="1145" t="s">
        <v>1420</v>
      </c>
      <c r="H89" s="1147"/>
      <c r="I89" s="1147"/>
      <c r="J89" s="1147"/>
      <c r="K89" s="1147"/>
      <c r="L89" s="1147"/>
      <c r="M89" s="1199"/>
      <c r="N89" s="1168"/>
      <c r="O89" s="1168"/>
      <c r="P89" s="1175"/>
      <c r="Q89" s="1098"/>
      <c r="R89" s="1218"/>
      <c r="S89" s="1218"/>
      <c r="T89" s="1218"/>
      <c r="U89" s="1218"/>
      <c r="V89" s="1218"/>
      <c r="W89" s="1218"/>
      <c r="X89" s="1218"/>
      <c r="Y89" s="1218"/>
      <c r="Z89" s="1218"/>
      <c r="AA89" s="1218"/>
      <c r="AB89" s="1218"/>
      <c r="AC89" s="1218"/>
      <c r="AD89" s="1218"/>
      <c r="AE89" s="1218"/>
    </row>
    <row r="90" spans="1:31" s="880" customFormat="1" ht="15">
      <c r="A90" s="1148"/>
      <c r="B90" s="1130"/>
      <c r="C90" s="1131">
        <v>100</v>
      </c>
      <c r="D90" s="1131">
        <f>C90-$K21</f>
        <v>100</v>
      </c>
      <c r="E90" s="1131">
        <f>D90-$K21</f>
        <v>100</v>
      </c>
      <c r="F90" s="1131">
        <f>E90-$K21</f>
        <v>100</v>
      </c>
      <c r="G90" s="1131">
        <f>F90-$K21</f>
        <v>100</v>
      </c>
      <c r="H90" s="1131"/>
      <c r="I90" s="1131"/>
      <c r="J90" s="1131"/>
      <c r="K90" s="1131"/>
      <c r="L90" s="1131"/>
      <c r="M90" s="1181"/>
      <c r="N90" s="1177"/>
      <c r="O90" s="1177"/>
      <c r="P90" s="1175"/>
      <c r="Q90" s="1098"/>
      <c r="R90" s="1218"/>
      <c r="S90" s="1218"/>
      <c r="T90" s="1218"/>
      <c r="U90" s="1218"/>
      <c r="V90" s="1218"/>
      <c r="W90" s="1218"/>
      <c r="X90" s="1218"/>
      <c r="Y90" s="1218"/>
      <c r="Z90" s="1218"/>
      <c r="AA90" s="1218"/>
      <c r="AB90" s="1218"/>
      <c r="AC90" s="1218"/>
      <c r="AD90" s="1218"/>
      <c r="AE90" s="1218"/>
    </row>
    <row r="91" spans="1:31" s="882" customFormat="1" ht="15">
      <c r="A91" s="1135"/>
      <c r="B91" s="1128" t="s">
        <v>1381</v>
      </c>
      <c r="C91" s="1145" t="s">
        <v>1416</v>
      </c>
      <c r="D91" s="1145" t="s">
        <v>1417</v>
      </c>
      <c r="E91" s="1145" t="s">
        <v>1418</v>
      </c>
      <c r="F91" s="1145" t="s">
        <v>1419</v>
      </c>
      <c r="G91" s="1145" t="s">
        <v>1420</v>
      </c>
      <c r="H91" s="1150"/>
      <c r="I91" s="1150"/>
      <c r="J91" s="1150"/>
      <c r="K91" s="1150"/>
      <c r="L91" s="1200"/>
      <c r="M91" s="1201"/>
      <c r="N91" s="1187"/>
      <c r="O91" s="1187"/>
      <c r="P91" s="1188"/>
      <c r="Q91" s="1219"/>
      <c r="R91" s="1220"/>
      <c r="S91" s="1220"/>
      <c r="T91" s="1220"/>
      <c r="U91" s="1220"/>
      <c r="V91" s="1220"/>
      <c r="W91" s="1220"/>
      <c r="X91" s="1220"/>
      <c r="Y91" s="1220"/>
      <c r="Z91" s="1220"/>
      <c r="AA91" s="1220"/>
      <c r="AB91" s="1220"/>
      <c r="AC91" s="1220"/>
      <c r="AD91" s="1220"/>
      <c r="AE91" s="1220"/>
    </row>
    <row r="92" spans="1:31" s="882" customFormat="1" ht="15">
      <c r="A92" s="1135"/>
      <c r="B92" s="1130"/>
      <c r="C92" s="1131">
        <v>100</v>
      </c>
      <c r="D92" s="1131">
        <f>C92-$K23</f>
        <v>100</v>
      </c>
      <c r="E92" s="1131">
        <f>D92-$K23</f>
        <v>100</v>
      </c>
      <c r="F92" s="1131">
        <f>E92-$K23</f>
        <v>100</v>
      </c>
      <c r="G92" s="1131">
        <f>F92-$K23</f>
        <v>100</v>
      </c>
      <c r="H92" s="1151"/>
      <c r="I92" s="1151"/>
      <c r="J92" s="1151"/>
      <c r="K92" s="1151"/>
      <c r="L92" s="1151"/>
      <c r="M92" s="1202"/>
      <c r="N92" s="1187"/>
      <c r="O92" s="1187"/>
      <c r="P92" s="1188"/>
      <c r="Q92" s="1219"/>
      <c r="R92" s="1220"/>
      <c r="S92" s="1220"/>
      <c r="T92" s="1220"/>
      <c r="U92" s="1220"/>
      <c r="V92" s="1220"/>
      <c r="W92" s="1220"/>
      <c r="X92" s="1220"/>
      <c r="Y92" s="1220"/>
      <c r="Z92" s="1220"/>
      <c r="AA92" s="1220"/>
      <c r="AB92" s="1220"/>
      <c r="AC92" s="1220"/>
      <c r="AD92" s="1220"/>
      <c r="AE92" s="1220"/>
    </row>
    <row r="93" spans="1:31" s="882" customFormat="1" ht="15">
      <c r="A93" s="1135"/>
      <c r="B93" s="1132" t="s">
        <v>1382</v>
      </c>
      <c r="C93" s="1152" t="s">
        <v>1421</v>
      </c>
      <c r="D93" s="1152" t="s">
        <v>1422</v>
      </c>
      <c r="E93" s="1152" t="s">
        <v>1423</v>
      </c>
      <c r="F93" s="1152" t="s">
        <v>1424</v>
      </c>
      <c r="G93" s="1152" t="s">
        <v>1425</v>
      </c>
      <c r="H93" s="1150"/>
      <c r="I93" s="1150"/>
      <c r="J93" s="1150"/>
      <c r="K93" s="1150"/>
      <c r="L93" s="1150"/>
      <c r="M93" s="1201"/>
      <c r="N93" s="1187"/>
      <c r="O93" s="1187"/>
      <c r="P93" s="1188"/>
      <c r="Q93" s="1219"/>
      <c r="R93" s="1220"/>
      <c r="S93" s="1220"/>
      <c r="T93" s="1220"/>
      <c r="U93" s="1220"/>
      <c r="V93" s="1220"/>
      <c r="W93" s="1220"/>
      <c r="X93" s="1220"/>
      <c r="Y93" s="1220"/>
      <c r="Z93" s="1220"/>
      <c r="AA93" s="1220"/>
      <c r="AB93" s="1220"/>
      <c r="AC93" s="1220"/>
      <c r="AD93" s="1220"/>
      <c r="AE93" s="1220"/>
    </row>
    <row r="94" spans="1:31" s="882" customFormat="1" ht="15">
      <c r="A94" s="1135"/>
      <c r="B94" s="1132"/>
      <c r="C94" s="1131">
        <v>100</v>
      </c>
      <c r="D94" s="1131">
        <f>C94-$K25</f>
        <v>100</v>
      </c>
      <c r="E94" s="1131">
        <f>D94-$K25</f>
        <v>100</v>
      </c>
      <c r="F94" s="1131">
        <f>E94-$K25</f>
        <v>100</v>
      </c>
      <c r="G94" s="1131">
        <f>F94-$K25</f>
        <v>100</v>
      </c>
      <c r="H94" s="1134"/>
      <c r="I94" s="1134"/>
      <c r="J94" s="1134"/>
      <c r="K94" s="1134"/>
      <c r="L94" s="1134"/>
      <c r="M94" s="1203"/>
      <c r="N94" s="1187"/>
      <c r="O94" s="1187"/>
      <c r="P94" s="1188"/>
      <c r="Q94" s="1219"/>
      <c r="R94" s="1220"/>
      <c r="S94" s="1220"/>
      <c r="T94" s="1220"/>
      <c r="U94" s="1220"/>
      <c r="V94" s="1220"/>
      <c r="W94" s="1220"/>
      <c r="X94" s="1220"/>
      <c r="Y94" s="1220"/>
      <c r="Z94" s="1220"/>
      <c r="AA94" s="1220"/>
      <c r="AB94" s="1220"/>
      <c r="AC94" s="1220"/>
      <c r="AD94" s="1220"/>
      <c r="AE94" s="1220"/>
    </row>
    <row r="95" spans="1:31" ht="15">
      <c r="A95" s="1125"/>
      <c r="B95" s="1128" t="str">
        <f>B27</f>
        <v>临街状况</v>
      </c>
      <c r="C95" s="1129" t="s">
        <v>1537</v>
      </c>
      <c r="D95" s="1129" t="s">
        <v>1538</v>
      </c>
      <c r="E95" s="1129" t="s">
        <v>1539</v>
      </c>
      <c r="F95" s="1129" t="s">
        <v>1540</v>
      </c>
      <c r="G95" s="1129"/>
      <c r="H95" s="1129"/>
      <c r="I95" s="1129"/>
      <c r="J95" s="1129"/>
      <c r="K95" s="1178"/>
      <c r="L95" s="1179"/>
      <c r="M95" s="1180"/>
      <c r="N95" s="1174"/>
      <c r="O95" s="1174"/>
      <c r="P95" s="1175"/>
      <c r="Q95" s="1098"/>
      <c r="R95" s="996"/>
      <c r="S95" s="996"/>
      <c r="T95" s="996"/>
      <c r="U95" s="996"/>
      <c r="V95" s="996"/>
      <c r="W95" s="996"/>
      <c r="X95" s="996"/>
      <c r="Y95" s="996"/>
      <c r="Z95" s="996"/>
      <c r="AA95" s="996"/>
      <c r="AB95" s="996"/>
      <c r="AC95" s="996"/>
      <c r="AD95" s="996"/>
      <c r="AE95" s="996"/>
    </row>
    <row r="96" spans="1:31" ht="15">
      <c r="A96" s="1125"/>
      <c r="B96" s="1130"/>
      <c r="C96" s="1131">
        <v>100</v>
      </c>
      <c r="D96" s="1131">
        <f t="shared" ref="D96:M96" si="21">C96-$K27</f>
        <v>100</v>
      </c>
      <c r="E96" s="1131">
        <f t="shared" si="21"/>
        <v>100</v>
      </c>
      <c r="F96" s="1131">
        <f t="shared" si="21"/>
        <v>100</v>
      </c>
      <c r="G96" s="1131">
        <f t="shared" si="21"/>
        <v>100</v>
      </c>
      <c r="H96" s="1131">
        <f t="shared" si="21"/>
        <v>100</v>
      </c>
      <c r="I96" s="1131">
        <f t="shared" si="21"/>
        <v>100</v>
      </c>
      <c r="J96" s="1131">
        <f t="shared" si="21"/>
        <v>100</v>
      </c>
      <c r="K96" s="1131">
        <f t="shared" si="21"/>
        <v>100</v>
      </c>
      <c r="L96" s="1131">
        <f t="shared" si="21"/>
        <v>100</v>
      </c>
      <c r="M96" s="1131">
        <f t="shared" si="21"/>
        <v>100</v>
      </c>
      <c r="N96" s="1177"/>
      <c r="O96" s="1177"/>
      <c r="P96" s="1175"/>
      <c r="Q96" s="1098"/>
      <c r="R96" s="996"/>
      <c r="S96" s="996"/>
      <c r="T96" s="996"/>
      <c r="U96" s="996"/>
      <c r="V96" s="996"/>
      <c r="W96" s="996"/>
      <c r="X96" s="996"/>
      <c r="Y96" s="996"/>
      <c r="Z96" s="996"/>
      <c r="AA96" s="996"/>
      <c r="AB96" s="996"/>
      <c r="AC96" s="996"/>
      <c r="AD96" s="996"/>
      <c r="AE96" s="996"/>
    </row>
    <row r="97" spans="1:31" ht="27">
      <c r="A97" s="1125"/>
      <c r="B97" s="1128" t="s">
        <v>1462</v>
      </c>
      <c r="C97" s="1136"/>
      <c r="D97" s="1136"/>
      <c r="E97" s="1136"/>
      <c r="F97" s="1136"/>
      <c r="G97" s="1136"/>
      <c r="H97" s="1153"/>
      <c r="I97" s="1153"/>
      <c r="J97" s="1153"/>
      <c r="K97" s="1204"/>
      <c r="L97" s="1205"/>
      <c r="M97" s="1206"/>
      <c r="N97" s="1174"/>
      <c r="O97" s="1174"/>
      <c r="P97" s="1175"/>
      <c r="Q97" s="1098"/>
      <c r="R97" s="996"/>
      <c r="S97" s="996"/>
      <c r="T97" s="996"/>
      <c r="U97" s="996"/>
      <c r="V97" s="996"/>
      <c r="W97" s="996"/>
      <c r="X97" s="996"/>
      <c r="Y97" s="996"/>
      <c r="Z97" s="996"/>
      <c r="AA97" s="996"/>
      <c r="AB97" s="996"/>
      <c r="AC97" s="996"/>
      <c r="AD97" s="996"/>
      <c r="AE97" s="996"/>
    </row>
    <row r="98" spans="1:31" ht="15">
      <c r="A98" s="1125"/>
      <c r="B98" s="1130"/>
      <c r="C98" s="1131">
        <v>100</v>
      </c>
      <c r="D98" s="1131">
        <f t="shared" ref="D98:M98" si="22">C98-$K28</f>
        <v>100</v>
      </c>
      <c r="E98" s="1131">
        <f t="shared" si="22"/>
        <v>100</v>
      </c>
      <c r="F98" s="1131">
        <f t="shared" si="22"/>
        <v>100</v>
      </c>
      <c r="G98" s="1131">
        <f t="shared" si="22"/>
        <v>100</v>
      </c>
      <c r="H98" s="1131">
        <f t="shared" si="22"/>
        <v>100</v>
      </c>
      <c r="I98" s="1131">
        <f t="shared" si="22"/>
        <v>100</v>
      </c>
      <c r="J98" s="1131">
        <f t="shared" si="22"/>
        <v>100</v>
      </c>
      <c r="K98" s="1131">
        <f t="shared" si="22"/>
        <v>100</v>
      </c>
      <c r="L98" s="1131">
        <f t="shared" si="22"/>
        <v>100</v>
      </c>
      <c r="M98" s="1131">
        <f t="shared" si="22"/>
        <v>100</v>
      </c>
      <c r="N98" s="1177"/>
      <c r="O98" s="1177"/>
      <c r="P98" s="1175"/>
      <c r="Q98" s="1098"/>
      <c r="R98" s="996"/>
      <c r="S98" s="996"/>
      <c r="T98" s="996"/>
      <c r="U98" s="996"/>
      <c r="V98" s="996"/>
      <c r="W98" s="996"/>
      <c r="X98" s="996"/>
      <c r="Y98" s="996"/>
      <c r="Z98" s="996"/>
      <c r="AA98" s="996"/>
      <c r="AB98" s="996"/>
      <c r="AC98" s="996"/>
      <c r="AD98" s="996"/>
      <c r="AE98" s="996"/>
    </row>
    <row r="99" spans="1:31" ht="15">
      <c r="A99" s="1125"/>
      <c r="B99" s="1128" t="s">
        <v>1503</v>
      </c>
      <c r="C99" s="1153"/>
      <c r="D99" s="1153"/>
      <c r="E99" s="1153"/>
      <c r="F99" s="1153"/>
      <c r="G99" s="1153"/>
      <c r="H99" s="1153"/>
      <c r="I99" s="1153"/>
      <c r="J99" s="1153"/>
      <c r="K99" s="1204"/>
      <c r="L99" s="1205"/>
      <c r="M99" s="1206"/>
      <c r="N99" s="1174"/>
      <c r="O99" s="1174"/>
      <c r="P99" s="1175"/>
      <c r="Q99" s="1098"/>
      <c r="R99" s="996"/>
      <c r="S99" s="996"/>
      <c r="T99" s="996"/>
      <c r="U99" s="996"/>
      <c r="V99" s="996"/>
      <c r="W99" s="996"/>
      <c r="X99" s="996"/>
      <c r="Y99" s="996"/>
      <c r="Z99" s="996"/>
      <c r="AA99" s="996"/>
      <c r="AB99" s="996"/>
      <c r="AC99" s="996"/>
      <c r="AD99" s="996"/>
      <c r="AE99" s="996"/>
    </row>
    <row r="100" spans="1:31" ht="15">
      <c r="A100" s="1125"/>
      <c r="B100" s="1130"/>
      <c r="C100" s="1131">
        <v>100</v>
      </c>
      <c r="D100" s="1131">
        <f t="shared" ref="D100:M100" si="23">C100-$K30</f>
        <v>100</v>
      </c>
      <c r="E100" s="1131">
        <f t="shared" si="23"/>
        <v>100</v>
      </c>
      <c r="F100" s="1131">
        <f t="shared" si="23"/>
        <v>100</v>
      </c>
      <c r="G100" s="1131">
        <f t="shared" si="23"/>
        <v>100</v>
      </c>
      <c r="H100" s="1131">
        <f t="shared" si="23"/>
        <v>100</v>
      </c>
      <c r="I100" s="1131">
        <f t="shared" si="23"/>
        <v>100</v>
      </c>
      <c r="J100" s="1131">
        <f t="shared" si="23"/>
        <v>100</v>
      </c>
      <c r="K100" s="1131">
        <f t="shared" si="23"/>
        <v>100</v>
      </c>
      <c r="L100" s="1131">
        <f t="shared" si="23"/>
        <v>100</v>
      </c>
      <c r="M100" s="1131">
        <f t="shared" si="23"/>
        <v>100</v>
      </c>
      <c r="N100" s="1177"/>
      <c r="O100" s="1177"/>
      <c r="P100" s="1175"/>
      <c r="Q100" s="1098"/>
      <c r="R100" s="996"/>
      <c r="S100" s="996"/>
      <c r="T100" s="996"/>
      <c r="U100" s="996"/>
      <c r="V100" s="996"/>
      <c r="W100" s="996"/>
      <c r="X100" s="996"/>
      <c r="Y100" s="996"/>
      <c r="Z100" s="996"/>
      <c r="AA100" s="996"/>
      <c r="AB100" s="996"/>
      <c r="AC100" s="996"/>
      <c r="AD100" s="996"/>
      <c r="AE100" s="996"/>
    </row>
    <row r="101" spans="1:31" ht="15">
      <c r="A101" s="1125"/>
      <c r="B101" s="1132">
        <f>B31</f>
        <v>111</v>
      </c>
      <c r="C101" s="1136"/>
      <c r="D101" s="1136"/>
      <c r="E101" s="1136"/>
      <c r="F101" s="1136"/>
      <c r="G101" s="1154"/>
      <c r="H101" s="1154"/>
      <c r="I101" s="1154"/>
      <c r="J101" s="1154"/>
      <c r="K101" s="1207"/>
      <c r="L101" s="1208"/>
      <c r="M101" s="1209"/>
      <c r="N101" s="1174"/>
      <c r="O101" s="1174"/>
      <c r="P101" s="1175"/>
      <c r="Q101" s="1098"/>
      <c r="R101" s="996"/>
      <c r="S101" s="996"/>
      <c r="T101" s="996"/>
      <c r="U101" s="996"/>
      <c r="V101" s="996"/>
      <c r="W101" s="996"/>
      <c r="X101" s="996"/>
      <c r="Y101" s="996"/>
      <c r="Z101" s="996"/>
      <c r="AA101" s="996"/>
      <c r="AB101" s="996"/>
      <c r="AC101" s="996"/>
      <c r="AD101" s="996"/>
      <c r="AE101" s="996"/>
    </row>
    <row r="102" spans="1:31" ht="15">
      <c r="A102" s="1125"/>
      <c r="B102" s="1142"/>
      <c r="C102" s="1138"/>
      <c r="D102" s="1127"/>
      <c r="E102" s="1127"/>
      <c r="F102" s="1127"/>
      <c r="G102" s="1155"/>
      <c r="H102" s="1155"/>
      <c r="I102" s="1155"/>
      <c r="J102" s="1155"/>
      <c r="K102" s="1155"/>
      <c r="L102" s="1155"/>
      <c r="M102" s="1210"/>
      <c r="N102" s="1177"/>
      <c r="O102" s="1177"/>
      <c r="P102" s="1175"/>
      <c r="Q102" s="1098"/>
      <c r="R102" s="996"/>
      <c r="S102" s="996"/>
      <c r="T102" s="996"/>
      <c r="U102" s="996"/>
      <c r="V102" s="996"/>
      <c r="W102" s="996"/>
      <c r="X102" s="996"/>
      <c r="Y102" s="996"/>
      <c r="Z102" s="996"/>
      <c r="AA102" s="996"/>
      <c r="AB102" s="996"/>
      <c r="AC102" s="996"/>
      <c r="AD102" s="996"/>
      <c r="AE102" s="996"/>
    </row>
    <row r="103" spans="1:31">
      <c r="A103" s="962"/>
      <c r="B103" s="1128">
        <f>B32</f>
        <v>111</v>
      </c>
      <c r="C103" s="1136"/>
      <c r="D103" s="1136"/>
      <c r="E103" s="1136"/>
      <c r="F103" s="1136"/>
      <c r="G103" s="1153"/>
      <c r="H103" s="1153"/>
      <c r="I103" s="1153"/>
      <c r="J103" s="1153"/>
      <c r="K103" s="1204"/>
      <c r="L103" s="1205"/>
      <c r="M103" s="1206"/>
      <c r="N103" s="1174"/>
      <c r="O103" s="1174"/>
      <c r="P103" s="1175"/>
      <c r="Q103" s="1098"/>
      <c r="R103" s="996"/>
      <c r="S103" s="996"/>
      <c r="T103" s="996"/>
      <c r="U103" s="996"/>
      <c r="V103" s="996"/>
      <c r="W103" s="996"/>
      <c r="X103" s="996"/>
      <c r="Y103" s="996"/>
      <c r="Z103" s="996"/>
      <c r="AA103" s="996"/>
      <c r="AB103" s="996"/>
      <c r="AC103" s="996"/>
      <c r="AD103" s="996"/>
      <c r="AE103" s="996"/>
    </row>
    <row r="104" spans="1:31" ht="15">
      <c r="A104" s="1125"/>
      <c r="B104" s="1130"/>
      <c r="C104" s="1138"/>
      <c r="D104" s="1138"/>
      <c r="E104" s="1138"/>
      <c r="F104" s="1138"/>
      <c r="G104" s="1127"/>
      <c r="H104" s="1127"/>
      <c r="I104" s="1127"/>
      <c r="J104" s="1127"/>
      <c r="K104" s="1127"/>
      <c r="L104" s="1127"/>
      <c r="M104" s="1176"/>
      <c r="N104" s="1177"/>
      <c r="O104" s="1177"/>
      <c r="P104" s="1175"/>
      <c r="Q104" s="1098"/>
      <c r="R104" s="996"/>
      <c r="S104" s="996"/>
      <c r="T104" s="996"/>
      <c r="U104" s="996"/>
      <c r="V104" s="996"/>
      <c r="W104" s="996"/>
      <c r="X104" s="996"/>
      <c r="Y104" s="996"/>
      <c r="Z104" s="996"/>
      <c r="AA104" s="996"/>
      <c r="AB104" s="996"/>
      <c r="AC104" s="996"/>
      <c r="AD104" s="996"/>
      <c r="AE104" s="996"/>
    </row>
    <row r="105" spans="1:31" s="882" customFormat="1">
      <c r="A105" s="1156"/>
      <c r="B105" s="1157">
        <f>B33</f>
        <v>111</v>
      </c>
      <c r="C105" s="1120"/>
      <c r="D105" s="1120"/>
      <c r="E105" s="1120"/>
      <c r="F105" s="1120"/>
      <c r="G105" s="1112"/>
      <c r="H105" s="1112"/>
      <c r="I105" s="1112"/>
      <c r="J105" s="1211"/>
      <c r="K105" s="1211"/>
      <c r="L105" s="1212"/>
      <c r="M105" s="1213"/>
      <c r="N105" s="1187"/>
      <c r="O105" s="1187"/>
      <c r="P105" s="1188"/>
      <c r="Q105" s="1219"/>
      <c r="R105" s="1220"/>
      <c r="S105" s="1220"/>
      <c r="T105" s="1220"/>
      <c r="U105" s="1220"/>
      <c r="V105" s="1220"/>
      <c r="W105" s="1220"/>
      <c r="X105" s="1220"/>
      <c r="Y105" s="1220"/>
      <c r="Z105" s="1220"/>
      <c r="AA105" s="1220"/>
      <c r="AB105" s="1220"/>
      <c r="AC105" s="1220"/>
      <c r="AD105" s="1220"/>
      <c r="AE105" s="1220"/>
    </row>
    <row r="106" spans="1:31" s="882" customFormat="1" ht="15">
      <c r="A106" s="1135"/>
      <c r="B106" s="1132"/>
      <c r="C106" s="1143"/>
      <c r="D106" s="1143"/>
      <c r="E106" s="1143"/>
      <c r="F106" s="1143"/>
      <c r="G106" s="1158"/>
      <c r="H106" s="1158"/>
      <c r="I106" s="1158"/>
      <c r="J106" s="1158"/>
      <c r="K106" s="1158"/>
      <c r="L106" s="1158"/>
      <c r="M106" s="1214"/>
      <c r="N106" s="1177"/>
      <c r="O106" s="1177"/>
      <c r="P106" s="1188"/>
      <c r="Q106" s="1219"/>
      <c r="R106" s="1220"/>
      <c r="S106" s="1220"/>
      <c r="T106" s="1220"/>
      <c r="U106" s="1220"/>
      <c r="V106" s="1220"/>
      <c r="W106" s="1220"/>
      <c r="X106" s="1220"/>
      <c r="Y106" s="1220"/>
      <c r="Z106" s="1220"/>
      <c r="AA106" s="1220"/>
      <c r="AB106" s="1220"/>
      <c r="AC106" s="1220"/>
      <c r="AD106" s="1220"/>
      <c r="AE106" s="1220"/>
    </row>
    <row r="107" spans="1:31">
      <c r="A107" s="1123" t="s">
        <v>1386</v>
      </c>
      <c r="B107" s="1124" t="s">
        <v>1504</v>
      </c>
      <c r="C107" s="1146" t="str">
        <f t="shared" ref="C107:L107" si="24">C108&amp;"(含)"&amp;"-"&amp;D108</f>
        <v>(含)-</v>
      </c>
      <c r="D107" s="1146" t="str">
        <f t="shared" si="24"/>
        <v>(含)-</v>
      </c>
      <c r="E107" s="1146" t="str">
        <f t="shared" si="24"/>
        <v>(含)-</v>
      </c>
      <c r="F107" s="1146" t="str">
        <f t="shared" si="24"/>
        <v>(含)-</v>
      </c>
      <c r="G107" s="1146" t="str">
        <f t="shared" si="24"/>
        <v>(含)-</v>
      </c>
      <c r="H107" s="1146" t="str">
        <f t="shared" si="24"/>
        <v>(含)-</v>
      </c>
      <c r="I107" s="1146" t="str">
        <f t="shared" si="24"/>
        <v>(含)-</v>
      </c>
      <c r="J107" s="1146" t="str">
        <f t="shared" si="24"/>
        <v>(含)-</v>
      </c>
      <c r="K107" s="1215" t="str">
        <f t="shared" si="24"/>
        <v>(含)-</v>
      </c>
      <c r="L107" s="1215" t="str">
        <f t="shared" si="24"/>
        <v>(含)-</v>
      </c>
      <c r="M107" s="1216" t="str">
        <f>M108&amp;"(含)"&amp;"-"&amp;P108</f>
        <v>(含)-</v>
      </c>
      <c r="N107" s="1174"/>
      <c r="O107" s="1174"/>
      <c r="P107" s="1175"/>
      <c r="Q107" s="1098"/>
      <c r="R107" s="996"/>
      <c r="S107" s="996"/>
      <c r="T107" s="996"/>
      <c r="U107" s="996"/>
      <c r="V107" s="996"/>
      <c r="W107" s="996"/>
      <c r="X107" s="996"/>
      <c r="Y107" s="996"/>
      <c r="Z107" s="996"/>
      <c r="AA107" s="996"/>
      <c r="AB107" s="996"/>
      <c r="AC107" s="996"/>
      <c r="AD107" s="996"/>
      <c r="AE107" s="996"/>
    </row>
    <row r="108" spans="1:31" ht="15">
      <c r="A108" s="1125"/>
      <c r="B108" s="1132"/>
      <c r="C108" s="1112"/>
      <c r="D108" s="1112"/>
      <c r="E108" s="1112"/>
      <c r="F108" s="1112"/>
      <c r="G108" s="1112"/>
      <c r="H108" s="1112"/>
      <c r="I108" s="1112"/>
      <c r="J108" s="1211"/>
      <c r="K108" s="1211"/>
      <c r="L108" s="1212"/>
      <c r="M108" s="1213"/>
      <c r="N108" s="1174"/>
      <c r="O108" s="1174"/>
      <c r="P108" s="1175"/>
      <c r="Q108" s="1098"/>
      <c r="R108" s="996"/>
      <c r="S108" s="996"/>
      <c r="T108" s="996"/>
      <c r="U108" s="996"/>
      <c r="V108" s="996"/>
      <c r="W108" s="996"/>
      <c r="X108" s="996"/>
      <c r="Y108" s="996"/>
      <c r="Z108" s="996"/>
      <c r="AA108" s="996"/>
      <c r="AB108" s="996"/>
      <c r="AC108" s="996"/>
      <c r="AD108" s="996"/>
      <c r="AE108" s="996"/>
    </row>
    <row r="109" spans="1:31" ht="15">
      <c r="A109" s="1125"/>
      <c r="B109" s="1130"/>
      <c r="C109" s="1143"/>
      <c r="D109" s="1155"/>
      <c r="E109" s="1155"/>
      <c r="F109" s="1155"/>
      <c r="G109" s="1155"/>
      <c r="H109" s="1155"/>
      <c r="I109" s="1155"/>
      <c r="J109" s="1155"/>
      <c r="K109" s="1155"/>
      <c r="L109" s="1155"/>
      <c r="M109" s="1210"/>
      <c r="N109" s="1177"/>
      <c r="O109" s="1177"/>
      <c r="P109" s="1175"/>
      <c r="Q109" s="1098"/>
      <c r="R109" s="996"/>
      <c r="S109" s="996"/>
      <c r="T109" s="996"/>
      <c r="U109" s="996"/>
      <c r="V109" s="996"/>
      <c r="W109" s="996"/>
      <c r="X109" s="996"/>
      <c r="Y109" s="996"/>
      <c r="Z109" s="996"/>
      <c r="AA109" s="996"/>
      <c r="AB109" s="996"/>
      <c r="AC109" s="996"/>
      <c r="AD109" s="996"/>
      <c r="AE109" s="996"/>
    </row>
    <row r="110" spans="1:31">
      <c r="A110" s="1159"/>
      <c r="B110" s="1128" t="s">
        <v>1505</v>
      </c>
      <c r="C110" s="1153"/>
      <c r="D110" s="1153"/>
      <c r="E110" s="1153"/>
      <c r="F110" s="1153"/>
      <c r="G110" s="1153"/>
      <c r="H110" s="1153"/>
      <c r="I110" s="1153"/>
      <c r="J110" s="1153"/>
      <c r="K110" s="1204"/>
      <c r="L110" s="1205"/>
      <c r="M110" s="1206"/>
      <c r="N110" s="1174"/>
      <c r="O110" s="1174"/>
      <c r="P110" s="1175"/>
      <c r="Q110" s="1098"/>
      <c r="R110" s="996"/>
      <c r="S110" s="996"/>
      <c r="T110" s="996"/>
      <c r="U110" s="996"/>
      <c r="V110" s="996"/>
      <c r="W110" s="996"/>
      <c r="X110" s="996"/>
      <c r="Y110" s="996"/>
      <c r="Z110" s="996"/>
      <c r="AA110" s="996"/>
      <c r="AB110" s="996"/>
      <c r="AC110" s="996"/>
      <c r="AD110" s="996"/>
      <c r="AE110" s="996"/>
    </row>
    <row r="111" spans="1:31" ht="15">
      <c r="A111" s="1125"/>
      <c r="B111" s="1130"/>
      <c r="C111" s="1131">
        <v>100</v>
      </c>
      <c r="D111" s="1131">
        <f t="shared" ref="D111:M111" si="25">C111-$K35</f>
        <v>100</v>
      </c>
      <c r="E111" s="1131">
        <f t="shared" si="25"/>
        <v>100</v>
      </c>
      <c r="F111" s="1131">
        <f t="shared" si="25"/>
        <v>100</v>
      </c>
      <c r="G111" s="1131">
        <f t="shared" si="25"/>
        <v>100</v>
      </c>
      <c r="H111" s="1131">
        <f t="shared" si="25"/>
        <v>100</v>
      </c>
      <c r="I111" s="1131">
        <f t="shared" si="25"/>
        <v>100</v>
      </c>
      <c r="J111" s="1131">
        <f t="shared" si="25"/>
        <v>100</v>
      </c>
      <c r="K111" s="1131">
        <f t="shared" si="25"/>
        <v>100</v>
      </c>
      <c r="L111" s="1131">
        <f t="shared" si="25"/>
        <v>100</v>
      </c>
      <c r="M111" s="1181">
        <f t="shared" si="25"/>
        <v>100</v>
      </c>
      <c r="N111" s="1177"/>
      <c r="O111" s="1177"/>
      <c r="P111" s="1175"/>
      <c r="Q111" s="1098"/>
      <c r="R111" s="996"/>
      <c r="S111" s="996"/>
      <c r="T111" s="996"/>
      <c r="U111" s="996"/>
      <c r="V111" s="996"/>
      <c r="W111" s="996"/>
      <c r="X111" s="996"/>
      <c r="Y111" s="996"/>
      <c r="Z111" s="996"/>
      <c r="AA111" s="996"/>
      <c r="AB111" s="996"/>
      <c r="AC111" s="996"/>
      <c r="AD111" s="996"/>
      <c r="AE111" s="996"/>
    </row>
    <row r="112" spans="1:31" s="882" customFormat="1">
      <c r="A112" s="1156"/>
      <c r="B112" s="1128" t="s">
        <v>1507</v>
      </c>
      <c r="C112" s="1136"/>
      <c r="D112" s="1136"/>
      <c r="E112" s="1136"/>
      <c r="F112" s="1136"/>
      <c r="G112" s="1136"/>
      <c r="H112" s="1153"/>
      <c r="I112" s="1153"/>
      <c r="J112" s="1153"/>
      <c r="K112" s="1204"/>
      <c r="L112" s="1205"/>
      <c r="M112" s="1206"/>
      <c r="N112" s="1187"/>
      <c r="O112" s="1187"/>
      <c r="P112" s="1188"/>
      <c r="Q112" s="1219"/>
      <c r="R112" s="1220"/>
      <c r="S112" s="1220"/>
      <c r="T112" s="1220"/>
      <c r="U112" s="1220"/>
      <c r="V112" s="1220"/>
      <c r="W112" s="1220"/>
      <c r="X112" s="1220"/>
      <c r="Y112" s="1220"/>
      <c r="Z112" s="1220"/>
      <c r="AA112" s="1220"/>
      <c r="AB112" s="1220"/>
      <c r="AC112" s="1220"/>
      <c r="AD112" s="1220"/>
      <c r="AE112" s="1220"/>
    </row>
    <row r="113" spans="1:31" s="882" customFormat="1" ht="15">
      <c r="A113" s="1135"/>
      <c r="B113" s="1130"/>
      <c r="C113" s="1131">
        <v>100</v>
      </c>
      <c r="D113" s="1131">
        <f t="shared" ref="D113:M113" si="26">C113-$K36</f>
        <v>100</v>
      </c>
      <c r="E113" s="1131">
        <f t="shared" si="26"/>
        <v>100</v>
      </c>
      <c r="F113" s="1131">
        <f t="shared" si="26"/>
        <v>100</v>
      </c>
      <c r="G113" s="1131">
        <f t="shared" si="26"/>
        <v>100</v>
      </c>
      <c r="H113" s="1131">
        <f t="shared" si="26"/>
        <v>100</v>
      </c>
      <c r="I113" s="1131">
        <f t="shared" si="26"/>
        <v>100</v>
      </c>
      <c r="J113" s="1131">
        <f t="shared" si="26"/>
        <v>100</v>
      </c>
      <c r="K113" s="1131">
        <f t="shared" si="26"/>
        <v>100</v>
      </c>
      <c r="L113" s="1131">
        <f t="shared" si="26"/>
        <v>100</v>
      </c>
      <c r="M113" s="1181">
        <f t="shared" si="26"/>
        <v>100</v>
      </c>
      <c r="N113" s="1187"/>
      <c r="O113" s="1187"/>
      <c r="P113" s="1188"/>
      <c r="Q113" s="1219"/>
      <c r="R113" s="1220"/>
      <c r="S113" s="1220"/>
      <c r="T113" s="1220"/>
      <c r="U113" s="1220"/>
      <c r="V113" s="1220"/>
      <c r="W113" s="1220"/>
      <c r="X113" s="1220"/>
      <c r="Y113" s="1220"/>
      <c r="Z113" s="1220"/>
      <c r="AA113" s="1220"/>
      <c r="AB113" s="1220"/>
      <c r="AC113" s="1220"/>
      <c r="AD113" s="1220"/>
      <c r="AE113" s="1220"/>
    </row>
    <row r="114" spans="1:31">
      <c r="A114" s="1159"/>
      <c r="B114" s="1128" t="s">
        <v>1508</v>
      </c>
      <c r="C114" s="1136"/>
      <c r="D114" s="1136"/>
      <c r="E114" s="1153"/>
      <c r="F114" s="1153"/>
      <c r="G114" s="1153"/>
      <c r="H114" s="1153"/>
      <c r="I114" s="1153"/>
      <c r="J114" s="1153"/>
      <c r="K114" s="1204"/>
      <c r="L114" s="1205"/>
      <c r="M114" s="1206"/>
      <c r="N114" s="1174"/>
      <c r="O114" s="1174"/>
      <c r="P114" s="1175"/>
      <c r="Q114" s="1098"/>
      <c r="R114" s="996"/>
      <c r="S114" s="996"/>
      <c r="T114" s="996"/>
      <c r="U114" s="996"/>
      <c r="V114" s="996"/>
      <c r="W114" s="996"/>
      <c r="X114" s="996"/>
      <c r="Y114" s="996"/>
      <c r="Z114" s="996"/>
      <c r="AA114" s="996"/>
      <c r="AB114" s="996"/>
      <c r="AC114" s="996"/>
      <c r="AD114" s="996"/>
      <c r="AE114" s="996"/>
    </row>
    <row r="115" spans="1:31" ht="15">
      <c r="A115" s="1125"/>
      <c r="B115" s="1130"/>
      <c r="C115" s="1131">
        <v>100</v>
      </c>
      <c r="D115" s="1131">
        <f t="shared" ref="D115:M115" si="27">C115-$K37</f>
        <v>100</v>
      </c>
      <c r="E115" s="1131">
        <f t="shared" si="27"/>
        <v>100</v>
      </c>
      <c r="F115" s="1131">
        <f t="shared" si="27"/>
        <v>100</v>
      </c>
      <c r="G115" s="1131">
        <f t="shared" si="27"/>
        <v>100</v>
      </c>
      <c r="H115" s="1131">
        <f t="shared" si="27"/>
        <v>100</v>
      </c>
      <c r="I115" s="1131">
        <f t="shared" si="27"/>
        <v>100</v>
      </c>
      <c r="J115" s="1131">
        <f t="shared" si="27"/>
        <v>100</v>
      </c>
      <c r="K115" s="1131">
        <f t="shared" si="27"/>
        <v>100</v>
      </c>
      <c r="L115" s="1131">
        <f t="shared" si="27"/>
        <v>100</v>
      </c>
      <c r="M115" s="1181">
        <f t="shared" si="27"/>
        <v>100</v>
      </c>
      <c r="N115" s="1177"/>
      <c r="O115" s="1177"/>
      <c r="P115" s="1175"/>
      <c r="Q115" s="1098"/>
      <c r="R115" s="996"/>
      <c r="S115" s="996"/>
      <c r="T115" s="996"/>
      <c r="U115" s="996"/>
      <c r="V115" s="996"/>
      <c r="W115" s="996"/>
      <c r="X115" s="996"/>
      <c r="Y115" s="996"/>
      <c r="Z115" s="996"/>
      <c r="AA115" s="996"/>
      <c r="AB115" s="996"/>
      <c r="AC115" s="996"/>
      <c r="AD115" s="996"/>
      <c r="AE115" s="996"/>
    </row>
    <row r="116" spans="1:31">
      <c r="A116" s="1159"/>
      <c r="B116" s="1128">
        <f>B38</f>
        <v>111</v>
      </c>
      <c r="C116" s="1136"/>
      <c r="D116" s="1136"/>
      <c r="E116" s="1136"/>
      <c r="F116" s="1136"/>
      <c r="G116" s="1136"/>
      <c r="H116" s="1153"/>
      <c r="I116" s="1153"/>
      <c r="J116" s="1153"/>
      <c r="K116" s="1204"/>
      <c r="L116" s="1205"/>
      <c r="M116" s="1206"/>
      <c r="N116" s="1174"/>
      <c r="O116" s="1174"/>
      <c r="P116" s="1175"/>
      <c r="Q116" s="1098"/>
      <c r="R116" s="996"/>
      <c r="S116" s="996"/>
      <c r="T116" s="996"/>
      <c r="U116" s="996"/>
      <c r="V116" s="996"/>
      <c r="W116" s="996"/>
      <c r="X116" s="996"/>
      <c r="Y116" s="996"/>
      <c r="Z116" s="996"/>
      <c r="AA116" s="996"/>
      <c r="AB116" s="996"/>
      <c r="AC116" s="996"/>
      <c r="AD116" s="996"/>
      <c r="AE116" s="996"/>
    </row>
    <row r="117" spans="1:31" ht="15">
      <c r="A117" s="1125"/>
      <c r="B117" s="1130"/>
      <c r="C117" s="1138"/>
      <c r="D117" s="1127"/>
      <c r="E117" s="1127"/>
      <c r="F117" s="1127"/>
      <c r="G117" s="1127"/>
      <c r="H117" s="1127"/>
      <c r="I117" s="1127"/>
      <c r="J117" s="1127"/>
      <c r="K117" s="1127"/>
      <c r="L117" s="1127"/>
      <c r="M117" s="1176"/>
      <c r="N117" s="1177"/>
      <c r="O117" s="1177"/>
      <c r="P117" s="1175"/>
      <c r="Q117" s="1098"/>
      <c r="R117" s="996"/>
      <c r="S117" s="996"/>
      <c r="T117" s="996"/>
      <c r="U117" s="996"/>
      <c r="V117" s="996"/>
      <c r="W117" s="996"/>
      <c r="X117" s="996"/>
      <c r="Y117" s="996"/>
      <c r="Z117" s="996"/>
      <c r="AA117" s="996"/>
      <c r="AB117" s="996"/>
      <c r="AC117" s="996"/>
      <c r="AD117" s="996"/>
      <c r="AE117" s="996"/>
    </row>
    <row r="118" spans="1:31">
      <c r="A118" s="1159"/>
      <c r="B118" s="1128">
        <f>B39</f>
        <v>111</v>
      </c>
      <c r="C118" s="1136"/>
      <c r="D118" s="1136"/>
      <c r="E118" s="1136"/>
      <c r="F118" s="1136"/>
      <c r="G118" s="1153"/>
      <c r="H118" s="1153"/>
      <c r="I118" s="1153"/>
      <c r="J118" s="1153"/>
      <c r="K118" s="1204"/>
      <c r="L118" s="1205"/>
      <c r="M118" s="1206"/>
      <c r="N118" s="1174"/>
      <c r="O118" s="1174"/>
      <c r="P118" s="1175"/>
      <c r="Q118" s="1098"/>
      <c r="R118" s="996"/>
      <c r="S118" s="996"/>
      <c r="T118" s="996"/>
      <c r="U118" s="996"/>
      <c r="V118" s="996"/>
      <c r="W118" s="996"/>
      <c r="X118" s="996"/>
      <c r="Y118" s="996"/>
      <c r="Z118" s="996"/>
      <c r="AA118" s="996"/>
      <c r="AB118" s="996"/>
      <c r="AC118" s="996"/>
      <c r="AD118" s="996"/>
      <c r="AE118" s="996"/>
    </row>
    <row r="119" spans="1:31" ht="15">
      <c r="A119" s="1125"/>
      <c r="B119" s="1130"/>
      <c r="C119" s="1138"/>
      <c r="D119" s="1138"/>
      <c r="E119" s="1138"/>
      <c r="F119" s="1138"/>
      <c r="G119" s="1127"/>
      <c r="H119" s="1127"/>
      <c r="I119" s="1127"/>
      <c r="J119" s="1127"/>
      <c r="K119" s="1127"/>
      <c r="L119" s="1127"/>
      <c r="M119" s="1176"/>
      <c r="N119" s="1177"/>
      <c r="O119" s="1177"/>
      <c r="P119" s="1175"/>
      <c r="Q119" s="1098"/>
      <c r="R119" s="996"/>
      <c r="S119" s="996"/>
      <c r="T119" s="996"/>
      <c r="U119" s="996"/>
      <c r="V119" s="996"/>
      <c r="W119" s="996"/>
      <c r="X119" s="996"/>
      <c r="Y119" s="996"/>
      <c r="Z119" s="996"/>
      <c r="AA119" s="996"/>
      <c r="AB119" s="996"/>
      <c r="AC119" s="996"/>
      <c r="AD119" s="996"/>
      <c r="AE119" s="996"/>
    </row>
    <row r="120" spans="1:31" s="882" customFormat="1">
      <c r="A120" s="1156"/>
      <c r="B120" s="1128">
        <f>B40</f>
        <v>111</v>
      </c>
      <c r="C120" s="1120"/>
      <c r="D120" s="1120"/>
      <c r="E120" s="1120"/>
      <c r="F120" s="1120"/>
      <c r="G120" s="1137"/>
      <c r="H120" s="1137"/>
      <c r="I120" s="1137"/>
      <c r="J120" s="1137"/>
      <c r="K120" s="1137"/>
      <c r="L120" s="1185"/>
      <c r="M120" s="1186"/>
      <c r="N120" s="1187"/>
      <c r="O120" s="1187"/>
      <c r="P120" s="1188"/>
      <c r="Q120" s="1219"/>
      <c r="R120" s="1220"/>
      <c r="S120" s="1220"/>
      <c r="T120" s="1220"/>
      <c r="U120" s="1220"/>
      <c r="V120" s="1220"/>
      <c r="W120" s="1220"/>
      <c r="X120" s="1220"/>
      <c r="Y120" s="1220"/>
      <c r="Z120" s="1220"/>
      <c r="AA120" s="1220"/>
      <c r="AB120" s="1220"/>
      <c r="AC120" s="1220"/>
      <c r="AD120" s="1220"/>
      <c r="AE120" s="1220"/>
    </row>
    <row r="121" spans="1:31" s="882" customFormat="1" ht="15">
      <c r="A121" s="1141"/>
      <c r="B121" s="1160"/>
      <c r="C121" s="1143"/>
      <c r="D121" s="1143"/>
      <c r="E121" s="1143"/>
      <c r="F121" s="1143"/>
      <c r="G121" s="1155"/>
      <c r="H121" s="1155"/>
      <c r="I121" s="1155"/>
      <c r="J121" s="1155"/>
      <c r="K121" s="1155"/>
      <c r="L121" s="1155"/>
      <c r="M121" s="1210"/>
      <c r="N121" s="1187"/>
      <c r="O121" s="1187"/>
      <c r="P121" s="1188"/>
      <c r="Q121" s="1219"/>
      <c r="R121" s="1220"/>
      <c r="S121" s="1220"/>
      <c r="T121" s="1220"/>
      <c r="U121" s="1220"/>
      <c r="V121" s="1220"/>
      <c r="W121" s="1220"/>
      <c r="X121" s="1220"/>
      <c r="Y121" s="1220"/>
      <c r="Z121" s="1220"/>
      <c r="AA121" s="1220"/>
      <c r="AB121" s="1220"/>
      <c r="AC121" s="1220"/>
      <c r="AD121" s="1220"/>
      <c r="AE121" s="1220"/>
    </row>
    <row r="122" spans="1:31">
      <c r="N122" s="996"/>
      <c r="O122" s="996"/>
      <c r="P122" s="996"/>
      <c r="Q122" s="996"/>
      <c r="R122" s="996"/>
      <c r="S122" s="996"/>
      <c r="T122" s="996"/>
      <c r="U122" s="996"/>
      <c r="V122" s="996"/>
      <c r="W122" s="996"/>
      <c r="X122" s="996"/>
      <c r="Y122" s="996"/>
      <c r="Z122" s="996"/>
      <c r="AA122" s="996"/>
      <c r="AB122" s="996"/>
      <c r="AC122" s="996"/>
      <c r="AD122" s="996"/>
      <c r="AE122" s="996"/>
    </row>
    <row r="123" spans="1:31">
      <c r="P123" s="996"/>
      <c r="Q123" s="996"/>
      <c r="R123" s="996"/>
      <c r="S123" s="996"/>
      <c r="T123" s="996"/>
      <c r="U123" s="996"/>
      <c r="V123" s="996"/>
      <c r="W123" s="996"/>
      <c r="X123" s="996"/>
      <c r="Y123" s="996"/>
      <c r="Z123" s="996"/>
      <c r="AA123" s="996"/>
      <c r="AB123" s="996"/>
      <c r="AC123" s="996"/>
      <c r="AD123" s="996"/>
      <c r="AE123" s="996"/>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2"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D42" xr:uid="{00000000-0002-0000-2100-000000000000}">
      <formula1>"简单平均,加权平均"</formula1>
    </dataValidation>
    <dataValidation type="list" allowBlank="1" showInputMessage="1" showErrorMessage="1" sqref="C8 E8 G8 I8" xr:uid="{00000000-0002-0000-2100-000001000000}">
      <formula1>套工交易情况</formula1>
    </dataValidation>
    <dataValidation type="list" allowBlank="1" showInputMessage="1" showErrorMessage="1" sqref="C26 E26 G26 I26" xr:uid="{00000000-0002-0000-2100-000002000000}">
      <formula1>基础设施水平</formula1>
    </dataValidation>
    <dataValidation type="list" allowBlank="1" showInputMessage="1" showErrorMessage="1" sqref="C9 E9 G9 I9" xr:uid="{00000000-0002-0000-2100-000003000000}">
      <formula1>套工用途</formula1>
    </dataValidation>
    <dataValidation type="list" allowBlank="1" showInputMessage="1" showErrorMessage="1" sqref="C29 E29 G29 I29" xr:uid="{00000000-0002-0000-2100-000004000000}">
      <formula1>套工道路等级</formula1>
    </dataValidation>
    <dataValidation type="list" allowBlank="1" showInputMessage="1" showErrorMessage="1" sqref="C20 E20 G20 I20" xr:uid="{00000000-0002-0000-2100-000005000000}">
      <formula1>区域土地利用方向</formula1>
    </dataValidation>
    <dataValidation type="list" allowBlank="1" showInputMessage="1" showErrorMessage="1" sqref="C16 E16 G16 I16" xr:uid="{00000000-0002-0000-2100-000006000000}">
      <formula1>产业集聚程度</formula1>
    </dataValidation>
    <dataValidation type="list" allowBlank="1" showInputMessage="1" showErrorMessage="1" sqref="C35 E35 G35 I35" xr:uid="{00000000-0002-0000-2100-000007000000}">
      <formula1>套工宗地形状</formula1>
    </dataValidation>
    <dataValidation type="list" allowBlank="1" showInputMessage="1" showErrorMessage="1" sqref="C27 E27 G27 I27" xr:uid="{00000000-0002-0000-2100-000008000000}">
      <formula1>临街状况</formula1>
    </dataValidation>
    <dataValidation type="list" allowBlank="1" showInputMessage="1" showErrorMessage="1" sqref="C22 E22 G22 I22" xr:uid="{00000000-0002-0000-2100-000009000000}">
      <formula1>环境</formula1>
    </dataValidation>
    <dataValidation type="list" allowBlank="1" showInputMessage="1" showErrorMessage="1" sqref="C18 E18 G18 I18" xr:uid="{00000000-0002-0000-2100-00000A000000}">
      <formula1>交通便捷度</formula1>
    </dataValidation>
    <dataValidation type="list" allowBlank="1" showInputMessage="1" showErrorMessage="1" sqref="C24 E24 G24 I24" xr:uid="{00000000-0002-0000-2100-00000B000000}">
      <formula1>公共配套设施</formula1>
    </dataValidation>
    <dataValidation type="list" allowBlank="1" showInputMessage="1" showErrorMessage="1" sqref="E30 G30 I30" xr:uid="{00000000-0002-0000-2100-00000C000000}">
      <formula1>套工土地级别</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B41" xr:uid="{00000000-0002-0000-2100-00000F000000}">
      <formula1>单价内涵</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D30" sqref="D30"/>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1" t="s">
        <v>1546</v>
      </c>
      <c r="B1" s="142"/>
      <c r="C1" s="145" t="s">
        <v>1351</v>
      </c>
      <c r="D1" s="567">
        <f>SUM(D29:D30,D33:D39)</f>
        <v>33705.019999999997</v>
      </c>
      <c r="E1" s="568"/>
      <c r="F1" s="568"/>
      <c r="G1" s="568"/>
      <c r="H1" s="568"/>
      <c r="I1" s="568"/>
      <c r="J1" s="568"/>
      <c r="K1" s="560"/>
      <c r="L1" s="738" t="s">
        <v>1547</v>
      </c>
      <c r="M1" s="739">
        <f>SUMPRODUCT((区片价!B5:B9=I2)*(区片价!C3:F3=E2)*(区片价!C5:F9))</f>
        <v>0</v>
      </c>
      <c r="N1" s="740">
        <f>SUMPRODUCT((因素修正幅度!B5:B9=I2)*(因素修正幅度!C3:F3=E2)*(因素修正幅度!C5:F9))</f>
        <v>0</v>
      </c>
      <c r="O1" s="561"/>
      <c r="P1" s="561"/>
      <c r="Q1" s="560"/>
      <c r="R1" s="819" t="s">
        <v>1548</v>
      </c>
      <c r="S1" s="819" t="s">
        <v>1549</v>
      </c>
      <c r="T1" s="819" t="s">
        <v>1550</v>
      </c>
      <c r="U1" s="819" t="s">
        <v>1551</v>
      </c>
      <c r="V1" s="819" t="s">
        <v>1552</v>
      </c>
      <c r="W1" s="820"/>
      <c r="X1" s="820"/>
      <c r="Y1" s="820"/>
      <c r="Z1" s="820"/>
      <c r="AA1" s="820"/>
      <c r="AB1" s="820"/>
      <c r="AC1" s="828"/>
      <c r="AD1" s="829"/>
      <c r="AE1" s="829"/>
      <c r="AF1" s="829"/>
      <c r="AG1" s="829"/>
      <c r="AH1" s="829"/>
      <c r="AI1" s="829"/>
      <c r="AJ1" s="839"/>
    </row>
    <row r="2" spans="1:36" ht="15.75">
      <c r="A2" s="145" t="s">
        <v>926</v>
      </c>
      <c r="B2" s="149">
        <f ca="1">C26</f>
        <v>0</v>
      </c>
      <c r="C2" s="569" t="s">
        <v>927</v>
      </c>
      <c r="D2" s="570" t="s">
        <v>1553</v>
      </c>
      <c r="E2" s="571" t="s">
        <v>464</v>
      </c>
      <c r="F2" s="570" t="s">
        <v>1554</v>
      </c>
      <c r="G2" s="572" t="str">
        <f>IF(E2="商业",项目基本情况!B37,IF(E2="办公",项目基本情况!C37,IF(E2="住宅",项目基本情况!D37,项目基本情况!E37)))</f>
        <v>四级</v>
      </c>
      <c r="H2" s="570" t="s">
        <v>1555</v>
      </c>
      <c r="I2" s="572" t="str">
        <f>IF(E2="商业",项目基本情况!B38,IF(E2="办公",项目基本情况!C38,IF(E2="住宅",项目基本情况!D38,项目基本情况!E38)))</f>
        <v>Ⅳ-12</v>
      </c>
      <c r="J2" s="741"/>
      <c r="K2" s="560"/>
      <c r="L2" s="742" t="s">
        <v>1556</v>
      </c>
      <c r="M2" s="743">
        <f>SUMPRODUCT((区片价!B10:B28=I2)*(区片价!C3:F3=E2)*(区片价!C10:F28))</f>
        <v>0</v>
      </c>
      <c r="N2" s="740">
        <f>SUMPRODUCT((因素修正幅度!B10:B28=I2)*(因素修正幅度!C3:F3=E2)*(因素修正幅度!C10:F28))</f>
        <v>0</v>
      </c>
      <c r="O2" s="560"/>
      <c r="P2" s="560"/>
      <c r="Q2" s="560"/>
      <c r="R2" s="819">
        <v>1</v>
      </c>
      <c r="S2" s="819">
        <f>ROUND(IF(G3&gt;1,IF(R2&lt;7,SUMPRODUCT((B93:B98=R2)*(C92:N92=G2)*(C93:N98)),SUMIF(C92:N92,G2,C100:N100)),IF(R2&lt;7,SUMPRODUCT((B102:B107=R2)*(C92:N92=G2)*(C102:N107)),SUMIF(C92:N92,G2,C109:N109))),4)</f>
        <v>1.8629</v>
      </c>
      <c r="T2" s="819">
        <f ca="1">ROUND($C$5*$C$18*$C$19*$C$20*S2*$C$24,0)</f>
        <v>0</v>
      </c>
      <c r="U2" s="821"/>
      <c r="V2" s="819">
        <f ca="1">ROUND(T2*U2/10000,0)</f>
        <v>0</v>
      </c>
      <c r="W2" s="820"/>
      <c r="X2" s="820"/>
      <c r="Y2" s="820"/>
      <c r="Z2" s="820"/>
      <c r="AA2" s="820"/>
      <c r="AB2" s="820"/>
      <c r="AC2" s="828"/>
      <c r="AD2" s="829"/>
      <c r="AE2" s="829"/>
      <c r="AF2" s="829"/>
      <c r="AG2" s="829"/>
      <c r="AH2" s="829"/>
      <c r="AI2" s="829"/>
      <c r="AJ2" s="839"/>
    </row>
    <row r="3" spans="1:36" ht="25.5">
      <c r="A3" s="148" t="s">
        <v>928</v>
      </c>
      <c r="B3" s="149">
        <f ca="1">ROUND(B2*10000/D1,0)</f>
        <v>0</v>
      </c>
      <c r="C3" s="569" t="s">
        <v>929</v>
      </c>
      <c r="D3" s="570" t="s">
        <v>1557</v>
      </c>
      <c r="E3" s="573" t="s">
        <v>1558</v>
      </c>
      <c r="F3" s="574" t="s">
        <v>1559</v>
      </c>
      <c r="G3" s="575">
        <f>IF(F3="宗地容积率",'数据-汇总表'!I4,IF(F3="估价对象容积率",'数据-汇总表'!I6,'数据-汇总表'!I7))</f>
        <v>3.22</v>
      </c>
      <c r="H3" s="576" t="s">
        <v>1560</v>
      </c>
      <c r="I3" s="744"/>
      <c r="J3" s="741" t="s">
        <v>1561</v>
      </c>
      <c r="K3" s="560"/>
      <c r="L3" s="742" t="s">
        <v>1562</v>
      </c>
      <c r="M3" s="743">
        <f>SUMPRODUCT((区片价!B29:B48=I2)*(区片价!C3:F3=E2)*(区片价!C29:F48))</f>
        <v>0</v>
      </c>
      <c r="N3" s="740">
        <f>SUMPRODUCT((因素修正幅度!B29:B48=I2)*(因素修正幅度!C3:F3=E2)*(因素修正幅度!C29:F48))</f>
        <v>0</v>
      </c>
      <c r="O3" s="560"/>
      <c r="P3" s="560"/>
      <c r="Q3" s="560"/>
      <c r="R3" s="819">
        <v>2</v>
      </c>
      <c r="S3" s="819">
        <f>ROUND(IF(G3&gt;1,IF(R3&lt;7,SUMPRODUCT((B93:B98=R3)*(C92:N92=G2)*(C93:N98)),SUMIF(C92:N92,G2,C100:N100)),IF(R3&lt;7,SUMPRODUCT((B102:B107=R3)*(C92:N92=G2)*(C102:N107)),SUMIF(C92:N92,G2,C109:N109))),4)</f>
        <v>1.3371999999999999</v>
      </c>
      <c r="T3" s="819">
        <f t="shared" ref="T3:T16" ca="1" si="0">ROUND($C$5*$C$18*$C$19*$C$20*S3*$C$24,0)</f>
        <v>0</v>
      </c>
      <c r="U3" s="821"/>
      <c r="V3" s="819">
        <f t="shared" ref="V3:V16" ca="1" si="1">ROUND(T3*U3/10000,0)</f>
        <v>0</v>
      </c>
      <c r="W3" s="820"/>
      <c r="X3" s="820"/>
      <c r="Y3" s="820"/>
      <c r="Z3" s="820"/>
      <c r="AA3" s="820"/>
      <c r="AB3" s="820"/>
      <c r="AC3" s="828"/>
      <c r="AD3" s="829"/>
      <c r="AE3" s="829"/>
      <c r="AF3" s="829"/>
      <c r="AG3" s="829"/>
      <c r="AH3" s="829"/>
      <c r="AI3" s="829"/>
      <c r="AJ3" s="839"/>
    </row>
    <row r="4" spans="1:36" ht="15.75">
      <c r="A4" s="3386"/>
      <c r="B4" s="3387"/>
      <c r="C4" s="3387"/>
      <c r="D4" s="3388"/>
      <c r="E4" s="3388"/>
      <c r="F4" s="3388"/>
      <c r="G4" s="3388"/>
      <c r="H4" s="3388"/>
      <c r="I4" s="3388"/>
      <c r="J4" s="3389"/>
      <c r="K4" s="560"/>
      <c r="L4" s="742" t="s">
        <v>1563</v>
      </c>
      <c r="M4" s="743">
        <f>SUMPRODUCT((区片价!B49:B75=I2)*(区片价!C3:F3=E2)*(区片价!C49:F75))</f>
        <v>16550</v>
      </c>
      <c r="N4" s="740">
        <f>SUMPRODUCT((因素修正幅度!B49:B75=I2)*(因素修正幅度!C3:F3=E2)*(因素修正幅度!C49:F75))</f>
        <v>9.6000000000000002E-2</v>
      </c>
      <c r="O4" s="560"/>
      <c r="P4" s="560"/>
      <c r="Q4" s="560"/>
      <c r="R4" s="819">
        <v>3</v>
      </c>
      <c r="S4" s="819">
        <f>ROUND(IF(G3&gt;1,IF(R4&lt;7,SUMPRODUCT((B93:B98=R4)*(C92:N92=G2)*(C93:N98)),SUMIF(C92:N92,G2,C100:N100)),IF(R4&lt;7,SUMPRODUCT((B102:B107=R4)*(C92:N92=G2)*(C102:N107)),SUMIF(C92:N92,G2,C109:N109))),4)</f>
        <v>1.0788</v>
      </c>
      <c r="T4" s="819">
        <f t="shared" ca="1" si="0"/>
        <v>0</v>
      </c>
      <c r="U4" s="821"/>
      <c r="V4" s="819">
        <f t="shared" ca="1" si="1"/>
        <v>0</v>
      </c>
      <c r="W4" s="820"/>
      <c r="X4" s="820"/>
      <c r="Y4" s="820"/>
      <c r="Z4" s="820"/>
      <c r="AA4" s="820"/>
      <c r="AB4" s="820"/>
      <c r="AC4" s="828"/>
      <c r="AD4" s="829"/>
      <c r="AE4" s="829"/>
      <c r="AF4" s="829"/>
      <c r="AG4" s="829"/>
      <c r="AH4" s="829"/>
      <c r="AI4" s="829"/>
      <c r="AJ4" s="839"/>
    </row>
    <row r="5" spans="1:36" s="559" customFormat="1" ht="15">
      <c r="A5" s="577" t="s">
        <v>832</v>
      </c>
      <c r="B5" s="578" t="s">
        <v>1564</v>
      </c>
      <c r="C5" s="579">
        <f>ROUND(IF(E2="商业",C6*C7+C16,(IF(E2="住宅",C6*C12+C16,C6+C16))),0)</f>
        <v>20026</v>
      </c>
      <c r="D5" s="580">
        <f>ROUND(C6+C16,0)</f>
        <v>16550</v>
      </c>
      <c r="E5" s="580"/>
      <c r="F5" s="581"/>
      <c r="G5" s="582"/>
      <c r="H5" s="582"/>
      <c r="I5" s="582"/>
      <c r="J5" s="745"/>
      <c r="K5" s="746"/>
      <c r="L5" s="742" t="s">
        <v>1565</v>
      </c>
      <c r="M5" s="743">
        <f>SUMPRODUCT((区片价!B76:B109=I2)*(区片价!C3:F3=E2)*(区片价!C76:F109))</f>
        <v>0</v>
      </c>
      <c r="N5" s="740">
        <f>SUMPRODUCT((因素修正幅度!B76:B109=I2)*(因素修正幅度!C3:F3=E2)*(因素修正幅度!C76:F109))</f>
        <v>0</v>
      </c>
      <c r="O5" s="560"/>
      <c r="P5" s="560"/>
      <c r="Q5" s="560"/>
      <c r="R5" s="819">
        <v>4</v>
      </c>
      <c r="S5" s="819">
        <f>ROUND(IF(G3&gt;1,IF(R5&lt;7,SUMPRODUCT((B93:B98=R5)*(C92:N92=G2)*(C93:N98)),SUMIF(C92:N92,G2,C100:N100)),IF(R5&lt;7,SUMPRODUCT((B102:B107=R5)*(C92:N92=G2)*(C102:N107)),SUMIF(C92:N92,G2,C109:N109))),4)</f>
        <v>0.86560000000000004</v>
      </c>
      <c r="T5" s="819">
        <f t="shared" ca="1" si="0"/>
        <v>0</v>
      </c>
      <c r="U5" s="821"/>
      <c r="V5" s="819">
        <f t="shared" ca="1" si="1"/>
        <v>0</v>
      </c>
      <c r="W5" s="820"/>
      <c r="X5" s="820"/>
      <c r="Y5" s="820"/>
      <c r="Z5" s="820"/>
      <c r="AA5" s="820"/>
      <c r="AB5" s="820"/>
      <c r="AC5" s="830"/>
      <c r="AD5" s="831"/>
      <c r="AE5" s="831"/>
      <c r="AF5" s="831"/>
      <c r="AG5" s="831"/>
      <c r="AH5" s="831"/>
      <c r="AI5" s="831"/>
      <c r="AJ5" s="840"/>
    </row>
    <row r="6" spans="1:36" ht="15">
      <c r="A6" s="583" t="s">
        <v>931</v>
      </c>
      <c r="B6" s="584" t="s">
        <v>1566</v>
      </c>
      <c r="C6" s="585">
        <f>SUMIF(L1:L12,G2,M1:M12)</f>
        <v>16550</v>
      </c>
      <c r="D6" s="586" t="s">
        <v>1567</v>
      </c>
      <c r="E6" s="587"/>
      <c r="F6" s="587"/>
      <c r="G6" s="588"/>
      <c r="H6" s="588"/>
      <c r="I6" s="588"/>
      <c r="J6" s="747"/>
      <c r="K6" s="748"/>
      <c r="L6" s="742" t="s">
        <v>1568</v>
      </c>
      <c r="M6" s="743">
        <f>SUMPRODUCT((区片价!B110:B157=I2)*(区片价!C3:F3=E2)*(区片价!C110:F157))</f>
        <v>0</v>
      </c>
      <c r="N6" s="740">
        <f>SUMPRODUCT((因素修正幅度!B110:B157=I2)*(因素修正幅度!C3:F3=E2)*(因素修正幅度!C110:F157))</f>
        <v>0</v>
      </c>
      <c r="O6" s="560"/>
      <c r="P6" s="560"/>
      <c r="Q6" s="560"/>
      <c r="R6" s="819">
        <v>5</v>
      </c>
      <c r="S6" s="819">
        <f>ROUND(IF(G3&gt;1,IF(R6&lt;7,SUMPRODUCT((B93:B98=R6)*(C92:N92=G2)*(C93:N98)),SUMIF(C92:N92,G2,C100:N100)),IF(R6&lt;7,SUMPRODUCT((B102:B107=R6)*(C92:N92=G2)*(C102:N107)),SUMIF(C92:N92,G2,C109:N109))),4)</f>
        <v>0.73709999999999998</v>
      </c>
      <c r="T6" s="819">
        <f t="shared" ca="1" si="0"/>
        <v>0</v>
      </c>
      <c r="U6" s="821"/>
      <c r="V6" s="819">
        <f t="shared" ca="1" si="1"/>
        <v>0</v>
      </c>
      <c r="W6" s="820"/>
      <c r="X6" s="820"/>
      <c r="Y6" s="820"/>
      <c r="Z6" s="820"/>
      <c r="AA6" s="820"/>
      <c r="AB6" s="820"/>
      <c r="AC6" s="830"/>
      <c r="AD6" s="831"/>
      <c r="AE6" s="831"/>
      <c r="AF6" s="831"/>
      <c r="AG6" s="831"/>
      <c r="AH6" s="831"/>
      <c r="AI6" s="831"/>
      <c r="AJ6" s="840"/>
    </row>
    <row r="7" spans="1:36" ht="24">
      <c r="A7" s="3371" t="str">
        <f>IF(E2="商业",IF(C8="不临58条商业街","",2),"")</f>
        <v/>
      </c>
      <c r="B7" s="589" t="s">
        <v>1569</v>
      </c>
      <c r="C7" s="590" t="e">
        <f>IF(C8="不临58条商业街",1,ROUND(1+(1.6*E8+1.2*E9+0.8*E10+0.4*E11)*C9,4))</f>
        <v>#DIV/0!</v>
      </c>
      <c r="D7" s="591" t="s">
        <v>1570</v>
      </c>
      <c r="E7" s="592"/>
      <c r="F7" s="593"/>
      <c r="G7" s="594"/>
      <c r="H7" s="594"/>
      <c r="I7" s="594"/>
      <c r="J7" s="749"/>
      <c r="K7" s="748"/>
      <c r="L7" s="742" t="s">
        <v>1571</v>
      </c>
      <c r="M7" s="743">
        <f>SUMPRODUCT((区片价!B158:B205=I2)*(区片价!C3:F3=E2)*(区片价!C158:F205))</f>
        <v>0</v>
      </c>
      <c r="N7" s="740">
        <f>SUMPRODUCT((因素修正幅度!B158:B205=I2)*(因素修正幅度!C3:F3=E2)*(因素修正幅度!C158:F205))</f>
        <v>0</v>
      </c>
      <c r="O7" s="560"/>
      <c r="P7" s="560"/>
      <c r="Q7" s="560"/>
      <c r="R7" s="819">
        <v>6</v>
      </c>
      <c r="S7" s="819">
        <f>ROUND(IF(G3&gt;1,IF(R7&lt;7,SUMPRODUCT((B93:B98=R7)*(C92:N92=G2)*(C93:N98)),SUMIF(C92:N92,G2,C100:N100)),IF(R7&lt;7,SUMPRODUCT((B102:B107=R7)*(C92:N92=G2)*(C102:N107)),SUMIF(C92:N92,G2,C109:N109))),4)</f>
        <v>0.6482</v>
      </c>
      <c r="T7" s="819">
        <f t="shared" ca="1" si="0"/>
        <v>0</v>
      </c>
      <c r="U7" s="821"/>
      <c r="V7" s="819">
        <f t="shared" ca="1" si="1"/>
        <v>0</v>
      </c>
      <c r="W7" s="822" t="s">
        <v>1572</v>
      </c>
      <c r="X7" s="823" t="str">
        <f>G2</f>
        <v>四级</v>
      </c>
      <c r="Y7" s="823" t="s">
        <v>1573</v>
      </c>
      <c r="Z7" s="832">
        <f>G3</f>
        <v>3.22</v>
      </c>
      <c r="AA7" s="820"/>
      <c r="AB7" s="820"/>
      <c r="AC7" s="828"/>
      <c r="AD7" s="829"/>
      <c r="AE7" s="829"/>
      <c r="AF7" s="829"/>
      <c r="AG7" s="829"/>
      <c r="AH7" s="829"/>
      <c r="AI7" s="829"/>
      <c r="AJ7" s="839"/>
    </row>
    <row r="8" spans="1:36" ht="15">
      <c r="A8" s="3372"/>
      <c r="B8" s="576" t="s">
        <v>1574</v>
      </c>
      <c r="C8" s="595"/>
      <c r="D8" s="596" t="s">
        <v>1575</v>
      </c>
      <c r="E8" s="597" t="e">
        <f>ROUND(C11/E7,4)</f>
        <v>#DIV/0!</v>
      </c>
      <c r="F8" s="598" t="s">
        <v>1576</v>
      </c>
      <c r="G8" s="599"/>
      <c r="H8" s="599"/>
      <c r="I8" s="599"/>
      <c r="J8" s="750"/>
      <c r="K8" s="560"/>
      <c r="L8" s="742" t="s">
        <v>1577</v>
      </c>
      <c r="M8" s="743">
        <f>SUMPRODUCT((区片价!B206:B244=I2)*(区片价!C3:F3=E2)*(区片价!C206:F244))</f>
        <v>0</v>
      </c>
      <c r="N8" s="740">
        <f>SUMPRODUCT((因素修正幅度!B206:B244=I2)*(因素修正幅度!C3:F3=E2)*(因素修正幅度!C206:F244))</f>
        <v>0</v>
      </c>
      <c r="O8" s="560"/>
      <c r="P8" s="560"/>
      <c r="Q8" s="560"/>
      <c r="R8" s="819">
        <v>7</v>
      </c>
      <c r="S8" s="821"/>
      <c r="T8" s="819">
        <f t="shared" ca="1" si="0"/>
        <v>0</v>
      </c>
      <c r="U8" s="821"/>
      <c r="V8" s="819">
        <f t="shared" ca="1" si="1"/>
        <v>0</v>
      </c>
      <c r="W8" s="3390" t="s">
        <v>1578</v>
      </c>
      <c r="X8" s="3391"/>
      <c r="Y8" s="833" t="s">
        <v>1579</v>
      </c>
      <c r="Z8" s="833" t="s">
        <v>1580</v>
      </c>
      <c r="AA8" s="833" t="s">
        <v>1581</v>
      </c>
      <c r="AB8" s="833" t="s">
        <v>1582</v>
      </c>
      <c r="AC8" s="833" t="s">
        <v>1583</v>
      </c>
      <c r="AD8" s="833" t="s">
        <v>1584</v>
      </c>
      <c r="AE8" s="833" t="s">
        <v>1585</v>
      </c>
      <c r="AF8" s="833" t="s">
        <v>1586</v>
      </c>
      <c r="AG8" s="833" t="s">
        <v>1587</v>
      </c>
      <c r="AH8" s="833" t="s">
        <v>1588</v>
      </c>
      <c r="AI8" s="833" t="s">
        <v>1589</v>
      </c>
      <c r="AJ8" s="833" t="s">
        <v>1590</v>
      </c>
    </row>
    <row r="9" spans="1:36" ht="15">
      <c r="A9" s="3372"/>
      <c r="B9" s="576" t="s">
        <v>1591</v>
      </c>
      <c r="C9" s="600">
        <f>SUMIF(修正!C59:C119,C8,修正!E59:E119)</f>
        <v>0</v>
      </c>
      <c r="D9" s="601" t="s">
        <v>1592</v>
      </c>
      <c r="E9" s="601" t="e">
        <f>ROUND(C11/E7,4)</f>
        <v>#DIV/0!</v>
      </c>
      <c r="F9" s="598" t="s">
        <v>1593</v>
      </c>
      <c r="G9" s="599"/>
      <c r="H9" s="599"/>
      <c r="I9" s="599"/>
      <c r="J9" s="750"/>
      <c r="K9" s="560"/>
      <c r="L9" s="742" t="s">
        <v>1594</v>
      </c>
      <c r="M9" s="743">
        <f>SUMPRODUCT((区片价!B245:B289=I2)*(区片价!C3:F3=E2)*(区片价!C245:F289))</f>
        <v>0</v>
      </c>
      <c r="N9" s="740">
        <f>SUMPRODUCT((因素修正幅度!B245:B289=I2)*(因素修正幅度!C3:F3=E2)*(因素修正幅度!C245:F289))</f>
        <v>0</v>
      </c>
      <c r="O9" s="560"/>
      <c r="P9" s="560"/>
      <c r="Q9" s="560"/>
      <c r="R9" s="819">
        <v>8</v>
      </c>
      <c r="S9" s="821"/>
      <c r="T9" s="819">
        <f t="shared" ca="1" si="0"/>
        <v>0</v>
      </c>
      <c r="U9" s="821"/>
      <c r="V9" s="819">
        <f t="shared" ca="1" si="1"/>
        <v>0</v>
      </c>
      <c r="W9" s="3395" t="s">
        <v>1595</v>
      </c>
      <c r="X9" s="824" t="s">
        <v>1596</v>
      </c>
      <c r="Y9" s="834"/>
      <c r="Z9" s="835">
        <f>$Y$9</f>
        <v>0</v>
      </c>
      <c r="AA9" s="835">
        <f t="shared" ref="AA9:AJ9" si="2">$Y$9</f>
        <v>0</v>
      </c>
      <c r="AB9" s="835">
        <f t="shared" si="2"/>
        <v>0</v>
      </c>
      <c r="AC9" s="835">
        <f t="shared" si="2"/>
        <v>0</v>
      </c>
      <c r="AD9" s="835">
        <f t="shared" si="2"/>
        <v>0</v>
      </c>
      <c r="AE9" s="835">
        <f t="shared" si="2"/>
        <v>0</v>
      </c>
      <c r="AF9" s="835">
        <f t="shared" si="2"/>
        <v>0</v>
      </c>
      <c r="AG9" s="835">
        <f t="shared" si="2"/>
        <v>0</v>
      </c>
      <c r="AH9" s="835">
        <f t="shared" si="2"/>
        <v>0</v>
      </c>
      <c r="AI9" s="835">
        <f t="shared" si="2"/>
        <v>0</v>
      </c>
      <c r="AJ9" s="835">
        <f t="shared" si="2"/>
        <v>0</v>
      </c>
    </row>
    <row r="10" spans="1:36" ht="15">
      <c r="A10" s="3372"/>
      <c r="B10" s="576" t="s">
        <v>1597</v>
      </c>
      <c r="C10" s="601">
        <f>SUMIF(修正!C59:C119,C8,修正!F59:F119)</f>
        <v>0</v>
      </c>
      <c r="D10" s="601" t="s">
        <v>1598</v>
      </c>
      <c r="E10" s="601" t="e">
        <f>ROUND(C11/E7,4)</f>
        <v>#DIV/0!</v>
      </c>
      <c r="F10" s="598" t="s">
        <v>1599</v>
      </c>
      <c r="G10" s="599"/>
      <c r="H10" s="599"/>
      <c r="I10" s="599"/>
      <c r="J10" s="750"/>
      <c r="K10" s="560"/>
      <c r="L10" s="742" t="s">
        <v>1600</v>
      </c>
      <c r="M10" s="743">
        <f>SUMPRODUCT((区片价!B290:B316=I2)*(区片价!C3:F3=E2)*(区片价!C290:F316))</f>
        <v>0</v>
      </c>
      <c r="N10" s="740">
        <f>SUMPRODUCT((因素修正幅度!B290:B316=I2)*(因素修正幅度!C3:F3=E2)*(因素修正幅度!C290:F316))</f>
        <v>0</v>
      </c>
      <c r="O10" s="560"/>
      <c r="P10" s="560"/>
      <c r="Q10" s="560"/>
      <c r="R10" s="819">
        <v>9</v>
      </c>
      <c r="S10" s="821"/>
      <c r="T10" s="819">
        <f t="shared" ca="1" si="0"/>
        <v>0</v>
      </c>
      <c r="U10" s="821"/>
      <c r="V10" s="819">
        <f t="shared" ca="1" si="1"/>
        <v>0</v>
      </c>
      <c r="W10" s="3395"/>
      <c r="X10" s="824">
        <v>7</v>
      </c>
      <c r="Y10" s="836">
        <f>(-0.163*(Y9^2)-0.59*Y9+7617)*(10^(-4))</f>
        <v>0.76170000000000004</v>
      </c>
      <c r="Z10" s="836">
        <f>(-0.163*(Z9^2)-0.59*Z9+7617)*(10^(-4))</f>
        <v>0.76170000000000004</v>
      </c>
      <c r="AA10" s="836">
        <f>(-0.161*(AA9^2)-7.509*AA9+6533)*(10^(-4))</f>
        <v>0.65329999999999999</v>
      </c>
      <c r="AB10" s="836">
        <f>(-0.161*(AB9^2)-7.509*AB9+6533)*(10^(-4))</f>
        <v>0.65329999999999999</v>
      </c>
      <c r="AC10" s="836">
        <f>(-0.161*(AC9^2)-7.509*AC9+6533)*(10^(-4))</f>
        <v>0.65329999999999999</v>
      </c>
      <c r="AD10" s="836">
        <f>(-0.161*(AD9^2)-7.509*AD9+6533)*(10^(-4))</f>
        <v>0.65329999999999999</v>
      </c>
      <c r="AE10" s="836">
        <f>(-0.161*(AE9^2)-7.509*AE9+6533)*(10^(-4))</f>
        <v>0.65329999999999999</v>
      </c>
      <c r="AF10" s="836">
        <f>(-0.214*(AF9^2)-21.991*AF9+4665)*(10^(-4))</f>
        <v>0.46650000000000003</v>
      </c>
      <c r="AG10" s="836">
        <f>(-0.214*(AG9^2)-21.991*AG9+4665)*(10^(-4))</f>
        <v>0.46650000000000003</v>
      </c>
      <c r="AH10" s="836">
        <f>(-0.214*(AH9^2)-21.991*AH9+4665)*(10^(-4))</f>
        <v>0.46650000000000003</v>
      </c>
      <c r="AI10" s="836">
        <f>(-0.214*(AI9^2)-21.991*AI9+4665)*(10^(-4))</f>
        <v>0.46650000000000003</v>
      </c>
      <c r="AJ10" s="836">
        <f>(-0.214*(AJ9^2)-21.991*AJ9+4665)*(10^(-4))</f>
        <v>0.46650000000000003</v>
      </c>
    </row>
    <row r="11" spans="1:36" ht="15">
      <c r="A11" s="3372"/>
      <c r="B11" s="602" t="s">
        <v>1601</v>
      </c>
      <c r="C11" s="603">
        <f>C10/4</f>
        <v>0</v>
      </c>
      <c r="D11" s="603" t="s">
        <v>1602</v>
      </c>
      <c r="E11" s="603" t="e">
        <f>ROUND(C11/E7,4)</f>
        <v>#DIV/0!</v>
      </c>
      <c r="F11" s="604" t="s">
        <v>1603</v>
      </c>
      <c r="G11" s="605"/>
      <c r="H11" s="605"/>
      <c r="I11" s="605"/>
      <c r="J11" s="751"/>
      <c r="K11" s="560"/>
      <c r="L11" s="742" t="s">
        <v>1604</v>
      </c>
      <c r="M11" s="743">
        <f>SUMPRODUCT((区片价!B317:B337=I2)*(区片价!C3:F3=E2)*(区片价!C317:F337))</f>
        <v>0</v>
      </c>
      <c r="N11" s="740">
        <f>SUMPRODUCT((因素修正幅度!B317:B337=I2)*(因素修正幅度!C3:F3=E2)*(因素修正幅度!C317:F337))</f>
        <v>0</v>
      </c>
      <c r="O11" s="560"/>
      <c r="P11" s="560"/>
      <c r="Q11" s="560"/>
      <c r="R11" s="819">
        <v>10</v>
      </c>
      <c r="S11" s="821"/>
      <c r="T11" s="819">
        <f t="shared" ca="1" si="0"/>
        <v>0</v>
      </c>
      <c r="U11" s="821"/>
      <c r="V11" s="819">
        <f t="shared" ca="1" si="1"/>
        <v>0</v>
      </c>
      <c r="W11" s="3395" t="s">
        <v>1605</v>
      </c>
      <c r="X11" s="825" t="s">
        <v>1573</v>
      </c>
      <c r="Y11" s="837">
        <f>$G$3</f>
        <v>3.22</v>
      </c>
      <c r="Z11" s="837">
        <f t="shared" ref="Z11:AJ11" si="3">$G$3</f>
        <v>3.22</v>
      </c>
      <c r="AA11" s="837">
        <f t="shared" si="3"/>
        <v>3.22</v>
      </c>
      <c r="AB11" s="837">
        <f t="shared" si="3"/>
        <v>3.22</v>
      </c>
      <c r="AC11" s="837">
        <f t="shared" si="3"/>
        <v>3.22</v>
      </c>
      <c r="AD11" s="837">
        <f t="shared" si="3"/>
        <v>3.22</v>
      </c>
      <c r="AE11" s="837">
        <f t="shared" si="3"/>
        <v>3.22</v>
      </c>
      <c r="AF11" s="837">
        <f t="shared" si="3"/>
        <v>3.22</v>
      </c>
      <c r="AG11" s="837">
        <f t="shared" si="3"/>
        <v>3.22</v>
      </c>
      <c r="AH11" s="837">
        <f t="shared" si="3"/>
        <v>3.22</v>
      </c>
      <c r="AI11" s="837">
        <f t="shared" si="3"/>
        <v>3.22</v>
      </c>
      <c r="AJ11" s="837">
        <f t="shared" si="3"/>
        <v>3.22</v>
      </c>
    </row>
    <row r="12" spans="1:36" ht="24.75">
      <c r="A12" s="3371" t="s">
        <v>1606</v>
      </c>
      <c r="B12" s="606" t="s">
        <v>1607</v>
      </c>
      <c r="C12" s="590">
        <f>ROUND(C15*D15*E15*F15*G15*H15*I15*J15,4)</f>
        <v>1.21</v>
      </c>
      <c r="D12" s="607" t="s">
        <v>1608</v>
      </c>
      <c r="E12" s="608"/>
      <c r="F12" s="608"/>
      <c r="G12" s="609"/>
      <c r="H12" s="609"/>
      <c r="I12" s="609"/>
      <c r="J12" s="752"/>
      <c r="K12" s="560"/>
      <c r="L12" s="753" t="s">
        <v>1609</v>
      </c>
      <c r="M12" s="754">
        <f>SUMPRODUCT((区片价!B338:B344=I2)*(区片价!C3:F3=E2)*(区片价!C338:F344))</f>
        <v>0</v>
      </c>
      <c r="N12" s="740">
        <f>SUMPRODUCT((因素修正幅度!B338:B344=I2)*(因素修正幅度!C3:F3=E2)*(因素修正幅度!C338:F344))</f>
        <v>0</v>
      </c>
      <c r="O12" s="560"/>
      <c r="P12" s="560"/>
      <c r="Q12" s="560"/>
      <c r="R12" s="819">
        <v>11</v>
      </c>
      <c r="S12" s="821"/>
      <c r="T12" s="819">
        <f t="shared" ca="1" si="0"/>
        <v>0</v>
      </c>
      <c r="U12" s="821"/>
      <c r="V12" s="819">
        <f t="shared" ca="1" si="1"/>
        <v>0</v>
      </c>
      <c r="W12" s="3395"/>
      <c r="X12" s="826" t="s">
        <v>1610</v>
      </c>
      <c r="Y12" s="835">
        <f t="shared" ref="Y12:AJ12" si="4">Y9</f>
        <v>0</v>
      </c>
      <c r="Z12" s="835">
        <f t="shared" si="4"/>
        <v>0</v>
      </c>
      <c r="AA12" s="835">
        <f t="shared" si="4"/>
        <v>0</v>
      </c>
      <c r="AB12" s="835">
        <f t="shared" si="4"/>
        <v>0</v>
      </c>
      <c r="AC12" s="835">
        <f t="shared" si="4"/>
        <v>0</v>
      </c>
      <c r="AD12" s="835">
        <f t="shared" si="4"/>
        <v>0</v>
      </c>
      <c r="AE12" s="835">
        <f t="shared" si="4"/>
        <v>0</v>
      </c>
      <c r="AF12" s="835">
        <f t="shared" si="4"/>
        <v>0</v>
      </c>
      <c r="AG12" s="835">
        <f t="shared" si="4"/>
        <v>0</v>
      </c>
      <c r="AH12" s="835">
        <f t="shared" si="4"/>
        <v>0</v>
      </c>
      <c r="AI12" s="835">
        <f t="shared" si="4"/>
        <v>0</v>
      </c>
      <c r="AJ12" s="835">
        <f t="shared" si="4"/>
        <v>0</v>
      </c>
    </row>
    <row r="13" spans="1:36" ht="24">
      <c r="A13" s="3373"/>
      <c r="B13" s="610" t="s">
        <v>1611</v>
      </c>
      <c r="C13" s="611" t="s">
        <v>1612</v>
      </c>
      <c r="D13" s="612" t="s">
        <v>1613</v>
      </c>
      <c r="E13" s="612" t="s">
        <v>1614</v>
      </c>
      <c r="F13" s="613" t="s">
        <v>1615</v>
      </c>
      <c r="G13" s="614" t="s">
        <v>1616</v>
      </c>
      <c r="H13" s="614" t="s">
        <v>1616</v>
      </c>
      <c r="I13" s="614" t="s">
        <v>1616</v>
      </c>
      <c r="J13" s="755" t="s">
        <v>1616</v>
      </c>
      <c r="K13" s="560"/>
      <c r="L13" s="560"/>
      <c r="M13" s="560"/>
      <c r="N13" s="560"/>
      <c r="O13" s="560"/>
      <c r="P13" s="560"/>
      <c r="Q13" s="560"/>
      <c r="R13" s="819">
        <v>12</v>
      </c>
      <c r="S13" s="821"/>
      <c r="T13" s="819">
        <f t="shared" ca="1" si="0"/>
        <v>0</v>
      </c>
      <c r="U13" s="821"/>
      <c r="V13" s="819">
        <f t="shared" ca="1" si="1"/>
        <v>0</v>
      </c>
      <c r="W13" s="3395"/>
      <c r="X13" s="826"/>
      <c r="Y13" s="836">
        <f>(-0.163*(Y12^2)-0.59*Y12+7617)*(10^(-4))/Y11</f>
        <v>0.23655279503105589</v>
      </c>
      <c r="Z13" s="836">
        <f t="shared" ref="Z13:AJ13" si="5">(-0.163*(Z12^2)-0.59*Z12+7617)*(10^(-4))/Z11</f>
        <v>0.23655279503105589</v>
      </c>
      <c r="AA13" s="836">
        <f t="shared" si="5"/>
        <v>0.23655279503105589</v>
      </c>
      <c r="AB13" s="836">
        <f t="shared" si="5"/>
        <v>0.23655279503105589</v>
      </c>
      <c r="AC13" s="836">
        <f t="shared" si="5"/>
        <v>0.23655279503105589</v>
      </c>
      <c r="AD13" s="836">
        <f t="shared" si="5"/>
        <v>0.23655279503105589</v>
      </c>
      <c r="AE13" s="836">
        <f t="shared" si="5"/>
        <v>0.23655279503105589</v>
      </c>
      <c r="AF13" s="836">
        <f t="shared" si="5"/>
        <v>0.23655279503105589</v>
      </c>
      <c r="AG13" s="836">
        <f t="shared" si="5"/>
        <v>0.23655279503105589</v>
      </c>
      <c r="AH13" s="836">
        <f t="shared" si="5"/>
        <v>0.23655279503105589</v>
      </c>
      <c r="AI13" s="836">
        <f t="shared" si="5"/>
        <v>0.23655279503105589</v>
      </c>
      <c r="AJ13" s="836">
        <f t="shared" si="5"/>
        <v>0.23655279503105589</v>
      </c>
    </row>
    <row r="14" spans="1:36" ht="15">
      <c r="A14" s="3373"/>
      <c r="B14" s="615"/>
      <c r="C14" s="616" t="s">
        <v>1617</v>
      </c>
      <c r="D14" s="617" t="s">
        <v>1617</v>
      </c>
      <c r="E14" s="617" t="s">
        <v>1618</v>
      </c>
      <c r="F14" s="618" t="s">
        <v>1619</v>
      </c>
      <c r="G14" s="619" t="s">
        <v>1620</v>
      </c>
      <c r="H14" s="620"/>
      <c r="I14" s="756"/>
      <c r="J14" s="757"/>
      <c r="K14" s="560"/>
      <c r="L14" s="560"/>
      <c r="M14" s="560"/>
      <c r="N14" s="560"/>
      <c r="O14" s="560"/>
      <c r="P14" s="560"/>
      <c r="Q14" s="560"/>
      <c r="R14" s="819">
        <v>13</v>
      </c>
      <c r="S14" s="821"/>
      <c r="T14" s="819">
        <f t="shared" ca="1" si="0"/>
        <v>0</v>
      </c>
      <c r="U14" s="821"/>
      <c r="V14" s="819">
        <f t="shared" ca="1" si="1"/>
        <v>0</v>
      </c>
      <c r="W14" s="820"/>
      <c r="X14" s="820"/>
      <c r="Y14" s="820"/>
      <c r="Z14" s="820"/>
      <c r="AA14" s="820"/>
      <c r="AB14" s="820"/>
      <c r="AC14" s="828"/>
      <c r="AD14" s="838"/>
      <c r="AE14" s="838"/>
      <c r="AF14" s="838"/>
      <c r="AG14" s="838"/>
      <c r="AH14" s="838"/>
      <c r="AI14" s="838"/>
      <c r="AJ14" s="841"/>
    </row>
    <row r="15" spans="1:36" ht="15">
      <c r="A15" s="3374"/>
      <c r="B15" s="621" t="s">
        <v>1621</v>
      </c>
      <c r="C15" s="622">
        <f>IF(C14="有",1.1,1)</f>
        <v>1</v>
      </c>
      <c r="D15" s="622">
        <f>IF(D14="有",1.1,1)</f>
        <v>1</v>
      </c>
      <c r="E15" s="622">
        <f>IF(E14="有",1.1,1)</f>
        <v>1.1000000000000001</v>
      </c>
      <c r="F15" s="622">
        <f>IF(F14="500米范围内",1.2,IF(F14="500-1000米",1.1,1))</f>
        <v>1.1000000000000001</v>
      </c>
      <c r="G15" s="623">
        <v>1</v>
      </c>
      <c r="H15" s="623">
        <v>1</v>
      </c>
      <c r="I15" s="623">
        <v>1</v>
      </c>
      <c r="J15" s="758">
        <v>1</v>
      </c>
      <c r="K15" s="560"/>
      <c r="L15" s="561"/>
      <c r="M15" s="561"/>
      <c r="N15" s="561"/>
      <c r="O15" s="561"/>
      <c r="P15" s="561"/>
      <c r="Q15" s="560"/>
      <c r="R15" s="819">
        <v>14</v>
      </c>
      <c r="S15" s="821"/>
      <c r="T15" s="819">
        <f t="shared" ca="1" si="0"/>
        <v>0</v>
      </c>
      <c r="U15" s="821"/>
      <c r="V15" s="819">
        <f t="shared" ca="1" si="1"/>
        <v>0</v>
      </c>
      <c r="W15" s="820"/>
      <c r="X15" s="820"/>
      <c r="Y15" s="820"/>
      <c r="Z15" s="820"/>
      <c r="AA15" s="820"/>
      <c r="AB15" s="820"/>
      <c r="AC15" s="828"/>
      <c r="AD15" s="838"/>
      <c r="AE15" s="838"/>
      <c r="AF15" s="838"/>
      <c r="AG15" s="838"/>
      <c r="AH15" s="838"/>
      <c r="AI15" s="838"/>
      <c r="AJ15" s="841"/>
    </row>
    <row r="16" spans="1:36" ht="24.6" customHeight="1">
      <c r="A16" s="3371" t="s">
        <v>1622</v>
      </c>
      <c r="B16" s="589" t="s">
        <v>1623</v>
      </c>
      <c r="C16" s="624">
        <f>ROUND(IF(F17="与级别开发程度一致",0,(G17-E17)/C17),0)</f>
        <v>0</v>
      </c>
      <c r="D16" s="3392" t="s">
        <v>1624</v>
      </c>
      <c r="E16" s="3393"/>
      <c r="F16" s="3392" t="s">
        <v>1625</v>
      </c>
      <c r="G16" s="3393"/>
      <c r="H16" s="626"/>
      <c r="I16" s="626"/>
      <c r="J16" s="759"/>
      <c r="K16" s="626"/>
      <c r="L16" s="626"/>
      <c r="M16" s="626"/>
      <c r="N16" s="626"/>
      <c r="O16" s="760"/>
      <c r="P16" s="561"/>
      <c r="Q16" s="560"/>
      <c r="R16" s="819">
        <v>15</v>
      </c>
      <c r="S16" s="821"/>
      <c r="T16" s="819">
        <f t="shared" ca="1" si="0"/>
        <v>0</v>
      </c>
      <c r="U16" s="821"/>
      <c r="V16" s="819">
        <f t="shared" ca="1" si="1"/>
        <v>0</v>
      </c>
      <c r="W16" s="820"/>
      <c r="X16" s="820"/>
      <c r="Y16" s="820"/>
      <c r="Z16" s="820"/>
      <c r="AA16" s="820"/>
      <c r="AB16" s="820"/>
      <c r="AC16" s="828"/>
      <c r="AD16" s="838"/>
      <c r="AE16" s="838"/>
      <c r="AF16" s="838"/>
      <c r="AG16" s="838"/>
      <c r="AH16" s="838"/>
      <c r="AI16" s="838"/>
      <c r="AJ16" s="841"/>
    </row>
    <row r="17" spans="1:37" ht="25.5">
      <c r="A17" s="3375"/>
      <c r="B17" s="627" t="s">
        <v>1626</v>
      </c>
      <c r="C17" s="628">
        <f>SUMPRODUCT((修正!A2:A5=E2)*(修正!B1:M1=G2)*(修正!B2:M5))</f>
        <v>2.5</v>
      </c>
      <c r="D17" s="622" t="str">
        <f>IF(OR(G2="八级",G2="九级",G2="十级",G2="十一级",G2="十二级"),"五通一平","七通一平")</f>
        <v>七通一平</v>
      </c>
      <c r="E17" s="629">
        <f>SUMPRODUCT((修正!B1:M1=G2)*(修正!B15:M15))</f>
        <v>300</v>
      </c>
      <c r="F17" s="630" t="s">
        <v>1627</v>
      </c>
      <c r="G17" s="631">
        <f>SUM(H17:O17)</f>
        <v>0</v>
      </c>
      <c r="H17" s="628">
        <f>SUMPRODUCT((七通一平=H16)*(修正!B1:M1=G2)*(修正!B6:M14))</f>
        <v>0</v>
      </c>
      <c r="I17" s="628">
        <f>SUMPRODUCT((七通一平=I16)*(修正!B1:M1=G2)*(修正!B6:M14))</f>
        <v>0</v>
      </c>
      <c r="J17" s="761">
        <f>SUMPRODUCT((七通一平=J16)*(修正!B1:M1=G2)*(修正!B6:M14))</f>
        <v>0</v>
      </c>
      <c r="K17" s="628">
        <f>SUMPRODUCT((七通一平=K16)*(修正!B1:M1=G2)*(修正!B6:M14))</f>
        <v>0</v>
      </c>
      <c r="L17" s="628">
        <f>SUMPRODUCT((七通一平=L16)*(修正!B1:M1=G2)*(修正!B6:M14))</f>
        <v>0</v>
      </c>
      <c r="M17" s="628">
        <f>SUMPRODUCT((七通一平=M16)*(修正!B1:M1=G2)*(修正!B6:M14))</f>
        <v>0</v>
      </c>
      <c r="N17" s="628">
        <f>SUMPRODUCT((七通一平=N16)*(修正!B1:M1=G2)*(修正!B6:M14))</f>
        <v>0</v>
      </c>
      <c r="O17" s="762">
        <f>SUMPRODUCT((七通一平=O16)*(修正!B1:M1=G2)*(修正!B6:M14))</f>
        <v>0</v>
      </c>
      <c r="P17" s="561"/>
      <c r="Q17" s="560"/>
      <c r="R17" s="560"/>
      <c r="S17" s="560"/>
      <c r="T17" s="560"/>
      <c r="U17" s="560"/>
      <c r="V17" s="560"/>
      <c r="W17" s="560"/>
      <c r="X17" s="560"/>
      <c r="Y17" s="560"/>
      <c r="Z17" s="704"/>
      <c r="AA17" s="704"/>
      <c r="AB17" s="704"/>
      <c r="AC17" s="704"/>
      <c r="AD17" s="704"/>
      <c r="AE17" s="560"/>
      <c r="AF17" s="560"/>
      <c r="AG17" s="561"/>
      <c r="AH17" s="561"/>
      <c r="AI17" s="561"/>
      <c r="AJ17" s="561"/>
    </row>
    <row r="18" spans="1:37" s="559" customFormat="1" ht="15">
      <c r="A18" s="632" t="s">
        <v>843</v>
      </c>
      <c r="B18" s="633" t="s">
        <v>1628</v>
      </c>
      <c r="C18" s="634">
        <f>SUMIF(修正!C18:C39,E3,修正!E18:E39)</f>
        <v>1</v>
      </c>
      <c r="D18" s="635"/>
      <c r="E18" s="636"/>
      <c r="F18" s="636"/>
      <c r="G18" s="636"/>
      <c r="H18" s="636"/>
      <c r="I18" s="636"/>
      <c r="J18" s="763"/>
      <c r="K18" s="764"/>
      <c r="L18" s="765"/>
      <c r="M18" s="765"/>
      <c r="N18" s="765"/>
      <c r="O18" s="766"/>
      <c r="P18" s="766"/>
      <c r="Q18" s="827"/>
      <c r="R18" s="827"/>
      <c r="S18" s="827"/>
      <c r="T18" s="704"/>
      <c r="U18" s="704"/>
      <c r="V18" s="704"/>
      <c r="W18" s="560"/>
      <c r="X18" s="560"/>
      <c r="Y18" s="560"/>
      <c r="Z18" s="764"/>
      <c r="AA18" s="764"/>
      <c r="AB18" s="764"/>
      <c r="AC18" s="764"/>
      <c r="AD18" s="764"/>
      <c r="AE18" s="704"/>
      <c r="AF18" s="704"/>
      <c r="AG18" s="842"/>
      <c r="AH18" s="842"/>
      <c r="AI18" s="842"/>
      <c r="AJ18" s="765"/>
    </row>
    <row r="19" spans="1:37" s="559" customFormat="1" ht="28.5">
      <c r="A19" s="637" t="s">
        <v>848</v>
      </c>
      <c r="B19" s="638" t="s">
        <v>1629</v>
      </c>
      <c r="C19" s="639">
        <f>ROUND(IF(H19="按公示增长率计算",SUMPRODUCT((地价!A3:A33=YEAR(G19)&amp;"-"&amp;ROUNDUP(MONTH(G19)/3,0))*(地价!X2:AB2=E2)*(地价!X3:AB33)),IF(H19="地价指数",M20/M19,(1+I19)^O19)),4)</f>
        <v>0</v>
      </c>
      <c r="D19" s="640" t="s">
        <v>1630</v>
      </c>
      <c r="E19" s="641">
        <v>41640</v>
      </c>
      <c r="F19" s="640" t="s">
        <v>1631</v>
      </c>
      <c r="G19" s="642">
        <f>'数据-取费表'!B2</f>
        <v>44288</v>
      </c>
      <c r="H19" s="643" t="s">
        <v>1632</v>
      </c>
      <c r="I19" s="767" t="str">
        <f>IF(H19="季度增幅（自定义）",SUMIF(N21:N24,E2,O21:O24),"")</f>
        <v/>
      </c>
      <c r="J19" s="768"/>
      <c r="K19" s="764"/>
      <c r="L19" s="769" t="s">
        <v>1633</v>
      </c>
      <c r="M19" s="770">
        <f>ROUND(SUMIF(地价!B2:F2,E2,地价!B33:F33),0)</f>
        <v>423</v>
      </c>
      <c r="N19" s="771" t="s">
        <v>1634</v>
      </c>
      <c r="O19" s="772">
        <f>ROUNDDOWN(DATEDIF(E19,G19,"M")/3,0)</f>
        <v>29</v>
      </c>
      <c r="P19" s="773"/>
      <c r="Q19" s="827"/>
      <c r="R19" s="827"/>
      <c r="S19" s="827"/>
      <c r="T19" s="704"/>
      <c r="U19" s="704"/>
      <c r="V19" s="704"/>
      <c r="W19" s="560"/>
      <c r="X19" s="560"/>
      <c r="Y19" s="560"/>
      <c r="Z19" s="764"/>
      <c r="AA19" s="764"/>
      <c r="AB19" s="764"/>
      <c r="AC19" s="764"/>
      <c r="AD19" s="764"/>
      <c r="AE19" s="764"/>
      <c r="AF19" s="827"/>
      <c r="AG19" s="843"/>
      <c r="AH19" s="842"/>
      <c r="AI19" s="844"/>
      <c r="AJ19" s="844"/>
      <c r="AK19" s="845"/>
    </row>
    <row r="20" spans="1:37" s="559" customFormat="1" ht="27">
      <c r="A20" s="644" t="s">
        <v>851</v>
      </c>
      <c r="B20" s="645" t="s">
        <v>1635</v>
      </c>
      <c r="C20" s="646">
        <f ca="1">ROUND(POWER(1+G20,J20-I20)*(POWER(1+G20,I20)-1)/(POWER(1+G20,J20)-1),4)</f>
        <v>0.99939999999999996</v>
      </c>
      <c r="D20" s="647" t="s">
        <v>1636</v>
      </c>
      <c r="E20" s="648">
        <f ca="1">存贷款利率!D4/100</f>
        <v>3.85E-2</v>
      </c>
      <c r="F20" s="647" t="s">
        <v>1637</v>
      </c>
      <c r="G20" s="649">
        <f ca="1">SUMIF(M26:P26,E2,M28:P28)</f>
        <v>4.3999999999999997E-2</v>
      </c>
      <c r="H20" s="647" t="s">
        <v>1638</v>
      </c>
      <c r="I20" s="625">
        <f>SUMIF('数据-取费表'!C6:C15,E2,'数据-取费表'!F6:F15)/COUNTIF('数据-取费表'!C6:C15,E2)</f>
        <v>69.75</v>
      </c>
      <c r="J20" s="774">
        <f>IF(E2="住宅",70,IF(E2="商业",40,50))</f>
        <v>70</v>
      </c>
      <c r="K20" s="764"/>
      <c r="L20" s="775" t="s">
        <v>1639</v>
      </c>
      <c r="M20" s="776">
        <f>ROUND(SUMPRODUCT((地价!A4:A33=YEAR(G19)&amp;"-"&amp;ROUNDUP(MONTH(G19)/3,0))*(地价!B2:F2=E2)*(地价!B4:F33)),0)</f>
        <v>0</v>
      </c>
      <c r="N20" s="777" t="s">
        <v>1640</v>
      </c>
      <c r="O20" s="778" t="s">
        <v>1641</v>
      </c>
      <c r="P20" s="779" t="s">
        <v>1642</v>
      </c>
      <c r="Q20" s="765"/>
      <c r="R20" s="827"/>
      <c r="S20" s="827"/>
      <c r="T20" s="704"/>
      <c r="U20" s="704"/>
      <c r="V20" s="704"/>
      <c r="W20" s="560"/>
      <c r="X20" s="560"/>
      <c r="Y20" s="560"/>
      <c r="Z20" s="764"/>
      <c r="AA20" s="764"/>
      <c r="AB20" s="764"/>
      <c r="AC20" s="764"/>
      <c r="AD20" s="764"/>
      <c r="AE20" s="764"/>
      <c r="AF20" s="764"/>
      <c r="AG20" s="765"/>
      <c r="AH20" s="765"/>
      <c r="AI20" s="765"/>
      <c r="AJ20" s="765"/>
    </row>
    <row r="21" spans="1:37" s="559" customFormat="1" ht="15">
      <c r="A21" s="650" t="s">
        <v>873</v>
      </c>
      <c r="B21" s="651" t="s">
        <v>1643</v>
      </c>
      <c r="C21" s="652">
        <f>IF(B21="容积率修正",IF(G3&lt;=10,D22,J22),C23)</f>
        <v>0.9365</v>
      </c>
      <c r="D21" s="653"/>
      <c r="E21" s="653"/>
      <c r="F21" s="653"/>
      <c r="G21" s="653"/>
      <c r="H21" s="653"/>
      <c r="I21" s="653"/>
      <c r="J21" s="780"/>
      <c r="K21" s="764"/>
      <c r="L21" s="765"/>
      <c r="M21" s="765"/>
      <c r="N21" s="781" t="s">
        <v>1644</v>
      </c>
      <c r="O21" s="782"/>
      <c r="P21" s="783">
        <f>SUMPRODUCT((地价!A3:A33=YEAR(G19)&amp;"-"&amp;ROUNDUP(MONTH(G19)/3,0))*(地价!AD2:AH2=N21)*(地价!AD3:AH33))</f>
        <v>0</v>
      </c>
      <c r="Q21" s="765"/>
      <c r="R21" s="827"/>
      <c r="S21" s="827"/>
      <c r="T21" s="704"/>
      <c r="U21" s="704"/>
      <c r="V21" s="704"/>
      <c r="W21" s="560"/>
      <c r="X21" s="560"/>
      <c r="Y21" s="560"/>
      <c r="Z21" s="764"/>
      <c r="AA21" s="764"/>
      <c r="AB21" s="764"/>
      <c r="AC21" s="764"/>
      <c r="AD21" s="764"/>
      <c r="AE21" s="764"/>
      <c r="AF21" s="764"/>
      <c r="AG21" s="765"/>
      <c r="AH21" s="765"/>
      <c r="AI21" s="765"/>
      <c r="AJ21" s="765"/>
    </row>
    <row r="22" spans="1:37" s="559" customFormat="1" ht="14.25">
      <c r="A22" s="654" t="s">
        <v>1645</v>
      </c>
      <c r="B22" s="655" t="s">
        <v>1646</v>
      </c>
      <c r="C22" s="656" t="s">
        <v>1647</v>
      </c>
      <c r="D22" s="656">
        <f>IF(E22=G22,F22,IF(G3&lt;=10,ROUND(F22+(H22-F22)*(G3-E22)/(G22-E22),4),"——"))</f>
        <v>0.9365</v>
      </c>
      <c r="E22" s="575">
        <f>ROUNDDOWN(G3,1)</f>
        <v>3.2</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0.93789999999999996</v>
      </c>
      <c r="G22" s="575">
        <f>ROUNDUP(G3,1)</f>
        <v>3.3000000000000003</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0.93069999999999997</v>
      </c>
      <c r="I22" s="656" t="s">
        <v>1648</v>
      </c>
      <c r="J22" s="784" t="str">
        <f>IF(G3&gt;10,D113,"——")</f>
        <v>——</v>
      </c>
      <c r="K22" s="764"/>
      <c r="L22" s="765"/>
      <c r="M22" s="765"/>
      <c r="N22" s="781" t="s">
        <v>1649</v>
      </c>
      <c r="O22" s="782"/>
      <c r="P22" s="783">
        <f>SUMPRODUCT((地价!A3:A33=YEAR(G19)&amp;"-"&amp;ROUNDUP(MONTH(G19)/3,0))*(地价!AD2:AH2=N22)*(地价!AD3:AH33))</f>
        <v>0</v>
      </c>
      <c r="Q22" s="765"/>
      <c r="R22" s="827"/>
      <c r="S22" s="827"/>
      <c r="T22" s="704"/>
      <c r="U22" s="704"/>
      <c r="V22" s="704"/>
      <c r="W22" s="560"/>
      <c r="X22" s="560"/>
      <c r="Y22" s="560"/>
      <c r="Z22" s="764"/>
      <c r="AA22" s="764"/>
      <c r="AB22" s="764"/>
      <c r="AC22" s="764"/>
      <c r="AD22" s="764"/>
      <c r="AE22" s="764"/>
      <c r="AF22" s="764"/>
      <c r="AG22" s="765"/>
      <c r="AH22" s="765"/>
      <c r="AI22" s="765"/>
      <c r="AJ22" s="765"/>
    </row>
    <row r="23" spans="1:37" ht="27">
      <c r="A23" s="654" t="s">
        <v>1650</v>
      </c>
      <c r="B23" s="657" t="s">
        <v>1651</v>
      </c>
      <c r="C23" s="658">
        <f>ROUND(IF(G3&gt;1,IF(I3&lt;7,SUMPRODUCT((B93:B98=I3)*(C92:N92=G2)*(C93:N98)),SUMIF(C92:N92,G2,C100:N100)),IF(I3&lt;7,SUMPRODUCT((B102:B107=I3)*(C92:N92=G2)*(C102:N107)),SUMIF(C92:N92,G2,C109:N109))),4)</f>
        <v>0</v>
      </c>
      <c r="D23" s="620"/>
      <c r="E23" s="620"/>
      <c r="F23" s="659"/>
      <c r="G23" s="660"/>
      <c r="H23" s="661"/>
      <c r="I23" s="785"/>
      <c r="J23" s="786"/>
      <c r="K23" s="560"/>
      <c r="L23" s="561"/>
      <c r="M23" s="561"/>
      <c r="N23" s="781" t="s">
        <v>1652</v>
      </c>
      <c r="O23" s="782"/>
      <c r="P23" s="783">
        <f>SUMPRODUCT((地价!A3:A33=YEAR(G19)&amp;"-"&amp;ROUNDUP(MONTH(G19)/3,0))*(地价!AD2:AH2=N23)*(地价!AD3:AH33))</f>
        <v>0</v>
      </c>
      <c r="Q23" s="561"/>
      <c r="R23" s="827"/>
      <c r="S23" s="827"/>
      <c r="T23" s="704"/>
      <c r="U23" s="704"/>
      <c r="V23" s="704"/>
      <c r="W23" s="560"/>
      <c r="X23" s="560"/>
      <c r="Y23" s="560"/>
      <c r="Z23" s="764"/>
      <c r="AA23" s="764"/>
      <c r="AB23" s="764"/>
      <c r="AC23" s="764"/>
      <c r="AD23" s="764"/>
      <c r="AE23" s="704"/>
      <c r="AF23" s="704"/>
      <c r="AG23" s="842"/>
      <c r="AH23" s="842"/>
      <c r="AI23" s="842"/>
      <c r="AJ23" s="842"/>
      <c r="AK23" s="562"/>
    </row>
    <row r="24" spans="1:37" s="559" customFormat="1" ht="15">
      <c r="A24" s="644" t="s">
        <v>1653</v>
      </c>
      <c r="B24" s="638" t="s">
        <v>1654</v>
      </c>
      <c r="C24" s="639">
        <f>SUMIF(A45:A88,E2,B45:B88)</f>
        <v>1</v>
      </c>
      <c r="D24" s="662"/>
      <c r="E24" s="663"/>
      <c r="F24" s="663"/>
      <c r="G24" s="663"/>
      <c r="H24" s="663"/>
      <c r="I24" s="663"/>
      <c r="J24" s="787"/>
      <c r="K24" s="764"/>
      <c r="L24" s="765"/>
      <c r="M24" s="765"/>
      <c r="N24" s="788" t="s">
        <v>1655</v>
      </c>
      <c r="O24" s="789"/>
      <c r="P24" s="790">
        <f>SUMPRODUCT((地价!A3:A33=YEAR(G19)&amp;"-"&amp;ROUNDUP(MONTH(G19)/3,0))*(地价!AD2:AH2=N24)*(地价!AD3:AH33))</f>
        <v>0</v>
      </c>
      <c r="Q24" s="765"/>
      <c r="R24" s="827"/>
      <c r="S24" s="827"/>
      <c r="T24" s="704"/>
      <c r="U24" s="704"/>
      <c r="V24" s="704"/>
      <c r="W24" s="560"/>
      <c r="X24" s="560"/>
      <c r="Y24" s="560"/>
      <c r="Z24" s="764"/>
      <c r="AA24" s="764"/>
      <c r="AB24" s="764"/>
      <c r="AC24" s="764"/>
      <c r="AD24" s="764"/>
      <c r="AE24" s="764"/>
      <c r="AF24" s="764"/>
      <c r="AG24" s="765"/>
      <c r="AH24" s="765"/>
      <c r="AI24" s="765"/>
      <c r="AJ24" s="765"/>
    </row>
    <row r="25" spans="1:37" ht="15">
      <c r="A25" s="644" t="s">
        <v>1656</v>
      </c>
      <c r="B25" s="664" t="s">
        <v>1657</v>
      </c>
      <c r="C25" s="665"/>
      <c r="D25" s="594"/>
      <c r="E25" s="594"/>
      <c r="F25" s="666"/>
      <c r="G25" s="594"/>
      <c r="H25" s="594"/>
      <c r="I25" s="594"/>
      <c r="J25" s="749"/>
      <c r="K25" s="560"/>
      <c r="L25" s="561"/>
      <c r="M25" s="561"/>
      <c r="N25" s="791" t="s">
        <v>1658</v>
      </c>
      <c r="O25" s="792"/>
      <c r="P25" s="793">
        <f>SUMPRODUCT((地价!A3:A33=YEAR(G19)&amp;"-"&amp;ROUNDUP(MONTH(G19)/3,0))*(地价!AD2:AH2=N25)*(地价!AD3:AH33))</f>
        <v>0</v>
      </c>
      <c r="Q25" s="561"/>
      <c r="R25" s="827"/>
      <c r="S25" s="827"/>
      <c r="T25" s="704"/>
      <c r="U25" s="704"/>
      <c r="V25" s="704"/>
      <c r="W25" s="560"/>
      <c r="X25" s="560"/>
      <c r="Y25" s="560"/>
      <c r="Z25" s="764"/>
      <c r="AA25" s="764"/>
      <c r="AB25" s="764"/>
      <c r="AC25" s="764"/>
      <c r="AD25" s="764"/>
      <c r="AE25" s="704"/>
      <c r="AF25" s="704"/>
      <c r="AG25" s="842"/>
      <c r="AH25" s="842"/>
      <c r="AI25" s="842"/>
      <c r="AJ25" s="842"/>
    </row>
    <row r="26" spans="1:37" ht="15">
      <c r="A26" s="667"/>
      <c r="B26" s="655" t="s">
        <v>1659</v>
      </c>
      <c r="C26" s="668">
        <f ca="1">IF(B21="容积率修正",E29+SUM(E33:E39),SUM(V2:V16)+SUM(E33:E39))</f>
        <v>0</v>
      </c>
      <c r="D26" s="669"/>
      <c r="E26" s="620"/>
      <c r="F26" s="670"/>
      <c r="G26" s="620"/>
      <c r="H26" s="620"/>
      <c r="I26" s="620"/>
      <c r="J26" s="794"/>
      <c r="K26" s="560"/>
      <c r="L26" s="795" t="s">
        <v>1553</v>
      </c>
      <c r="M26" s="591" t="s">
        <v>1660</v>
      </c>
      <c r="N26" s="591" t="s">
        <v>1661</v>
      </c>
      <c r="O26" s="591" t="s">
        <v>1662</v>
      </c>
      <c r="P26" s="796" t="s">
        <v>1663</v>
      </c>
      <c r="Q26" s="561"/>
      <c r="R26" s="827"/>
      <c r="S26" s="827"/>
      <c r="T26" s="704"/>
      <c r="U26" s="704"/>
      <c r="V26" s="704"/>
      <c r="W26" s="560"/>
      <c r="X26" s="560"/>
      <c r="Y26" s="560"/>
      <c r="Z26" s="764"/>
      <c r="AA26" s="764"/>
      <c r="AB26" s="764"/>
      <c r="AC26" s="764"/>
      <c r="AD26" s="764"/>
      <c r="AE26" s="704"/>
      <c r="AF26" s="704"/>
      <c r="AG26" s="842"/>
      <c r="AH26" s="842"/>
      <c r="AI26" s="842"/>
      <c r="AJ26" s="842"/>
    </row>
    <row r="27" spans="1:37" ht="15">
      <c r="A27" s="667"/>
      <c r="B27" s="671" t="s">
        <v>1664</v>
      </c>
      <c r="C27" s="672">
        <f ca="1">E30+SUM(I33:I39)</f>
        <v>0</v>
      </c>
      <c r="D27" s="673"/>
      <c r="E27" s="674"/>
      <c r="F27" s="675"/>
      <c r="G27" s="674"/>
      <c r="H27" s="674"/>
      <c r="I27" s="674"/>
      <c r="J27" s="797"/>
      <c r="K27" s="560"/>
      <c r="L27" s="798" t="s">
        <v>1665</v>
      </c>
      <c r="M27" s="600">
        <v>0.25</v>
      </c>
      <c r="N27" s="600">
        <v>0.2</v>
      </c>
      <c r="O27" s="600">
        <v>0.15</v>
      </c>
      <c r="P27" s="799">
        <v>0.1</v>
      </c>
      <c r="Q27" s="827"/>
      <c r="R27" s="827"/>
      <c r="S27" s="827"/>
      <c r="T27" s="704"/>
      <c r="U27" s="704"/>
      <c r="V27" s="704"/>
      <c r="W27" s="560"/>
      <c r="X27" s="560"/>
      <c r="Y27" s="560"/>
      <c r="Z27" s="764"/>
      <c r="AA27" s="764"/>
      <c r="AB27" s="764"/>
      <c r="AC27" s="764"/>
      <c r="AD27" s="764"/>
      <c r="AE27" s="704"/>
      <c r="AF27" s="704"/>
      <c r="AG27" s="842"/>
      <c r="AH27" s="842"/>
      <c r="AI27" s="842"/>
      <c r="AJ27" s="842"/>
    </row>
    <row r="28" spans="1:37" ht="15">
      <c r="A28" s="676"/>
      <c r="B28" s="677" t="s">
        <v>1666</v>
      </c>
      <c r="C28" s="678" t="s">
        <v>1667</v>
      </c>
      <c r="D28" s="678" t="s">
        <v>502</v>
      </c>
      <c r="E28" s="679" t="s">
        <v>1668</v>
      </c>
      <c r="F28" s="680"/>
      <c r="G28" s="609"/>
      <c r="H28" s="609"/>
      <c r="I28" s="609"/>
      <c r="J28" s="752"/>
      <c r="K28" s="560"/>
      <c r="L28" s="800" t="s">
        <v>1637</v>
      </c>
      <c r="M28" s="801">
        <f ca="1">ROUND($E$20*(1+M27),3)</f>
        <v>4.8000000000000001E-2</v>
      </c>
      <c r="N28" s="801">
        <f ca="1">ROUND($E$20*(1+N27),3)</f>
        <v>4.5999999999999999E-2</v>
      </c>
      <c r="O28" s="801">
        <f ca="1">ROUND($E$20*(1+O27),3)</f>
        <v>4.3999999999999997E-2</v>
      </c>
      <c r="P28" s="802">
        <f ca="1">ROUND($E$20*(1+P27),3)</f>
        <v>4.2000000000000003E-2</v>
      </c>
      <c r="Q28" s="827"/>
      <c r="R28" s="827"/>
      <c r="S28" s="827"/>
      <c r="T28" s="704"/>
      <c r="U28" s="704"/>
      <c r="V28" s="704"/>
      <c r="W28" s="560"/>
      <c r="X28" s="560"/>
      <c r="Y28" s="560"/>
      <c r="Z28" s="764"/>
      <c r="AA28" s="764"/>
      <c r="AB28" s="764"/>
      <c r="AC28" s="764"/>
      <c r="AD28" s="764"/>
      <c r="AE28" s="704"/>
      <c r="AF28" s="704"/>
      <c r="AG28" s="842"/>
      <c r="AH28" s="842"/>
      <c r="AI28" s="842"/>
      <c r="AJ28" s="842"/>
    </row>
    <row r="29" spans="1:37" ht="22.5" customHeight="1">
      <c r="A29" s="681"/>
      <c r="B29" s="682" t="s">
        <v>1669</v>
      </c>
      <c r="C29" s="683">
        <f ca="1">ROUND(C5*C18*C19*C20*C21*C24,0)</f>
        <v>0</v>
      </c>
      <c r="D29" s="684">
        <f>'数据-汇总表'!F19</f>
        <v>33705.019999999997</v>
      </c>
      <c r="E29" s="685">
        <f ca="1">ROUND(C29*D29/10000,0)</f>
        <v>0</v>
      </c>
      <c r="F29" s="686" t="s">
        <v>1670</v>
      </c>
      <c r="G29" s="687"/>
      <c r="H29" s="687"/>
      <c r="I29" s="687"/>
      <c r="J29" s="803"/>
      <c r="K29" s="560"/>
      <c r="L29" s="560"/>
      <c r="M29" s="560"/>
      <c r="N29" s="560"/>
      <c r="O29" s="766"/>
      <c r="P29" s="766"/>
      <c r="Q29" s="827"/>
      <c r="R29" s="827"/>
      <c r="S29" s="827"/>
      <c r="T29" s="704"/>
      <c r="U29" s="704"/>
      <c r="V29" s="704"/>
      <c r="W29" s="560"/>
      <c r="X29" s="560"/>
      <c r="Y29" s="560"/>
      <c r="Z29" s="764"/>
      <c r="AA29" s="764"/>
      <c r="AB29" s="764"/>
      <c r="AC29" s="764"/>
      <c r="AD29" s="764"/>
      <c r="AE29" s="560"/>
      <c r="AF29" s="560"/>
      <c r="AG29" s="561"/>
      <c r="AH29" s="561"/>
      <c r="AI29" s="561"/>
      <c r="AJ29" s="561"/>
    </row>
    <row r="30" spans="1:37" ht="24.75">
      <c r="A30" s="688"/>
      <c r="B30" s="689" t="s">
        <v>1671</v>
      </c>
      <c r="C30" s="622">
        <f ca="1">ROUND(IF(E2="工业",C29*M39,C29*M38),0)</f>
        <v>0</v>
      </c>
      <c r="D30" s="690"/>
      <c r="E30" s="685">
        <f ca="1">ROUND(C30*D30/10000,0)</f>
        <v>0</v>
      </c>
      <c r="F30" s="691" t="s">
        <v>1672</v>
      </c>
      <c r="G30" s="692"/>
      <c r="H30" s="692"/>
      <c r="I30" s="692"/>
      <c r="J30" s="804"/>
      <c r="K30" s="560"/>
      <c r="L30" s="560"/>
      <c r="M30" s="560"/>
      <c r="N30" s="560"/>
      <c r="O30" s="766"/>
      <c r="P30" s="766"/>
      <c r="Q30" s="827"/>
      <c r="R30" s="827"/>
      <c r="S30" s="827"/>
      <c r="T30" s="704"/>
      <c r="U30" s="704"/>
      <c r="V30" s="704"/>
      <c r="W30" s="560"/>
      <c r="X30" s="560"/>
      <c r="Y30" s="560"/>
      <c r="Z30" s="764"/>
      <c r="AA30" s="764"/>
      <c r="AB30" s="764"/>
      <c r="AC30" s="764"/>
      <c r="AD30" s="764"/>
      <c r="AE30" s="560"/>
      <c r="AF30" s="560"/>
      <c r="AG30" s="561"/>
      <c r="AH30" s="561"/>
      <c r="AI30" s="561"/>
      <c r="AJ30" s="561"/>
    </row>
    <row r="31" spans="1:37" ht="14.25">
      <c r="A31" s="693"/>
      <c r="B31" s="694" t="s">
        <v>1673</v>
      </c>
      <c r="C31" s="695" t="s">
        <v>1674</v>
      </c>
      <c r="D31" s="609"/>
      <c r="E31" s="695"/>
      <c r="F31" s="695"/>
      <c r="G31" s="607" t="s">
        <v>1672</v>
      </c>
      <c r="H31" s="609"/>
      <c r="I31" s="805"/>
      <c r="J31" s="752"/>
      <c r="K31" s="560"/>
      <c r="L31" s="560"/>
      <c r="M31" s="560"/>
      <c r="N31" s="560"/>
      <c r="O31" s="766"/>
      <c r="P31" s="766"/>
      <c r="Q31" s="827"/>
      <c r="R31" s="827"/>
      <c r="S31" s="827"/>
      <c r="T31" s="704"/>
      <c r="U31" s="704"/>
      <c r="V31" s="704"/>
      <c r="W31" s="560"/>
      <c r="X31" s="560"/>
      <c r="Y31" s="560"/>
      <c r="Z31" s="764"/>
      <c r="AA31" s="764"/>
      <c r="AB31" s="764"/>
      <c r="AC31" s="764"/>
      <c r="AD31" s="764"/>
      <c r="AE31" s="560"/>
      <c r="AF31" s="560"/>
      <c r="AG31" s="561"/>
      <c r="AH31" s="561"/>
      <c r="AI31" s="561"/>
      <c r="AJ31" s="561"/>
    </row>
    <row r="32" spans="1:37" ht="24">
      <c r="A32" s="681"/>
      <c r="B32" s="696"/>
      <c r="C32" s="697" t="s">
        <v>1667</v>
      </c>
      <c r="D32" s="698" t="s">
        <v>502</v>
      </c>
      <c r="E32" s="698" t="s">
        <v>1668</v>
      </c>
      <c r="F32" s="567" t="s">
        <v>1675</v>
      </c>
      <c r="G32" s="699" t="s">
        <v>1667</v>
      </c>
      <c r="H32" s="699" t="s">
        <v>502</v>
      </c>
      <c r="I32" s="699" t="s">
        <v>1668</v>
      </c>
      <c r="J32" s="196"/>
      <c r="K32" s="560"/>
      <c r="L32" s="560"/>
      <c r="M32" s="560"/>
      <c r="N32" s="560"/>
      <c r="O32" s="766"/>
      <c r="P32" s="766"/>
      <c r="Q32" s="827"/>
      <c r="R32" s="827"/>
      <c r="S32" s="827"/>
      <c r="T32" s="704"/>
      <c r="U32" s="704"/>
      <c r="V32" s="704"/>
      <c r="W32" s="560"/>
      <c r="X32" s="560"/>
      <c r="Y32" s="560"/>
      <c r="Z32" s="764"/>
      <c r="AA32" s="764"/>
      <c r="AB32" s="764"/>
      <c r="AC32" s="764"/>
      <c r="AD32" s="764"/>
      <c r="AE32" s="560"/>
      <c r="AF32" s="560"/>
      <c r="AG32" s="561"/>
      <c r="AH32" s="561"/>
      <c r="AI32" s="561"/>
      <c r="AJ32" s="561"/>
    </row>
    <row r="33" spans="1:37" ht="36" customHeight="1">
      <c r="A33" s="3376"/>
      <c r="B33" s="700" t="s">
        <v>1676</v>
      </c>
      <c r="C33" s="683">
        <f ca="1">ROUND(D5*C19*C20*C24*F33,0)</f>
        <v>0</v>
      </c>
      <c r="D33" s="684"/>
      <c r="E33" s="601">
        <f ca="1">ROUND(C33*D33/10000,0)</f>
        <v>0</v>
      </c>
      <c r="F33" s="601">
        <f>SUMIF(修正!A45:A56,G2,修正!B45:B56)</f>
        <v>0.7</v>
      </c>
      <c r="G33" s="601">
        <f ca="1">ROUND(IF(E2="工业",C33*$M$39,C33*$M$38),0)</f>
        <v>0</v>
      </c>
      <c r="H33" s="601">
        <f>D33</f>
        <v>0</v>
      </c>
      <c r="I33" s="601">
        <f ca="1">ROUND(G33*H33/10000,0)</f>
        <v>0</v>
      </c>
      <c r="J33" s="3385" t="s">
        <v>1677</v>
      </c>
      <c r="K33" s="560"/>
      <c r="L33" s="560"/>
      <c r="M33" s="560"/>
      <c r="N33" s="560"/>
      <c r="O33" s="766"/>
      <c r="P33" s="766"/>
      <c r="Q33" s="827"/>
      <c r="R33" s="827"/>
      <c r="S33" s="827"/>
      <c r="T33" s="704"/>
      <c r="U33" s="704"/>
      <c r="V33" s="704"/>
      <c r="W33" s="560"/>
      <c r="X33" s="560"/>
      <c r="Y33" s="560"/>
      <c r="Z33" s="764"/>
      <c r="AA33" s="764"/>
      <c r="AB33" s="764"/>
      <c r="AC33" s="764"/>
      <c r="AD33" s="764"/>
      <c r="AE33" s="704"/>
      <c r="AF33" s="704"/>
      <c r="AG33" s="842"/>
      <c r="AH33" s="842"/>
      <c r="AI33" s="842"/>
      <c r="AJ33" s="842"/>
    </row>
    <row r="34" spans="1:37" ht="14.25">
      <c r="A34" s="3377"/>
      <c r="B34" s="611" t="s">
        <v>1678</v>
      </c>
      <c r="C34" s="683">
        <f ca="1">ROUND(D5*C19*C20*C24*F34,0)</f>
        <v>0</v>
      </c>
      <c r="D34" s="684"/>
      <c r="E34" s="601">
        <f t="shared" ref="E34:E39" ca="1" si="6">ROUND(C34*D34/10000,0)</f>
        <v>0</v>
      </c>
      <c r="F34" s="601">
        <f>SUMIF(修正!A45:A56,G2,修正!C45:C56)</f>
        <v>0.4</v>
      </c>
      <c r="G34" s="601">
        <f ca="1">ROUND(IF(E2="工业",C34*$M$39,C34*$M$38),0)</f>
        <v>0</v>
      </c>
      <c r="H34" s="601">
        <f t="shared" ref="H34:H39" si="7">D34</f>
        <v>0</v>
      </c>
      <c r="I34" s="601">
        <f t="shared" ref="I34:I39" ca="1" si="8">ROUND(G34*H34/10000,0)</f>
        <v>0</v>
      </c>
      <c r="J34" s="3377"/>
      <c r="K34" s="560"/>
      <c r="L34" s="560"/>
      <c r="M34" s="560"/>
      <c r="N34" s="560"/>
      <c r="O34" s="766"/>
      <c r="P34" s="766"/>
      <c r="Q34" s="827"/>
      <c r="R34" s="827"/>
      <c r="S34" s="827"/>
      <c r="T34" s="704"/>
      <c r="U34" s="704"/>
      <c r="V34" s="704"/>
      <c r="W34" s="560"/>
      <c r="X34" s="560"/>
      <c r="Y34" s="560"/>
      <c r="Z34" s="764"/>
      <c r="AA34" s="764"/>
      <c r="AB34" s="764"/>
      <c r="AC34" s="764"/>
      <c r="AD34" s="764"/>
      <c r="AE34" s="704"/>
      <c r="AF34" s="704"/>
      <c r="AG34" s="842"/>
      <c r="AH34" s="842"/>
      <c r="AI34" s="842"/>
      <c r="AJ34" s="842"/>
    </row>
    <row r="35" spans="1:37">
      <c r="A35" s="3377"/>
      <c r="B35" s="611" t="s">
        <v>1679</v>
      </c>
      <c r="C35" s="683">
        <f ca="1">ROUND(D5*C19*C20*C24*F35,0)</f>
        <v>0</v>
      </c>
      <c r="D35" s="684"/>
      <c r="E35" s="601">
        <f t="shared" ca="1" si="6"/>
        <v>0</v>
      </c>
      <c r="F35" s="601">
        <f>SUMIF(修正!A45:A56,G2,修正!D45:D56)</f>
        <v>0.28000000000000003</v>
      </c>
      <c r="G35" s="601">
        <f ca="1">ROUND(IF(E2="工业",C35*$M$39,C35*$M$38),0)</f>
        <v>0</v>
      </c>
      <c r="H35" s="601">
        <f t="shared" si="7"/>
        <v>0</v>
      </c>
      <c r="I35" s="601">
        <f t="shared" ca="1" si="8"/>
        <v>0</v>
      </c>
      <c r="J35" s="3377"/>
      <c r="K35" s="560"/>
      <c r="L35" s="560"/>
      <c r="M35" s="560"/>
      <c r="N35" s="560"/>
      <c r="O35" s="560"/>
      <c r="P35" s="560"/>
      <c r="Q35" s="560"/>
      <c r="R35" s="560"/>
      <c r="S35" s="560"/>
      <c r="T35" s="560"/>
      <c r="U35" s="560"/>
      <c r="V35" s="560"/>
      <c r="W35" s="560"/>
      <c r="X35" s="560"/>
      <c r="Y35" s="560"/>
      <c r="Z35" s="704"/>
      <c r="AA35" s="704"/>
      <c r="AB35" s="704"/>
      <c r="AC35" s="704"/>
      <c r="AD35" s="704"/>
      <c r="AE35" s="704"/>
      <c r="AF35" s="704"/>
      <c r="AG35" s="842"/>
      <c r="AH35" s="842"/>
      <c r="AI35" s="842"/>
      <c r="AJ35" s="842"/>
    </row>
    <row r="36" spans="1:37">
      <c r="A36" s="3378"/>
      <c r="B36" s="611" t="s">
        <v>1680</v>
      </c>
      <c r="C36" s="683">
        <f ca="1">ROUND(D5*C19*C20*C24*F36,0)</f>
        <v>0</v>
      </c>
      <c r="D36" s="684"/>
      <c r="E36" s="601">
        <f t="shared" ca="1" si="6"/>
        <v>0</v>
      </c>
      <c r="F36" s="601">
        <f>SUMIF(修正!A45:A56,G2,修正!E45:E56)</f>
        <v>0.25</v>
      </c>
      <c r="G36" s="601">
        <f ca="1">ROUND(IF(E2="工业",C36*$M$39,C36*$M$38),0)</f>
        <v>0</v>
      </c>
      <c r="H36" s="601">
        <f t="shared" si="7"/>
        <v>0</v>
      </c>
      <c r="I36" s="601">
        <f t="shared" ca="1" si="8"/>
        <v>0</v>
      </c>
      <c r="J36" s="3378"/>
      <c r="K36" s="560"/>
      <c r="L36" s="561"/>
      <c r="M36" s="561"/>
      <c r="N36" s="560"/>
      <c r="O36" s="560"/>
      <c r="P36" s="560"/>
      <c r="Q36" s="560"/>
      <c r="R36" s="560"/>
      <c r="S36" s="560"/>
      <c r="T36" s="560"/>
      <c r="U36" s="560"/>
      <c r="V36" s="560"/>
      <c r="W36" s="560"/>
      <c r="X36" s="560"/>
      <c r="Y36" s="560"/>
      <c r="Z36" s="704"/>
      <c r="AA36" s="704"/>
      <c r="AB36" s="704"/>
      <c r="AC36" s="704"/>
      <c r="AD36" s="704"/>
      <c r="AE36" s="704"/>
      <c r="AF36" s="704"/>
      <c r="AG36" s="842"/>
      <c r="AH36" s="842"/>
      <c r="AI36" s="842"/>
      <c r="AJ36" s="842"/>
    </row>
    <row r="37" spans="1:37">
      <c r="A37" s="701"/>
      <c r="B37" s="611" t="s">
        <v>1681</v>
      </c>
      <c r="C37" s="601">
        <f ca="1">ROUND(D5*C19*C20*C24*F37,0)</f>
        <v>0</v>
      </c>
      <c r="D37" s="684"/>
      <c r="E37" s="601">
        <f t="shared" ca="1" si="6"/>
        <v>0</v>
      </c>
      <c r="F37" s="683">
        <f>SUMIF(修正!A45:A56,G2,修正!F45:F56)</f>
        <v>0.25</v>
      </c>
      <c r="G37" s="601">
        <f ca="1">ROUND(IF(E2="工业",C37*$M$39,C37*$M$38),0)</f>
        <v>0</v>
      </c>
      <c r="H37" s="601">
        <f t="shared" si="7"/>
        <v>0</v>
      </c>
      <c r="I37" s="601">
        <f t="shared" ca="1" si="8"/>
        <v>0</v>
      </c>
      <c r="J37" s="806"/>
      <c r="K37" s="560"/>
      <c r="L37" s="807" t="s">
        <v>1682</v>
      </c>
      <c r="M37" s="808"/>
      <c r="N37" s="560"/>
      <c r="O37" s="560"/>
      <c r="P37" s="560"/>
      <c r="Q37" s="560"/>
      <c r="R37" s="560"/>
      <c r="S37" s="560"/>
      <c r="T37" s="560"/>
      <c r="U37" s="560"/>
      <c r="V37" s="560"/>
      <c r="W37" s="560"/>
      <c r="X37" s="560"/>
      <c r="Y37" s="560"/>
      <c r="Z37" s="704"/>
      <c r="AA37" s="704"/>
      <c r="AB37" s="704"/>
      <c r="AC37" s="704"/>
      <c r="AD37" s="704"/>
      <c r="AE37" s="704"/>
      <c r="AF37" s="704"/>
      <c r="AG37" s="842"/>
      <c r="AH37" s="842"/>
      <c r="AI37" s="842"/>
      <c r="AJ37" s="842"/>
    </row>
    <row r="38" spans="1:37">
      <c r="A38" s="701"/>
      <c r="B38" s="611" t="s">
        <v>1683</v>
      </c>
      <c r="C38" s="601">
        <f ca="1">ROUND(D5*C19*C41*C24*F38,0)</f>
        <v>0</v>
      </c>
      <c r="D38" s="684"/>
      <c r="E38" s="601">
        <f t="shared" ca="1" si="6"/>
        <v>0</v>
      </c>
      <c r="F38" s="683">
        <f>SUMIF(修正!A45:A56,G2,修正!G45:G56)</f>
        <v>0.25</v>
      </c>
      <c r="G38" s="601">
        <f ca="1">ROUND(IF(E2="工业",C38*$M$39,C38*$M$38),0)</f>
        <v>0</v>
      </c>
      <c r="H38" s="601">
        <f t="shared" si="7"/>
        <v>0</v>
      </c>
      <c r="I38" s="601">
        <f t="shared" ca="1" si="8"/>
        <v>0</v>
      </c>
      <c r="J38" s="806"/>
      <c r="K38" s="560"/>
      <c r="L38" s="809" t="s">
        <v>1684</v>
      </c>
      <c r="M38" s="810">
        <v>0.25</v>
      </c>
      <c r="N38" s="560"/>
      <c r="O38" s="560"/>
      <c r="P38" s="560"/>
      <c r="Q38" s="560"/>
      <c r="R38" s="560"/>
      <c r="S38" s="560"/>
      <c r="T38" s="560"/>
      <c r="U38" s="560"/>
      <c r="V38" s="560"/>
      <c r="W38" s="560"/>
      <c r="X38" s="560"/>
      <c r="Y38" s="560"/>
      <c r="Z38" s="704"/>
      <c r="AA38" s="704"/>
      <c r="AB38" s="704"/>
      <c r="AC38" s="704"/>
      <c r="AD38" s="704"/>
    </row>
    <row r="39" spans="1:37">
      <c r="A39" s="688"/>
      <c r="B39" s="702" t="s">
        <v>1685</v>
      </c>
      <c r="C39" s="622">
        <f ca="1">ROUND(D5*C19*C41*C24*F39,0)</f>
        <v>0</v>
      </c>
      <c r="D39" s="690"/>
      <c r="E39" s="622">
        <f t="shared" ca="1" si="6"/>
        <v>0</v>
      </c>
      <c r="F39" s="703">
        <f>SUMIF(修正!A45:A56,G2,修正!H45:H56)</f>
        <v>0.2</v>
      </c>
      <c r="G39" s="622">
        <f ca="1">ROUND(IF(E2="工业",C39*$M$39,C39*$M$38),0)</f>
        <v>0</v>
      </c>
      <c r="H39" s="622">
        <f t="shared" si="7"/>
        <v>0</v>
      </c>
      <c r="I39" s="622">
        <f t="shared" ca="1" si="8"/>
        <v>0</v>
      </c>
      <c r="J39" s="811"/>
      <c r="K39" s="560"/>
      <c r="L39" s="812" t="s">
        <v>1663</v>
      </c>
      <c r="M39" s="813">
        <v>0.15</v>
      </c>
      <c r="N39" s="560"/>
      <c r="O39" s="560"/>
      <c r="P39" s="560"/>
      <c r="Q39" s="560"/>
      <c r="R39" s="560"/>
      <c r="S39" s="560"/>
      <c r="T39" s="560"/>
      <c r="U39" s="560"/>
      <c r="V39" s="560"/>
      <c r="W39" s="560"/>
      <c r="X39" s="560"/>
      <c r="Y39" s="560"/>
      <c r="Z39" s="704"/>
      <c r="AA39" s="704"/>
      <c r="AB39" s="704"/>
      <c r="AC39" s="704"/>
      <c r="AD39" s="704"/>
    </row>
    <row r="40" spans="1:37" s="560" customFormat="1">
      <c r="Z40" s="704"/>
      <c r="AA40" s="704"/>
      <c r="AB40" s="704"/>
      <c r="AC40" s="704"/>
      <c r="AD40" s="704"/>
      <c r="AE40" s="704"/>
      <c r="AF40" s="704"/>
      <c r="AG40" s="704"/>
      <c r="AH40" s="704"/>
      <c r="AI40" s="704"/>
      <c r="AJ40" s="704"/>
    </row>
    <row r="41" spans="1:37" s="560" customFormat="1">
      <c r="A41" s="704"/>
      <c r="B41" s="705" t="s">
        <v>1686</v>
      </c>
      <c r="C41" s="567">
        <f ca="1">ROUND(POWER(1+E41,H41-G41)*(POWER(1+E41,G41)-1)/(POWER(1+E41,H41)-1),4)</f>
        <v>0</v>
      </c>
      <c r="D41" s="601" t="s">
        <v>1637</v>
      </c>
      <c r="E41" s="706">
        <f ca="1">G20</f>
        <v>4.3999999999999997E-2</v>
      </c>
      <c r="F41" s="601" t="s">
        <v>1638</v>
      </c>
      <c r="G41" s="707"/>
      <c r="H41" s="601">
        <v>50</v>
      </c>
      <c r="Z41" s="704"/>
      <c r="AA41" s="704"/>
      <c r="AB41" s="704"/>
      <c r="AC41" s="704"/>
      <c r="AD41" s="704"/>
      <c r="AE41" s="704"/>
      <c r="AF41" s="704"/>
      <c r="AG41" s="704"/>
      <c r="AH41" s="704"/>
      <c r="AI41" s="704"/>
      <c r="AJ41" s="704"/>
    </row>
    <row r="42" spans="1:37" s="560" customFormat="1">
      <c r="A42" s="704"/>
      <c r="B42" s="708"/>
      <c r="Z42" s="704"/>
      <c r="AA42" s="704"/>
      <c r="AB42" s="704"/>
      <c r="AC42" s="704"/>
      <c r="AD42" s="704"/>
      <c r="AE42" s="704"/>
      <c r="AF42" s="704"/>
      <c r="AG42" s="704"/>
      <c r="AH42" s="704"/>
      <c r="AI42" s="704"/>
      <c r="AJ42" s="704"/>
    </row>
    <row r="43" spans="1:37" s="560" customFormat="1">
      <c r="A43" s="704"/>
      <c r="B43" s="708"/>
      <c r="Z43" s="704"/>
      <c r="AA43" s="704"/>
      <c r="AB43" s="704"/>
      <c r="AC43" s="704"/>
      <c r="AD43" s="704"/>
      <c r="AE43" s="704"/>
      <c r="AF43" s="704"/>
      <c r="AG43" s="704"/>
      <c r="AH43" s="704"/>
      <c r="AI43" s="704"/>
      <c r="AJ43" s="704"/>
    </row>
    <row r="44" spans="1:37" s="560" customFormat="1">
      <c r="A44" s="704"/>
      <c r="B44" s="708"/>
      <c r="Z44" s="704"/>
      <c r="AA44" s="704"/>
      <c r="AB44" s="704"/>
      <c r="AC44" s="704"/>
      <c r="AD44" s="704"/>
      <c r="AE44" s="704"/>
      <c r="AF44" s="704"/>
      <c r="AG44" s="704"/>
      <c r="AH44" s="704"/>
      <c r="AI44" s="704"/>
      <c r="AJ44" s="704"/>
    </row>
    <row r="45" spans="1:37" s="560" customFormat="1" ht="15">
      <c r="A45" s="709" t="s">
        <v>1687</v>
      </c>
      <c r="B45" s="710"/>
      <c r="C45" s="711"/>
      <c r="D45" s="711"/>
      <c r="E45" s="711"/>
      <c r="F45" s="712"/>
      <c r="G45" s="712"/>
      <c r="H45" s="712"/>
      <c r="I45" s="814"/>
      <c r="J45" s="814"/>
      <c r="K45" s="814"/>
      <c r="L45" s="814"/>
      <c r="M45" s="814"/>
      <c r="Z45" s="704"/>
      <c r="AA45" s="704"/>
      <c r="AB45" s="704"/>
      <c r="AC45" s="704"/>
      <c r="AD45" s="704"/>
      <c r="AE45" s="704"/>
      <c r="AF45" s="704"/>
      <c r="AG45" s="704"/>
      <c r="AH45" s="704"/>
      <c r="AI45" s="704"/>
      <c r="AJ45" s="704"/>
    </row>
    <row r="46" spans="1:37" s="560" customFormat="1" ht="15">
      <c r="A46" s="713" t="s">
        <v>1688</v>
      </c>
      <c r="B46" s="714">
        <f>1+E48</f>
        <v>1</v>
      </c>
      <c r="C46" s="715"/>
      <c r="D46" s="716"/>
      <c r="E46" s="717"/>
      <c r="F46" s="718"/>
      <c r="G46" s="712"/>
      <c r="H46" s="711"/>
      <c r="I46" s="814"/>
      <c r="J46" s="814"/>
      <c r="K46" s="814"/>
      <c r="L46" s="814"/>
      <c r="M46" s="814"/>
      <c r="Z46" s="704"/>
      <c r="AA46" s="704"/>
      <c r="AB46" s="704"/>
      <c r="AC46" s="704"/>
      <c r="AD46" s="704"/>
      <c r="AE46" s="704"/>
      <c r="AF46" s="704"/>
      <c r="AG46" s="704"/>
      <c r="AH46" s="704"/>
      <c r="AI46" s="704"/>
      <c r="AJ46" s="704"/>
    </row>
    <row r="47" spans="1:37" s="560" customFormat="1" ht="24.75">
      <c r="A47" s="719" t="s">
        <v>1689</v>
      </c>
      <c r="B47" s="720" t="s">
        <v>1690</v>
      </c>
      <c r="C47" s="720" t="s">
        <v>1691</v>
      </c>
      <c r="D47" s="720" t="s">
        <v>1692</v>
      </c>
      <c r="E47" s="721" t="s">
        <v>1693</v>
      </c>
      <c r="F47" s="722" t="s">
        <v>1694</v>
      </c>
      <c r="G47" s="720" t="s">
        <v>1621</v>
      </c>
      <c r="H47" s="723" t="s">
        <v>1695</v>
      </c>
      <c r="I47" s="720" t="s">
        <v>1696</v>
      </c>
      <c r="J47" s="815" t="s">
        <v>1416</v>
      </c>
      <c r="K47" s="815" t="s">
        <v>1417</v>
      </c>
      <c r="L47" s="815" t="s">
        <v>1418</v>
      </c>
      <c r="M47" s="815" t="s">
        <v>1419</v>
      </c>
      <c r="N47" s="815" t="s">
        <v>1420</v>
      </c>
      <c r="AA47" s="704"/>
      <c r="AB47" s="704"/>
      <c r="AC47" s="704"/>
      <c r="AD47" s="704"/>
      <c r="AE47" s="704"/>
      <c r="AF47" s="704"/>
      <c r="AG47" s="704"/>
      <c r="AH47" s="704"/>
      <c r="AI47" s="704"/>
      <c r="AJ47" s="704"/>
      <c r="AK47" s="704"/>
    </row>
    <row r="48" spans="1:37" s="560" customFormat="1" ht="38.25">
      <c r="A48" s="719" t="s">
        <v>1697</v>
      </c>
      <c r="B48" s="724" t="str">
        <f>估价对象房地状况!C4</f>
        <v>估价对象位于XX商圈，周边商业氛围成熟，人流量大，商业繁华度好</v>
      </c>
      <c r="C48" s="617"/>
      <c r="D48" s="725">
        <f t="shared" ref="D48:D56" si="9">SUMIF($J$47:$N$47,C48,J48:N48)</f>
        <v>0</v>
      </c>
      <c r="E48" s="726">
        <f>ROUND(SUM(D48:D56),4)</f>
        <v>0</v>
      </c>
      <c r="F48" s="727" t="str">
        <f>IF(E2="商业",SUMIF(L1:L12,G2,N1:N12),"——")</f>
        <v>——</v>
      </c>
      <c r="G48" s="728"/>
      <c r="H48" s="729" t="str">
        <f t="shared" ref="H48:H56" si="10">IFERROR(ROUNDDOWN($F$48*I48/2,4),"——")</f>
        <v>——</v>
      </c>
      <c r="I48" s="816">
        <v>0.33</v>
      </c>
      <c r="J48" s="817">
        <f t="shared" ref="J48:J56" si="11">K48+$G48</f>
        <v>0</v>
      </c>
      <c r="K48" s="817">
        <f t="shared" ref="K48:K56" si="12">$L48+$G48</f>
        <v>0</v>
      </c>
      <c r="L48" s="817">
        <v>0</v>
      </c>
      <c r="M48" s="817">
        <f t="shared" ref="M48:N56" si="13">L48-$G48</f>
        <v>0</v>
      </c>
      <c r="N48" s="817">
        <f t="shared" si="13"/>
        <v>0</v>
      </c>
      <c r="AA48" s="704"/>
      <c r="AB48" s="704"/>
      <c r="AC48" s="704"/>
      <c r="AD48" s="704"/>
      <c r="AE48" s="704"/>
      <c r="AF48" s="704"/>
      <c r="AG48" s="704"/>
      <c r="AH48" s="704"/>
      <c r="AI48" s="704"/>
      <c r="AJ48" s="704"/>
      <c r="AK48" s="704"/>
    </row>
    <row r="49" spans="1:37" s="560" customFormat="1" ht="51">
      <c r="A49" s="719" t="s">
        <v>1698</v>
      </c>
      <c r="B49" s="730" t="str">
        <f>估价对象房地状况!C18</f>
        <v>估价对象周边道路状况、公共交通通达情况、停车便捷程度，综合评价交通便捷度较好</v>
      </c>
      <c r="C49" s="617"/>
      <c r="D49" s="725">
        <f t="shared" si="9"/>
        <v>0</v>
      </c>
      <c r="E49" s="731"/>
      <c r="F49" s="727"/>
      <c r="G49" s="728"/>
      <c r="H49" s="729" t="str">
        <f t="shared" si="10"/>
        <v>——</v>
      </c>
      <c r="I49" s="816">
        <v>0.25</v>
      </c>
      <c r="J49" s="817">
        <f t="shared" si="11"/>
        <v>0</v>
      </c>
      <c r="K49" s="817">
        <f t="shared" si="12"/>
        <v>0</v>
      </c>
      <c r="L49" s="817">
        <v>0</v>
      </c>
      <c r="M49" s="817">
        <f t="shared" si="13"/>
        <v>0</v>
      </c>
      <c r="N49" s="817">
        <f t="shared" si="13"/>
        <v>0</v>
      </c>
      <c r="AA49" s="704"/>
      <c r="AB49" s="704"/>
      <c r="AC49" s="704"/>
      <c r="AD49" s="704"/>
      <c r="AE49" s="704"/>
      <c r="AF49" s="704"/>
      <c r="AG49" s="704"/>
      <c r="AH49" s="704"/>
      <c r="AI49" s="704"/>
      <c r="AJ49" s="704"/>
      <c r="AK49" s="704"/>
    </row>
    <row r="50" spans="1:37" s="560" customFormat="1" ht="24">
      <c r="A50" s="719" t="s">
        <v>1699</v>
      </c>
      <c r="B50" s="730">
        <f>估价对象房地状况!C19</f>
        <v>0</v>
      </c>
      <c r="C50" s="617"/>
      <c r="D50" s="725">
        <f t="shared" si="9"/>
        <v>0</v>
      </c>
      <c r="E50" s="731"/>
      <c r="F50" s="727"/>
      <c r="G50" s="728"/>
      <c r="H50" s="729" t="str">
        <f t="shared" si="10"/>
        <v>——</v>
      </c>
      <c r="I50" s="816">
        <v>0.05</v>
      </c>
      <c r="J50" s="817">
        <f t="shared" si="11"/>
        <v>0</v>
      </c>
      <c r="K50" s="817">
        <f t="shared" si="12"/>
        <v>0</v>
      </c>
      <c r="L50" s="817">
        <v>0</v>
      </c>
      <c r="M50" s="817">
        <f t="shared" si="13"/>
        <v>0</v>
      </c>
      <c r="N50" s="817">
        <f t="shared" si="13"/>
        <v>0</v>
      </c>
      <c r="AA50" s="704"/>
      <c r="AB50" s="704"/>
      <c r="AC50" s="704"/>
      <c r="AD50" s="704"/>
      <c r="AE50" s="704"/>
      <c r="AF50" s="704"/>
      <c r="AG50" s="704"/>
      <c r="AH50" s="704"/>
      <c r="AI50" s="704"/>
      <c r="AJ50" s="704"/>
      <c r="AK50" s="704"/>
    </row>
    <row r="51" spans="1:37" s="560" customFormat="1" ht="36.75">
      <c r="A51" s="719" t="s">
        <v>1700</v>
      </c>
      <c r="B51" s="732" t="s">
        <v>1701</v>
      </c>
      <c r="C51" s="617"/>
      <c r="D51" s="725">
        <f t="shared" si="9"/>
        <v>0</v>
      </c>
      <c r="E51" s="731"/>
      <c r="F51" s="727"/>
      <c r="G51" s="728"/>
      <c r="H51" s="729" t="str">
        <f t="shared" si="10"/>
        <v>——</v>
      </c>
      <c r="I51" s="816">
        <v>0.05</v>
      </c>
      <c r="J51" s="817">
        <f t="shared" si="11"/>
        <v>0</v>
      </c>
      <c r="K51" s="817">
        <f t="shared" si="12"/>
        <v>0</v>
      </c>
      <c r="L51" s="817">
        <v>0</v>
      </c>
      <c r="M51" s="817">
        <f t="shared" si="13"/>
        <v>0</v>
      </c>
      <c r="N51" s="817">
        <f t="shared" si="13"/>
        <v>0</v>
      </c>
      <c r="AA51" s="704"/>
      <c r="AB51" s="704"/>
      <c r="AC51" s="704"/>
      <c r="AD51" s="704"/>
      <c r="AE51" s="704"/>
      <c r="AF51" s="704"/>
      <c r="AG51" s="704"/>
      <c r="AH51" s="704"/>
      <c r="AI51" s="704"/>
      <c r="AJ51" s="704"/>
      <c r="AK51" s="704"/>
    </row>
    <row r="52" spans="1:37" s="560" customFormat="1" ht="24">
      <c r="A52" s="719" t="s">
        <v>1702</v>
      </c>
      <c r="B52" s="730">
        <f>估价对象房地状况!C24</f>
        <v>0</v>
      </c>
      <c r="C52" s="617"/>
      <c r="D52" s="725">
        <f t="shared" si="9"/>
        <v>0</v>
      </c>
      <c r="E52" s="731"/>
      <c r="F52" s="727"/>
      <c r="G52" s="728"/>
      <c r="H52" s="729" t="str">
        <f t="shared" si="10"/>
        <v>——</v>
      </c>
      <c r="I52" s="816">
        <v>0.08</v>
      </c>
      <c r="J52" s="817">
        <f t="shared" si="11"/>
        <v>0</v>
      </c>
      <c r="K52" s="817">
        <f t="shared" si="12"/>
        <v>0</v>
      </c>
      <c r="L52" s="817">
        <v>0</v>
      </c>
      <c r="M52" s="817">
        <f t="shared" si="13"/>
        <v>0</v>
      </c>
      <c r="N52" s="817">
        <f t="shared" si="13"/>
        <v>0</v>
      </c>
      <c r="AA52" s="704"/>
      <c r="AB52" s="704"/>
      <c r="AC52" s="704"/>
      <c r="AD52" s="704"/>
      <c r="AE52" s="704"/>
      <c r="AF52" s="704"/>
      <c r="AG52" s="704"/>
      <c r="AH52" s="704"/>
      <c r="AI52" s="704"/>
      <c r="AJ52" s="704"/>
      <c r="AK52" s="704"/>
    </row>
    <row r="53" spans="1:37" s="560" customFormat="1" ht="24">
      <c r="A53" s="719" t="s">
        <v>1703</v>
      </c>
      <c r="B53" s="733" t="s">
        <v>1704</v>
      </c>
      <c r="C53" s="617"/>
      <c r="D53" s="725">
        <f t="shared" si="9"/>
        <v>0</v>
      </c>
      <c r="E53" s="731"/>
      <c r="F53" s="727"/>
      <c r="G53" s="728"/>
      <c r="H53" s="729" t="str">
        <f t="shared" si="10"/>
        <v>——</v>
      </c>
      <c r="I53" s="816">
        <v>0.03</v>
      </c>
      <c r="J53" s="817">
        <f t="shared" si="11"/>
        <v>0</v>
      </c>
      <c r="K53" s="817">
        <f t="shared" si="12"/>
        <v>0</v>
      </c>
      <c r="L53" s="817">
        <v>0</v>
      </c>
      <c r="M53" s="817">
        <f t="shared" si="13"/>
        <v>0</v>
      </c>
      <c r="N53" s="817">
        <f t="shared" si="13"/>
        <v>0</v>
      </c>
      <c r="AA53" s="704"/>
      <c r="AB53" s="704"/>
      <c r="AC53" s="704"/>
      <c r="AD53" s="704"/>
      <c r="AE53" s="704"/>
      <c r="AF53" s="704"/>
      <c r="AG53" s="704"/>
      <c r="AH53" s="704"/>
      <c r="AI53" s="704"/>
      <c r="AJ53" s="704"/>
      <c r="AK53" s="704"/>
    </row>
    <row r="54" spans="1:37" s="560" customFormat="1" ht="25.5">
      <c r="A54" s="734" t="s">
        <v>1705</v>
      </c>
      <c r="B54" s="266" t="str">
        <f>估价对象房地状况!C21</f>
        <v>估价对象所在区域公共配套设施齐备情况</v>
      </c>
      <c r="C54" s="617"/>
      <c r="D54" s="725">
        <f t="shared" si="9"/>
        <v>0</v>
      </c>
      <c r="E54" s="731"/>
      <c r="F54" s="727"/>
      <c r="G54" s="728"/>
      <c r="H54" s="729" t="str">
        <f t="shared" si="10"/>
        <v>——</v>
      </c>
      <c r="I54" s="816">
        <v>0.05</v>
      </c>
      <c r="J54" s="817">
        <f t="shared" si="11"/>
        <v>0</v>
      </c>
      <c r="K54" s="817">
        <f t="shared" si="12"/>
        <v>0</v>
      </c>
      <c r="L54" s="817">
        <v>0</v>
      </c>
      <c r="M54" s="817">
        <f t="shared" si="13"/>
        <v>0</v>
      </c>
      <c r="N54" s="817">
        <f t="shared" si="13"/>
        <v>0</v>
      </c>
      <c r="AA54" s="704"/>
      <c r="AB54" s="704"/>
      <c r="AC54" s="704"/>
      <c r="AD54" s="704"/>
      <c r="AE54" s="704"/>
      <c r="AF54" s="704"/>
      <c r="AG54" s="704"/>
      <c r="AH54" s="704"/>
      <c r="AI54" s="704"/>
      <c r="AJ54" s="704"/>
      <c r="AK54" s="704"/>
    </row>
    <row r="55" spans="1:37" s="560" customFormat="1" ht="25.5">
      <c r="A55" s="734" t="s">
        <v>1706</v>
      </c>
      <c r="B55" s="730" t="str">
        <f>估价对象房地状况!C22</f>
        <v>估价对象所在区域基础设施水平</v>
      </c>
      <c r="C55" s="617"/>
      <c r="D55" s="725">
        <f t="shared" si="9"/>
        <v>0</v>
      </c>
      <c r="E55" s="731"/>
      <c r="F55" s="727"/>
      <c r="G55" s="728"/>
      <c r="H55" s="729" t="str">
        <f t="shared" si="10"/>
        <v>——</v>
      </c>
      <c r="I55" s="816">
        <v>0.1</v>
      </c>
      <c r="J55" s="817">
        <f t="shared" si="11"/>
        <v>0</v>
      </c>
      <c r="K55" s="817">
        <f t="shared" si="12"/>
        <v>0</v>
      </c>
      <c r="L55" s="817">
        <v>0</v>
      </c>
      <c r="M55" s="817">
        <f t="shared" si="13"/>
        <v>0</v>
      </c>
      <c r="N55" s="817">
        <f t="shared" si="13"/>
        <v>0</v>
      </c>
      <c r="AA55" s="704"/>
      <c r="AB55" s="704"/>
      <c r="AC55" s="704"/>
      <c r="AD55" s="704"/>
      <c r="AE55" s="704"/>
      <c r="AF55" s="704"/>
      <c r="AG55" s="704"/>
      <c r="AH55" s="704"/>
      <c r="AI55" s="704"/>
      <c r="AJ55" s="704"/>
      <c r="AK55" s="704"/>
    </row>
    <row r="56" spans="1:37" s="560" customFormat="1" ht="38.25">
      <c r="A56" s="735" t="s">
        <v>1707</v>
      </c>
      <c r="B56" s="736" t="str">
        <f>估价对象房地状况!C20</f>
        <v>区域自然环境：；人文环境；综合评价环境状况一般</v>
      </c>
      <c r="C56" s="617"/>
      <c r="D56" s="725">
        <f t="shared" si="9"/>
        <v>0</v>
      </c>
      <c r="E56" s="737"/>
      <c r="F56" s="727"/>
      <c r="G56" s="728"/>
      <c r="H56" s="729" t="str">
        <f t="shared" si="10"/>
        <v>——</v>
      </c>
      <c r="I56" s="818">
        <v>0.06</v>
      </c>
      <c r="J56" s="817">
        <f t="shared" si="11"/>
        <v>0</v>
      </c>
      <c r="K56" s="817">
        <f t="shared" si="12"/>
        <v>0</v>
      </c>
      <c r="L56" s="817">
        <v>0</v>
      </c>
      <c r="M56" s="817">
        <f t="shared" si="13"/>
        <v>0</v>
      </c>
      <c r="N56" s="817">
        <f t="shared" si="13"/>
        <v>0</v>
      </c>
      <c r="AA56" s="704"/>
      <c r="AB56" s="704"/>
      <c r="AC56" s="704"/>
      <c r="AD56" s="704"/>
      <c r="AE56" s="704"/>
      <c r="AF56" s="704"/>
      <c r="AG56" s="704"/>
      <c r="AH56" s="704"/>
      <c r="AI56" s="704"/>
      <c r="AJ56" s="704"/>
      <c r="AK56" s="704"/>
    </row>
    <row r="57" spans="1:37" s="560" customFormat="1" ht="15">
      <c r="A57" s="713" t="s">
        <v>1708</v>
      </c>
      <c r="B57" s="714">
        <f>1+E59</f>
        <v>1</v>
      </c>
      <c r="C57" s="716"/>
      <c r="D57" s="716"/>
      <c r="E57" s="717"/>
      <c r="F57" s="718"/>
      <c r="G57" s="712"/>
      <c r="H57" s="712"/>
      <c r="I57" s="712"/>
      <c r="J57" s="711"/>
      <c r="K57" s="711"/>
      <c r="L57" s="711"/>
      <c r="M57" s="711"/>
      <c r="N57" s="711"/>
      <c r="AA57" s="704"/>
      <c r="AB57" s="704"/>
      <c r="AC57" s="704"/>
      <c r="AD57" s="704"/>
      <c r="AE57" s="704"/>
      <c r="AF57" s="704"/>
      <c r="AG57" s="704"/>
      <c r="AH57" s="704"/>
      <c r="AI57" s="704"/>
      <c r="AJ57" s="704"/>
      <c r="AK57" s="704"/>
    </row>
    <row r="58" spans="1:37" s="560" customFormat="1" ht="24.75">
      <c r="A58" s="719" t="s">
        <v>1689</v>
      </c>
      <c r="B58" s="720"/>
      <c r="C58" s="720" t="s">
        <v>1691</v>
      </c>
      <c r="D58" s="720" t="s">
        <v>1692</v>
      </c>
      <c r="E58" s="721" t="s">
        <v>1693</v>
      </c>
      <c r="F58" s="722" t="s">
        <v>1709</v>
      </c>
      <c r="G58" s="720" t="s">
        <v>1621</v>
      </c>
      <c r="H58" s="723" t="s">
        <v>1695</v>
      </c>
      <c r="I58" s="720" t="s">
        <v>1696</v>
      </c>
      <c r="J58" s="815" t="s">
        <v>1416</v>
      </c>
      <c r="K58" s="815" t="s">
        <v>1417</v>
      </c>
      <c r="L58" s="815" t="s">
        <v>1418</v>
      </c>
      <c r="M58" s="815" t="s">
        <v>1419</v>
      </c>
      <c r="N58" s="815" t="s">
        <v>1420</v>
      </c>
      <c r="AA58" s="704"/>
      <c r="AB58" s="704"/>
      <c r="AC58" s="704"/>
      <c r="AD58" s="704"/>
      <c r="AE58" s="704"/>
      <c r="AF58" s="704"/>
      <c r="AG58" s="704"/>
      <c r="AH58" s="704"/>
      <c r="AI58" s="704"/>
      <c r="AJ58" s="704"/>
      <c r="AK58" s="704"/>
    </row>
    <row r="59" spans="1:37" s="560" customFormat="1" ht="38.25">
      <c r="A59" s="719" t="s">
        <v>1710</v>
      </c>
      <c r="B59" s="724" t="str">
        <f>估价对象房地状况!C17</f>
        <v>估价对象位于XX商圈，周边办公楼项目较多，入驻率高，办公集聚程度较好</v>
      </c>
      <c r="C59" s="617"/>
      <c r="D59" s="725">
        <f t="shared" ref="D59:D67" si="14">SUMIF($J$58:$N$58,C59,J59:N59)</f>
        <v>0</v>
      </c>
      <c r="E59" s="726">
        <f>ROUND(SUM(D59:D67),4)</f>
        <v>0</v>
      </c>
      <c r="F59" s="727" t="str">
        <f>IF(E2="办公",SUMIF(L1:L12,G2,N1:N12),"——")</f>
        <v>——</v>
      </c>
      <c r="G59" s="728"/>
      <c r="H59" s="729" t="str">
        <f t="shared" ref="H59:H67" si="15">IFERROR(ROUNDDOWN($F$59*I59/2,4),"——")</f>
        <v>——</v>
      </c>
      <c r="I59" s="816">
        <v>0.24</v>
      </c>
      <c r="J59" s="817">
        <f t="shared" ref="J59:J67" si="16">K59+$G59</f>
        <v>0</v>
      </c>
      <c r="K59" s="817">
        <f t="shared" ref="K59:K67" si="17">$L59+$G59</f>
        <v>0</v>
      </c>
      <c r="L59" s="817">
        <v>0</v>
      </c>
      <c r="M59" s="817">
        <f t="shared" ref="M59:N67" si="18">L59-$G59</f>
        <v>0</v>
      </c>
      <c r="N59" s="817">
        <f t="shared" si="18"/>
        <v>0</v>
      </c>
      <c r="AA59" s="704"/>
      <c r="AB59" s="704"/>
      <c r="AC59" s="704"/>
      <c r="AD59" s="704"/>
      <c r="AE59" s="704"/>
      <c r="AF59" s="704"/>
      <c r="AG59" s="704"/>
      <c r="AH59" s="704"/>
      <c r="AI59" s="704"/>
      <c r="AJ59" s="704"/>
      <c r="AK59" s="704"/>
    </row>
    <row r="60" spans="1:37" s="560" customFormat="1" ht="51">
      <c r="A60" s="719" t="s">
        <v>1698</v>
      </c>
      <c r="B60" s="730" t="str">
        <f>估价对象房地状况!C18</f>
        <v>估价对象周边道路状况、公共交通通达情况、停车便捷程度，综合评价交通便捷度较好</v>
      </c>
      <c r="C60" s="617"/>
      <c r="D60" s="725">
        <f t="shared" si="14"/>
        <v>0</v>
      </c>
      <c r="E60" s="731"/>
      <c r="F60" s="727"/>
      <c r="G60" s="728"/>
      <c r="H60" s="729" t="str">
        <f t="shared" si="15"/>
        <v>——</v>
      </c>
      <c r="I60" s="816">
        <v>0.3</v>
      </c>
      <c r="J60" s="817">
        <f t="shared" si="16"/>
        <v>0</v>
      </c>
      <c r="K60" s="817">
        <f t="shared" si="17"/>
        <v>0</v>
      </c>
      <c r="L60" s="817">
        <v>0</v>
      </c>
      <c r="M60" s="817">
        <f t="shared" si="18"/>
        <v>0</v>
      </c>
      <c r="N60" s="817">
        <f t="shared" si="18"/>
        <v>0</v>
      </c>
      <c r="AA60" s="704"/>
      <c r="AB60" s="704"/>
      <c r="AC60" s="704"/>
      <c r="AD60" s="704"/>
      <c r="AE60" s="704"/>
      <c r="AF60" s="704"/>
      <c r="AG60" s="704"/>
      <c r="AH60" s="704"/>
      <c r="AI60" s="704"/>
      <c r="AJ60" s="704"/>
      <c r="AK60" s="704"/>
    </row>
    <row r="61" spans="1:37" s="560" customFormat="1" ht="24">
      <c r="A61" s="719" t="s">
        <v>1699</v>
      </c>
      <c r="B61" s="730">
        <f>估价对象房地状况!C19</f>
        <v>0</v>
      </c>
      <c r="C61" s="617"/>
      <c r="D61" s="725">
        <f t="shared" si="14"/>
        <v>0</v>
      </c>
      <c r="E61" s="731"/>
      <c r="F61" s="727"/>
      <c r="G61" s="728"/>
      <c r="H61" s="729" t="str">
        <f t="shared" si="15"/>
        <v>——</v>
      </c>
      <c r="I61" s="816">
        <v>0.08</v>
      </c>
      <c r="J61" s="817">
        <f t="shared" si="16"/>
        <v>0</v>
      </c>
      <c r="K61" s="817">
        <f t="shared" si="17"/>
        <v>0</v>
      </c>
      <c r="L61" s="817">
        <v>0</v>
      </c>
      <c r="M61" s="817">
        <f t="shared" si="18"/>
        <v>0</v>
      </c>
      <c r="N61" s="817">
        <f t="shared" si="18"/>
        <v>0</v>
      </c>
      <c r="AA61" s="704"/>
      <c r="AB61" s="704"/>
      <c r="AC61" s="704"/>
      <c r="AD61" s="704"/>
      <c r="AE61" s="704"/>
      <c r="AF61" s="704"/>
      <c r="AG61" s="704"/>
      <c r="AH61" s="704"/>
      <c r="AI61" s="704"/>
      <c r="AJ61" s="704"/>
      <c r="AK61" s="704"/>
    </row>
    <row r="62" spans="1:37" s="560" customFormat="1" ht="36.75">
      <c r="A62" s="719" t="s">
        <v>1700</v>
      </c>
      <c r="B62" s="732" t="s">
        <v>1701</v>
      </c>
      <c r="C62" s="617"/>
      <c r="D62" s="725">
        <f t="shared" si="14"/>
        <v>0</v>
      </c>
      <c r="E62" s="731"/>
      <c r="F62" s="727"/>
      <c r="G62" s="728"/>
      <c r="H62" s="729" t="str">
        <f t="shared" si="15"/>
        <v>——</v>
      </c>
      <c r="I62" s="816">
        <v>0.04</v>
      </c>
      <c r="J62" s="817">
        <f t="shared" si="16"/>
        <v>0</v>
      </c>
      <c r="K62" s="817">
        <f t="shared" si="17"/>
        <v>0</v>
      </c>
      <c r="L62" s="817">
        <v>0</v>
      </c>
      <c r="M62" s="817">
        <f t="shared" si="18"/>
        <v>0</v>
      </c>
      <c r="N62" s="817">
        <f t="shared" si="18"/>
        <v>0</v>
      </c>
      <c r="AA62" s="704"/>
      <c r="AB62" s="704"/>
      <c r="AC62" s="704"/>
      <c r="AD62" s="704"/>
      <c r="AE62" s="704"/>
      <c r="AF62" s="704"/>
      <c r="AG62" s="704"/>
      <c r="AH62" s="704"/>
      <c r="AI62" s="704"/>
      <c r="AJ62" s="704"/>
      <c r="AK62" s="704"/>
    </row>
    <row r="63" spans="1:37" s="560" customFormat="1" ht="24">
      <c r="A63" s="719" t="s">
        <v>1702</v>
      </c>
      <c r="B63" s="730">
        <f>估价对象房地状况!C24</f>
        <v>0</v>
      </c>
      <c r="C63" s="617"/>
      <c r="D63" s="725">
        <f t="shared" si="14"/>
        <v>0</v>
      </c>
      <c r="E63" s="731"/>
      <c r="F63" s="727"/>
      <c r="G63" s="728"/>
      <c r="H63" s="729" t="str">
        <f t="shared" si="15"/>
        <v>——</v>
      </c>
      <c r="I63" s="816">
        <v>0.05</v>
      </c>
      <c r="J63" s="817">
        <f t="shared" si="16"/>
        <v>0</v>
      </c>
      <c r="K63" s="817">
        <f t="shared" si="17"/>
        <v>0</v>
      </c>
      <c r="L63" s="817">
        <v>0</v>
      </c>
      <c r="M63" s="817">
        <f t="shared" si="18"/>
        <v>0</v>
      </c>
      <c r="N63" s="817">
        <f t="shared" si="18"/>
        <v>0</v>
      </c>
      <c r="AA63" s="704"/>
      <c r="AB63" s="704"/>
      <c r="AC63" s="704"/>
      <c r="AD63" s="704"/>
      <c r="AE63" s="704"/>
      <c r="AF63" s="704"/>
      <c r="AG63" s="704"/>
      <c r="AH63" s="704"/>
      <c r="AI63" s="704"/>
      <c r="AJ63" s="704"/>
      <c r="AK63" s="704"/>
    </row>
    <row r="64" spans="1:37" s="560" customFormat="1" ht="24">
      <c r="A64" s="719" t="s">
        <v>1703</v>
      </c>
      <c r="B64" s="733" t="s">
        <v>1704</v>
      </c>
      <c r="C64" s="617"/>
      <c r="D64" s="725">
        <f t="shared" si="14"/>
        <v>0</v>
      </c>
      <c r="E64" s="731"/>
      <c r="F64" s="727"/>
      <c r="G64" s="728"/>
      <c r="H64" s="729" t="str">
        <f t="shared" si="15"/>
        <v>——</v>
      </c>
      <c r="I64" s="816">
        <v>0.05</v>
      </c>
      <c r="J64" s="817">
        <f t="shared" si="16"/>
        <v>0</v>
      </c>
      <c r="K64" s="817">
        <f t="shared" si="17"/>
        <v>0</v>
      </c>
      <c r="L64" s="817">
        <v>0</v>
      </c>
      <c r="M64" s="817">
        <f t="shared" si="18"/>
        <v>0</v>
      </c>
      <c r="N64" s="817">
        <f t="shared" si="18"/>
        <v>0</v>
      </c>
      <c r="AA64" s="704"/>
      <c r="AB64" s="704"/>
      <c r="AC64" s="704"/>
      <c r="AD64" s="704"/>
      <c r="AE64" s="704"/>
      <c r="AF64" s="704"/>
      <c r="AG64" s="704"/>
      <c r="AH64" s="704"/>
      <c r="AI64" s="704"/>
      <c r="AJ64" s="704"/>
      <c r="AK64" s="704"/>
    </row>
    <row r="65" spans="1:37" s="560" customFormat="1" ht="25.5">
      <c r="A65" s="719" t="s">
        <v>1705</v>
      </c>
      <c r="B65" s="266" t="str">
        <f>估价对象房地状况!C21</f>
        <v>估价对象所在区域公共配套设施齐备情况</v>
      </c>
      <c r="C65" s="617"/>
      <c r="D65" s="725">
        <f t="shared" si="14"/>
        <v>0</v>
      </c>
      <c r="E65" s="731"/>
      <c r="F65" s="727"/>
      <c r="G65" s="728"/>
      <c r="H65" s="729" t="str">
        <f t="shared" si="15"/>
        <v>——</v>
      </c>
      <c r="I65" s="816">
        <v>0.06</v>
      </c>
      <c r="J65" s="817">
        <f t="shared" si="16"/>
        <v>0</v>
      </c>
      <c r="K65" s="817">
        <f t="shared" si="17"/>
        <v>0</v>
      </c>
      <c r="L65" s="817">
        <v>0</v>
      </c>
      <c r="M65" s="817">
        <f t="shared" si="18"/>
        <v>0</v>
      </c>
      <c r="N65" s="817">
        <f t="shared" si="18"/>
        <v>0</v>
      </c>
      <c r="AA65" s="704"/>
      <c r="AB65" s="704"/>
      <c r="AC65" s="704"/>
      <c r="AD65" s="704"/>
      <c r="AE65" s="704"/>
      <c r="AF65" s="704"/>
      <c r="AG65" s="704"/>
      <c r="AH65" s="704"/>
      <c r="AI65" s="704"/>
      <c r="AJ65" s="704"/>
      <c r="AK65" s="704"/>
    </row>
    <row r="66" spans="1:37" s="560" customFormat="1" ht="25.5">
      <c r="A66" s="719" t="s">
        <v>1706</v>
      </c>
      <c r="B66" s="266" t="str">
        <f>估价对象房地状况!C22</f>
        <v>估价对象所在区域基础设施水平</v>
      </c>
      <c r="C66" s="617"/>
      <c r="D66" s="725">
        <f t="shared" si="14"/>
        <v>0</v>
      </c>
      <c r="E66" s="731"/>
      <c r="F66" s="727"/>
      <c r="G66" s="728"/>
      <c r="H66" s="729" t="str">
        <f t="shared" si="15"/>
        <v>——</v>
      </c>
      <c r="I66" s="816">
        <v>0.12</v>
      </c>
      <c r="J66" s="817">
        <f t="shared" si="16"/>
        <v>0</v>
      </c>
      <c r="K66" s="817">
        <f t="shared" si="17"/>
        <v>0</v>
      </c>
      <c r="L66" s="817">
        <v>0</v>
      </c>
      <c r="M66" s="817">
        <f t="shared" si="18"/>
        <v>0</v>
      </c>
      <c r="N66" s="817">
        <f t="shared" si="18"/>
        <v>0</v>
      </c>
      <c r="AA66" s="704"/>
      <c r="AB66" s="704"/>
      <c r="AC66" s="704"/>
      <c r="AD66" s="704"/>
      <c r="AE66" s="704"/>
      <c r="AF66" s="704"/>
      <c r="AG66" s="704"/>
      <c r="AH66" s="704"/>
      <c r="AI66" s="704"/>
      <c r="AJ66" s="704"/>
      <c r="AK66" s="704"/>
    </row>
    <row r="67" spans="1:37" s="560" customFormat="1" ht="38.25">
      <c r="A67" s="735" t="s">
        <v>1707</v>
      </c>
      <c r="B67" s="846" t="str">
        <f>估价对象房地状况!C20</f>
        <v>区域自然环境：；人文环境；综合评价环境状况一般</v>
      </c>
      <c r="C67" s="617"/>
      <c r="D67" s="725">
        <f t="shared" si="14"/>
        <v>0</v>
      </c>
      <c r="E67" s="737"/>
      <c r="F67" s="727"/>
      <c r="G67" s="728"/>
      <c r="H67" s="729" t="str">
        <f t="shared" si="15"/>
        <v>——</v>
      </c>
      <c r="I67" s="818">
        <v>0.06</v>
      </c>
      <c r="J67" s="817">
        <f t="shared" si="16"/>
        <v>0</v>
      </c>
      <c r="K67" s="817">
        <f t="shared" si="17"/>
        <v>0</v>
      </c>
      <c r="L67" s="817">
        <v>0</v>
      </c>
      <c r="M67" s="817">
        <f t="shared" si="18"/>
        <v>0</v>
      </c>
      <c r="N67" s="817">
        <f t="shared" si="18"/>
        <v>0</v>
      </c>
      <c r="AA67" s="704"/>
      <c r="AB67" s="704"/>
      <c r="AC67" s="704"/>
      <c r="AD67" s="704"/>
      <c r="AE67" s="704"/>
      <c r="AF67" s="704"/>
      <c r="AG67" s="704"/>
      <c r="AH67" s="704"/>
      <c r="AI67" s="704"/>
      <c r="AJ67" s="704"/>
      <c r="AK67" s="704"/>
    </row>
    <row r="68" spans="1:37" s="560" customFormat="1" ht="15">
      <c r="A68" s="713" t="s">
        <v>1711</v>
      </c>
      <c r="B68" s="714">
        <f>1+E70</f>
        <v>1</v>
      </c>
      <c r="C68" s="716"/>
      <c r="D68" s="716"/>
      <c r="E68" s="717"/>
      <c r="F68" s="718"/>
      <c r="G68" s="712"/>
      <c r="H68" s="712"/>
      <c r="I68" s="712"/>
      <c r="J68" s="711"/>
      <c r="K68" s="711"/>
      <c r="L68" s="711"/>
      <c r="M68" s="711"/>
      <c r="N68" s="711"/>
      <c r="AA68" s="704"/>
      <c r="AB68" s="704"/>
      <c r="AC68" s="704"/>
      <c r="AD68" s="704"/>
      <c r="AE68" s="704"/>
      <c r="AF68" s="704"/>
      <c r="AG68" s="704"/>
      <c r="AH68" s="704"/>
      <c r="AI68" s="704"/>
      <c r="AJ68" s="704"/>
      <c r="AK68" s="704"/>
    </row>
    <row r="69" spans="1:37" s="560" customFormat="1" ht="24.75">
      <c r="A69" s="719" t="s">
        <v>1689</v>
      </c>
      <c r="B69" s="720"/>
      <c r="C69" s="720" t="s">
        <v>1691</v>
      </c>
      <c r="D69" s="720" t="s">
        <v>1692</v>
      </c>
      <c r="E69" s="721" t="s">
        <v>1693</v>
      </c>
      <c r="F69" s="722" t="s">
        <v>1709</v>
      </c>
      <c r="G69" s="720" t="s">
        <v>1621</v>
      </c>
      <c r="H69" s="723" t="s">
        <v>1695</v>
      </c>
      <c r="I69" s="720" t="s">
        <v>1696</v>
      </c>
      <c r="J69" s="815" t="s">
        <v>1416</v>
      </c>
      <c r="K69" s="815" t="s">
        <v>1417</v>
      </c>
      <c r="L69" s="815" t="s">
        <v>1418</v>
      </c>
      <c r="M69" s="815" t="s">
        <v>1419</v>
      </c>
      <c r="N69" s="815" t="s">
        <v>1420</v>
      </c>
      <c r="AA69" s="704"/>
      <c r="AB69" s="704"/>
      <c r="AC69" s="704"/>
      <c r="AD69" s="704"/>
      <c r="AE69" s="704"/>
      <c r="AF69" s="704"/>
      <c r="AG69" s="704"/>
      <c r="AH69" s="704"/>
      <c r="AI69" s="704"/>
      <c r="AJ69" s="704"/>
      <c r="AK69" s="704"/>
    </row>
    <row r="70" spans="1:37" s="560" customFormat="1" ht="51">
      <c r="A70" s="719" t="s">
        <v>1712</v>
      </c>
      <c r="B70" s="724" t="str">
        <f>估价对象房地状况!C15</f>
        <v>估价对象周边居住用地比例、居住小区规模和社区发展完善程度，综合评价居住社区成熟度一般</v>
      </c>
      <c r="C70" s="617"/>
      <c r="D70" s="725">
        <f t="shared" ref="D70:D78" si="19">SUMIF($J$69:$N$69,C70,J70:N70)</f>
        <v>0</v>
      </c>
      <c r="E70" s="726">
        <f>ROUND(SUM(D70:D78),4)</f>
        <v>0</v>
      </c>
      <c r="F70" s="727">
        <f>IF(E2="住宅",SUMIF(L1:L12,G2,N1:N12),"——")</f>
        <v>9.6000000000000002E-2</v>
      </c>
      <c r="G70" s="728"/>
      <c r="H70" s="729">
        <f t="shared" ref="H70:H78" si="20">IFERROR(ROUNDDOWN($F$70*I70/2,4),"——")</f>
        <v>6.7000000000000002E-3</v>
      </c>
      <c r="I70" s="816">
        <v>0.14000000000000001</v>
      </c>
      <c r="J70" s="817">
        <f t="shared" ref="J70:J78" si="21">K70+$G70</f>
        <v>0</v>
      </c>
      <c r="K70" s="817">
        <f t="shared" ref="K70:K78" si="22">$L70+$G70</f>
        <v>0</v>
      </c>
      <c r="L70" s="817">
        <v>0</v>
      </c>
      <c r="M70" s="817">
        <f t="shared" ref="M70:N78" si="23">L70-$G70</f>
        <v>0</v>
      </c>
      <c r="N70" s="817">
        <f t="shared" si="23"/>
        <v>0</v>
      </c>
      <c r="AA70" s="704"/>
      <c r="AB70" s="704"/>
      <c r="AC70" s="704"/>
      <c r="AD70" s="704"/>
      <c r="AE70" s="704"/>
      <c r="AF70" s="704"/>
      <c r="AG70" s="704"/>
      <c r="AH70" s="704"/>
      <c r="AI70" s="704"/>
      <c r="AJ70" s="704"/>
      <c r="AK70" s="704"/>
    </row>
    <row r="71" spans="1:37" s="560" customFormat="1" ht="51">
      <c r="A71" s="719" t="s">
        <v>1698</v>
      </c>
      <c r="B71" s="730" t="str">
        <f>估价对象房地状况!C18</f>
        <v>估价对象周边道路状况、公共交通通达情况、停车便捷程度，综合评价交通便捷度较好</v>
      </c>
      <c r="C71" s="617"/>
      <c r="D71" s="725">
        <f t="shared" si="19"/>
        <v>0</v>
      </c>
      <c r="E71" s="847"/>
      <c r="F71" s="727"/>
      <c r="G71" s="728"/>
      <c r="H71" s="729">
        <f t="shared" si="20"/>
        <v>1.44E-2</v>
      </c>
      <c r="I71" s="816">
        <v>0.3</v>
      </c>
      <c r="J71" s="817">
        <f t="shared" si="21"/>
        <v>0</v>
      </c>
      <c r="K71" s="817">
        <f t="shared" si="22"/>
        <v>0</v>
      </c>
      <c r="L71" s="817">
        <v>0</v>
      </c>
      <c r="M71" s="817">
        <f t="shared" si="23"/>
        <v>0</v>
      </c>
      <c r="N71" s="817">
        <f t="shared" si="23"/>
        <v>0</v>
      </c>
      <c r="AA71" s="704"/>
      <c r="AB71" s="704"/>
      <c r="AC71" s="704"/>
      <c r="AD71" s="704"/>
      <c r="AE71" s="704"/>
      <c r="AF71" s="704"/>
      <c r="AG71" s="704"/>
      <c r="AH71" s="704"/>
      <c r="AI71" s="704"/>
      <c r="AJ71" s="704"/>
      <c r="AK71" s="704"/>
    </row>
    <row r="72" spans="1:37" s="560" customFormat="1" ht="24">
      <c r="A72" s="719" t="s">
        <v>1699</v>
      </c>
      <c r="B72" s="730">
        <f>估价对象房地状况!C19</f>
        <v>0</v>
      </c>
      <c r="C72" s="617"/>
      <c r="D72" s="725">
        <f t="shared" si="19"/>
        <v>0</v>
      </c>
      <c r="E72" s="847"/>
      <c r="F72" s="727"/>
      <c r="G72" s="728"/>
      <c r="H72" s="729">
        <f t="shared" si="20"/>
        <v>3.8E-3</v>
      </c>
      <c r="I72" s="816">
        <v>0.08</v>
      </c>
      <c r="J72" s="817">
        <f t="shared" si="21"/>
        <v>0</v>
      </c>
      <c r="K72" s="817">
        <f t="shared" si="22"/>
        <v>0</v>
      </c>
      <c r="L72" s="817">
        <v>0</v>
      </c>
      <c r="M72" s="817">
        <f t="shared" si="23"/>
        <v>0</v>
      </c>
      <c r="N72" s="817">
        <f t="shared" si="23"/>
        <v>0</v>
      </c>
      <c r="AA72" s="704"/>
      <c r="AB72" s="704"/>
      <c r="AC72" s="704"/>
      <c r="AD72" s="704"/>
      <c r="AE72" s="704"/>
      <c r="AF72" s="704"/>
      <c r="AG72" s="704"/>
      <c r="AH72" s="704"/>
      <c r="AI72" s="704"/>
      <c r="AJ72" s="704"/>
      <c r="AK72" s="704"/>
    </row>
    <row r="73" spans="1:37" s="560" customFormat="1" ht="14.25">
      <c r="A73" s="719" t="s">
        <v>1713</v>
      </c>
      <c r="B73" s="730">
        <f>估价对象房地状况!C24</f>
        <v>0</v>
      </c>
      <c r="C73" s="617"/>
      <c r="D73" s="725">
        <f t="shared" si="19"/>
        <v>0</v>
      </c>
      <c r="E73" s="847"/>
      <c r="F73" s="727"/>
      <c r="G73" s="728"/>
      <c r="H73" s="729">
        <f t="shared" si="20"/>
        <v>1.9E-3</v>
      </c>
      <c r="I73" s="816">
        <v>0.04</v>
      </c>
      <c r="J73" s="817">
        <f t="shared" si="21"/>
        <v>0</v>
      </c>
      <c r="K73" s="817">
        <f t="shared" si="22"/>
        <v>0</v>
      </c>
      <c r="L73" s="817">
        <v>0</v>
      </c>
      <c r="M73" s="817">
        <f t="shared" si="23"/>
        <v>0</v>
      </c>
      <c r="N73" s="817">
        <f t="shared" si="23"/>
        <v>0</v>
      </c>
      <c r="AA73" s="704"/>
      <c r="AB73" s="704"/>
      <c r="AC73" s="704"/>
      <c r="AD73" s="704"/>
      <c r="AE73" s="704"/>
      <c r="AF73" s="704"/>
      <c r="AG73" s="704"/>
      <c r="AH73" s="704"/>
      <c r="AI73" s="704"/>
      <c r="AJ73" s="704"/>
      <c r="AK73" s="704"/>
    </row>
    <row r="74" spans="1:37" s="560" customFormat="1" ht="25.5">
      <c r="A74" s="719" t="s">
        <v>1705</v>
      </c>
      <c r="B74" s="266" t="str">
        <f>估价对象房地状况!C21</f>
        <v>估价对象所在区域公共配套设施齐备情况</v>
      </c>
      <c r="C74" s="617"/>
      <c r="D74" s="725">
        <f t="shared" si="19"/>
        <v>0</v>
      </c>
      <c r="E74" s="847"/>
      <c r="F74" s="727"/>
      <c r="G74" s="728"/>
      <c r="H74" s="729">
        <f t="shared" si="20"/>
        <v>3.8E-3</v>
      </c>
      <c r="I74" s="816">
        <v>0.08</v>
      </c>
      <c r="J74" s="817">
        <f t="shared" si="21"/>
        <v>0</v>
      </c>
      <c r="K74" s="817">
        <f t="shared" si="22"/>
        <v>0</v>
      </c>
      <c r="L74" s="817">
        <v>0</v>
      </c>
      <c r="M74" s="817">
        <f t="shared" si="23"/>
        <v>0</v>
      </c>
      <c r="N74" s="817">
        <f t="shared" si="23"/>
        <v>0</v>
      </c>
      <c r="AA74" s="704"/>
      <c r="AB74" s="704"/>
      <c r="AC74" s="704"/>
      <c r="AD74" s="704"/>
      <c r="AE74" s="704"/>
      <c r="AF74" s="704"/>
      <c r="AG74" s="704"/>
      <c r="AH74" s="704"/>
      <c r="AI74" s="704"/>
      <c r="AJ74" s="704"/>
      <c r="AK74" s="704"/>
    </row>
    <row r="75" spans="1:37" s="560" customFormat="1" ht="25.5">
      <c r="A75" s="719" t="s">
        <v>1706</v>
      </c>
      <c r="B75" s="266" t="str">
        <f>估价对象房地状况!C22</f>
        <v>估价对象所在区域基础设施水平</v>
      </c>
      <c r="C75" s="617"/>
      <c r="D75" s="725">
        <f t="shared" si="19"/>
        <v>0</v>
      </c>
      <c r="E75" s="847"/>
      <c r="F75" s="727"/>
      <c r="G75" s="728"/>
      <c r="H75" s="729">
        <f t="shared" si="20"/>
        <v>5.7000000000000002E-3</v>
      </c>
      <c r="I75" s="816">
        <v>0.12</v>
      </c>
      <c r="J75" s="817">
        <f t="shared" si="21"/>
        <v>0</v>
      </c>
      <c r="K75" s="817">
        <f t="shared" si="22"/>
        <v>0</v>
      </c>
      <c r="L75" s="817">
        <v>0</v>
      </c>
      <c r="M75" s="817">
        <f t="shared" si="23"/>
        <v>0</v>
      </c>
      <c r="N75" s="817">
        <f t="shared" si="23"/>
        <v>0</v>
      </c>
      <c r="AA75" s="704"/>
      <c r="AB75" s="704"/>
      <c r="AC75" s="704"/>
      <c r="AD75" s="704"/>
      <c r="AE75" s="704"/>
      <c r="AF75" s="704"/>
      <c r="AG75" s="704"/>
      <c r="AH75" s="704"/>
      <c r="AI75" s="704"/>
      <c r="AJ75" s="704"/>
      <c r="AK75" s="704"/>
    </row>
    <row r="76" spans="1:37" s="561" customFormat="1" ht="24">
      <c r="A76" s="719" t="s">
        <v>1703</v>
      </c>
      <c r="B76" s="733" t="s">
        <v>1704</v>
      </c>
      <c r="C76" s="617"/>
      <c r="D76" s="725">
        <f t="shared" si="19"/>
        <v>0</v>
      </c>
      <c r="E76" s="847"/>
      <c r="F76" s="727"/>
      <c r="G76" s="728"/>
      <c r="H76" s="729">
        <f t="shared" si="20"/>
        <v>2.3999999999999998E-3</v>
      </c>
      <c r="I76" s="816">
        <v>0.05</v>
      </c>
      <c r="J76" s="817">
        <f t="shared" si="21"/>
        <v>0</v>
      </c>
      <c r="K76" s="817">
        <f t="shared" si="22"/>
        <v>0</v>
      </c>
      <c r="L76" s="817">
        <v>0</v>
      </c>
      <c r="M76" s="817">
        <f t="shared" si="23"/>
        <v>0</v>
      </c>
      <c r="N76" s="817">
        <f t="shared" si="23"/>
        <v>0</v>
      </c>
      <c r="AA76" s="842"/>
      <c r="AB76" s="704"/>
      <c r="AC76" s="704"/>
      <c r="AD76" s="704"/>
      <c r="AE76" s="704"/>
      <c r="AF76" s="704"/>
      <c r="AG76" s="704"/>
      <c r="AH76" s="842"/>
      <c r="AI76" s="842"/>
      <c r="AJ76" s="842"/>
      <c r="AK76" s="842"/>
    </row>
    <row r="77" spans="1:37" ht="38.25">
      <c r="A77" s="719" t="s">
        <v>1707</v>
      </c>
      <c r="B77" s="724" t="str">
        <f>估价对象房地状况!C20</f>
        <v>区域自然环境：；人文环境；综合评价环境状况一般</v>
      </c>
      <c r="C77" s="617"/>
      <c r="D77" s="725">
        <f t="shared" si="19"/>
        <v>0</v>
      </c>
      <c r="E77" s="847"/>
      <c r="F77" s="727"/>
      <c r="G77" s="728"/>
      <c r="H77" s="729">
        <f t="shared" si="20"/>
        <v>7.1999999999999998E-3</v>
      </c>
      <c r="I77" s="816">
        <v>0.15</v>
      </c>
      <c r="J77" s="817">
        <f t="shared" si="21"/>
        <v>0</v>
      </c>
      <c r="K77" s="817">
        <f t="shared" si="22"/>
        <v>0</v>
      </c>
      <c r="L77" s="817">
        <v>0</v>
      </c>
      <c r="M77" s="817">
        <f t="shared" si="23"/>
        <v>0</v>
      </c>
      <c r="N77" s="817">
        <f t="shared" si="23"/>
        <v>0</v>
      </c>
      <c r="Z77" s="564"/>
      <c r="AA77" s="562"/>
      <c r="AG77" s="566"/>
      <c r="AK77" s="562"/>
    </row>
    <row r="78" spans="1:37" ht="24">
      <c r="A78" s="735" t="s">
        <v>1714</v>
      </c>
      <c r="B78" s="848"/>
      <c r="C78" s="617"/>
      <c r="D78" s="725">
        <f t="shared" si="19"/>
        <v>0</v>
      </c>
      <c r="E78" s="849"/>
      <c r="F78" s="727"/>
      <c r="G78" s="728"/>
      <c r="H78" s="729">
        <f t="shared" si="20"/>
        <v>1.9E-3</v>
      </c>
      <c r="I78" s="818">
        <v>0.04</v>
      </c>
      <c r="J78" s="817">
        <f t="shared" si="21"/>
        <v>0</v>
      </c>
      <c r="K78" s="817">
        <f t="shared" si="22"/>
        <v>0</v>
      </c>
      <c r="L78" s="817">
        <v>0</v>
      </c>
      <c r="M78" s="817">
        <f t="shared" si="23"/>
        <v>0</v>
      </c>
      <c r="N78" s="817">
        <f t="shared" si="23"/>
        <v>0</v>
      </c>
      <c r="Z78" s="564"/>
      <c r="AA78" s="562"/>
      <c r="AG78" s="566"/>
      <c r="AK78" s="562"/>
    </row>
    <row r="79" spans="1:37" ht="15">
      <c r="A79" s="713" t="s">
        <v>1715</v>
      </c>
      <c r="B79" s="714">
        <f>1+E81</f>
        <v>1</v>
      </c>
      <c r="C79" s="716"/>
      <c r="D79" s="716"/>
      <c r="E79" s="717"/>
      <c r="F79" s="718"/>
      <c r="G79" s="712"/>
      <c r="H79" s="712"/>
      <c r="I79" s="712"/>
      <c r="J79" s="711"/>
      <c r="K79" s="711"/>
      <c r="L79" s="711"/>
      <c r="M79" s="711"/>
      <c r="N79" s="711"/>
      <c r="Z79" s="564"/>
      <c r="AA79" s="562"/>
      <c r="AG79" s="566"/>
      <c r="AK79" s="562"/>
    </row>
    <row r="80" spans="1:37" ht="24.75">
      <c r="A80" s="719" t="s">
        <v>1689</v>
      </c>
      <c r="B80" s="720"/>
      <c r="C80" s="720" t="s">
        <v>1691</v>
      </c>
      <c r="D80" s="720" t="s">
        <v>1692</v>
      </c>
      <c r="E80" s="721" t="s">
        <v>1693</v>
      </c>
      <c r="F80" s="722" t="s">
        <v>1709</v>
      </c>
      <c r="G80" s="720" t="s">
        <v>1621</v>
      </c>
      <c r="H80" s="723" t="s">
        <v>1695</v>
      </c>
      <c r="I80" s="720" t="s">
        <v>1696</v>
      </c>
      <c r="J80" s="815" t="s">
        <v>1416</v>
      </c>
      <c r="K80" s="815" t="s">
        <v>1417</v>
      </c>
      <c r="L80" s="815" t="s">
        <v>1418</v>
      </c>
      <c r="M80" s="815" t="s">
        <v>1419</v>
      </c>
      <c r="N80" s="815" t="s">
        <v>1420</v>
      </c>
      <c r="Z80" s="564"/>
      <c r="AA80" s="562"/>
      <c r="AG80" s="566"/>
      <c r="AK80" s="562"/>
    </row>
    <row r="81" spans="1:37" ht="38.25">
      <c r="A81" s="719" t="s">
        <v>1716</v>
      </c>
      <c r="B81" s="730" t="str">
        <f>估价对象房地状况!G15</f>
        <v>估价对象位于XX开发区，园区建设成熟度XX，产业集聚程度XX</v>
      </c>
      <c r="C81" s="617"/>
      <c r="D81" s="725">
        <f t="shared" ref="D81:D88" si="24">SUMIF($J$80:$N$80,C81,J81:N81)</f>
        <v>0</v>
      </c>
      <c r="E81" s="726">
        <f>ROUND(SUM(D81:D88),4)</f>
        <v>0</v>
      </c>
      <c r="F81" s="727" t="str">
        <f>IF(E2="工业",SUMIF(L1:L12,G2,N1:N12),"——")</f>
        <v>——</v>
      </c>
      <c r="G81" s="728"/>
      <c r="H81" s="729" t="str">
        <f t="shared" ref="H81:H88" si="25">IFERROR(ROUNDDOWN($F$81*I81/2,4),"——")</f>
        <v>——</v>
      </c>
      <c r="I81" s="816">
        <v>0.26</v>
      </c>
      <c r="J81" s="817">
        <f t="shared" ref="J81:J88" si="26">K81+$G81</f>
        <v>0</v>
      </c>
      <c r="K81" s="817">
        <f t="shared" ref="K81:K88" si="27">$L81+$G81</f>
        <v>0</v>
      </c>
      <c r="L81" s="817">
        <v>0</v>
      </c>
      <c r="M81" s="817">
        <f t="shared" ref="M81:N88" si="28">L81-$G81</f>
        <v>0</v>
      </c>
      <c r="N81" s="817">
        <f t="shared" si="28"/>
        <v>0</v>
      </c>
      <c r="Z81" s="564"/>
      <c r="AA81" s="562"/>
      <c r="AG81" s="566"/>
      <c r="AK81" s="562"/>
    </row>
    <row r="82" spans="1:37" ht="51">
      <c r="A82" s="719" t="s">
        <v>1698</v>
      </c>
      <c r="B82" s="730" t="str">
        <f>估价对象房地状况!G16</f>
        <v>估价对象周边道路状况、公共交通通达情况、停车便捷程度，综合评价交通便捷度较好</v>
      </c>
      <c r="C82" s="617"/>
      <c r="D82" s="725">
        <f t="shared" si="24"/>
        <v>0</v>
      </c>
      <c r="E82" s="847"/>
      <c r="F82" s="727"/>
      <c r="G82" s="728"/>
      <c r="H82" s="729" t="str">
        <f t="shared" si="25"/>
        <v>——</v>
      </c>
      <c r="I82" s="816">
        <v>0.33</v>
      </c>
      <c r="J82" s="817">
        <f t="shared" si="26"/>
        <v>0</v>
      </c>
      <c r="K82" s="817">
        <f t="shared" si="27"/>
        <v>0</v>
      </c>
      <c r="L82" s="817">
        <v>0</v>
      </c>
      <c r="M82" s="817">
        <f t="shared" si="28"/>
        <v>0</v>
      </c>
      <c r="N82" s="817">
        <f t="shared" si="28"/>
        <v>0</v>
      </c>
      <c r="Z82" s="564"/>
      <c r="AA82" s="562"/>
      <c r="AG82" s="566"/>
      <c r="AK82" s="562"/>
    </row>
    <row r="83" spans="1:37" ht="24">
      <c r="A83" s="719" t="s">
        <v>1699</v>
      </c>
      <c r="B83" s="730">
        <f>估价对象房地状况!G17</f>
        <v>0</v>
      </c>
      <c r="C83" s="617"/>
      <c r="D83" s="725">
        <f t="shared" si="24"/>
        <v>0</v>
      </c>
      <c r="E83" s="847"/>
      <c r="F83" s="727"/>
      <c r="G83" s="728"/>
      <c r="H83" s="729" t="str">
        <f t="shared" si="25"/>
        <v>——</v>
      </c>
      <c r="I83" s="816">
        <v>0.05</v>
      </c>
      <c r="J83" s="817">
        <f t="shared" si="26"/>
        <v>0</v>
      </c>
      <c r="K83" s="817">
        <f t="shared" si="27"/>
        <v>0</v>
      </c>
      <c r="L83" s="817">
        <v>0</v>
      </c>
      <c r="M83" s="817">
        <f t="shared" si="28"/>
        <v>0</v>
      </c>
      <c r="N83" s="817">
        <f t="shared" si="28"/>
        <v>0</v>
      </c>
      <c r="Z83" s="564"/>
      <c r="AA83" s="562"/>
      <c r="AG83" s="566"/>
      <c r="AK83" s="562"/>
    </row>
    <row r="84" spans="1:37" ht="14.25">
      <c r="A84" s="719" t="s">
        <v>1713</v>
      </c>
      <c r="B84" s="730">
        <f>估价对象房地状况!G22</f>
        <v>0</v>
      </c>
      <c r="C84" s="617"/>
      <c r="D84" s="725">
        <f t="shared" si="24"/>
        <v>0</v>
      </c>
      <c r="E84" s="847"/>
      <c r="F84" s="727"/>
      <c r="G84" s="728"/>
      <c r="H84" s="729" t="str">
        <f t="shared" si="25"/>
        <v>——</v>
      </c>
      <c r="I84" s="816">
        <v>0.04</v>
      </c>
      <c r="J84" s="817">
        <f t="shared" si="26"/>
        <v>0</v>
      </c>
      <c r="K84" s="817">
        <f t="shared" si="27"/>
        <v>0</v>
      </c>
      <c r="L84" s="817">
        <v>0</v>
      </c>
      <c r="M84" s="817">
        <f t="shared" si="28"/>
        <v>0</v>
      </c>
      <c r="N84" s="817">
        <f t="shared" si="28"/>
        <v>0</v>
      </c>
      <c r="Z84" s="564"/>
      <c r="AA84" s="562"/>
      <c r="AG84" s="566"/>
      <c r="AK84" s="562"/>
    </row>
    <row r="85" spans="1:37" ht="25.5">
      <c r="A85" s="719" t="s">
        <v>1705</v>
      </c>
      <c r="B85" s="266" t="str">
        <f>估价对象房地状况!G19</f>
        <v>估价对象所在区域公共配套设施齐备情况</v>
      </c>
      <c r="C85" s="617"/>
      <c r="D85" s="725">
        <f t="shared" si="24"/>
        <v>0</v>
      </c>
      <c r="E85" s="847"/>
      <c r="F85" s="727"/>
      <c r="G85" s="728"/>
      <c r="H85" s="729" t="str">
        <f t="shared" si="25"/>
        <v>——</v>
      </c>
      <c r="I85" s="816">
        <v>0.06</v>
      </c>
      <c r="J85" s="817">
        <f t="shared" si="26"/>
        <v>0</v>
      </c>
      <c r="K85" s="817">
        <f t="shared" si="27"/>
        <v>0</v>
      </c>
      <c r="L85" s="817">
        <v>0</v>
      </c>
      <c r="M85" s="817">
        <f t="shared" si="28"/>
        <v>0</v>
      </c>
      <c r="N85" s="817">
        <f t="shared" si="28"/>
        <v>0</v>
      </c>
      <c r="Z85" s="564"/>
      <c r="AA85" s="562"/>
      <c r="AG85" s="566"/>
      <c r="AK85" s="562"/>
    </row>
    <row r="86" spans="1:37" ht="25.5">
      <c r="A86" s="719" t="s">
        <v>1706</v>
      </c>
      <c r="B86" s="266" t="str">
        <f>估价对象房地状况!G20</f>
        <v>估价对象所在区域基础设施水平</v>
      </c>
      <c r="C86" s="617"/>
      <c r="D86" s="725">
        <f t="shared" si="24"/>
        <v>0</v>
      </c>
      <c r="E86" s="847"/>
      <c r="F86" s="727"/>
      <c r="G86" s="728"/>
      <c r="H86" s="729" t="str">
        <f t="shared" si="25"/>
        <v>——</v>
      </c>
      <c r="I86" s="816">
        <v>0.15</v>
      </c>
      <c r="J86" s="817">
        <f t="shared" si="26"/>
        <v>0</v>
      </c>
      <c r="K86" s="817">
        <f t="shared" si="27"/>
        <v>0</v>
      </c>
      <c r="L86" s="817">
        <v>0</v>
      </c>
      <c r="M86" s="817">
        <f t="shared" si="28"/>
        <v>0</v>
      </c>
      <c r="N86" s="817">
        <f t="shared" si="28"/>
        <v>0</v>
      </c>
      <c r="Z86" s="564"/>
      <c r="AA86" s="562"/>
      <c r="AG86" s="566"/>
      <c r="AK86" s="562"/>
    </row>
    <row r="87" spans="1:37" ht="24">
      <c r="A87" s="719" t="s">
        <v>1703</v>
      </c>
      <c r="B87" s="733" t="s">
        <v>1717</v>
      </c>
      <c r="C87" s="617"/>
      <c r="D87" s="725">
        <f t="shared" si="24"/>
        <v>0</v>
      </c>
      <c r="E87" s="847"/>
      <c r="F87" s="727"/>
      <c r="G87" s="728"/>
      <c r="H87" s="729" t="str">
        <f t="shared" si="25"/>
        <v>——</v>
      </c>
      <c r="I87" s="816">
        <v>0.05</v>
      </c>
      <c r="J87" s="817">
        <f t="shared" si="26"/>
        <v>0</v>
      </c>
      <c r="K87" s="817">
        <f t="shared" si="27"/>
        <v>0</v>
      </c>
      <c r="L87" s="817">
        <v>0</v>
      </c>
      <c r="M87" s="817">
        <f t="shared" si="28"/>
        <v>0</v>
      </c>
      <c r="N87" s="817">
        <f t="shared" si="28"/>
        <v>0</v>
      </c>
      <c r="Z87" s="564"/>
      <c r="AA87" s="562"/>
      <c r="AG87" s="566"/>
      <c r="AK87" s="562"/>
    </row>
    <row r="88" spans="1:37" ht="38.25">
      <c r="A88" s="735" t="s">
        <v>1718</v>
      </c>
      <c r="B88" s="850" t="str">
        <f>估价对象房地状况!G18</f>
        <v>该园区内是否有污染型企业，绿化情况，卫生条件，整体环境状况判断</v>
      </c>
      <c r="C88" s="617"/>
      <c r="D88" s="725">
        <f t="shared" si="24"/>
        <v>0</v>
      </c>
      <c r="E88" s="849"/>
      <c r="F88" s="727"/>
      <c r="G88" s="728"/>
      <c r="H88" s="729" t="str">
        <f t="shared" si="25"/>
        <v>——</v>
      </c>
      <c r="I88" s="818">
        <v>0.06</v>
      </c>
      <c r="J88" s="817">
        <f t="shared" si="26"/>
        <v>0</v>
      </c>
      <c r="K88" s="817">
        <f t="shared" si="27"/>
        <v>0</v>
      </c>
      <c r="L88" s="817">
        <v>0</v>
      </c>
      <c r="M88" s="817">
        <f t="shared" si="28"/>
        <v>0</v>
      </c>
      <c r="N88" s="817">
        <f t="shared" si="28"/>
        <v>0</v>
      </c>
      <c r="Z88" s="564"/>
      <c r="AA88" s="562"/>
      <c r="AG88" s="566"/>
      <c r="AK88" s="562"/>
    </row>
    <row r="90" spans="1:37">
      <c r="A90" s="3394" t="s">
        <v>1719</v>
      </c>
      <c r="B90" s="3394"/>
      <c r="C90" s="3394"/>
      <c r="D90" s="3394"/>
      <c r="E90" s="3394"/>
      <c r="F90" s="3394"/>
      <c r="G90" s="3394"/>
      <c r="H90" s="3394"/>
      <c r="I90" s="3394"/>
      <c r="J90" s="3394"/>
      <c r="K90" s="851"/>
      <c r="L90" s="851"/>
      <c r="M90" s="851"/>
      <c r="N90" s="851"/>
    </row>
    <row r="91" spans="1:37">
      <c r="A91" s="3379" t="s">
        <v>1720</v>
      </c>
      <c r="B91" s="3379" t="s">
        <v>1721</v>
      </c>
      <c r="C91" s="686" t="s">
        <v>1722</v>
      </c>
      <c r="D91" s="687"/>
      <c r="E91" s="687"/>
      <c r="F91" s="687"/>
      <c r="G91" s="687"/>
      <c r="H91" s="687"/>
      <c r="I91" s="687"/>
      <c r="J91" s="872"/>
      <c r="K91" s="873"/>
      <c r="L91" s="873"/>
      <c r="M91" s="873"/>
      <c r="N91" s="873"/>
    </row>
    <row r="92" spans="1:37">
      <c r="A92" s="3379"/>
      <c r="B92" s="3379"/>
      <c r="C92" s="685" t="s">
        <v>1579</v>
      </c>
      <c r="D92" s="685" t="s">
        <v>1580</v>
      </c>
      <c r="E92" s="685" t="s">
        <v>1581</v>
      </c>
      <c r="F92" s="685" t="s">
        <v>1582</v>
      </c>
      <c r="G92" s="685" t="s">
        <v>1583</v>
      </c>
      <c r="H92" s="685" t="s">
        <v>1584</v>
      </c>
      <c r="I92" s="685" t="s">
        <v>1585</v>
      </c>
      <c r="J92" s="685" t="s">
        <v>1586</v>
      </c>
      <c r="K92" s="685" t="s">
        <v>1587</v>
      </c>
      <c r="L92" s="685" t="s">
        <v>1588</v>
      </c>
      <c r="M92" s="685" t="s">
        <v>1589</v>
      </c>
      <c r="N92" s="685" t="s">
        <v>1590</v>
      </c>
    </row>
    <row r="93" spans="1:37">
      <c r="A93" s="3380" t="s">
        <v>1723</v>
      </c>
      <c r="B93" s="852">
        <v>1</v>
      </c>
      <c r="C93" s="853">
        <v>1.9361999999999999</v>
      </c>
      <c r="D93" s="853">
        <v>1.9361999999999999</v>
      </c>
      <c r="E93" s="853">
        <v>1.8629</v>
      </c>
      <c r="F93" s="853">
        <v>1.8629</v>
      </c>
      <c r="G93" s="853">
        <v>1.8629</v>
      </c>
      <c r="H93" s="853">
        <v>1.8629</v>
      </c>
      <c r="I93" s="853">
        <v>1.8629</v>
      </c>
      <c r="J93" s="853">
        <v>1.9419999999999999</v>
      </c>
      <c r="K93" s="853">
        <v>1.9419999999999999</v>
      </c>
      <c r="L93" s="853">
        <v>1.9419999999999999</v>
      </c>
      <c r="M93" s="853">
        <v>1.9419999999999999</v>
      </c>
      <c r="N93" s="853">
        <v>1.9419999999999999</v>
      </c>
    </row>
    <row r="94" spans="1:37">
      <c r="A94" s="3381"/>
      <c r="B94" s="852">
        <v>2</v>
      </c>
      <c r="C94" s="853">
        <v>1.4198</v>
      </c>
      <c r="D94" s="853">
        <v>1.4198</v>
      </c>
      <c r="E94" s="853">
        <v>1.3371999999999999</v>
      </c>
      <c r="F94" s="853">
        <v>1.3371999999999999</v>
      </c>
      <c r="G94" s="853">
        <v>1.3371999999999999</v>
      </c>
      <c r="H94" s="853">
        <v>1.3371999999999999</v>
      </c>
      <c r="I94" s="853">
        <v>1.3371999999999999</v>
      </c>
      <c r="J94" s="853">
        <v>1.2799</v>
      </c>
      <c r="K94" s="853">
        <v>1.2799</v>
      </c>
      <c r="L94" s="853">
        <v>1.2799</v>
      </c>
      <c r="M94" s="853">
        <v>1.2799</v>
      </c>
      <c r="N94" s="853">
        <v>1.2799</v>
      </c>
    </row>
    <row r="95" spans="1:37">
      <c r="A95" s="3381"/>
      <c r="B95" s="852">
        <v>3</v>
      </c>
      <c r="C95" s="853">
        <v>1.1594</v>
      </c>
      <c r="D95" s="853">
        <v>1.1594</v>
      </c>
      <c r="E95" s="853">
        <v>1.0788</v>
      </c>
      <c r="F95" s="853">
        <v>1.0788</v>
      </c>
      <c r="G95" s="853">
        <v>1.0788</v>
      </c>
      <c r="H95" s="853">
        <v>1.0788</v>
      </c>
      <c r="I95" s="853">
        <v>1.0788</v>
      </c>
      <c r="J95" s="853">
        <v>1.0072000000000001</v>
      </c>
      <c r="K95" s="853">
        <v>1.0072000000000001</v>
      </c>
      <c r="L95" s="853">
        <v>1.0072000000000001</v>
      </c>
      <c r="M95" s="853">
        <v>1.0072000000000001</v>
      </c>
      <c r="N95" s="853">
        <v>1.0072000000000001</v>
      </c>
    </row>
    <row r="96" spans="1:37">
      <c r="A96" s="3381"/>
      <c r="B96" s="852">
        <v>4</v>
      </c>
      <c r="C96" s="853">
        <v>0.96220000000000006</v>
      </c>
      <c r="D96" s="853">
        <v>0.96220000000000006</v>
      </c>
      <c r="E96" s="853">
        <v>0.86560000000000004</v>
      </c>
      <c r="F96" s="853">
        <v>0.86560000000000004</v>
      </c>
      <c r="G96" s="853">
        <v>0.86560000000000004</v>
      </c>
      <c r="H96" s="853">
        <v>0.86560000000000004</v>
      </c>
      <c r="I96" s="853">
        <v>0.86560000000000004</v>
      </c>
      <c r="J96" s="853">
        <v>0.75249999999999995</v>
      </c>
      <c r="K96" s="853">
        <v>0.75249999999999995</v>
      </c>
      <c r="L96" s="853">
        <v>0.75249999999999995</v>
      </c>
      <c r="M96" s="853">
        <v>0.75249999999999995</v>
      </c>
      <c r="N96" s="853">
        <v>0.75249999999999995</v>
      </c>
    </row>
    <row r="97" spans="1:14">
      <c r="A97" s="3381"/>
      <c r="B97" s="852">
        <v>5</v>
      </c>
      <c r="C97" s="853">
        <v>0.8417</v>
      </c>
      <c r="D97" s="853">
        <v>0.8417</v>
      </c>
      <c r="E97" s="853">
        <v>0.73709999999999998</v>
      </c>
      <c r="F97" s="853">
        <v>0.73709999999999998</v>
      </c>
      <c r="G97" s="853">
        <v>0.73709999999999998</v>
      </c>
      <c r="H97" s="853">
        <v>0.73709999999999998</v>
      </c>
      <c r="I97" s="853">
        <v>0.73709999999999998</v>
      </c>
      <c r="J97" s="853">
        <v>0.56589999999999996</v>
      </c>
      <c r="K97" s="853">
        <v>0.56589999999999996</v>
      </c>
      <c r="L97" s="853">
        <v>0.56589999999999996</v>
      </c>
      <c r="M97" s="853">
        <v>0.56589999999999996</v>
      </c>
      <c r="N97" s="853">
        <v>0.56589999999999996</v>
      </c>
    </row>
    <row r="98" spans="1:14">
      <c r="A98" s="3381"/>
      <c r="B98" s="852">
        <v>6</v>
      </c>
      <c r="C98" s="853">
        <v>0.76080000000000003</v>
      </c>
      <c r="D98" s="853">
        <v>0.76080000000000003</v>
      </c>
      <c r="E98" s="853">
        <v>0.6482</v>
      </c>
      <c r="F98" s="853">
        <v>0.6482</v>
      </c>
      <c r="G98" s="853">
        <v>0.6482</v>
      </c>
      <c r="H98" s="853">
        <v>0.6482</v>
      </c>
      <c r="I98" s="853">
        <v>0.6482</v>
      </c>
      <c r="J98" s="853">
        <v>0.45250000000000001</v>
      </c>
      <c r="K98" s="853">
        <v>0.45250000000000001</v>
      </c>
      <c r="L98" s="853">
        <v>0.45250000000000001</v>
      </c>
      <c r="M98" s="853">
        <v>0.45250000000000001</v>
      </c>
      <c r="N98" s="853">
        <v>0.45250000000000001</v>
      </c>
    </row>
    <row r="99" spans="1:14">
      <c r="A99" s="3381"/>
      <c r="B99" s="852" t="s">
        <v>1596</v>
      </c>
      <c r="C99" s="854">
        <f>$I$3</f>
        <v>0</v>
      </c>
      <c r="D99" s="854">
        <f t="shared" ref="D99:N99" si="29">$I$3</f>
        <v>0</v>
      </c>
      <c r="E99" s="854">
        <f t="shared" si="29"/>
        <v>0</v>
      </c>
      <c r="F99" s="854">
        <f t="shared" si="29"/>
        <v>0</v>
      </c>
      <c r="G99" s="854">
        <f t="shared" si="29"/>
        <v>0</v>
      </c>
      <c r="H99" s="854">
        <f t="shared" si="29"/>
        <v>0</v>
      </c>
      <c r="I99" s="854">
        <f t="shared" si="29"/>
        <v>0</v>
      </c>
      <c r="J99" s="854">
        <f t="shared" si="29"/>
        <v>0</v>
      </c>
      <c r="K99" s="854">
        <f t="shared" si="29"/>
        <v>0</v>
      </c>
      <c r="L99" s="854">
        <f t="shared" si="29"/>
        <v>0</v>
      </c>
      <c r="M99" s="854">
        <f t="shared" si="29"/>
        <v>0</v>
      </c>
      <c r="N99" s="854">
        <f t="shared" si="29"/>
        <v>0</v>
      </c>
    </row>
    <row r="100" spans="1:14">
      <c r="A100" s="3382"/>
      <c r="B100" s="852">
        <v>7</v>
      </c>
      <c r="C100" s="855">
        <f>(-0.163*(C99^2)-0.59*C99+7617)*(10^(-4))</f>
        <v>0.76170000000000004</v>
      </c>
      <c r="D100" s="855">
        <f>(-0.163*(D99^2)-0.59*D99+7617)*(10^(-4))</f>
        <v>0.76170000000000004</v>
      </c>
      <c r="E100" s="855">
        <f>(-0.161*(E99^2)-7.509*E99+6533)*(10^(-4))</f>
        <v>0.65329999999999999</v>
      </c>
      <c r="F100" s="855">
        <f>(-0.161*(F99^2)-7.509*F99+6533)*(10^(-4))</f>
        <v>0.65329999999999999</v>
      </c>
      <c r="G100" s="855">
        <f>(-0.161*(G99^2)-7.509*G99+6533)*(10^(-4))</f>
        <v>0.65329999999999999</v>
      </c>
      <c r="H100" s="855">
        <f>(-0.161*(H99^2)-7.509*H99+6533)*(10^(-4))</f>
        <v>0.65329999999999999</v>
      </c>
      <c r="I100" s="855">
        <f>(-0.161*(I99^2)-7.509*I99+6533)*(10^(-4))</f>
        <v>0.65329999999999999</v>
      </c>
      <c r="J100" s="855">
        <f>(-0.214*(J99^2)-21.991*J99+4665)*(10^(-4))</f>
        <v>0.46650000000000003</v>
      </c>
      <c r="K100" s="855">
        <f>(-0.214*(K99^2)-21.991*K99+4665)*(10^(-4))</f>
        <v>0.46650000000000003</v>
      </c>
      <c r="L100" s="855">
        <f>(-0.214*(L99^2)-21.991*L99+4665)*(10^(-4))</f>
        <v>0.46650000000000003</v>
      </c>
      <c r="M100" s="855">
        <f>(-0.214*(M99^2)-21.991*M99+4665)*(10^(-4))</f>
        <v>0.46650000000000003</v>
      </c>
      <c r="N100" s="855">
        <f>(-0.214*(N99^2)-21.991*N99+4665)*(10^(-4))</f>
        <v>0.46650000000000003</v>
      </c>
    </row>
    <row r="101" spans="1:14">
      <c r="A101" s="3380" t="s">
        <v>1724</v>
      </c>
      <c r="B101" s="856" t="s">
        <v>1725</v>
      </c>
      <c r="C101" s="857">
        <f>$G$3</f>
        <v>3.22</v>
      </c>
      <c r="D101" s="857">
        <f t="shared" ref="D101:N101" si="30">$G$3</f>
        <v>3.22</v>
      </c>
      <c r="E101" s="857">
        <f t="shared" si="30"/>
        <v>3.22</v>
      </c>
      <c r="F101" s="857">
        <f t="shared" si="30"/>
        <v>3.22</v>
      </c>
      <c r="G101" s="857">
        <f t="shared" si="30"/>
        <v>3.22</v>
      </c>
      <c r="H101" s="857">
        <f t="shared" si="30"/>
        <v>3.22</v>
      </c>
      <c r="I101" s="857">
        <f t="shared" si="30"/>
        <v>3.22</v>
      </c>
      <c r="J101" s="857">
        <f t="shared" si="30"/>
        <v>3.22</v>
      </c>
      <c r="K101" s="857">
        <f t="shared" si="30"/>
        <v>3.22</v>
      </c>
      <c r="L101" s="857">
        <f t="shared" si="30"/>
        <v>3.22</v>
      </c>
      <c r="M101" s="857">
        <f t="shared" si="30"/>
        <v>3.22</v>
      </c>
      <c r="N101" s="857">
        <f t="shared" si="30"/>
        <v>3.22</v>
      </c>
    </row>
    <row r="102" spans="1:14">
      <c r="A102" s="3381"/>
      <c r="B102" s="852">
        <v>1</v>
      </c>
      <c r="C102" s="853">
        <f>1.9362/C101</f>
        <v>0.60130434782608688</v>
      </c>
      <c r="D102" s="853">
        <f>1.9362/D101</f>
        <v>0.60130434782608688</v>
      </c>
      <c r="E102" s="853">
        <f>1.8629/E101</f>
        <v>0.57854037267080738</v>
      </c>
      <c r="F102" s="853">
        <f>1.8629/F101</f>
        <v>0.57854037267080738</v>
      </c>
      <c r="G102" s="853">
        <f>1.8629/G101</f>
        <v>0.57854037267080738</v>
      </c>
      <c r="H102" s="853">
        <f>1.8629/H101</f>
        <v>0.57854037267080738</v>
      </c>
      <c r="I102" s="853">
        <f>1.8629/I101</f>
        <v>0.57854037267080738</v>
      </c>
      <c r="J102" s="853">
        <f>1.942/J101</f>
        <v>0.60310559006211173</v>
      </c>
      <c r="K102" s="853">
        <f>1.942/K101</f>
        <v>0.60310559006211173</v>
      </c>
      <c r="L102" s="853">
        <f>1.942/L101</f>
        <v>0.60310559006211173</v>
      </c>
      <c r="M102" s="853">
        <f>1.942/M101</f>
        <v>0.60310559006211173</v>
      </c>
      <c r="N102" s="853">
        <f>1.942/N101</f>
        <v>0.60310559006211173</v>
      </c>
    </row>
    <row r="103" spans="1:14">
      <c r="A103" s="3381"/>
      <c r="B103" s="852">
        <v>2</v>
      </c>
      <c r="C103" s="853">
        <f>1.4198/C101</f>
        <v>0.44093167701863351</v>
      </c>
      <c r="D103" s="853">
        <f>1.4198/D101</f>
        <v>0.44093167701863351</v>
      </c>
      <c r="E103" s="853">
        <f>1.3372/E101</f>
        <v>0.41527950310559003</v>
      </c>
      <c r="F103" s="853">
        <f>1.3372/F101</f>
        <v>0.41527950310559003</v>
      </c>
      <c r="G103" s="853">
        <f>1.3372/G101</f>
        <v>0.41527950310559003</v>
      </c>
      <c r="H103" s="853">
        <f>1.3372/H101</f>
        <v>0.41527950310559003</v>
      </c>
      <c r="I103" s="853">
        <f>1.3372/I101</f>
        <v>0.41527950310559003</v>
      </c>
      <c r="J103" s="853">
        <f>1.2799/J101</f>
        <v>0.39748447204968945</v>
      </c>
      <c r="K103" s="853">
        <f>1.2799/K101</f>
        <v>0.39748447204968945</v>
      </c>
      <c r="L103" s="853">
        <f>1.2799/L101</f>
        <v>0.39748447204968945</v>
      </c>
      <c r="M103" s="853">
        <f>1.2799/M101</f>
        <v>0.39748447204968945</v>
      </c>
      <c r="N103" s="853">
        <f>1.2799/N101</f>
        <v>0.39748447204968945</v>
      </c>
    </row>
    <row r="104" spans="1:14">
      <c r="A104" s="3381"/>
      <c r="B104" s="852">
        <v>3</v>
      </c>
      <c r="C104" s="853">
        <f>1.1594/C101</f>
        <v>0.3600621118012422</v>
      </c>
      <c r="D104" s="853">
        <f>1.1594/D101</f>
        <v>0.3600621118012422</v>
      </c>
      <c r="E104" s="853">
        <f>1.0788/E101</f>
        <v>0.3350310559006211</v>
      </c>
      <c r="F104" s="853">
        <f>1.0788/F101</f>
        <v>0.3350310559006211</v>
      </c>
      <c r="G104" s="853">
        <f>1.0788/G101</f>
        <v>0.3350310559006211</v>
      </c>
      <c r="H104" s="853">
        <f>1.0788/H101</f>
        <v>0.3350310559006211</v>
      </c>
      <c r="I104" s="853">
        <f>1.0788/I101</f>
        <v>0.3350310559006211</v>
      </c>
      <c r="J104" s="853">
        <f>1.0072/J101</f>
        <v>0.31279503105590062</v>
      </c>
      <c r="K104" s="853">
        <f>1.0072/K101</f>
        <v>0.31279503105590062</v>
      </c>
      <c r="L104" s="853">
        <f>1.0072/L101</f>
        <v>0.31279503105590062</v>
      </c>
      <c r="M104" s="853">
        <f>1.0072/M101</f>
        <v>0.31279503105590062</v>
      </c>
      <c r="N104" s="853">
        <f>1.0072/N101</f>
        <v>0.31279503105590062</v>
      </c>
    </row>
    <row r="105" spans="1:14">
      <c r="A105" s="3381"/>
      <c r="B105" s="852">
        <v>4</v>
      </c>
      <c r="C105" s="853">
        <f>0.9622/C101</f>
        <v>0.29881987577639751</v>
      </c>
      <c r="D105" s="853">
        <f>0.9622/D101</f>
        <v>0.29881987577639751</v>
      </c>
      <c r="E105" s="853">
        <f>0.8656/E101</f>
        <v>0.26881987577639749</v>
      </c>
      <c r="F105" s="853">
        <f>0.8656/F101</f>
        <v>0.26881987577639749</v>
      </c>
      <c r="G105" s="853">
        <f>0.8656/G101</f>
        <v>0.26881987577639749</v>
      </c>
      <c r="H105" s="853">
        <f>0.8656/H101</f>
        <v>0.26881987577639749</v>
      </c>
      <c r="I105" s="853">
        <f>0.8656/I101</f>
        <v>0.26881987577639749</v>
      </c>
      <c r="J105" s="853">
        <f>0.7525/J101</f>
        <v>0.23369565217391303</v>
      </c>
      <c r="K105" s="853">
        <f>0.7525/K101</f>
        <v>0.23369565217391303</v>
      </c>
      <c r="L105" s="853">
        <f>0.7525/L101</f>
        <v>0.23369565217391303</v>
      </c>
      <c r="M105" s="853">
        <f>0.7525/M101</f>
        <v>0.23369565217391303</v>
      </c>
      <c r="N105" s="853">
        <f>0.7525/N101</f>
        <v>0.23369565217391303</v>
      </c>
    </row>
    <row r="106" spans="1:14">
      <c r="A106" s="3381"/>
      <c r="B106" s="852">
        <v>5</v>
      </c>
      <c r="C106" s="853">
        <f>0.8417/C101</f>
        <v>0.26139751552795032</v>
      </c>
      <c r="D106" s="853">
        <f>0.8417/D101</f>
        <v>0.26139751552795032</v>
      </c>
      <c r="E106" s="853">
        <f>0.7371/E101</f>
        <v>0.22891304347826086</v>
      </c>
      <c r="F106" s="853">
        <f>0.7371/F101</f>
        <v>0.22891304347826086</v>
      </c>
      <c r="G106" s="853">
        <f>0.7371/G101</f>
        <v>0.22891304347826086</v>
      </c>
      <c r="H106" s="853">
        <f>0.7371/H101</f>
        <v>0.22891304347826086</v>
      </c>
      <c r="I106" s="853">
        <f>0.7371/I101</f>
        <v>0.22891304347826086</v>
      </c>
      <c r="J106" s="853">
        <f>0.5659/J101</f>
        <v>0.17574534161490682</v>
      </c>
      <c r="K106" s="853">
        <f>0.5659/K101</f>
        <v>0.17574534161490682</v>
      </c>
      <c r="L106" s="853">
        <f>0.5659/L101</f>
        <v>0.17574534161490682</v>
      </c>
      <c r="M106" s="853">
        <f>0.5659/M101</f>
        <v>0.17574534161490682</v>
      </c>
      <c r="N106" s="853">
        <f>0.5659/N101</f>
        <v>0.17574534161490682</v>
      </c>
    </row>
    <row r="107" spans="1:14">
      <c r="A107" s="3381"/>
      <c r="B107" s="852">
        <v>6</v>
      </c>
      <c r="C107" s="853">
        <f>0.7608/C101</f>
        <v>0.23627329192546584</v>
      </c>
      <c r="D107" s="853">
        <f>0.7608/D101</f>
        <v>0.23627329192546584</v>
      </c>
      <c r="E107" s="853">
        <f>0.6482/E101</f>
        <v>0.20130434782608694</v>
      </c>
      <c r="F107" s="853">
        <f>0.6482/F101</f>
        <v>0.20130434782608694</v>
      </c>
      <c r="G107" s="853">
        <f>0.6482/G101</f>
        <v>0.20130434782608694</v>
      </c>
      <c r="H107" s="853">
        <f>0.6482/H101</f>
        <v>0.20130434782608694</v>
      </c>
      <c r="I107" s="853">
        <f>0.6482/I101</f>
        <v>0.20130434782608694</v>
      </c>
      <c r="J107" s="853">
        <f>0.4525/J101</f>
        <v>0.14052795031055901</v>
      </c>
      <c r="K107" s="853">
        <f>0.4525/K101</f>
        <v>0.14052795031055901</v>
      </c>
      <c r="L107" s="853">
        <f>0.4525/L101</f>
        <v>0.14052795031055901</v>
      </c>
      <c r="M107" s="853">
        <f>0.4525/M101</f>
        <v>0.14052795031055901</v>
      </c>
      <c r="N107" s="853">
        <f>0.4525/N101</f>
        <v>0.14052795031055901</v>
      </c>
    </row>
    <row r="108" spans="1:14">
      <c r="A108" s="3381"/>
      <c r="B108" s="3383" t="s">
        <v>1610</v>
      </c>
      <c r="C108" s="854">
        <f>C99</f>
        <v>0</v>
      </c>
      <c r="D108" s="854">
        <f t="shared" ref="D108:N108" si="31">D99</f>
        <v>0</v>
      </c>
      <c r="E108" s="854">
        <f t="shared" si="31"/>
        <v>0</v>
      </c>
      <c r="F108" s="854">
        <f t="shared" si="31"/>
        <v>0</v>
      </c>
      <c r="G108" s="854">
        <f t="shared" si="31"/>
        <v>0</v>
      </c>
      <c r="H108" s="854">
        <f t="shared" si="31"/>
        <v>0</v>
      </c>
      <c r="I108" s="854">
        <f t="shared" si="31"/>
        <v>0</v>
      </c>
      <c r="J108" s="854">
        <f t="shared" si="31"/>
        <v>0</v>
      </c>
      <c r="K108" s="854">
        <f t="shared" si="31"/>
        <v>0</v>
      </c>
      <c r="L108" s="854">
        <f t="shared" si="31"/>
        <v>0</v>
      </c>
      <c r="M108" s="854">
        <f t="shared" si="31"/>
        <v>0</v>
      </c>
      <c r="N108" s="854">
        <f t="shared" si="31"/>
        <v>0</v>
      </c>
    </row>
    <row r="109" spans="1:14">
      <c r="A109" s="3382"/>
      <c r="B109" s="3384"/>
      <c r="C109" s="855">
        <f>(-0.163*(C108^2)-0.59*C108+7617)*(10^(-4))/C101</f>
        <v>0.23655279503105589</v>
      </c>
      <c r="D109" s="855">
        <f>(-0.163*(D108^2)-0.59*D108+7617)*(10^(-4))/D101</f>
        <v>0.23655279503105589</v>
      </c>
      <c r="E109" s="855">
        <f>(-0.161*(E108^2)-7.509*E108+6533)*(10^(-4))/E101</f>
        <v>0.20288819875776395</v>
      </c>
      <c r="F109" s="855">
        <f>(-0.161*(F108^2)-7.509*F108+6533)*(10^(-4))/F101</f>
        <v>0.20288819875776395</v>
      </c>
      <c r="G109" s="855">
        <f>(-0.161*(G108^2)-7.509*G108+6533)*(10^(-4))/G101</f>
        <v>0.20288819875776395</v>
      </c>
      <c r="H109" s="855">
        <f>(-0.161*(H108^2)-7.509*H108+6533)*(10^(-4))/H101</f>
        <v>0.20288819875776395</v>
      </c>
      <c r="I109" s="855">
        <f>(-0.161*(I108^2)-7.509*I108+6533)*(10^(-4))/I101</f>
        <v>0.20288819875776395</v>
      </c>
      <c r="J109" s="855">
        <f>(-0.214*(J108^2)-21.991*J108+4665)*(10^(-4))/J101</f>
        <v>0.14487577639751553</v>
      </c>
      <c r="K109" s="855">
        <f>(-0.214*(K108^2)-21.991*K108+4665)*(10^(-4))/K101</f>
        <v>0.14487577639751553</v>
      </c>
      <c r="L109" s="855">
        <f>(-0.214*(L108^2)-21.991*L108+4665)*(10^(-4))/L101</f>
        <v>0.14487577639751553</v>
      </c>
      <c r="M109" s="855">
        <f>(-0.214*(M108^2)-21.991*M108+4665)*(10^(-4))/M101</f>
        <v>0.14487577639751553</v>
      </c>
      <c r="N109" s="855">
        <f>(-0.214*(N108^2)-21.991*N108+4665)*(10^(-4))/N101</f>
        <v>0.14487577639751553</v>
      </c>
    </row>
    <row r="110" spans="1:14">
      <c r="A110" s="3370" t="s">
        <v>1726</v>
      </c>
      <c r="B110" s="3370"/>
      <c r="C110" s="3370"/>
      <c r="D110" s="3370"/>
      <c r="E110" s="3370"/>
      <c r="F110" s="3370"/>
      <c r="G110" s="3370"/>
      <c r="H110" s="3370"/>
      <c r="I110" s="3370"/>
      <c r="J110" s="3370"/>
      <c r="K110" s="858"/>
      <c r="L110" s="858"/>
      <c r="M110" s="858"/>
      <c r="N110" s="858"/>
    </row>
    <row r="113" spans="1:13" ht="24.75">
      <c r="A113" s="859" t="s">
        <v>1727</v>
      </c>
      <c r="B113" s="860">
        <f>G3</f>
        <v>3.22</v>
      </c>
      <c r="C113" s="861" t="s">
        <v>1728</v>
      </c>
      <c r="D113" s="862">
        <f>SUMPRODUCT((A115:A118=F113)*(B114:M114=H113)*B115:M118)</f>
        <v>0.84899999999999998</v>
      </c>
      <c r="E113" s="572" t="s">
        <v>1553</v>
      </c>
      <c r="F113" s="863" t="str">
        <f>E2</f>
        <v>住宅</v>
      </c>
      <c r="G113" s="572" t="s">
        <v>1554</v>
      </c>
      <c r="H113" s="863" t="str">
        <f>G2</f>
        <v>四级</v>
      </c>
      <c r="I113" s="572"/>
      <c r="J113" s="874"/>
      <c r="K113" s="874"/>
      <c r="L113" s="874"/>
      <c r="M113" s="874"/>
    </row>
    <row r="114" spans="1:13">
      <c r="A114" s="864"/>
      <c r="B114" s="865" t="s">
        <v>1729</v>
      </c>
      <c r="C114" s="865" t="s">
        <v>1730</v>
      </c>
      <c r="D114" s="865" t="s">
        <v>1731</v>
      </c>
      <c r="E114" s="866" t="s">
        <v>1732</v>
      </c>
      <c r="F114" s="866" t="s">
        <v>1733</v>
      </c>
      <c r="G114" s="866" t="s">
        <v>1734</v>
      </c>
      <c r="H114" s="867" t="s">
        <v>1735</v>
      </c>
      <c r="I114" s="867" t="s">
        <v>1736</v>
      </c>
      <c r="J114" s="875" t="s">
        <v>1737</v>
      </c>
      <c r="K114" s="875" t="s">
        <v>1738</v>
      </c>
      <c r="L114" s="875" t="s">
        <v>1739</v>
      </c>
      <c r="M114" s="876" t="s">
        <v>1740</v>
      </c>
    </row>
    <row r="115" spans="1:13">
      <c r="A115" s="868" t="s">
        <v>1660</v>
      </c>
      <c r="B115" s="869">
        <f>ROUND(0.9335-0.0094*B113,4)</f>
        <v>0.9032</v>
      </c>
      <c r="C115" s="869">
        <f>B115</f>
        <v>0.9032</v>
      </c>
      <c r="D115" s="869">
        <f>ROUND(0.8331-0.0109*B113,4)</f>
        <v>0.79800000000000004</v>
      </c>
      <c r="E115" s="869">
        <f>D115</f>
        <v>0.79800000000000004</v>
      </c>
      <c r="F115" s="869">
        <f>E115</f>
        <v>0.79800000000000004</v>
      </c>
      <c r="G115" s="869">
        <f>F115</f>
        <v>0.79800000000000004</v>
      </c>
      <c r="H115" s="869">
        <f>G115</f>
        <v>0.79800000000000004</v>
      </c>
      <c r="I115" s="869">
        <f>ROUND(0.689-0.0155*B113,4)</f>
        <v>0.6391</v>
      </c>
      <c r="J115" s="869">
        <f t="shared" ref="J115:M118" si="32">I115</f>
        <v>0.6391</v>
      </c>
      <c r="K115" s="869">
        <f t="shared" si="32"/>
        <v>0.6391</v>
      </c>
      <c r="L115" s="869">
        <f t="shared" si="32"/>
        <v>0.6391</v>
      </c>
      <c r="M115" s="877">
        <f t="shared" si="32"/>
        <v>0.6391</v>
      </c>
    </row>
    <row r="116" spans="1:13">
      <c r="A116" s="868" t="s">
        <v>1661</v>
      </c>
      <c r="B116" s="869">
        <f>ROUND(0.949-0.012*B113,4)</f>
        <v>0.91039999999999999</v>
      </c>
      <c r="C116" s="869">
        <f>B116</f>
        <v>0.91039999999999999</v>
      </c>
      <c r="D116" s="869">
        <f>ROUND(0.8567-0.013*B113,4)</f>
        <v>0.81479999999999997</v>
      </c>
      <c r="E116" s="869">
        <f t="shared" ref="E116:H117" si="33">D116</f>
        <v>0.81479999999999997</v>
      </c>
      <c r="F116" s="869">
        <f t="shared" si="33"/>
        <v>0.81479999999999997</v>
      </c>
      <c r="G116" s="869">
        <f t="shared" si="33"/>
        <v>0.81479999999999997</v>
      </c>
      <c r="H116" s="869">
        <f t="shared" si="33"/>
        <v>0.81479999999999997</v>
      </c>
      <c r="I116" s="869">
        <f>ROUND(0.7694-0.014*B113,4)</f>
        <v>0.72430000000000005</v>
      </c>
      <c r="J116" s="869">
        <f t="shared" si="32"/>
        <v>0.72430000000000005</v>
      </c>
      <c r="K116" s="869">
        <f t="shared" si="32"/>
        <v>0.72430000000000005</v>
      </c>
      <c r="L116" s="869">
        <f t="shared" si="32"/>
        <v>0.72430000000000005</v>
      </c>
      <c r="M116" s="877">
        <f t="shared" si="32"/>
        <v>0.72430000000000005</v>
      </c>
    </row>
    <row r="117" spans="1:13">
      <c r="A117" s="868" t="s">
        <v>1662</v>
      </c>
      <c r="B117" s="869">
        <f>ROUND(0.8808-0.006*B113,4)</f>
        <v>0.86150000000000004</v>
      </c>
      <c r="C117" s="869">
        <f>B117</f>
        <v>0.86150000000000004</v>
      </c>
      <c r="D117" s="869">
        <f>ROUND(0.8748-0.008*B113,4)</f>
        <v>0.84899999999999998</v>
      </c>
      <c r="E117" s="869">
        <f t="shared" si="33"/>
        <v>0.84899999999999998</v>
      </c>
      <c r="F117" s="869">
        <f t="shared" si="33"/>
        <v>0.84899999999999998</v>
      </c>
      <c r="G117" s="869">
        <f t="shared" si="33"/>
        <v>0.84899999999999998</v>
      </c>
      <c r="H117" s="869">
        <f t="shared" si="33"/>
        <v>0.84899999999999998</v>
      </c>
      <c r="I117" s="869">
        <f>ROUND(0.7412-0.0095*B113,4)</f>
        <v>0.71060000000000001</v>
      </c>
      <c r="J117" s="869">
        <f t="shared" si="32"/>
        <v>0.71060000000000001</v>
      </c>
      <c r="K117" s="869">
        <f t="shared" si="32"/>
        <v>0.71060000000000001</v>
      </c>
      <c r="L117" s="869">
        <f t="shared" si="32"/>
        <v>0.71060000000000001</v>
      </c>
      <c r="M117" s="877">
        <f t="shared" si="32"/>
        <v>0.71060000000000001</v>
      </c>
    </row>
    <row r="118" spans="1:13">
      <c r="A118" s="870" t="s">
        <v>1663</v>
      </c>
      <c r="B118" s="871">
        <f>ROUND(0.7275-0.01*B113,4)</f>
        <v>0.69530000000000003</v>
      </c>
      <c r="C118" s="871">
        <f>B118</f>
        <v>0.69530000000000003</v>
      </c>
      <c r="D118" s="871">
        <f>ROUND(0.7043-0.012*B113,4)</f>
        <v>0.66569999999999996</v>
      </c>
      <c r="E118" s="871">
        <f>D118</f>
        <v>0.66569999999999996</v>
      </c>
      <c r="F118" s="871">
        <f>E118</f>
        <v>0.66569999999999996</v>
      </c>
      <c r="G118" s="871">
        <f>ROUND(0.6299-0.0122*B113,4)</f>
        <v>0.59060000000000001</v>
      </c>
      <c r="H118" s="871">
        <f>G118</f>
        <v>0.59060000000000001</v>
      </c>
      <c r="I118" s="871">
        <f>ROUND(0.5667-0.0136*B113,4)</f>
        <v>0.52290000000000003</v>
      </c>
      <c r="J118" s="871">
        <f t="shared" si="32"/>
        <v>0.52290000000000003</v>
      </c>
      <c r="K118" s="871">
        <f t="shared" si="32"/>
        <v>0.52290000000000003</v>
      </c>
      <c r="L118" s="871">
        <f t="shared" si="32"/>
        <v>0.52290000000000003</v>
      </c>
      <c r="M118" s="878">
        <f t="shared" si="32"/>
        <v>0.52290000000000003</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9" xr:uid="{00000000-0002-0000-2200-000000000000}">
      <formula1>"地价指数,季度增幅（自定义）,按公示增长率计算"</formula1>
    </dataValidation>
    <dataValidation type="list" allowBlank="1" showInputMessage="1" showErrorMessage="1" sqref="E2" xr:uid="{00000000-0002-0000-2200-000001000000}">
      <formula1>"商业,办公,住宅,工业"</formula1>
    </dataValidation>
    <dataValidation type="list" allowBlank="1" showInputMessage="1" showErrorMessage="1" sqref="F3" xr:uid="{00000000-0002-0000-2200-000002000000}">
      <formula1>"宗地容积率,估价对象容积率,自定义容积率"</formula1>
    </dataValidation>
    <dataValidation type="list" allowBlank="1" showInputMessage="1" showErrorMessage="1" sqref="E3" xr:uid="{00000000-0002-0000-2200-000003000000}">
      <formula1>二级分类</formula1>
    </dataValidation>
    <dataValidation type="list" allowBlank="1" showInputMessage="1" showErrorMessage="1" sqref="C8" xr:uid="{00000000-0002-0000-2200-000004000000}">
      <formula1>商业街名称</formula1>
    </dataValidation>
    <dataValidation type="list" allowBlank="1" showInputMessage="1" showErrorMessage="1" sqref="C14:E14" xr:uid="{00000000-0002-0000-2200-000005000000}">
      <formula1>"有,无"</formula1>
    </dataValidation>
    <dataValidation type="list" allowBlank="1" showInputMessage="1" showErrorMessage="1" sqref="F14" xr:uid="{00000000-0002-0000-2200-000006000000}">
      <formula1>"500米范围内,500-1000米,1000米以外"</formula1>
    </dataValidation>
    <dataValidation type="list" allowBlank="1" showInputMessage="1" showErrorMessage="1" sqref="H16:O16" xr:uid="{00000000-0002-0000-2200-000007000000}">
      <formula1>七通一平</formula1>
    </dataValidation>
    <dataValidation type="list" allowBlank="1" showInputMessage="1" showErrorMessage="1" sqref="F17" xr:uid="{00000000-0002-0000-2200-000008000000}">
      <formula1>"与级别开发程度一致,与级别开发程度不一致"</formula1>
    </dataValidation>
    <dataValidation type="list" allowBlank="1" showInputMessage="1" showErrorMessage="1" sqref="B21" xr:uid="{00000000-0002-0000-2200-000009000000}">
      <formula1>"容积率修正,楼层修正"</formula1>
    </dataValidation>
    <dataValidation type="list" allowBlank="1" showInputMessage="1" showErrorMessage="1" sqref="C48:C56 C59:C67 C70:C78 C81:C88" xr:uid="{00000000-0002-0000-22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XFC250"/>
  <sheetViews>
    <sheetView topLeftCell="B1" workbookViewId="0">
      <selection activeCell="N251" sqref="N251"/>
    </sheetView>
  </sheetViews>
  <sheetFormatPr defaultRowHeight="13.5"/>
  <cols>
    <col min="1" max="1" width="29.125" style="556" customWidth="1"/>
    <col min="2" max="17" width="10.5" style="556" customWidth="1"/>
    <col min="18" max="18" width="5.25" style="556" customWidth="1"/>
    <col min="19" max="20" width="6.5" style="556" customWidth="1"/>
    <col min="21" max="16383" width="10.5" style="556" customWidth="1"/>
  </cols>
  <sheetData>
    <row r="1" spans="1:22" s="556" customFormat="1" ht="12.75">
      <c r="A1" s="556" t="s">
        <v>1741</v>
      </c>
      <c r="B1" s="556" t="s">
        <v>1742</v>
      </c>
      <c r="C1" s="556" t="s">
        <v>1743</v>
      </c>
      <c r="D1" s="556" t="s">
        <v>1744</v>
      </c>
      <c r="E1" s="556" t="s">
        <v>1745</v>
      </c>
      <c r="F1" s="556" t="s">
        <v>1746</v>
      </c>
      <c r="G1" s="556" t="s">
        <v>1747</v>
      </c>
      <c r="H1" s="556" t="s">
        <v>1748</v>
      </c>
      <c r="I1" s="556" t="s">
        <v>1749</v>
      </c>
      <c r="J1" s="556" t="s">
        <v>1750</v>
      </c>
      <c r="K1" s="556" t="s">
        <v>1751</v>
      </c>
      <c r="L1" s="556" t="s">
        <v>1752</v>
      </c>
      <c r="M1" s="556" t="s">
        <v>1753</v>
      </c>
      <c r="N1" s="556" t="s">
        <v>1754</v>
      </c>
      <c r="O1" s="556" t="s">
        <v>1755</v>
      </c>
      <c r="P1" s="556" t="s">
        <v>1756</v>
      </c>
      <c r="Q1" s="556" t="s">
        <v>1757</v>
      </c>
      <c r="R1" s="556" t="s">
        <v>1758</v>
      </c>
      <c r="S1" s="556" t="s">
        <v>1759</v>
      </c>
      <c r="T1" s="556" t="s">
        <v>1760</v>
      </c>
      <c r="U1" s="556" t="s">
        <v>1761</v>
      </c>
    </row>
    <row r="2" spans="1:22" s="557" customFormat="1" ht="12.75">
      <c r="A2" s="557" t="s">
        <v>1762</v>
      </c>
      <c r="B2" s="557" t="s">
        <v>1763</v>
      </c>
      <c r="C2" s="557" t="s">
        <v>1764</v>
      </c>
      <c r="D2" s="557" t="s">
        <v>1765</v>
      </c>
      <c r="E2" s="557">
        <v>26609.75</v>
      </c>
      <c r="F2" s="557">
        <v>74507</v>
      </c>
      <c r="G2" s="557" t="s">
        <v>1766</v>
      </c>
      <c r="H2" s="557" t="s">
        <v>1767</v>
      </c>
      <c r="I2" s="557" t="s">
        <v>1767</v>
      </c>
      <c r="J2" s="557" t="s">
        <v>1768</v>
      </c>
      <c r="K2" s="557" t="s">
        <v>1769</v>
      </c>
      <c r="L2" s="557" t="s">
        <v>1770</v>
      </c>
      <c r="M2" s="557">
        <v>350244</v>
      </c>
      <c r="N2" s="557">
        <v>8774.83</v>
      </c>
      <c r="O2" s="557">
        <v>47008.19</v>
      </c>
      <c r="P2" s="557">
        <v>3.5</v>
      </c>
      <c r="Q2" s="557" t="s">
        <v>1771</v>
      </c>
      <c r="R2" s="557">
        <v>4</v>
      </c>
      <c r="S2" s="557" t="s">
        <v>1767</v>
      </c>
      <c r="T2" s="557" t="s">
        <v>1767</v>
      </c>
      <c r="U2" s="557" t="s">
        <v>1772</v>
      </c>
      <c r="V2" s="557">
        <f>F2/E2</f>
        <v>2.7999887259369216</v>
      </c>
    </row>
    <row r="3" spans="1:22" s="556" customFormat="1" ht="12.75">
      <c r="A3" s="556" t="s">
        <v>1773</v>
      </c>
      <c r="B3" s="556" t="s">
        <v>1774</v>
      </c>
      <c r="C3" s="556" t="s">
        <v>1764</v>
      </c>
      <c r="D3" s="556" t="s">
        <v>1775</v>
      </c>
      <c r="E3" s="556">
        <v>20188.580000000002</v>
      </c>
      <c r="F3" s="556">
        <v>48528</v>
      </c>
      <c r="G3" s="556" t="s">
        <v>1776</v>
      </c>
      <c r="H3" s="556" t="s">
        <v>1767</v>
      </c>
      <c r="I3" s="556" t="s">
        <v>1767</v>
      </c>
      <c r="J3" s="556" t="s">
        <v>1777</v>
      </c>
      <c r="K3" s="556" t="s">
        <v>1778</v>
      </c>
      <c r="L3" s="556" t="s">
        <v>1779</v>
      </c>
      <c r="M3" s="556">
        <v>205500</v>
      </c>
      <c r="N3" s="556">
        <v>6786.01</v>
      </c>
      <c r="O3" s="556">
        <v>42346.69</v>
      </c>
      <c r="P3" s="556">
        <v>0</v>
      </c>
      <c r="Q3" s="556" t="s">
        <v>1771</v>
      </c>
      <c r="R3" s="556" t="s">
        <v>1767</v>
      </c>
      <c r="S3" s="556" t="s">
        <v>1767</v>
      </c>
      <c r="T3" s="556" t="s">
        <v>1767</v>
      </c>
      <c r="U3" s="556" t="s">
        <v>1772</v>
      </c>
      <c r="V3" s="556">
        <f t="shared" ref="V3:V34" si="0">F3/E3</f>
        <v>2.4037351809785532</v>
      </c>
    </row>
    <row r="4" spans="1:22" s="556" customFormat="1" ht="12.75">
      <c r="A4" s="556" t="s">
        <v>1780</v>
      </c>
      <c r="B4" s="556" t="s">
        <v>1774</v>
      </c>
      <c r="C4" s="556" t="s">
        <v>1764</v>
      </c>
      <c r="D4" s="556" t="s">
        <v>1781</v>
      </c>
      <c r="E4" s="556">
        <v>80892.990000000005</v>
      </c>
      <c r="F4" s="556">
        <v>112042</v>
      </c>
      <c r="G4" s="556" t="s">
        <v>1782</v>
      </c>
      <c r="H4" s="556" t="s">
        <v>1767</v>
      </c>
      <c r="I4" s="556" t="s">
        <v>1767</v>
      </c>
      <c r="J4" s="556" t="s">
        <v>1783</v>
      </c>
      <c r="K4" s="556" t="s">
        <v>1784</v>
      </c>
      <c r="L4" s="556" t="s">
        <v>1785</v>
      </c>
      <c r="M4" s="556">
        <v>460000</v>
      </c>
      <c r="N4" s="556">
        <v>3791.02</v>
      </c>
      <c r="O4" s="556">
        <v>41056.019999999997</v>
      </c>
      <c r="P4" s="556">
        <v>0</v>
      </c>
      <c r="Q4" s="556" t="s">
        <v>1771</v>
      </c>
      <c r="R4" s="556" t="s">
        <v>1767</v>
      </c>
      <c r="S4" s="556" t="s">
        <v>1767</v>
      </c>
      <c r="T4" s="556" t="s">
        <v>1767</v>
      </c>
      <c r="U4" s="556" t="s">
        <v>1786</v>
      </c>
      <c r="V4" s="556">
        <f t="shared" si="0"/>
        <v>1.3850643918589236</v>
      </c>
    </row>
    <row r="5" spans="1:22" s="557" customFormat="1" ht="12.75">
      <c r="A5" s="557" t="s">
        <v>1787</v>
      </c>
      <c r="B5" s="557" t="s">
        <v>1774</v>
      </c>
      <c r="C5" s="557" t="s">
        <v>1764</v>
      </c>
      <c r="D5" s="557" t="s">
        <v>1788</v>
      </c>
      <c r="E5" s="557">
        <v>67309.960000000006</v>
      </c>
      <c r="F5" s="557">
        <v>162845</v>
      </c>
      <c r="G5" s="557" t="s">
        <v>1789</v>
      </c>
      <c r="H5" s="557" t="s">
        <v>1767</v>
      </c>
      <c r="I5" s="557" t="s">
        <v>1767</v>
      </c>
      <c r="J5" s="557" t="s">
        <v>1783</v>
      </c>
      <c r="K5" s="557" t="s">
        <v>1790</v>
      </c>
      <c r="L5" s="557" t="s">
        <v>1791</v>
      </c>
      <c r="M5" s="557">
        <v>760000</v>
      </c>
      <c r="N5" s="557">
        <v>7527.37</v>
      </c>
      <c r="O5" s="557">
        <v>46670.15</v>
      </c>
      <c r="P5" s="557">
        <v>25.95</v>
      </c>
      <c r="Q5" s="557" t="s">
        <v>1771</v>
      </c>
      <c r="R5" s="557" t="s">
        <v>1767</v>
      </c>
      <c r="S5" s="557" t="s">
        <v>1767</v>
      </c>
      <c r="T5" s="557" t="s">
        <v>1767</v>
      </c>
      <c r="U5" s="557" t="s">
        <v>1786</v>
      </c>
      <c r="V5" s="557">
        <f t="shared" si="0"/>
        <v>2.4193299178903089</v>
      </c>
    </row>
    <row r="6" spans="1:22" s="557" customFormat="1" ht="12.75">
      <c r="A6" s="557" t="s">
        <v>1792</v>
      </c>
      <c r="B6" s="557" t="s">
        <v>1774</v>
      </c>
      <c r="C6" s="557" t="s">
        <v>1764</v>
      </c>
      <c r="D6" s="557" t="s">
        <v>1775</v>
      </c>
      <c r="E6" s="557">
        <v>48727.09</v>
      </c>
      <c r="F6" s="557">
        <v>107538</v>
      </c>
      <c r="G6" s="557" t="s">
        <v>1793</v>
      </c>
      <c r="H6" s="557" t="s">
        <v>1767</v>
      </c>
      <c r="I6" s="557" t="s">
        <v>1767</v>
      </c>
      <c r="J6" s="557" t="s">
        <v>1783</v>
      </c>
      <c r="K6" s="557" t="s">
        <v>1794</v>
      </c>
      <c r="L6" s="557" t="s">
        <v>1795</v>
      </c>
      <c r="M6" s="557">
        <v>544000</v>
      </c>
      <c r="N6" s="557">
        <v>7442.81</v>
      </c>
      <c r="O6" s="557">
        <v>50586.76</v>
      </c>
      <c r="P6" s="557">
        <v>26.22</v>
      </c>
      <c r="Q6" s="557" t="s">
        <v>1771</v>
      </c>
      <c r="R6" s="557" t="s">
        <v>1767</v>
      </c>
      <c r="S6" s="557" t="s">
        <v>1767</v>
      </c>
      <c r="T6" s="557" t="s">
        <v>1767</v>
      </c>
      <c r="U6" s="557" t="s">
        <v>1786</v>
      </c>
      <c r="V6" s="557">
        <f t="shared" si="0"/>
        <v>2.2069448432073413</v>
      </c>
    </row>
    <row r="7" spans="1:22" s="556" customFormat="1" ht="12.75">
      <c r="A7" s="556" t="s">
        <v>1796</v>
      </c>
      <c r="B7" s="556" t="s">
        <v>1774</v>
      </c>
      <c r="C7" s="556" t="s">
        <v>1797</v>
      </c>
      <c r="D7" s="556" t="s">
        <v>1775</v>
      </c>
      <c r="E7" s="556">
        <v>47115.37</v>
      </c>
      <c r="F7" s="556">
        <v>99865</v>
      </c>
      <c r="G7" s="556" t="s">
        <v>1798</v>
      </c>
      <c r="H7" s="556" t="s">
        <v>1767</v>
      </c>
      <c r="I7" s="556" t="s">
        <v>1799</v>
      </c>
      <c r="J7" s="556" t="s">
        <v>1800</v>
      </c>
      <c r="K7" s="556" t="s">
        <v>1801</v>
      </c>
      <c r="L7" s="556" t="s">
        <v>1802</v>
      </c>
      <c r="M7" s="556">
        <v>278800</v>
      </c>
      <c r="N7" s="556">
        <v>3944.93</v>
      </c>
      <c r="O7" s="556">
        <v>27917.68</v>
      </c>
      <c r="P7" s="556" t="s">
        <v>1767</v>
      </c>
      <c r="Q7" s="556" t="s">
        <v>1771</v>
      </c>
      <c r="R7" s="556" t="s">
        <v>1767</v>
      </c>
      <c r="S7" s="556" t="s">
        <v>1767</v>
      </c>
      <c r="T7" s="556" t="s">
        <v>1767</v>
      </c>
      <c r="U7" s="556" t="s">
        <v>1772</v>
      </c>
      <c r="V7" s="556">
        <f t="shared" si="0"/>
        <v>2.1195843309730984</v>
      </c>
    </row>
    <row r="8" spans="1:22" s="558" customFormat="1" ht="12.75">
      <c r="A8" s="558" t="s">
        <v>1803</v>
      </c>
      <c r="B8" s="558" t="s">
        <v>1763</v>
      </c>
      <c r="C8" s="558" t="s">
        <v>1764</v>
      </c>
      <c r="D8" s="558" t="s">
        <v>1765</v>
      </c>
      <c r="E8" s="558">
        <v>51339.15</v>
      </c>
      <c r="F8" s="558">
        <v>77009</v>
      </c>
      <c r="G8" s="558" t="s">
        <v>1804</v>
      </c>
      <c r="H8" s="558" t="s">
        <v>1767</v>
      </c>
      <c r="I8" s="558" t="s">
        <v>1767</v>
      </c>
      <c r="J8" s="558" t="s">
        <v>1783</v>
      </c>
      <c r="K8" s="558" t="s">
        <v>1805</v>
      </c>
      <c r="L8" s="558" t="s">
        <v>1806</v>
      </c>
      <c r="M8" s="558">
        <v>539600</v>
      </c>
      <c r="N8" s="558">
        <v>7007</v>
      </c>
      <c r="O8" s="558">
        <v>70069.72</v>
      </c>
      <c r="P8" s="558">
        <v>0</v>
      </c>
      <c r="Q8" s="558" t="s">
        <v>1771</v>
      </c>
      <c r="R8" s="558" t="s">
        <v>1767</v>
      </c>
      <c r="S8" s="558" t="s">
        <v>1767</v>
      </c>
      <c r="T8" s="558" t="s">
        <v>1767</v>
      </c>
      <c r="U8" s="558" t="s">
        <v>1786</v>
      </c>
      <c r="V8" s="556">
        <f t="shared" si="0"/>
        <v>1.5000053565358991</v>
      </c>
    </row>
    <row r="9" spans="1:22" s="556" customFormat="1" ht="12.75">
      <c r="A9" s="556" t="s">
        <v>1807</v>
      </c>
      <c r="B9" s="556" t="s">
        <v>1774</v>
      </c>
      <c r="C9" s="556" t="s">
        <v>1764</v>
      </c>
      <c r="D9" s="556" t="s">
        <v>1775</v>
      </c>
      <c r="E9" s="556">
        <v>65039.11</v>
      </c>
      <c r="F9" s="556">
        <v>132382.13</v>
      </c>
      <c r="G9" s="556" t="s">
        <v>1808</v>
      </c>
      <c r="H9" s="556" t="s">
        <v>1767</v>
      </c>
      <c r="I9" s="556" t="s">
        <v>1809</v>
      </c>
      <c r="J9" s="556" t="s">
        <v>1800</v>
      </c>
      <c r="K9" s="556" t="s">
        <v>1805</v>
      </c>
      <c r="L9" s="556" t="s">
        <v>1810</v>
      </c>
      <c r="M9" s="556">
        <v>329000</v>
      </c>
      <c r="N9" s="556">
        <v>3372.33</v>
      </c>
      <c r="O9" s="556">
        <v>24852.29</v>
      </c>
      <c r="P9" s="556">
        <v>0</v>
      </c>
      <c r="Q9" s="556" t="s">
        <v>1771</v>
      </c>
      <c r="R9" s="556" t="s">
        <v>1767</v>
      </c>
      <c r="S9" s="556" t="s">
        <v>1767</v>
      </c>
      <c r="T9" s="556" t="s">
        <v>1767</v>
      </c>
      <c r="U9" s="556" t="s">
        <v>1786</v>
      </c>
      <c r="V9" s="556">
        <f t="shared" si="0"/>
        <v>2.0354234552102572</v>
      </c>
    </row>
    <row r="10" spans="1:22" s="558" customFormat="1" ht="12.75">
      <c r="A10" s="558" t="s">
        <v>1811</v>
      </c>
      <c r="B10" s="558" t="s">
        <v>1763</v>
      </c>
      <c r="C10" s="558" t="s">
        <v>1764</v>
      </c>
      <c r="D10" s="558" t="s">
        <v>1765</v>
      </c>
      <c r="E10" s="558">
        <v>44507.26</v>
      </c>
      <c r="F10" s="558">
        <v>66760</v>
      </c>
      <c r="G10" s="558" t="s">
        <v>1804</v>
      </c>
      <c r="H10" s="558" t="s">
        <v>1767</v>
      </c>
      <c r="I10" s="558" t="s">
        <v>1767</v>
      </c>
      <c r="J10" s="558" t="s">
        <v>1783</v>
      </c>
      <c r="K10" s="558" t="s">
        <v>1805</v>
      </c>
      <c r="L10" s="558" t="s">
        <v>1812</v>
      </c>
      <c r="M10" s="558">
        <v>467500</v>
      </c>
      <c r="N10" s="558">
        <v>7002.6</v>
      </c>
      <c r="O10" s="558">
        <v>70026.960000000006</v>
      </c>
      <c r="P10" s="558">
        <v>0</v>
      </c>
      <c r="Q10" s="558" t="s">
        <v>1771</v>
      </c>
      <c r="R10" s="558" t="s">
        <v>1767</v>
      </c>
      <c r="S10" s="558" t="s">
        <v>1767</v>
      </c>
      <c r="T10" s="558" t="s">
        <v>1767</v>
      </c>
      <c r="U10" s="558" t="s">
        <v>1786</v>
      </c>
      <c r="V10" s="556">
        <f t="shared" si="0"/>
        <v>1.4999800032623891</v>
      </c>
    </row>
    <row r="11" spans="1:22" s="556" customFormat="1" ht="12.75">
      <c r="A11" s="556" t="s">
        <v>1813</v>
      </c>
      <c r="B11" s="556" t="s">
        <v>1774</v>
      </c>
      <c r="C11" s="556" t="s">
        <v>1764</v>
      </c>
      <c r="D11" s="556" t="s">
        <v>1814</v>
      </c>
      <c r="E11" s="556">
        <v>31917.24</v>
      </c>
      <c r="F11" s="556">
        <v>47876</v>
      </c>
      <c r="G11" s="556" t="s">
        <v>1804</v>
      </c>
      <c r="H11" s="556" t="s">
        <v>1767</v>
      </c>
      <c r="I11" s="556" t="s">
        <v>1767</v>
      </c>
      <c r="J11" s="556" t="s">
        <v>1783</v>
      </c>
      <c r="K11" s="556" t="s">
        <v>1815</v>
      </c>
      <c r="L11" s="556" t="s">
        <v>1816</v>
      </c>
      <c r="M11" s="556">
        <v>242500</v>
      </c>
      <c r="N11" s="556">
        <v>5065.18</v>
      </c>
      <c r="O11" s="556">
        <v>50651.68</v>
      </c>
      <c r="P11" s="556">
        <v>1.51</v>
      </c>
      <c r="Q11" s="556" t="s">
        <v>1817</v>
      </c>
      <c r="R11" s="556" t="s">
        <v>1767</v>
      </c>
      <c r="S11" s="556" t="s">
        <v>1767</v>
      </c>
      <c r="T11" s="556" t="s">
        <v>1767</v>
      </c>
      <c r="U11" s="556" t="s">
        <v>1772</v>
      </c>
      <c r="V11" s="556">
        <f t="shared" si="0"/>
        <v>1.5000043863441825</v>
      </c>
    </row>
    <row r="12" spans="1:22" s="556" customFormat="1" ht="12.75">
      <c r="A12" s="556" t="s">
        <v>1818</v>
      </c>
      <c r="B12" s="556" t="s">
        <v>1774</v>
      </c>
      <c r="C12" s="556" t="s">
        <v>1764</v>
      </c>
      <c r="D12" s="556" t="s">
        <v>1819</v>
      </c>
      <c r="E12" s="556">
        <v>31314.23</v>
      </c>
      <c r="F12" s="556">
        <v>85543</v>
      </c>
      <c r="G12" s="556" t="s">
        <v>1820</v>
      </c>
      <c r="H12" s="556" t="s">
        <v>1767</v>
      </c>
      <c r="I12" s="556" t="s">
        <v>1821</v>
      </c>
      <c r="J12" s="556" t="s">
        <v>1800</v>
      </c>
      <c r="K12" s="556" t="s">
        <v>1822</v>
      </c>
      <c r="L12" s="556" t="s">
        <v>1823</v>
      </c>
      <c r="M12" s="556">
        <v>189700</v>
      </c>
      <c r="N12" s="556">
        <v>4038.63</v>
      </c>
      <c r="O12" s="556">
        <v>22175.97</v>
      </c>
      <c r="P12" s="556">
        <v>0</v>
      </c>
      <c r="Q12" s="556" t="s">
        <v>1771</v>
      </c>
      <c r="R12" s="556" t="s">
        <v>1767</v>
      </c>
      <c r="S12" s="556" t="s">
        <v>1767</v>
      </c>
      <c r="T12" s="556" t="s">
        <v>1767</v>
      </c>
      <c r="U12" s="556" t="s">
        <v>1824</v>
      </c>
      <c r="V12" s="556">
        <f t="shared" si="0"/>
        <v>2.7317612472029489</v>
      </c>
    </row>
    <row r="13" spans="1:22" s="556" customFormat="1" ht="12.75">
      <c r="A13" s="556" t="s">
        <v>1825</v>
      </c>
      <c r="B13" s="556" t="s">
        <v>1774</v>
      </c>
      <c r="C13" s="556" t="s">
        <v>1764</v>
      </c>
      <c r="D13" s="556" t="s">
        <v>1819</v>
      </c>
      <c r="E13" s="556">
        <v>34507.51</v>
      </c>
      <c r="F13" s="556">
        <v>94282.53</v>
      </c>
      <c r="G13" s="556" t="s">
        <v>1826</v>
      </c>
      <c r="H13" s="556" t="s">
        <v>1767</v>
      </c>
      <c r="I13" s="556" t="s">
        <v>1767</v>
      </c>
      <c r="J13" s="556" t="s">
        <v>1827</v>
      </c>
      <c r="K13" s="556" t="s">
        <v>1828</v>
      </c>
      <c r="L13" s="556" t="s">
        <v>1829</v>
      </c>
      <c r="M13" s="556">
        <v>256450</v>
      </c>
      <c r="N13" s="556">
        <v>4954.4799999999996</v>
      </c>
      <c r="O13" s="556">
        <v>27200.15</v>
      </c>
      <c r="P13" s="556">
        <v>0</v>
      </c>
      <c r="Q13" s="556" t="s">
        <v>1771</v>
      </c>
      <c r="R13" s="556" t="s">
        <v>1767</v>
      </c>
      <c r="S13" s="556" t="s">
        <v>1767</v>
      </c>
      <c r="T13" s="556" t="s">
        <v>1767</v>
      </c>
      <c r="U13" s="556" t="s">
        <v>1786</v>
      </c>
      <c r="V13" s="556">
        <f t="shared" si="0"/>
        <v>2.7322322010484092</v>
      </c>
    </row>
    <row r="14" spans="1:22" s="558" customFormat="1" ht="12.75">
      <c r="A14" s="558" t="s">
        <v>1830</v>
      </c>
      <c r="B14" s="558" t="s">
        <v>1763</v>
      </c>
      <c r="C14" s="558" t="s">
        <v>1764</v>
      </c>
      <c r="D14" s="558" t="s">
        <v>1765</v>
      </c>
      <c r="E14" s="558">
        <v>39479.050000000003</v>
      </c>
      <c r="F14" s="558">
        <v>43427</v>
      </c>
      <c r="G14" s="558" t="s">
        <v>1831</v>
      </c>
      <c r="H14" s="558" t="s">
        <v>1767</v>
      </c>
      <c r="I14" s="558" t="s">
        <v>1767</v>
      </c>
      <c r="J14" s="558" t="s">
        <v>1783</v>
      </c>
      <c r="K14" s="558" t="s">
        <v>1828</v>
      </c>
      <c r="L14" s="558" t="s">
        <v>1832</v>
      </c>
      <c r="M14" s="558">
        <v>302000</v>
      </c>
      <c r="N14" s="558">
        <v>5099.75</v>
      </c>
      <c r="O14" s="558">
        <v>69541.990000000005</v>
      </c>
      <c r="P14" s="558">
        <v>23.32</v>
      </c>
      <c r="Q14" s="558" t="s">
        <v>1771</v>
      </c>
      <c r="R14" s="558" t="s">
        <v>1767</v>
      </c>
      <c r="S14" s="558" t="s">
        <v>1767</v>
      </c>
      <c r="T14" s="558" t="s">
        <v>1767</v>
      </c>
      <c r="U14" s="558" t="s">
        <v>1786</v>
      </c>
      <c r="V14" s="556">
        <f t="shared" si="0"/>
        <v>1.1000011398450569</v>
      </c>
    </row>
    <row r="15" spans="1:22" s="556" customFormat="1" ht="12.75">
      <c r="A15" s="556" t="s">
        <v>1833</v>
      </c>
      <c r="B15" s="556" t="s">
        <v>1774</v>
      </c>
      <c r="C15" s="556" t="s">
        <v>1764</v>
      </c>
      <c r="D15" s="556" t="s">
        <v>1834</v>
      </c>
      <c r="E15" s="556">
        <v>60678.01</v>
      </c>
      <c r="F15" s="556">
        <v>160145</v>
      </c>
      <c r="G15" s="556" t="s">
        <v>1835</v>
      </c>
      <c r="H15" s="556" t="s">
        <v>1767</v>
      </c>
      <c r="I15" s="556" t="s">
        <v>1836</v>
      </c>
      <c r="J15" s="556" t="s">
        <v>1800</v>
      </c>
      <c r="K15" s="556" t="s">
        <v>1837</v>
      </c>
      <c r="L15" s="556" t="s">
        <v>1838</v>
      </c>
      <c r="M15" s="556">
        <v>340800</v>
      </c>
      <c r="N15" s="556">
        <v>3744.35</v>
      </c>
      <c r="O15" s="556">
        <v>21280.7</v>
      </c>
      <c r="P15" s="556">
        <v>0.5</v>
      </c>
      <c r="Q15" s="556" t="s">
        <v>1817</v>
      </c>
      <c r="R15" s="556" t="s">
        <v>1767</v>
      </c>
      <c r="S15" s="556" t="s">
        <v>1767</v>
      </c>
      <c r="T15" s="556" t="s">
        <v>1767</v>
      </c>
      <c r="U15" s="556" t="s">
        <v>1824</v>
      </c>
      <c r="V15" s="556">
        <f t="shared" si="0"/>
        <v>2.6392592637761192</v>
      </c>
    </row>
    <row r="16" spans="1:22" s="556" customFormat="1" ht="12.75">
      <c r="A16" s="556" t="s">
        <v>1839</v>
      </c>
      <c r="B16" s="556" t="s">
        <v>1774</v>
      </c>
      <c r="C16" s="556" t="s">
        <v>1797</v>
      </c>
      <c r="D16" s="556" t="s">
        <v>1840</v>
      </c>
      <c r="E16" s="556">
        <v>14680.08</v>
      </c>
      <c r="F16" s="556">
        <v>31629</v>
      </c>
      <c r="G16" s="556">
        <v>2.15</v>
      </c>
      <c r="H16" s="556" t="s">
        <v>1767</v>
      </c>
      <c r="I16" s="556" t="s">
        <v>1841</v>
      </c>
      <c r="J16" s="556" t="s">
        <v>1800</v>
      </c>
      <c r="K16" s="556" t="s">
        <v>1842</v>
      </c>
      <c r="L16" s="556" t="s">
        <v>1802</v>
      </c>
      <c r="M16" s="556">
        <v>76000</v>
      </c>
      <c r="N16" s="556">
        <v>3451.39</v>
      </c>
      <c r="O16" s="556">
        <v>24028.58</v>
      </c>
      <c r="P16" s="556" t="s">
        <v>1767</v>
      </c>
      <c r="Q16" s="556" t="s">
        <v>1771</v>
      </c>
      <c r="R16" s="556" t="s">
        <v>1767</v>
      </c>
      <c r="S16" s="556" t="s">
        <v>1767</v>
      </c>
      <c r="T16" s="556" t="s">
        <v>1767</v>
      </c>
      <c r="U16" s="556" t="s">
        <v>1772</v>
      </c>
      <c r="V16" s="556">
        <f t="shared" si="0"/>
        <v>2.1545522912681676</v>
      </c>
    </row>
    <row r="17" spans="1:22" s="556" customFormat="1" ht="12.75">
      <c r="A17" s="556" t="s">
        <v>1843</v>
      </c>
      <c r="B17" s="556" t="s">
        <v>1774</v>
      </c>
      <c r="C17" s="556" t="s">
        <v>1797</v>
      </c>
      <c r="D17" s="556" t="s">
        <v>1844</v>
      </c>
      <c r="E17" s="556">
        <v>239378.2</v>
      </c>
      <c r="F17" s="556">
        <v>302600</v>
      </c>
      <c r="G17" s="556">
        <v>1.26</v>
      </c>
      <c r="H17" s="556" t="s">
        <v>1767</v>
      </c>
      <c r="I17" s="556" t="s">
        <v>1767</v>
      </c>
      <c r="J17" s="556" t="s">
        <v>1845</v>
      </c>
      <c r="K17" s="556" t="s">
        <v>1842</v>
      </c>
      <c r="L17" s="556" t="s">
        <v>1846</v>
      </c>
      <c r="M17" s="556">
        <v>630000</v>
      </c>
      <c r="N17" s="556">
        <v>1754.55</v>
      </c>
      <c r="O17" s="556">
        <v>20819.560000000001</v>
      </c>
      <c r="P17" s="556" t="s">
        <v>1767</v>
      </c>
      <c r="Q17" s="556" t="s">
        <v>1817</v>
      </c>
      <c r="R17" s="556" t="s">
        <v>1767</v>
      </c>
      <c r="S17" s="556" t="s">
        <v>1767</v>
      </c>
      <c r="T17" s="556" t="s">
        <v>1767</v>
      </c>
      <c r="U17" s="556" t="s">
        <v>1786</v>
      </c>
      <c r="V17" s="556">
        <f t="shared" si="0"/>
        <v>1.2641084275844667</v>
      </c>
    </row>
    <row r="18" spans="1:22" s="556" customFormat="1" ht="12.75">
      <c r="A18" s="556" t="s">
        <v>1847</v>
      </c>
      <c r="B18" s="556" t="s">
        <v>1774</v>
      </c>
      <c r="C18" s="556" t="s">
        <v>1797</v>
      </c>
      <c r="D18" s="556" t="s">
        <v>1848</v>
      </c>
      <c r="E18" s="556">
        <v>68981.53</v>
      </c>
      <c r="F18" s="556">
        <v>141907</v>
      </c>
      <c r="G18" s="556">
        <v>2.06</v>
      </c>
      <c r="H18" s="556" t="s">
        <v>1767</v>
      </c>
      <c r="I18" s="556" t="s">
        <v>1849</v>
      </c>
      <c r="J18" s="556" t="s">
        <v>1800</v>
      </c>
      <c r="K18" s="556" t="s">
        <v>1842</v>
      </c>
      <c r="L18" s="556" t="s">
        <v>1802</v>
      </c>
      <c r="M18" s="556">
        <v>389000</v>
      </c>
      <c r="N18" s="556">
        <v>3759.46</v>
      </c>
      <c r="O18" s="556">
        <v>27412.31</v>
      </c>
      <c r="P18" s="556" t="s">
        <v>1767</v>
      </c>
      <c r="Q18" s="556" t="s">
        <v>1771</v>
      </c>
      <c r="R18" s="556" t="s">
        <v>1767</v>
      </c>
      <c r="S18" s="556" t="s">
        <v>1767</v>
      </c>
      <c r="T18" s="556" t="s">
        <v>1767</v>
      </c>
      <c r="U18" s="556" t="s">
        <v>1772</v>
      </c>
      <c r="V18" s="556">
        <f t="shared" si="0"/>
        <v>2.0571738550884562</v>
      </c>
    </row>
    <row r="19" spans="1:22" s="556" customFormat="1" ht="12.75">
      <c r="A19" s="556" t="s">
        <v>1850</v>
      </c>
      <c r="B19" s="556" t="s">
        <v>1763</v>
      </c>
      <c r="C19" s="556" t="s">
        <v>1764</v>
      </c>
      <c r="D19" s="556" t="s">
        <v>1765</v>
      </c>
      <c r="E19" s="556">
        <v>41541.339999999997</v>
      </c>
      <c r="F19" s="556">
        <v>87237</v>
      </c>
      <c r="G19" s="556">
        <v>2.1</v>
      </c>
      <c r="H19" s="556" t="s">
        <v>1767</v>
      </c>
      <c r="I19" s="556" t="s">
        <v>1851</v>
      </c>
      <c r="J19" s="556" t="s">
        <v>1800</v>
      </c>
      <c r="K19" s="556" t="s">
        <v>1852</v>
      </c>
      <c r="L19" s="556" t="s">
        <v>1853</v>
      </c>
      <c r="M19" s="556">
        <v>206000</v>
      </c>
      <c r="N19" s="556">
        <v>3305.94</v>
      </c>
      <c r="O19" s="556">
        <v>23613.83</v>
      </c>
      <c r="P19" s="556">
        <v>37.33</v>
      </c>
      <c r="Q19" s="556" t="s">
        <v>1771</v>
      </c>
      <c r="R19" s="556" t="s">
        <v>1767</v>
      </c>
      <c r="S19" s="556" t="s">
        <v>1767</v>
      </c>
      <c r="T19" s="556" t="s">
        <v>1767</v>
      </c>
      <c r="U19" s="556" t="s">
        <v>1772</v>
      </c>
      <c r="V19" s="556">
        <f t="shared" si="0"/>
        <v>2.1000044774675062</v>
      </c>
    </row>
    <row r="20" spans="1:22" s="556" customFormat="1" ht="12.75">
      <c r="A20" s="556" t="s">
        <v>1854</v>
      </c>
      <c r="B20" s="556" t="s">
        <v>1774</v>
      </c>
      <c r="C20" s="556" t="s">
        <v>1764</v>
      </c>
      <c r="D20" s="556" t="s">
        <v>1814</v>
      </c>
      <c r="E20" s="556">
        <v>22975.03</v>
      </c>
      <c r="F20" s="556">
        <v>68925</v>
      </c>
      <c r="G20" s="556">
        <v>3</v>
      </c>
      <c r="H20" s="556" t="s">
        <v>1767</v>
      </c>
      <c r="I20" s="556" t="s">
        <v>1767</v>
      </c>
      <c r="J20" s="556" t="s">
        <v>1777</v>
      </c>
      <c r="K20" s="556" t="s">
        <v>1855</v>
      </c>
      <c r="L20" s="556" t="s">
        <v>1856</v>
      </c>
      <c r="M20" s="556">
        <v>264000</v>
      </c>
      <c r="N20" s="556">
        <v>7660.49</v>
      </c>
      <c r="O20" s="556">
        <v>38302.5</v>
      </c>
      <c r="P20" s="556">
        <v>26.92</v>
      </c>
      <c r="Q20" s="556" t="s">
        <v>1771</v>
      </c>
      <c r="R20" s="556" t="s">
        <v>1767</v>
      </c>
      <c r="S20" s="556" t="s">
        <v>1767</v>
      </c>
      <c r="T20" s="556" t="s">
        <v>1767</v>
      </c>
      <c r="U20" s="556" t="s">
        <v>1824</v>
      </c>
      <c r="V20" s="556">
        <f t="shared" si="0"/>
        <v>2.9999960827037007</v>
      </c>
    </row>
    <row r="21" spans="1:22" s="556" customFormat="1" ht="12.75">
      <c r="A21" s="556" t="s">
        <v>1857</v>
      </c>
      <c r="B21" s="556" t="s">
        <v>1774</v>
      </c>
      <c r="C21" s="556" t="s">
        <v>1764</v>
      </c>
      <c r="D21" s="556" t="s">
        <v>1814</v>
      </c>
      <c r="E21" s="556">
        <v>19200.669999999998</v>
      </c>
      <c r="F21" s="556">
        <v>57602</v>
      </c>
      <c r="G21" s="556">
        <v>3</v>
      </c>
      <c r="H21" s="556" t="s">
        <v>1767</v>
      </c>
      <c r="I21" s="556" t="s">
        <v>1767</v>
      </c>
      <c r="J21" s="556" t="s">
        <v>1777</v>
      </c>
      <c r="K21" s="556" t="s">
        <v>1855</v>
      </c>
      <c r="L21" s="556" t="s">
        <v>1858</v>
      </c>
      <c r="M21" s="556">
        <v>234000</v>
      </c>
      <c r="N21" s="556">
        <v>8124.72</v>
      </c>
      <c r="O21" s="556">
        <v>40623.58</v>
      </c>
      <c r="P21" s="556">
        <v>17</v>
      </c>
      <c r="Q21" s="556" t="s">
        <v>1771</v>
      </c>
      <c r="R21" s="556" t="s">
        <v>1767</v>
      </c>
      <c r="S21" s="556" t="s">
        <v>1767</v>
      </c>
      <c r="T21" s="556" t="s">
        <v>1767</v>
      </c>
      <c r="U21" s="556" t="s">
        <v>1824</v>
      </c>
      <c r="V21" s="556">
        <f t="shared" si="0"/>
        <v>2.999999479184841</v>
      </c>
    </row>
    <row r="22" spans="1:22" s="556" customFormat="1" ht="12.75">
      <c r="A22" s="556" t="s">
        <v>1859</v>
      </c>
      <c r="B22" s="556" t="s">
        <v>1774</v>
      </c>
      <c r="C22" s="556" t="s">
        <v>1764</v>
      </c>
      <c r="D22" s="556" t="s">
        <v>1860</v>
      </c>
      <c r="E22" s="556">
        <v>74979.98</v>
      </c>
      <c r="F22" s="556">
        <v>84324</v>
      </c>
      <c r="G22" s="556">
        <v>1.1200000000000001</v>
      </c>
      <c r="H22" s="556" t="s">
        <v>1767</v>
      </c>
      <c r="I22" s="556" t="s">
        <v>1767</v>
      </c>
      <c r="J22" s="556" t="s">
        <v>1861</v>
      </c>
      <c r="K22" s="556" t="s">
        <v>1862</v>
      </c>
      <c r="L22" s="556" t="s">
        <v>1863</v>
      </c>
      <c r="M22" s="556">
        <v>291000</v>
      </c>
      <c r="N22" s="556">
        <v>2587.36</v>
      </c>
      <c r="O22" s="556">
        <v>34509.75</v>
      </c>
      <c r="P22" s="556">
        <v>41.95</v>
      </c>
      <c r="Q22" s="556" t="s">
        <v>1771</v>
      </c>
      <c r="R22" s="556" t="s">
        <v>1767</v>
      </c>
      <c r="S22" s="556" t="s">
        <v>1767</v>
      </c>
      <c r="T22" s="556" t="s">
        <v>1767</v>
      </c>
      <c r="U22" s="556" t="s">
        <v>1786</v>
      </c>
      <c r="V22" s="556">
        <f t="shared" si="0"/>
        <v>1.1246201986183513</v>
      </c>
    </row>
    <row r="23" spans="1:22" s="556" customFormat="1" ht="12.75">
      <c r="A23" s="556" t="s">
        <v>1864</v>
      </c>
      <c r="B23" s="556" t="s">
        <v>1774</v>
      </c>
      <c r="C23" s="556" t="s">
        <v>1764</v>
      </c>
      <c r="D23" s="556" t="s">
        <v>1865</v>
      </c>
      <c r="E23" s="556">
        <v>55477.35</v>
      </c>
      <c r="F23" s="556">
        <v>87924</v>
      </c>
      <c r="G23" s="556">
        <v>1.58</v>
      </c>
      <c r="H23" s="556" t="s">
        <v>1767</v>
      </c>
      <c r="I23" s="556" t="s">
        <v>1866</v>
      </c>
      <c r="J23" s="556" t="s">
        <v>1800</v>
      </c>
      <c r="K23" s="556" t="s">
        <v>1867</v>
      </c>
      <c r="L23" s="556" t="s">
        <v>1868</v>
      </c>
      <c r="M23" s="556">
        <v>168000</v>
      </c>
      <c r="N23" s="556">
        <v>2018.84</v>
      </c>
      <c r="O23" s="556">
        <v>19107.400000000001</v>
      </c>
      <c r="P23" s="556">
        <v>12</v>
      </c>
      <c r="Q23" s="556" t="s">
        <v>1771</v>
      </c>
      <c r="R23" s="556" t="s">
        <v>1767</v>
      </c>
      <c r="S23" s="556" t="s">
        <v>1767</v>
      </c>
      <c r="T23" s="556" t="s">
        <v>1767</v>
      </c>
      <c r="U23" s="556" t="s">
        <v>1786</v>
      </c>
      <c r="V23" s="556">
        <f t="shared" si="0"/>
        <v>1.5848630116615159</v>
      </c>
    </row>
    <row r="24" spans="1:22" s="556" customFormat="1" ht="12.75">
      <c r="A24" s="556" t="s">
        <v>1869</v>
      </c>
      <c r="B24" s="556" t="s">
        <v>1763</v>
      </c>
      <c r="C24" s="556" t="s">
        <v>1764</v>
      </c>
      <c r="D24" s="556" t="s">
        <v>1765</v>
      </c>
      <c r="E24" s="556">
        <v>53525.81</v>
      </c>
      <c r="F24" s="556">
        <v>58878</v>
      </c>
      <c r="G24" s="556">
        <v>1.1000000000000001</v>
      </c>
      <c r="H24" s="556" t="s">
        <v>1767</v>
      </c>
      <c r="I24" s="556" t="s">
        <v>1767</v>
      </c>
      <c r="J24" s="556" t="s">
        <v>1861</v>
      </c>
      <c r="K24" s="556" t="s">
        <v>1870</v>
      </c>
      <c r="L24" s="556" t="s">
        <v>1871</v>
      </c>
      <c r="M24" s="556">
        <v>336500</v>
      </c>
      <c r="N24" s="556">
        <v>4191.12</v>
      </c>
      <c r="O24" s="556">
        <v>57152.08</v>
      </c>
      <c r="P24" s="556">
        <v>1.02</v>
      </c>
      <c r="Q24" s="556" t="s">
        <v>1771</v>
      </c>
      <c r="R24" s="556" t="s">
        <v>1767</v>
      </c>
      <c r="S24" s="556" t="s">
        <v>1767</v>
      </c>
      <c r="T24" s="556" t="s">
        <v>1767</v>
      </c>
      <c r="U24" s="556" t="s">
        <v>1786</v>
      </c>
      <c r="V24" s="556">
        <f t="shared" si="0"/>
        <v>1.0999926951128811</v>
      </c>
    </row>
    <row r="25" spans="1:22" s="556" customFormat="1" ht="12.75">
      <c r="A25" s="556" t="s">
        <v>1872</v>
      </c>
      <c r="B25" s="556" t="s">
        <v>1763</v>
      </c>
      <c r="C25" s="556" t="s">
        <v>1764</v>
      </c>
      <c r="D25" s="556" t="s">
        <v>1765</v>
      </c>
      <c r="E25" s="556">
        <v>74772.84</v>
      </c>
      <c r="F25" s="556">
        <v>134591</v>
      </c>
      <c r="G25" s="556">
        <v>1.8</v>
      </c>
      <c r="H25" s="556" t="s">
        <v>1767</v>
      </c>
      <c r="I25" s="556" t="s">
        <v>1767</v>
      </c>
      <c r="J25" s="556" t="s">
        <v>1777</v>
      </c>
      <c r="K25" s="556" t="s">
        <v>1873</v>
      </c>
      <c r="L25" s="556" t="s">
        <v>1874</v>
      </c>
      <c r="M25" s="556">
        <v>550000</v>
      </c>
      <c r="N25" s="556">
        <v>4903.74</v>
      </c>
      <c r="O25" s="556">
        <v>40864.550000000003</v>
      </c>
      <c r="P25" s="556">
        <v>16.45</v>
      </c>
      <c r="Q25" s="556" t="s">
        <v>1771</v>
      </c>
      <c r="R25" s="556" t="s">
        <v>1767</v>
      </c>
      <c r="S25" s="556" t="s">
        <v>1767</v>
      </c>
      <c r="T25" s="556" t="s">
        <v>1767</v>
      </c>
      <c r="U25" s="556" t="s">
        <v>1786</v>
      </c>
      <c r="V25" s="556">
        <f t="shared" si="0"/>
        <v>1.7999985021299179</v>
      </c>
    </row>
    <row r="26" spans="1:22" s="556" customFormat="1" ht="12.75">
      <c r="A26" s="556" t="s">
        <v>1875</v>
      </c>
      <c r="B26" s="556" t="s">
        <v>1763</v>
      </c>
      <c r="C26" s="556" t="s">
        <v>1764</v>
      </c>
      <c r="D26" s="556" t="s">
        <v>1765</v>
      </c>
      <c r="E26" s="556">
        <v>90394.02</v>
      </c>
      <c r="F26" s="556">
        <v>99433</v>
      </c>
      <c r="G26" s="556">
        <v>1.1000000000000001</v>
      </c>
      <c r="H26" s="556" t="s">
        <v>1767</v>
      </c>
      <c r="I26" s="556" t="s">
        <v>1767</v>
      </c>
      <c r="J26" s="556" t="s">
        <v>1861</v>
      </c>
      <c r="K26" s="556" t="s">
        <v>1876</v>
      </c>
      <c r="L26" s="556" t="s">
        <v>1877</v>
      </c>
      <c r="M26" s="556">
        <v>610000</v>
      </c>
      <c r="N26" s="556">
        <v>4498.82</v>
      </c>
      <c r="O26" s="556">
        <v>61347.83</v>
      </c>
      <c r="P26" s="556">
        <v>9.34</v>
      </c>
      <c r="Q26" s="556" t="s">
        <v>1771</v>
      </c>
      <c r="R26" s="556" t="s">
        <v>1767</v>
      </c>
      <c r="S26" s="556" t="s">
        <v>1767</v>
      </c>
      <c r="T26" s="556" t="s">
        <v>1767</v>
      </c>
      <c r="U26" s="556" t="s">
        <v>1772</v>
      </c>
      <c r="V26" s="556">
        <f t="shared" si="0"/>
        <v>1.099995331549587</v>
      </c>
    </row>
    <row r="27" spans="1:22" s="556" customFormat="1" ht="12.75">
      <c r="A27" s="556" t="s">
        <v>1878</v>
      </c>
      <c r="B27" s="556" t="s">
        <v>1763</v>
      </c>
      <c r="C27" s="556" t="s">
        <v>1797</v>
      </c>
      <c r="D27" s="556" t="s">
        <v>1765</v>
      </c>
      <c r="E27" s="556">
        <v>6180.98</v>
      </c>
      <c r="F27" s="556">
        <v>32400</v>
      </c>
      <c r="G27" s="556">
        <v>5.24</v>
      </c>
      <c r="H27" s="556" t="s">
        <v>1767</v>
      </c>
      <c r="I27" s="556" t="s">
        <v>1767</v>
      </c>
      <c r="J27" s="556" t="s">
        <v>1879</v>
      </c>
      <c r="K27" s="556" t="s">
        <v>1880</v>
      </c>
      <c r="L27" s="556" t="s">
        <v>1881</v>
      </c>
      <c r="M27" s="556" t="s">
        <v>1767</v>
      </c>
      <c r="N27" s="556" t="s">
        <v>1767</v>
      </c>
      <c r="O27" s="556" t="s">
        <v>1767</v>
      </c>
      <c r="P27" s="556" t="s">
        <v>1767</v>
      </c>
      <c r="Q27" s="556" t="s">
        <v>1771</v>
      </c>
      <c r="R27" s="556" t="s">
        <v>1767</v>
      </c>
      <c r="S27" s="556" t="s">
        <v>1767</v>
      </c>
      <c r="T27" s="556" t="s">
        <v>1767</v>
      </c>
      <c r="U27" s="556" t="s">
        <v>1824</v>
      </c>
      <c r="V27" s="556">
        <f t="shared" si="0"/>
        <v>5.2418872088244912</v>
      </c>
    </row>
    <row r="28" spans="1:22" s="556" customFormat="1" ht="12.75">
      <c r="A28" s="556" t="s">
        <v>1882</v>
      </c>
      <c r="B28" s="556" t="s">
        <v>1763</v>
      </c>
      <c r="C28" s="556" t="s">
        <v>1764</v>
      </c>
      <c r="D28" s="556" t="s">
        <v>1765</v>
      </c>
      <c r="E28" s="556">
        <v>35847.35</v>
      </c>
      <c r="F28" s="556">
        <v>75279</v>
      </c>
      <c r="G28" s="556">
        <v>2.1</v>
      </c>
      <c r="H28" s="556" t="s">
        <v>1767</v>
      </c>
      <c r="I28" s="556" t="s">
        <v>1866</v>
      </c>
      <c r="J28" s="556" t="s">
        <v>1800</v>
      </c>
      <c r="K28" s="556" t="s">
        <v>1883</v>
      </c>
      <c r="L28" s="556" t="s">
        <v>1868</v>
      </c>
      <c r="M28" s="556">
        <v>186000</v>
      </c>
      <c r="N28" s="556">
        <v>3459.11</v>
      </c>
      <c r="O28" s="556">
        <v>24708.09</v>
      </c>
      <c r="P28" s="556">
        <v>9.41</v>
      </c>
      <c r="Q28" s="556" t="s">
        <v>1771</v>
      </c>
      <c r="R28" s="556" t="s">
        <v>1767</v>
      </c>
      <c r="S28" s="556" t="s">
        <v>1767</v>
      </c>
      <c r="T28" s="556" t="s">
        <v>1767</v>
      </c>
      <c r="U28" s="556" t="s">
        <v>1772</v>
      </c>
      <c r="V28" s="556">
        <f t="shared" si="0"/>
        <v>2.0999878652117938</v>
      </c>
    </row>
    <row r="29" spans="1:22" s="556" customFormat="1" ht="12.75">
      <c r="A29" s="556" t="s">
        <v>1884</v>
      </c>
      <c r="B29" s="556" t="s">
        <v>1774</v>
      </c>
      <c r="C29" s="556" t="s">
        <v>1764</v>
      </c>
      <c r="D29" s="556" t="s">
        <v>1885</v>
      </c>
      <c r="E29" s="556">
        <v>105309.9</v>
      </c>
      <c r="F29" s="556">
        <v>201320</v>
      </c>
      <c r="G29" s="556">
        <v>1.9116899999999999</v>
      </c>
      <c r="H29" s="556" t="s">
        <v>1767</v>
      </c>
      <c r="I29" s="556" t="s">
        <v>1767</v>
      </c>
      <c r="J29" s="556" t="s">
        <v>1777</v>
      </c>
      <c r="K29" s="556" t="s">
        <v>1886</v>
      </c>
      <c r="L29" s="556" t="s">
        <v>1887</v>
      </c>
      <c r="M29" s="556">
        <v>762000</v>
      </c>
      <c r="N29" s="556">
        <v>4823.8599999999997</v>
      </c>
      <c r="O29" s="556">
        <v>37850.19</v>
      </c>
      <c r="P29" s="556">
        <v>10.039999999999999</v>
      </c>
      <c r="Q29" s="556" t="s">
        <v>1771</v>
      </c>
      <c r="R29" s="556" t="s">
        <v>1767</v>
      </c>
      <c r="S29" s="556" t="s">
        <v>1767</v>
      </c>
      <c r="T29" s="556" t="s">
        <v>1767</v>
      </c>
      <c r="U29" s="556" t="s">
        <v>1786</v>
      </c>
      <c r="V29" s="556">
        <f t="shared" si="0"/>
        <v>1.9116911135610233</v>
      </c>
    </row>
    <row r="30" spans="1:22" s="556" customFormat="1" ht="12.75">
      <c r="A30" s="556" t="s">
        <v>1888</v>
      </c>
      <c r="B30" s="556" t="s">
        <v>1763</v>
      </c>
      <c r="C30" s="556" t="s">
        <v>1764</v>
      </c>
      <c r="D30" s="556" t="s">
        <v>1765</v>
      </c>
      <c r="E30" s="556">
        <v>77973.48</v>
      </c>
      <c r="F30" s="556">
        <v>194934</v>
      </c>
      <c r="G30" s="556">
        <v>2.5</v>
      </c>
      <c r="H30" s="556" t="s">
        <v>1767</v>
      </c>
      <c r="I30" s="556" t="s">
        <v>1889</v>
      </c>
      <c r="J30" s="556" t="s">
        <v>1800</v>
      </c>
      <c r="K30" s="556" t="s">
        <v>1890</v>
      </c>
      <c r="L30" s="556" t="s">
        <v>1891</v>
      </c>
      <c r="M30" s="556">
        <v>498000</v>
      </c>
      <c r="N30" s="556">
        <v>4257.8599999999997</v>
      </c>
      <c r="O30" s="556">
        <v>25547.11</v>
      </c>
      <c r="P30" s="556">
        <v>0</v>
      </c>
      <c r="Q30" s="556" t="s">
        <v>1771</v>
      </c>
      <c r="R30" s="556" t="s">
        <v>1767</v>
      </c>
      <c r="S30" s="556" t="s">
        <v>1767</v>
      </c>
      <c r="T30" s="556" t="s">
        <v>1767</v>
      </c>
      <c r="U30" s="556" t="s">
        <v>1772</v>
      </c>
      <c r="V30" s="556">
        <f t="shared" si="0"/>
        <v>2.5000038474619832</v>
      </c>
    </row>
    <row r="31" spans="1:22" s="556" customFormat="1" ht="12.75">
      <c r="A31" s="556" t="s">
        <v>1892</v>
      </c>
      <c r="B31" s="556" t="s">
        <v>1763</v>
      </c>
      <c r="C31" s="556" t="s">
        <v>1764</v>
      </c>
      <c r="D31" s="556" t="s">
        <v>1765</v>
      </c>
      <c r="E31" s="556">
        <v>84786.55</v>
      </c>
      <c r="F31" s="556">
        <v>186530</v>
      </c>
      <c r="G31" s="556">
        <v>2.2000000000000002</v>
      </c>
      <c r="H31" s="556" t="s">
        <v>1767</v>
      </c>
      <c r="I31" s="556" t="s">
        <v>1893</v>
      </c>
      <c r="J31" s="556" t="s">
        <v>1800</v>
      </c>
      <c r="K31" s="556" t="s">
        <v>1890</v>
      </c>
      <c r="L31" s="556" t="s">
        <v>1894</v>
      </c>
      <c r="M31" s="556">
        <v>535500</v>
      </c>
      <c r="N31" s="556">
        <v>4210.57</v>
      </c>
      <c r="O31" s="556">
        <v>28708.52</v>
      </c>
      <c r="P31" s="556">
        <v>0.51</v>
      </c>
      <c r="Q31" s="556" t="s">
        <v>1771</v>
      </c>
      <c r="R31" s="556" t="s">
        <v>1767</v>
      </c>
      <c r="S31" s="556" t="s">
        <v>1767</v>
      </c>
      <c r="T31" s="556" t="s">
        <v>1767</v>
      </c>
      <c r="U31" s="556" t="s">
        <v>1772</v>
      </c>
      <c r="V31" s="556">
        <f t="shared" si="0"/>
        <v>2.199995164327361</v>
      </c>
    </row>
    <row r="32" spans="1:22" s="556" customFormat="1" ht="12.75">
      <c r="A32" s="556" t="s">
        <v>1895</v>
      </c>
      <c r="B32" s="556" t="s">
        <v>1763</v>
      </c>
      <c r="C32" s="556" t="s">
        <v>1764</v>
      </c>
      <c r="D32" s="556" t="s">
        <v>1814</v>
      </c>
      <c r="E32" s="556">
        <v>10423.85</v>
      </c>
      <c r="F32" s="556">
        <v>31272</v>
      </c>
      <c r="G32" s="556">
        <v>3</v>
      </c>
      <c r="H32" s="556" t="s">
        <v>1767</v>
      </c>
      <c r="I32" s="556" t="s">
        <v>1767</v>
      </c>
      <c r="J32" s="556" t="s">
        <v>1896</v>
      </c>
      <c r="K32" s="556" t="s">
        <v>1897</v>
      </c>
      <c r="L32" s="556" t="s">
        <v>1898</v>
      </c>
      <c r="M32" s="556">
        <v>165000</v>
      </c>
      <c r="N32" s="556">
        <v>10552.72</v>
      </c>
      <c r="O32" s="556">
        <v>52762.84</v>
      </c>
      <c r="P32" s="556">
        <v>33.5</v>
      </c>
      <c r="Q32" s="556" t="s">
        <v>1771</v>
      </c>
      <c r="R32" s="556" t="s">
        <v>1767</v>
      </c>
      <c r="S32" s="556">
        <v>36</v>
      </c>
      <c r="T32" s="556" t="s">
        <v>1767</v>
      </c>
      <c r="U32" s="556" t="s">
        <v>1824</v>
      </c>
      <c r="V32" s="556">
        <f t="shared" si="0"/>
        <v>3.0000431702298096</v>
      </c>
    </row>
    <row r="33" spans="1:22" s="556" customFormat="1" ht="12.75">
      <c r="A33" s="556" t="s">
        <v>1899</v>
      </c>
      <c r="B33" s="556" t="s">
        <v>1774</v>
      </c>
      <c r="C33" s="556" t="s">
        <v>1764</v>
      </c>
      <c r="D33" s="556" t="s">
        <v>1900</v>
      </c>
      <c r="E33" s="556">
        <v>99921.81</v>
      </c>
      <c r="F33" s="556">
        <v>109014</v>
      </c>
      <c r="G33" s="556">
        <v>1.1000000000000001</v>
      </c>
      <c r="H33" s="556" t="s">
        <v>1767</v>
      </c>
      <c r="I33" s="556" t="s">
        <v>1767</v>
      </c>
      <c r="J33" s="556" t="s">
        <v>1896</v>
      </c>
      <c r="K33" s="556" t="s">
        <v>1901</v>
      </c>
      <c r="L33" s="556" t="s">
        <v>1902</v>
      </c>
      <c r="M33" s="556">
        <v>596000</v>
      </c>
      <c r="N33" s="556">
        <v>3976.44</v>
      </c>
      <c r="O33" s="556">
        <v>54671.87</v>
      </c>
      <c r="P33" s="556">
        <v>49</v>
      </c>
      <c r="Q33" s="556" t="s">
        <v>1771</v>
      </c>
      <c r="R33" s="556" t="s">
        <v>1767</v>
      </c>
      <c r="S33" s="556">
        <v>36</v>
      </c>
      <c r="T33" s="556" t="s">
        <v>1767</v>
      </c>
      <c r="U33" s="556" t="s">
        <v>1786</v>
      </c>
      <c r="V33" s="556">
        <f t="shared" si="0"/>
        <v>1.0909930474638119</v>
      </c>
    </row>
    <row r="34" spans="1:22" s="556" customFormat="1" ht="12.75">
      <c r="A34" s="556" t="s">
        <v>1903</v>
      </c>
      <c r="B34" s="556" t="s">
        <v>1763</v>
      </c>
      <c r="C34" s="556" t="s">
        <v>1764</v>
      </c>
      <c r="D34" s="556" t="s">
        <v>1765</v>
      </c>
      <c r="E34" s="556">
        <v>82336.42</v>
      </c>
      <c r="F34" s="556">
        <v>139022</v>
      </c>
      <c r="G34" s="556" t="s">
        <v>1904</v>
      </c>
      <c r="H34" s="556" t="s">
        <v>1767</v>
      </c>
      <c r="I34" s="556" t="s">
        <v>1767</v>
      </c>
      <c r="J34" s="556" t="s">
        <v>1896</v>
      </c>
      <c r="K34" s="556" t="s">
        <v>1905</v>
      </c>
      <c r="L34" s="556" t="s">
        <v>1906</v>
      </c>
      <c r="M34" s="556">
        <v>580800</v>
      </c>
      <c r="N34" s="556">
        <v>4702.66</v>
      </c>
      <c r="O34" s="556">
        <v>41777.550000000003</v>
      </c>
      <c r="P34" s="556">
        <v>20</v>
      </c>
      <c r="Q34" s="556" t="s">
        <v>1771</v>
      </c>
      <c r="R34" s="556" t="s">
        <v>1767</v>
      </c>
      <c r="S34" s="556">
        <v>36</v>
      </c>
      <c r="T34" s="556" t="s">
        <v>1767</v>
      </c>
      <c r="U34" s="556" t="s">
        <v>1786</v>
      </c>
      <c r="V34" s="556">
        <f t="shared" si="0"/>
        <v>1.6884630155160985</v>
      </c>
    </row>
    <row r="35" spans="1:22" s="556" customFormat="1" ht="12.75">
      <c r="A35" s="556" t="s">
        <v>1907</v>
      </c>
      <c r="B35" s="556" t="s">
        <v>1763</v>
      </c>
      <c r="C35" s="556" t="s">
        <v>1764</v>
      </c>
      <c r="D35" s="556" t="s">
        <v>1765</v>
      </c>
      <c r="E35" s="556">
        <v>54881.23</v>
      </c>
      <c r="F35" s="556">
        <v>104288</v>
      </c>
      <c r="G35" s="556" t="s">
        <v>1908</v>
      </c>
      <c r="H35" s="556">
        <v>55019</v>
      </c>
      <c r="I35" s="556" t="s">
        <v>1767</v>
      </c>
      <c r="J35" s="556" t="s">
        <v>1909</v>
      </c>
      <c r="K35" s="556" t="s">
        <v>1905</v>
      </c>
      <c r="L35" s="556" t="s">
        <v>1910</v>
      </c>
      <c r="M35" s="556">
        <v>180550</v>
      </c>
      <c r="N35" s="556">
        <v>2193.2199999999998</v>
      </c>
      <c r="O35" s="556">
        <v>17312.63</v>
      </c>
      <c r="P35" s="556">
        <v>15</v>
      </c>
      <c r="Q35" s="556" t="s">
        <v>1771</v>
      </c>
      <c r="R35" s="556" t="s">
        <v>1767</v>
      </c>
      <c r="S35" s="556">
        <v>44</v>
      </c>
      <c r="T35" s="556" t="s">
        <v>1767</v>
      </c>
      <c r="U35" s="556" t="s">
        <v>1786</v>
      </c>
      <c r="V35" s="556">
        <f t="shared" ref="V35:V51" si="1">F35/E35</f>
        <v>1.9002489557905315</v>
      </c>
    </row>
    <row r="36" spans="1:22" s="556" customFormat="1" ht="12.75">
      <c r="A36" s="556" t="s">
        <v>1911</v>
      </c>
      <c r="B36" s="556" t="s">
        <v>1763</v>
      </c>
      <c r="C36" s="556" t="s">
        <v>1764</v>
      </c>
      <c r="D36" s="556" t="s">
        <v>1814</v>
      </c>
      <c r="E36" s="556">
        <v>59511.18</v>
      </c>
      <c r="F36" s="556">
        <v>89267</v>
      </c>
      <c r="G36" s="556">
        <v>1.5</v>
      </c>
      <c r="H36" s="556" t="s">
        <v>1767</v>
      </c>
      <c r="I36" s="556" t="s">
        <v>1767</v>
      </c>
      <c r="J36" s="556" t="s">
        <v>1861</v>
      </c>
      <c r="K36" s="556" t="s">
        <v>1912</v>
      </c>
      <c r="L36" s="556" t="s">
        <v>1913</v>
      </c>
      <c r="M36" s="556">
        <v>457500</v>
      </c>
      <c r="N36" s="556">
        <v>5125.09</v>
      </c>
      <c r="O36" s="556">
        <v>51250.73</v>
      </c>
      <c r="P36" s="556">
        <v>31.09</v>
      </c>
      <c r="Q36" s="556" t="s">
        <v>1817</v>
      </c>
      <c r="R36" s="556" t="s">
        <v>1767</v>
      </c>
      <c r="S36" s="556" t="s">
        <v>1767</v>
      </c>
      <c r="T36" s="556" t="s">
        <v>1767</v>
      </c>
      <c r="U36" s="556" t="s">
        <v>1772</v>
      </c>
      <c r="V36" s="556">
        <f t="shared" si="1"/>
        <v>1.500003864820022</v>
      </c>
    </row>
    <row r="37" spans="1:22" s="556" customFormat="1" ht="12.75">
      <c r="A37" s="556" t="s">
        <v>1914</v>
      </c>
      <c r="B37" s="556" t="s">
        <v>1763</v>
      </c>
      <c r="C37" s="556" t="s">
        <v>1764</v>
      </c>
      <c r="D37" s="556" t="s">
        <v>1814</v>
      </c>
      <c r="E37" s="556">
        <v>60374.36</v>
      </c>
      <c r="F37" s="556">
        <v>102636</v>
      </c>
      <c r="G37" s="556">
        <v>1.7</v>
      </c>
      <c r="H37" s="556" t="s">
        <v>1767</v>
      </c>
      <c r="I37" s="556" t="s">
        <v>1915</v>
      </c>
      <c r="J37" s="556" t="s">
        <v>1800</v>
      </c>
      <c r="K37" s="556" t="s">
        <v>1916</v>
      </c>
      <c r="L37" s="556" t="s">
        <v>1917</v>
      </c>
      <c r="M37" s="556">
        <v>326000</v>
      </c>
      <c r="N37" s="556">
        <v>3599.76</v>
      </c>
      <c r="O37" s="556">
        <v>31762.720000000001</v>
      </c>
      <c r="P37" s="556">
        <v>55.24</v>
      </c>
      <c r="Q37" s="556" t="s">
        <v>1817</v>
      </c>
      <c r="R37" s="556" t="s">
        <v>1767</v>
      </c>
      <c r="S37" s="556" t="s">
        <v>1767</v>
      </c>
      <c r="T37" s="556" t="s">
        <v>1767</v>
      </c>
      <c r="U37" s="556" t="s">
        <v>1772</v>
      </c>
      <c r="V37" s="556">
        <f t="shared" si="1"/>
        <v>1.6999931759110987</v>
      </c>
    </row>
    <row r="38" spans="1:22" s="556" customFormat="1" ht="12.75">
      <c r="A38" s="556" t="s">
        <v>1918</v>
      </c>
      <c r="B38" s="556" t="s">
        <v>1774</v>
      </c>
      <c r="C38" s="556" t="s">
        <v>1764</v>
      </c>
      <c r="D38" s="556" t="s">
        <v>1775</v>
      </c>
      <c r="E38" s="556">
        <v>74677.14</v>
      </c>
      <c r="F38" s="556">
        <v>237938</v>
      </c>
      <c r="G38" s="556">
        <v>3.19</v>
      </c>
      <c r="H38" s="556" t="s">
        <v>1767</v>
      </c>
      <c r="I38" s="556" t="s">
        <v>1767</v>
      </c>
      <c r="J38" s="556" t="s">
        <v>1767</v>
      </c>
      <c r="K38" s="556" t="s">
        <v>1919</v>
      </c>
      <c r="L38" s="556" t="s">
        <v>1920</v>
      </c>
      <c r="M38" s="556">
        <v>615200</v>
      </c>
      <c r="N38" s="556">
        <v>5492.09</v>
      </c>
      <c r="O38" s="556">
        <v>25855.47</v>
      </c>
      <c r="P38" s="556">
        <v>0</v>
      </c>
      <c r="Q38" s="556" t="s">
        <v>1771</v>
      </c>
      <c r="R38" s="556" t="s">
        <v>1767</v>
      </c>
      <c r="S38" s="556" t="s">
        <v>1767</v>
      </c>
      <c r="T38" s="556" t="s">
        <v>1767</v>
      </c>
      <c r="U38" s="556" t="s">
        <v>1772</v>
      </c>
      <c r="V38" s="556">
        <f t="shared" si="1"/>
        <v>3.1862227182240779</v>
      </c>
    </row>
    <row r="39" spans="1:22" s="556" customFormat="1" ht="12.75">
      <c r="A39" s="556" t="s">
        <v>1921</v>
      </c>
      <c r="B39" s="556" t="s">
        <v>1763</v>
      </c>
      <c r="C39" s="556" t="s">
        <v>1764</v>
      </c>
      <c r="D39" s="556" t="s">
        <v>1765</v>
      </c>
      <c r="E39" s="556">
        <v>83549.62</v>
      </c>
      <c r="F39" s="556">
        <v>138825</v>
      </c>
      <c r="G39" s="556">
        <v>1.66</v>
      </c>
      <c r="H39" s="556" t="s">
        <v>1767</v>
      </c>
      <c r="I39" s="556" t="s">
        <v>1767</v>
      </c>
      <c r="J39" s="556" t="s">
        <v>1922</v>
      </c>
      <c r="K39" s="556" t="s">
        <v>1923</v>
      </c>
      <c r="L39" s="556" t="s">
        <v>1924</v>
      </c>
      <c r="M39" s="556">
        <v>500000</v>
      </c>
      <c r="N39" s="556">
        <v>3989.65</v>
      </c>
      <c r="O39" s="556">
        <v>36016.559999999998</v>
      </c>
      <c r="P39" s="556">
        <v>30.21</v>
      </c>
      <c r="Q39" s="556" t="s">
        <v>1771</v>
      </c>
      <c r="R39" s="556" t="s">
        <v>1767</v>
      </c>
      <c r="S39" s="556">
        <v>100</v>
      </c>
      <c r="T39" s="556" t="s">
        <v>1767</v>
      </c>
      <c r="U39" s="556" t="s">
        <v>1772</v>
      </c>
      <c r="V39" s="556">
        <f t="shared" si="1"/>
        <v>1.6615874494701472</v>
      </c>
    </row>
    <row r="40" spans="1:22" s="556" customFormat="1" ht="12.75">
      <c r="A40" s="556" t="s">
        <v>1925</v>
      </c>
      <c r="B40" s="556" t="s">
        <v>1774</v>
      </c>
      <c r="C40" s="556" t="s">
        <v>1764</v>
      </c>
      <c r="D40" s="556" t="s">
        <v>1926</v>
      </c>
      <c r="E40" s="556">
        <v>85584.57</v>
      </c>
      <c r="F40" s="556">
        <v>162894</v>
      </c>
      <c r="G40" s="556">
        <v>1.9</v>
      </c>
      <c r="H40" s="556" t="s">
        <v>1767</v>
      </c>
      <c r="I40" s="556" t="s">
        <v>1767</v>
      </c>
      <c r="J40" s="556" t="s">
        <v>1922</v>
      </c>
      <c r="K40" s="556" t="s">
        <v>1923</v>
      </c>
      <c r="L40" s="556" t="s">
        <v>1927</v>
      </c>
      <c r="M40" s="556">
        <v>590000</v>
      </c>
      <c r="N40" s="556">
        <v>4595.84</v>
      </c>
      <c r="O40" s="556">
        <v>36219.870000000003</v>
      </c>
      <c r="P40" s="556">
        <v>34.090000000000003</v>
      </c>
      <c r="Q40" s="556" t="s">
        <v>1771</v>
      </c>
      <c r="R40" s="556" t="s">
        <v>1767</v>
      </c>
      <c r="S40" s="556">
        <v>100</v>
      </c>
      <c r="T40" s="556">
        <v>100</v>
      </c>
      <c r="U40" s="556" t="s">
        <v>1786</v>
      </c>
      <c r="V40" s="556">
        <f t="shared" si="1"/>
        <v>1.9033103747556364</v>
      </c>
    </row>
    <row r="41" spans="1:22" s="556" customFormat="1" ht="12.75">
      <c r="A41" s="556" t="s">
        <v>1928</v>
      </c>
      <c r="B41" s="556" t="s">
        <v>1774</v>
      </c>
      <c r="C41" s="556" t="s">
        <v>1764</v>
      </c>
      <c r="D41" s="556" t="s">
        <v>1926</v>
      </c>
      <c r="E41" s="556">
        <v>84241.64</v>
      </c>
      <c r="F41" s="556">
        <v>183336</v>
      </c>
      <c r="G41" s="556">
        <v>2.1800000000000002</v>
      </c>
      <c r="H41" s="556" t="s">
        <v>1767</v>
      </c>
      <c r="I41" s="556" t="s">
        <v>1767</v>
      </c>
      <c r="J41" s="556" t="s">
        <v>1768</v>
      </c>
      <c r="K41" s="556" t="s">
        <v>1929</v>
      </c>
      <c r="L41" s="556" t="s">
        <v>1930</v>
      </c>
      <c r="M41" s="556">
        <v>576000</v>
      </c>
      <c r="N41" s="556">
        <v>4558.32</v>
      </c>
      <c r="O41" s="556">
        <v>31417.72</v>
      </c>
      <c r="P41" s="556">
        <v>47.69</v>
      </c>
      <c r="Q41" s="556" t="s">
        <v>1771</v>
      </c>
      <c r="R41" s="556" t="s">
        <v>1767</v>
      </c>
      <c r="S41" s="556">
        <v>100</v>
      </c>
      <c r="T41" s="556">
        <v>10</v>
      </c>
      <c r="U41" s="556" t="s">
        <v>1786</v>
      </c>
      <c r="V41" s="556">
        <f t="shared" si="1"/>
        <v>2.1763109075274412</v>
      </c>
    </row>
    <row r="42" spans="1:22" s="556" customFormat="1" ht="12.75">
      <c r="A42" s="556" t="s">
        <v>1931</v>
      </c>
      <c r="B42" s="556" t="s">
        <v>1763</v>
      </c>
      <c r="C42" s="556" t="s">
        <v>1764</v>
      </c>
      <c r="D42" s="556" t="s">
        <v>1765</v>
      </c>
      <c r="E42" s="556">
        <v>43356.75</v>
      </c>
      <c r="F42" s="556">
        <v>91049</v>
      </c>
      <c r="G42" s="556">
        <v>2.1</v>
      </c>
      <c r="H42" s="556">
        <v>36000</v>
      </c>
      <c r="I42" s="556" t="s">
        <v>1932</v>
      </c>
      <c r="J42" s="556" t="s">
        <v>1800</v>
      </c>
      <c r="K42" s="556" t="s">
        <v>1933</v>
      </c>
      <c r="L42" s="556" t="s">
        <v>1934</v>
      </c>
      <c r="M42" s="556">
        <v>215000</v>
      </c>
      <c r="N42" s="556">
        <v>3305.91</v>
      </c>
      <c r="O42" s="556">
        <v>23613.65</v>
      </c>
      <c r="P42" s="556">
        <v>8.0399999999999991</v>
      </c>
      <c r="Q42" s="556" t="s">
        <v>1771</v>
      </c>
      <c r="R42" s="556" t="s">
        <v>1767</v>
      </c>
      <c r="S42" s="556" t="s">
        <v>1767</v>
      </c>
      <c r="T42" s="556" t="s">
        <v>1767</v>
      </c>
      <c r="U42" s="556" t="s">
        <v>1786</v>
      </c>
      <c r="V42" s="556">
        <f t="shared" si="1"/>
        <v>2.0999959637196053</v>
      </c>
    </row>
    <row r="43" spans="1:22" s="556" customFormat="1" ht="12.75">
      <c r="A43" s="556" t="s">
        <v>1935</v>
      </c>
      <c r="B43" s="556" t="s">
        <v>1774</v>
      </c>
      <c r="C43" s="556" t="s">
        <v>1764</v>
      </c>
      <c r="D43" s="556" t="s">
        <v>1936</v>
      </c>
      <c r="E43" s="556">
        <v>56169.07</v>
      </c>
      <c r="F43" s="556">
        <v>123983</v>
      </c>
      <c r="G43" s="556">
        <v>2.21</v>
      </c>
      <c r="H43" s="556">
        <v>21100</v>
      </c>
      <c r="I43" s="556" t="s">
        <v>1767</v>
      </c>
      <c r="J43" s="556" t="s">
        <v>1767</v>
      </c>
      <c r="K43" s="556" t="s">
        <v>1937</v>
      </c>
      <c r="L43" s="556" t="s">
        <v>1938</v>
      </c>
      <c r="M43" s="556">
        <v>513500</v>
      </c>
      <c r="N43" s="556">
        <v>6094.69</v>
      </c>
      <c r="O43" s="556">
        <v>41416.97</v>
      </c>
      <c r="P43" s="556">
        <v>1.99</v>
      </c>
      <c r="Q43" s="556" t="s">
        <v>1771</v>
      </c>
      <c r="R43" s="556" t="s">
        <v>1767</v>
      </c>
      <c r="S43" s="556" t="s">
        <v>1767</v>
      </c>
      <c r="T43" s="556" t="s">
        <v>1767</v>
      </c>
      <c r="U43" s="556" t="s">
        <v>1772</v>
      </c>
      <c r="V43" s="556">
        <f t="shared" si="1"/>
        <v>2.2073180132767019</v>
      </c>
    </row>
    <row r="44" spans="1:22" s="556" customFormat="1" ht="12.75">
      <c r="A44" s="556" t="s">
        <v>1939</v>
      </c>
      <c r="B44" s="556" t="s">
        <v>1774</v>
      </c>
      <c r="C44" s="556" t="s">
        <v>1764</v>
      </c>
      <c r="D44" s="556" t="s">
        <v>1814</v>
      </c>
      <c r="E44" s="556">
        <v>41963.66</v>
      </c>
      <c r="F44" s="556">
        <v>117498</v>
      </c>
      <c r="G44" s="556">
        <v>2.8</v>
      </c>
      <c r="H44" s="556">
        <v>28000</v>
      </c>
      <c r="I44" s="556" t="s">
        <v>1940</v>
      </c>
      <c r="J44" s="556" t="s">
        <v>1767</v>
      </c>
      <c r="K44" s="556" t="s">
        <v>1941</v>
      </c>
      <c r="L44" s="556" t="s">
        <v>1942</v>
      </c>
      <c r="M44" s="556">
        <v>330000</v>
      </c>
      <c r="N44" s="556">
        <v>5242.63</v>
      </c>
      <c r="O44" s="556">
        <v>28085.58</v>
      </c>
      <c r="P44" s="556">
        <v>50</v>
      </c>
      <c r="Q44" s="556" t="s">
        <v>1771</v>
      </c>
      <c r="R44" s="556" t="s">
        <v>1767</v>
      </c>
      <c r="S44" s="556" t="s">
        <v>1767</v>
      </c>
      <c r="T44" s="556" t="s">
        <v>1767</v>
      </c>
      <c r="U44" s="556" t="s">
        <v>1772</v>
      </c>
      <c r="V44" s="556">
        <f t="shared" si="1"/>
        <v>2.7999940901246458</v>
      </c>
    </row>
    <row r="45" spans="1:22" s="556" customFormat="1" ht="12.75">
      <c r="A45" s="556" t="s">
        <v>1943</v>
      </c>
      <c r="B45" s="556" t="s">
        <v>1774</v>
      </c>
      <c r="C45" s="556" t="s">
        <v>1764</v>
      </c>
      <c r="D45" s="556" t="s">
        <v>1944</v>
      </c>
      <c r="E45" s="556">
        <v>69123.38</v>
      </c>
      <c r="F45" s="556">
        <v>89860</v>
      </c>
      <c r="G45" s="556">
        <v>1.3</v>
      </c>
      <c r="H45" s="556" t="s">
        <v>1767</v>
      </c>
      <c r="I45" s="556" t="s">
        <v>1767</v>
      </c>
      <c r="J45" s="556" t="s">
        <v>1767</v>
      </c>
      <c r="K45" s="556" t="s">
        <v>1945</v>
      </c>
      <c r="L45" s="556" t="s">
        <v>1946</v>
      </c>
      <c r="M45" s="556">
        <v>294000</v>
      </c>
      <c r="N45" s="556">
        <v>2835.51</v>
      </c>
      <c r="O45" s="556">
        <v>32717.56</v>
      </c>
      <c r="P45" s="556">
        <v>50</v>
      </c>
      <c r="Q45" s="556" t="s">
        <v>1947</v>
      </c>
      <c r="R45" s="556" t="s">
        <v>1767</v>
      </c>
      <c r="S45" s="556" t="s">
        <v>1767</v>
      </c>
      <c r="T45" s="556" t="s">
        <v>1767</v>
      </c>
      <c r="U45" s="556" t="s">
        <v>1772</v>
      </c>
      <c r="V45" s="556">
        <f t="shared" si="1"/>
        <v>1.2999943000472487</v>
      </c>
    </row>
    <row r="46" spans="1:22" s="556" customFormat="1" ht="12.75">
      <c r="A46" s="556" t="s">
        <v>1948</v>
      </c>
      <c r="B46" s="556" t="s">
        <v>1774</v>
      </c>
      <c r="C46" s="556" t="s">
        <v>1764</v>
      </c>
      <c r="D46" s="556" t="s">
        <v>1814</v>
      </c>
      <c r="E46" s="556">
        <v>63913.14</v>
      </c>
      <c r="F46" s="556">
        <v>159783</v>
      </c>
      <c r="G46" s="556">
        <v>2.5</v>
      </c>
      <c r="H46" s="556">
        <v>89000</v>
      </c>
      <c r="I46" s="556" t="s">
        <v>1767</v>
      </c>
      <c r="J46" s="556" t="s">
        <v>1767</v>
      </c>
      <c r="K46" s="556" t="s">
        <v>1949</v>
      </c>
      <c r="L46" s="556" t="s">
        <v>1950</v>
      </c>
      <c r="M46" s="556">
        <v>425000</v>
      </c>
      <c r="N46" s="556">
        <v>4433.1000000000004</v>
      </c>
      <c r="O46" s="556">
        <v>26598.560000000001</v>
      </c>
      <c r="P46" s="556">
        <v>39.340000000000003</v>
      </c>
      <c r="Q46" s="556" t="s">
        <v>1947</v>
      </c>
      <c r="R46" s="556" t="s">
        <v>1767</v>
      </c>
      <c r="S46" s="556" t="s">
        <v>1767</v>
      </c>
      <c r="T46" s="556" t="s">
        <v>1767</v>
      </c>
      <c r="U46" s="556" t="s">
        <v>1824</v>
      </c>
      <c r="V46" s="556">
        <f t="shared" si="1"/>
        <v>2.500002346935231</v>
      </c>
    </row>
    <row r="47" spans="1:22" s="556" customFormat="1" ht="12.75">
      <c r="A47" s="556" t="s">
        <v>1951</v>
      </c>
      <c r="B47" s="556" t="s">
        <v>1774</v>
      </c>
      <c r="C47" s="556" t="s">
        <v>1764</v>
      </c>
      <c r="D47" s="556" t="s">
        <v>1952</v>
      </c>
      <c r="E47" s="556">
        <v>121096.3</v>
      </c>
      <c r="F47" s="556">
        <v>143685</v>
      </c>
      <c r="G47" s="556">
        <v>1.19</v>
      </c>
      <c r="H47" s="556" t="s">
        <v>1767</v>
      </c>
      <c r="I47" s="556" t="s">
        <v>1767</v>
      </c>
      <c r="J47" s="556" t="s">
        <v>1767</v>
      </c>
      <c r="K47" s="556" t="s">
        <v>1953</v>
      </c>
      <c r="L47" s="556" t="s">
        <v>1954</v>
      </c>
      <c r="M47" s="556">
        <v>648300</v>
      </c>
      <c r="N47" s="556">
        <v>3569.06</v>
      </c>
      <c r="O47" s="556">
        <v>45119.519999999997</v>
      </c>
      <c r="P47" s="556">
        <v>50</v>
      </c>
      <c r="Q47" s="556" t="s">
        <v>1947</v>
      </c>
      <c r="R47" s="556" t="s">
        <v>1767</v>
      </c>
      <c r="S47" s="556" t="s">
        <v>1767</v>
      </c>
      <c r="T47" s="556" t="s">
        <v>1767</v>
      </c>
      <c r="U47" s="556" t="s">
        <v>1786</v>
      </c>
      <c r="V47" s="556">
        <f t="shared" si="1"/>
        <v>1.1865350138691273</v>
      </c>
    </row>
    <row r="48" spans="1:22" s="556" customFormat="1" ht="12.75">
      <c r="A48" s="556" t="s">
        <v>1955</v>
      </c>
      <c r="B48" s="556" t="s">
        <v>1774</v>
      </c>
      <c r="C48" s="556" t="s">
        <v>1764</v>
      </c>
      <c r="D48" s="556" t="s">
        <v>1814</v>
      </c>
      <c r="E48" s="556">
        <v>65219.27</v>
      </c>
      <c r="F48" s="556">
        <v>208702</v>
      </c>
      <c r="G48" s="556">
        <v>3.2</v>
      </c>
      <c r="H48" s="556">
        <v>7500</v>
      </c>
      <c r="I48" s="556" t="s">
        <v>1956</v>
      </c>
      <c r="J48" s="556" t="s">
        <v>1767</v>
      </c>
      <c r="K48" s="556" t="s">
        <v>1957</v>
      </c>
      <c r="L48" s="556" t="s">
        <v>1958</v>
      </c>
      <c r="M48" s="556">
        <v>564000</v>
      </c>
      <c r="N48" s="556">
        <v>5765.17</v>
      </c>
      <c r="O48" s="556">
        <v>27024.18</v>
      </c>
      <c r="P48" s="556">
        <v>48.93</v>
      </c>
      <c r="Q48" s="556" t="s">
        <v>1959</v>
      </c>
      <c r="R48" s="556" t="s">
        <v>1767</v>
      </c>
      <c r="S48" s="556" t="s">
        <v>1767</v>
      </c>
      <c r="T48" s="556" t="s">
        <v>1767</v>
      </c>
      <c r="U48" s="556" t="s">
        <v>1772</v>
      </c>
      <c r="V48" s="556">
        <f t="shared" si="1"/>
        <v>3.2000051518515926</v>
      </c>
    </row>
    <row r="49" spans="1:22" s="556" customFormat="1" ht="12.75">
      <c r="A49" s="556" t="s">
        <v>1960</v>
      </c>
      <c r="B49" s="556" t="s">
        <v>1774</v>
      </c>
      <c r="C49" s="556" t="s">
        <v>1764</v>
      </c>
      <c r="D49" s="556" t="s">
        <v>1961</v>
      </c>
      <c r="E49" s="556">
        <v>46486.13</v>
      </c>
      <c r="F49" s="556">
        <v>68269</v>
      </c>
      <c r="G49" s="556">
        <v>1.47</v>
      </c>
      <c r="H49" s="556" t="s">
        <v>1767</v>
      </c>
      <c r="I49" s="556" t="s">
        <v>1962</v>
      </c>
      <c r="J49" s="556" t="s">
        <v>1767</v>
      </c>
      <c r="K49" s="556" t="s">
        <v>1963</v>
      </c>
      <c r="L49" s="556" t="s">
        <v>1964</v>
      </c>
      <c r="M49" s="556">
        <v>112500</v>
      </c>
      <c r="N49" s="556">
        <v>1613.38</v>
      </c>
      <c r="O49" s="556">
        <v>16478.93</v>
      </c>
      <c r="P49" s="556">
        <v>42.23</v>
      </c>
      <c r="Q49" s="556" t="s">
        <v>1959</v>
      </c>
      <c r="R49" s="556" t="s">
        <v>1767</v>
      </c>
      <c r="S49" s="556" t="s">
        <v>1767</v>
      </c>
      <c r="T49" s="556" t="s">
        <v>1767</v>
      </c>
      <c r="U49" s="556" t="s">
        <v>1824</v>
      </c>
      <c r="V49" s="556">
        <f t="shared" si="1"/>
        <v>1.4685885876066691</v>
      </c>
    </row>
    <row r="50" spans="1:22" s="556" customFormat="1" ht="12.75">
      <c r="A50" s="556" t="s">
        <v>1965</v>
      </c>
      <c r="B50" s="556" t="s">
        <v>1774</v>
      </c>
      <c r="C50" s="556" t="s">
        <v>1764</v>
      </c>
      <c r="D50" s="556" t="s">
        <v>1814</v>
      </c>
      <c r="E50" s="556">
        <v>5378.6</v>
      </c>
      <c r="F50" s="556">
        <v>16136</v>
      </c>
      <c r="G50" s="556">
        <v>3</v>
      </c>
      <c r="H50" s="556" t="s">
        <v>1767</v>
      </c>
      <c r="I50" s="556" t="s">
        <v>1767</v>
      </c>
      <c r="J50" s="556" t="s">
        <v>1767</v>
      </c>
      <c r="K50" s="556" t="s">
        <v>1966</v>
      </c>
      <c r="L50" s="556" t="s">
        <v>1967</v>
      </c>
      <c r="M50" s="556">
        <v>60900</v>
      </c>
      <c r="N50" s="556">
        <v>7548.43</v>
      </c>
      <c r="O50" s="556">
        <v>37741.69</v>
      </c>
      <c r="P50" s="556">
        <v>1.5</v>
      </c>
      <c r="Q50" s="556" t="s">
        <v>1959</v>
      </c>
      <c r="R50" s="556" t="s">
        <v>1767</v>
      </c>
      <c r="S50" s="556" t="s">
        <v>1767</v>
      </c>
      <c r="T50" s="556" t="s">
        <v>1767</v>
      </c>
      <c r="U50" s="556" t="s">
        <v>1824</v>
      </c>
      <c r="V50" s="556">
        <f t="shared" si="1"/>
        <v>3.0000371843974265</v>
      </c>
    </row>
    <row r="51" spans="1:22" s="556" customFormat="1" ht="12.75">
      <c r="A51" s="556" t="s">
        <v>1968</v>
      </c>
      <c r="B51" s="556" t="s">
        <v>1763</v>
      </c>
      <c r="C51" s="556" t="s">
        <v>1797</v>
      </c>
      <c r="D51" s="556" t="s">
        <v>1765</v>
      </c>
      <c r="E51" s="556">
        <v>30781.8</v>
      </c>
      <c r="F51" s="556">
        <v>92345</v>
      </c>
      <c r="G51" s="556">
        <v>3</v>
      </c>
      <c r="H51" s="556" t="s">
        <v>1767</v>
      </c>
      <c r="I51" s="556" t="s">
        <v>1767</v>
      </c>
      <c r="J51" s="556" t="s">
        <v>1767</v>
      </c>
      <c r="K51" s="556" t="s">
        <v>1969</v>
      </c>
      <c r="L51" s="556" t="s">
        <v>1970</v>
      </c>
      <c r="M51" s="556">
        <v>50000</v>
      </c>
      <c r="N51" s="556">
        <v>1082.8900000000001</v>
      </c>
      <c r="O51" s="556">
        <v>5414.47</v>
      </c>
      <c r="P51" s="556" t="s">
        <v>1767</v>
      </c>
      <c r="Q51" s="556" t="s">
        <v>1971</v>
      </c>
      <c r="R51" s="556" t="s">
        <v>1767</v>
      </c>
      <c r="S51" s="556" t="s">
        <v>1767</v>
      </c>
      <c r="T51" s="556" t="s">
        <v>1767</v>
      </c>
      <c r="U51" s="556" t="s">
        <v>1824</v>
      </c>
      <c r="V51" s="556">
        <f t="shared" si="1"/>
        <v>2.9999870053083315</v>
      </c>
    </row>
    <row r="161" spans="1:16383">
      <c r="A161" s="3070" t="s">
        <v>1741</v>
      </c>
      <c r="B161" s="3070" t="s">
        <v>2795</v>
      </c>
      <c r="C161" s="3070" t="s">
        <v>1742</v>
      </c>
      <c r="D161" s="3070" t="s">
        <v>1745</v>
      </c>
      <c r="E161" s="3070" t="s">
        <v>1746</v>
      </c>
      <c r="F161" s="3070" t="s">
        <v>1747</v>
      </c>
      <c r="G161" s="3070" t="s">
        <v>1743</v>
      </c>
      <c r="H161" s="3070" t="s">
        <v>1744</v>
      </c>
      <c r="I161" s="3070" t="s">
        <v>2796</v>
      </c>
      <c r="J161" s="3070" t="s">
        <v>1751</v>
      </c>
      <c r="K161" s="3070" t="s">
        <v>2797</v>
      </c>
      <c r="L161" s="3070" t="s">
        <v>1753</v>
      </c>
      <c r="M161" s="3070" t="s">
        <v>1755</v>
      </c>
      <c r="N161" s="3070" t="s">
        <v>1756</v>
      </c>
      <c r="O161" s="3070" t="s">
        <v>1752</v>
      </c>
      <c r="P161" s="3070" t="s">
        <v>1761</v>
      </c>
      <c r="Q161" s="3071" t="s">
        <v>2848</v>
      </c>
      <c r="R161" s="3071" t="s">
        <v>2849</v>
      </c>
    </row>
    <row r="162" spans="1:16383">
      <c r="A162" s="3070" t="s">
        <v>2798</v>
      </c>
      <c r="B162" s="3070" t="s">
        <v>343</v>
      </c>
      <c r="C162" s="3070" t="s">
        <v>1774</v>
      </c>
      <c r="D162" s="3070">
        <v>41058.97</v>
      </c>
      <c r="E162" s="3070">
        <v>103031</v>
      </c>
      <c r="F162" s="3070" t="s">
        <v>2799</v>
      </c>
      <c r="G162" s="3070" t="s">
        <v>1764</v>
      </c>
      <c r="H162" s="3070" t="s">
        <v>2800</v>
      </c>
      <c r="I162" s="3070" t="s">
        <v>2801</v>
      </c>
      <c r="J162" s="3070" t="s">
        <v>2801</v>
      </c>
      <c r="K162" s="3070">
        <v>379500</v>
      </c>
      <c r="L162" s="3070">
        <v>480000</v>
      </c>
      <c r="M162" s="3070">
        <v>46587.91</v>
      </c>
      <c r="N162" s="3070">
        <v>26.48</v>
      </c>
      <c r="O162" s="3070" t="s">
        <v>2802</v>
      </c>
      <c r="P162" s="3070" t="s">
        <v>1772</v>
      </c>
    </row>
    <row r="163" spans="1:16383">
      <c r="A163" s="3070" t="s">
        <v>2803</v>
      </c>
      <c r="B163" s="3070" t="s">
        <v>343</v>
      </c>
      <c r="C163" s="3070" t="s">
        <v>1774</v>
      </c>
      <c r="D163" s="3070">
        <v>44670.31</v>
      </c>
      <c r="E163" s="3070">
        <v>119857</v>
      </c>
      <c r="F163" s="3070" t="s">
        <v>2804</v>
      </c>
      <c r="G163" s="3070" t="s">
        <v>1764</v>
      </c>
      <c r="H163" s="3070" t="s">
        <v>2800</v>
      </c>
      <c r="I163" s="3070" t="s">
        <v>2801</v>
      </c>
      <c r="J163" s="3070" t="s">
        <v>2801</v>
      </c>
      <c r="K163" s="3070">
        <v>250300</v>
      </c>
      <c r="L163" s="3070">
        <v>296000</v>
      </c>
      <c r="M163" s="3070">
        <v>24696.09</v>
      </c>
      <c r="N163" s="3070">
        <v>18.260000000000002</v>
      </c>
      <c r="O163" s="3070" t="s">
        <v>2805</v>
      </c>
      <c r="P163" s="3070" t="s">
        <v>1772</v>
      </c>
    </row>
    <row r="164" spans="1:16383">
      <c r="A164" s="3070" t="s">
        <v>2806</v>
      </c>
      <c r="B164" s="3070" t="s">
        <v>343</v>
      </c>
      <c r="C164" s="3070" t="s">
        <v>1763</v>
      </c>
      <c r="D164" s="3070">
        <v>17831.97</v>
      </c>
      <c r="E164" s="3070">
        <v>55141</v>
      </c>
      <c r="F164" s="3070" t="s">
        <v>1766</v>
      </c>
      <c r="G164" s="3070" t="s">
        <v>1764</v>
      </c>
      <c r="H164" s="3070" t="s">
        <v>1765</v>
      </c>
      <c r="I164" s="3070" t="s">
        <v>2807</v>
      </c>
      <c r="J164" s="3070" t="s">
        <v>2807</v>
      </c>
      <c r="K164" s="3070">
        <v>295600</v>
      </c>
      <c r="L164" s="3070">
        <v>420000</v>
      </c>
      <c r="M164" s="3070">
        <v>76168.36</v>
      </c>
      <c r="N164" s="3070">
        <v>42.08</v>
      </c>
      <c r="O164" s="3070" t="s">
        <v>2808</v>
      </c>
      <c r="P164" s="3070" t="s">
        <v>1824</v>
      </c>
    </row>
    <row r="165" spans="1:16383" s="3073" customFormat="1">
      <c r="A165" s="3072" t="s">
        <v>2809</v>
      </c>
      <c r="B165" s="3072" t="s">
        <v>343</v>
      </c>
      <c r="C165" s="3072" t="s">
        <v>1763</v>
      </c>
      <c r="D165" s="3072">
        <v>29750.73</v>
      </c>
      <c r="E165" s="3072">
        <v>88484</v>
      </c>
      <c r="F165" s="3072" t="s">
        <v>1766</v>
      </c>
      <c r="G165" s="3072" t="s">
        <v>1764</v>
      </c>
      <c r="H165" s="3072" t="s">
        <v>1765</v>
      </c>
      <c r="I165" s="3072" t="s">
        <v>2807</v>
      </c>
      <c r="J165" s="3072" t="s">
        <v>2807</v>
      </c>
      <c r="K165" s="3072">
        <v>474400</v>
      </c>
      <c r="L165" s="3072">
        <v>654000</v>
      </c>
      <c r="M165" s="3072">
        <v>73911.66</v>
      </c>
      <c r="N165" s="3072">
        <v>37.86</v>
      </c>
      <c r="O165" s="3072" t="s">
        <v>2810</v>
      </c>
      <c r="P165" s="3072" t="s">
        <v>1824</v>
      </c>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c r="AO165" s="558"/>
      <c r="AP165" s="558"/>
      <c r="AQ165" s="558"/>
      <c r="AR165" s="558"/>
      <c r="AS165" s="558"/>
      <c r="AT165" s="558"/>
      <c r="AU165" s="558"/>
      <c r="AV165" s="558"/>
      <c r="AW165" s="558"/>
      <c r="AX165" s="558"/>
      <c r="AY165" s="558"/>
      <c r="AZ165" s="558"/>
      <c r="BA165" s="558"/>
      <c r="BB165" s="558"/>
      <c r="BC165" s="558"/>
      <c r="BD165" s="558"/>
      <c r="BE165" s="558"/>
      <c r="BF165" s="558"/>
      <c r="BG165" s="558"/>
      <c r="BH165" s="558"/>
      <c r="BI165" s="558"/>
      <c r="BJ165" s="558"/>
      <c r="BK165" s="558"/>
      <c r="BL165" s="558"/>
      <c r="BM165" s="558"/>
      <c r="BN165" s="558"/>
      <c r="BO165" s="558"/>
      <c r="BP165" s="558"/>
      <c r="BQ165" s="558"/>
      <c r="BR165" s="558"/>
      <c r="BS165" s="558"/>
      <c r="BT165" s="558"/>
      <c r="BU165" s="558"/>
      <c r="BV165" s="558"/>
      <c r="BW165" s="558"/>
      <c r="BX165" s="558"/>
      <c r="BY165" s="558"/>
      <c r="BZ165" s="558"/>
      <c r="CA165" s="558"/>
      <c r="CB165" s="558"/>
      <c r="CC165" s="558"/>
      <c r="CD165" s="558"/>
      <c r="CE165" s="558"/>
      <c r="CF165" s="558"/>
      <c r="CG165" s="558"/>
      <c r="CH165" s="558"/>
      <c r="CI165" s="558"/>
      <c r="CJ165" s="558"/>
      <c r="CK165" s="558"/>
      <c r="CL165" s="558"/>
      <c r="CM165" s="558"/>
      <c r="CN165" s="558"/>
      <c r="CO165" s="558"/>
      <c r="CP165" s="558"/>
      <c r="CQ165" s="558"/>
      <c r="CR165" s="558"/>
      <c r="CS165" s="558"/>
      <c r="CT165" s="558"/>
      <c r="CU165" s="558"/>
      <c r="CV165" s="558"/>
      <c r="CW165" s="558"/>
      <c r="CX165" s="558"/>
      <c r="CY165" s="558"/>
      <c r="CZ165" s="558"/>
      <c r="DA165" s="558"/>
      <c r="DB165" s="558"/>
      <c r="DC165" s="558"/>
      <c r="DD165" s="558"/>
      <c r="DE165" s="558"/>
      <c r="DF165" s="558"/>
      <c r="DG165" s="558"/>
      <c r="DH165" s="558"/>
      <c r="DI165" s="558"/>
      <c r="DJ165" s="558"/>
      <c r="DK165" s="558"/>
      <c r="DL165" s="558"/>
      <c r="DM165" s="558"/>
      <c r="DN165" s="558"/>
      <c r="DO165" s="558"/>
      <c r="DP165" s="558"/>
      <c r="DQ165" s="558"/>
      <c r="DR165" s="558"/>
      <c r="DS165" s="558"/>
      <c r="DT165" s="558"/>
      <c r="DU165" s="558"/>
      <c r="DV165" s="558"/>
      <c r="DW165" s="558"/>
      <c r="DX165" s="558"/>
      <c r="DY165" s="558"/>
      <c r="DZ165" s="558"/>
      <c r="EA165" s="558"/>
      <c r="EB165" s="558"/>
      <c r="EC165" s="558"/>
      <c r="ED165" s="558"/>
      <c r="EE165" s="558"/>
      <c r="EF165" s="558"/>
      <c r="EG165" s="558"/>
      <c r="EH165" s="558"/>
      <c r="EI165" s="558"/>
      <c r="EJ165" s="558"/>
      <c r="EK165" s="558"/>
      <c r="EL165" s="558"/>
      <c r="EM165" s="558"/>
      <c r="EN165" s="558"/>
      <c r="EO165" s="558"/>
      <c r="EP165" s="558"/>
      <c r="EQ165" s="558"/>
      <c r="ER165" s="558"/>
      <c r="ES165" s="558"/>
      <c r="ET165" s="558"/>
      <c r="EU165" s="558"/>
      <c r="EV165" s="558"/>
      <c r="EW165" s="558"/>
      <c r="EX165" s="558"/>
      <c r="EY165" s="558"/>
      <c r="EZ165" s="558"/>
      <c r="FA165" s="558"/>
      <c r="FB165" s="558"/>
      <c r="FC165" s="558"/>
      <c r="FD165" s="558"/>
      <c r="FE165" s="558"/>
      <c r="FF165" s="558"/>
      <c r="FG165" s="558"/>
      <c r="FH165" s="558"/>
      <c r="FI165" s="558"/>
      <c r="FJ165" s="558"/>
      <c r="FK165" s="558"/>
      <c r="FL165" s="558"/>
      <c r="FM165" s="558"/>
      <c r="FN165" s="558"/>
      <c r="FO165" s="558"/>
      <c r="FP165" s="558"/>
      <c r="FQ165" s="558"/>
      <c r="FR165" s="558"/>
      <c r="FS165" s="558"/>
      <c r="FT165" s="558"/>
      <c r="FU165" s="558"/>
      <c r="FV165" s="558"/>
      <c r="FW165" s="558"/>
      <c r="FX165" s="558"/>
      <c r="FY165" s="558"/>
      <c r="FZ165" s="558"/>
      <c r="GA165" s="558"/>
      <c r="GB165" s="558"/>
      <c r="GC165" s="558"/>
      <c r="GD165" s="558"/>
      <c r="GE165" s="558"/>
      <c r="GF165" s="558"/>
      <c r="GG165" s="558"/>
      <c r="GH165" s="558"/>
      <c r="GI165" s="558"/>
      <c r="GJ165" s="558"/>
      <c r="GK165" s="558"/>
      <c r="GL165" s="558"/>
      <c r="GM165" s="558"/>
      <c r="GN165" s="558"/>
      <c r="GO165" s="558"/>
      <c r="GP165" s="558"/>
      <c r="GQ165" s="558"/>
      <c r="GR165" s="558"/>
      <c r="GS165" s="558"/>
      <c r="GT165" s="558"/>
      <c r="GU165" s="558"/>
      <c r="GV165" s="558"/>
      <c r="GW165" s="558"/>
      <c r="GX165" s="558"/>
      <c r="GY165" s="558"/>
      <c r="GZ165" s="558"/>
      <c r="HA165" s="558"/>
      <c r="HB165" s="558"/>
      <c r="HC165" s="558"/>
      <c r="HD165" s="558"/>
      <c r="HE165" s="558"/>
      <c r="HF165" s="558"/>
      <c r="HG165" s="558"/>
      <c r="HH165" s="558"/>
      <c r="HI165" s="558"/>
      <c r="HJ165" s="558"/>
      <c r="HK165" s="558"/>
      <c r="HL165" s="558"/>
      <c r="HM165" s="558"/>
      <c r="HN165" s="558"/>
      <c r="HO165" s="558"/>
      <c r="HP165" s="558"/>
      <c r="HQ165" s="558"/>
      <c r="HR165" s="558"/>
      <c r="HS165" s="558"/>
      <c r="HT165" s="558"/>
      <c r="HU165" s="558"/>
      <c r="HV165" s="558"/>
      <c r="HW165" s="558"/>
      <c r="HX165" s="558"/>
      <c r="HY165" s="558"/>
      <c r="HZ165" s="558"/>
      <c r="IA165" s="558"/>
      <c r="IB165" s="558"/>
      <c r="IC165" s="558"/>
      <c r="ID165" s="558"/>
      <c r="IE165" s="558"/>
      <c r="IF165" s="558"/>
      <c r="IG165" s="558"/>
      <c r="IH165" s="558"/>
      <c r="II165" s="558"/>
      <c r="IJ165" s="558"/>
      <c r="IK165" s="558"/>
      <c r="IL165" s="558"/>
      <c r="IM165" s="558"/>
      <c r="IN165" s="558"/>
      <c r="IO165" s="558"/>
      <c r="IP165" s="558"/>
      <c r="IQ165" s="558"/>
      <c r="IR165" s="558"/>
      <c r="IS165" s="558"/>
      <c r="IT165" s="558"/>
      <c r="IU165" s="558"/>
      <c r="IV165" s="558"/>
      <c r="IW165" s="558"/>
      <c r="IX165" s="558"/>
      <c r="IY165" s="558"/>
      <c r="IZ165" s="558"/>
      <c r="JA165" s="558"/>
      <c r="JB165" s="558"/>
      <c r="JC165" s="558"/>
      <c r="JD165" s="558"/>
      <c r="JE165" s="558"/>
      <c r="JF165" s="558"/>
      <c r="JG165" s="558"/>
      <c r="JH165" s="558"/>
      <c r="JI165" s="558"/>
      <c r="JJ165" s="558"/>
      <c r="JK165" s="558"/>
      <c r="JL165" s="558"/>
      <c r="JM165" s="558"/>
      <c r="JN165" s="558"/>
      <c r="JO165" s="558"/>
      <c r="JP165" s="558"/>
      <c r="JQ165" s="558"/>
      <c r="JR165" s="558"/>
      <c r="JS165" s="558"/>
      <c r="JT165" s="558"/>
      <c r="JU165" s="558"/>
      <c r="JV165" s="558"/>
      <c r="JW165" s="558"/>
      <c r="JX165" s="558"/>
      <c r="JY165" s="558"/>
      <c r="JZ165" s="558"/>
      <c r="KA165" s="558"/>
      <c r="KB165" s="558"/>
      <c r="KC165" s="558"/>
      <c r="KD165" s="558"/>
      <c r="KE165" s="558"/>
      <c r="KF165" s="558"/>
      <c r="KG165" s="558"/>
      <c r="KH165" s="558"/>
      <c r="KI165" s="558"/>
      <c r="KJ165" s="558"/>
      <c r="KK165" s="558"/>
      <c r="KL165" s="558"/>
      <c r="KM165" s="558"/>
      <c r="KN165" s="558"/>
      <c r="KO165" s="558"/>
      <c r="KP165" s="558"/>
      <c r="KQ165" s="558"/>
      <c r="KR165" s="558"/>
      <c r="KS165" s="558"/>
      <c r="KT165" s="558"/>
      <c r="KU165" s="558"/>
      <c r="KV165" s="558"/>
      <c r="KW165" s="558"/>
      <c r="KX165" s="558"/>
      <c r="KY165" s="558"/>
      <c r="KZ165" s="558"/>
      <c r="LA165" s="558"/>
      <c r="LB165" s="558"/>
      <c r="LC165" s="558"/>
      <c r="LD165" s="558"/>
      <c r="LE165" s="558"/>
      <c r="LF165" s="558"/>
      <c r="LG165" s="558"/>
      <c r="LH165" s="558"/>
      <c r="LI165" s="558"/>
      <c r="LJ165" s="558"/>
      <c r="LK165" s="558"/>
      <c r="LL165" s="558"/>
      <c r="LM165" s="558"/>
      <c r="LN165" s="558"/>
      <c r="LO165" s="558"/>
      <c r="LP165" s="558"/>
      <c r="LQ165" s="558"/>
      <c r="LR165" s="558"/>
      <c r="LS165" s="558"/>
      <c r="LT165" s="558"/>
      <c r="LU165" s="558"/>
      <c r="LV165" s="558"/>
      <c r="LW165" s="558"/>
      <c r="LX165" s="558"/>
      <c r="LY165" s="558"/>
      <c r="LZ165" s="558"/>
      <c r="MA165" s="558"/>
      <c r="MB165" s="558"/>
      <c r="MC165" s="558"/>
      <c r="MD165" s="558"/>
      <c r="ME165" s="558"/>
      <c r="MF165" s="558"/>
      <c r="MG165" s="558"/>
      <c r="MH165" s="558"/>
      <c r="MI165" s="558"/>
      <c r="MJ165" s="558"/>
      <c r="MK165" s="558"/>
      <c r="ML165" s="558"/>
      <c r="MM165" s="558"/>
      <c r="MN165" s="558"/>
      <c r="MO165" s="558"/>
      <c r="MP165" s="558"/>
      <c r="MQ165" s="558"/>
      <c r="MR165" s="558"/>
      <c r="MS165" s="558"/>
      <c r="MT165" s="558"/>
      <c r="MU165" s="558"/>
      <c r="MV165" s="558"/>
      <c r="MW165" s="558"/>
      <c r="MX165" s="558"/>
      <c r="MY165" s="558"/>
      <c r="MZ165" s="558"/>
      <c r="NA165" s="558"/>
      <c r="NB165" s="558"/>
      <c r="NC165" s="558"/>
      <c r="ND165" s="558"/>
      <c r="NE165" s="558"/>
      <c r="NF165" s="558"/>
      <c r="NG165" s="558"/>
      <c r="NH165" s="558"/>
      <c r="NI165" s="558"/>
      <c r="NJ165" s="558"/>
      <c r="NK165" s="558"/>
      <c r="NL165" s="558"/>
      <c r="NM165" s="558"/>
      <c r="NN165" s="558"/>
      <c r="NO165" s="558"/>
      <c r="NP165" s="558"/>
      <c r="NQ165" s="558"/>
      <c r="NR165" s="558"/>
      <c r="NS165" s="558"/>
      <c r="NT165" s="558"/>
      <c r="NU165" s="558"/>
      <c r="NV165" s="558"/>
      <c r="NW165" s="558"/>
      <c r="NX165" s="558"/>
      <c r="NY165" s="558"/>
      <c r="NZ165" s="558"/>
      <c r="OA165" s="558"/>
      <c r="OB165" s="558"/>
      <c r="OC165" s="558"/>
      <c r="OD165" s="558"/>
      <c r="OE165" s="558"/>
      <c r="OF165" s="558"/>
      <c r="OG165" s="558"/>
      <c r="OH165" s="558"/>
      <c r="OI165" s="558"/>
      <c r="OJ165" s="558"/>
      <c r="OK165" s="558"/>
      <c r="OL165" s="558"/>
      <c r="OM165" s="558"/>
      <c r="ON165" s="558"/>
      <c r="OO165" s="558"/>
      <c r="OP165" s="558"/>
      <c r="OQ165" s="558"/>
      <c r="OR165" s="558"/>
      <c r="OS165" s="558"/>
      <c r="OT165" s="558"/>
      <c r="OU165" s="558"/>
      <c r="OV165" s="558"/>
      <c r="OW165" s="558"/>
      <c r="OX165" s="558"/>
      <c r="OY165" s="558"/>
      <c r="OZ165" s="558"/>
      <c r="PA165" s="558"/>
      <c r="PB165" s="558"/>
      <c r="PC165" s="558"/>
      <c r="PD165" s="558"/>
      <c r="PE165" s="558"/>
      <c r="PF165" s="558"/>
      <c r="PG165" s="558"/>
      <c r="PH165" s="558"/>
      <c r="PI165" s="558"/>
      <c r="PJ165" s="558"/>
      <c r="PK165" s="558"/>
      <c r="PL165" s="558"/>
      <c r="PM165" s="558"/>
      <c r="PN165" s="558"/>
      <c r="PO165" s="558"/>
      <c r="PP165" s="558"/>
      <c r="PQ165" s="558"/>
      <c r="PR165" s="558"/>
      <c r="PS165" s="558"/>
      <c r="PT165" s="558"/>
      <c r="PU165" s="558"/>
      <c r="PV165" s="558"/>
      <c r="PW165" s="558"/>
      <c r="PX165" s="558"/>
      <c r="PY165" s="558"/>
      <c r="PZ165" s="558"/>
      <c r="QA165" s="558"/>
      <c r="QB165" s="558"/>
      <c r="QC165" s="558"/>
      <c r="QD165" s="558"/>
      <c r="QE165" s="558"/>
      <c r="QF165" s="558"/>
      <c r="QG165" s="558"/>
      <c r="QH165" s="558"/>
      <c r="QI165" s="558"/>
      <c r="QJ165" s="558"/>
      <c r="QK165" s="558"/>
      <c r="QL165" s="558"/>
      <c r="QM165" s="558"/>
      <c r="QN165" s="558"/>
      <c r="QO165" s="558"/>
      <c r="QP165" s="558"/>
      <c r="QQ165" s="558"/>
      <c r="QR165" s="558"/>
      <c r="QS165" s="558"/>
      <c r="QT165" s="558"/>
      <c r="QU165" s="558"/>
      <c r="QV165" s="558"/>
      <c r="QW165" s="558"/>
      <c r="QX165" s="558"/>
      <c r="QY165" s="558"/>
      <c r="QZ165" s="558"/>
      <c r="RA165" s="558"/>
      <c r="RB165" s="558"/>
      <c r="RC165" s="558"/>
      <c r="RD165" s="558"/>
      <c r="RE165" s="558"/>
      <c r="RF165" s="558"/>
      <c r="RG165" s="558"/>
      <c r="RH165" s="558"/>
      <c r="RI165" s="558"/>
      <c r="RJ165" s="558"/>
      <c r="RK165" s="558"/>
      <c r="RL165" s="558"/>
      <c r="RM165" s="558"/>
      <c r="RN165" s="558"/>
      <c r="RO165" s="558"/>
      <c r="RP165" s="558"/>
      <c r="RQ165" s="558"/>
      <c r="RR165" s="558"/>
      <c r="RS165" s="558"/>
      <c r="RT165" s="558"/>
      <c r="RU165" s="558"/>
      <c r="RV165" s="558"/>
      <c r="RW165" s="558"/>
      <c r="RX165" s="558"/>
      <c r="RY165" s="558"/>
      <c r="RZ165" s="558"/>
      <c r="SA165" s="558"/>
      <c r="SB165" s="558"/>
      <c r="SC165" s="558"/>
      <c r="SD165" s="558"/>
      <c r="SE165" s="558"/>
      <c r="SF165" s="558"/>
      <c r="SG165" s="558"/>
      <c r="SH165" s="558"/>
      <c r="SI165" s="558"/>
      <c r="SJ165" s="558"/>
      <c r="SK165" s="558"/>
      <c r="SL165" s="558"/>
      <c r="SM165" s="558"/>
      <c r="SN165" s="558"/>
      <c r="SO165" s="558"/>
      <c r="SP165" s="558"/>
      <c r="SQ165" s="558"/>
      <c r="SR165" s="558"/>
      <c r="SS165" s="558"/>
      <c r="ST165" s="558"/>
      <c r="SU165" s="558"/>
      <c r="SV165" s="558"/>
      <c r="SW165" s="558"/>
      <c r="SX165" s="558"/>
      <c r="SY165" s="558"/>
      <c r="SZ165" s="558"/>
      <c r="TA165" s="558"/>
      <c r="TB165" s="558"/>
      <c r="TC165" s="558"/>
      <c r="TD165" s="558"/>
      <c r="TE165" s="558"/>
      <c r="TF165" s="558"/>
      <c r="TG165" s="558"/>
      <c r="TH165" s="558"/>
      <c r="TI165" s="558"/>
      <c r="TJ165" s="558"/>
      <c r="TK165" s="558"/>
      <c r="TL165" s="558"/>
      <c r="TM165" s="558"/>
      <c r="TN165" s="558"/>
      <c r="TO165" s="558"/>
      <c r="TP165" s="558"/>
      <c r="TQ165" s="558"/>
      <c r="TR165" s="558"/>
      <c r="TS165" s="558"/>
      <c r="TT165" s="558"/>
      <c r="TU165" s="558"/>
      <c r="TV165" s="558"/>
      <c r="TW165" s="558"/>
      <c r="TX165" s="558"/>
      <c r="TY165" s="558"/>
      <c r="TZ165" s="558"/>
      <c r="UA165" s="558"/>
      <c r="UB165" s="558"/>
      <c r="UC165" s="558"/>
      <c r="UD165" s="558"/>
      <c r="UE165" s="558"/>
      <c r="UF165" s="558"/>
      <c r="UG165" s="558"/>
      <c r="UH165" s="558"/>
      <c r="UI165" s="558"/>
      <c r="UJ165" s="558"/>
      <c r="UK165" s="558"/>
      <c r="UL165" s="558"/>
      <c r="UM165" s="558"/>
      <c r="UN165" s="558"/>
      <c r="UO165" s="558"/>
      <c r="UP165" s="558"/>
      <c r="UQ165" s="558"/>
      <c r="UR165" s="558"/>
      <c r="US165" s="558"/>
      <c r="UT165" s="558"/>
      <c r="UU165" s="558"/>
      <c r="UV165" s="558"/>
      <c r="UW165" s="558"/>
      <c r="UX165" s="558"/>
      <c r="UY165" s="558"/>
      <c r="UZ165" s="558"/>
      <c r="VA165" s="558"/>
      <c r="VB165" s="558"/>
      <c r="VC165" s="558"/>
      <c r="VD165" s="558"/>
      <c r="VE165" s="558"/>
      <c r="VF165" s="558"/>
      <c r="VG165" s="558"/>
      <c r="VH165" s="558"/>
      <c r="VI165" s="558"/>
      <c r="VJ165" s="558"/>
      <c r="VK165" s="558"/>
      <c r="VL165" s="558"/>
      <c r="VM165" s="558"/>
      <c r="VN165" s="558"/>
      <c r="VO165" s="558"/>
      <c r="VP165" s="558"/>
      <c r="VQ165" s="558"/>
      <c r="VR165" s="558"/>
      <c r="VS165" s="558"/>
      <c r="VT165" s="558"/>
      <c r="VU165" s="558"/>
      <c r="VV165" s="558"/>
      <c r="VW165" s="558"/>
      <c r="VX165" s="558"/>
      <c r="VY165" s="558"/>
      <c r="VZ165" s="558"/>
      <c r="WA165" s="558"/>
      <c r="WB165" s="558"/>
      <c r="WC165" s="558"/>
      <c r="WD165" s="558"/>
      <c r="WE165" s="558"/>
      <c r="WF165" s="558"/>
      <c r="WG165" s="558"/>
      <c r="WH165" s="558"/>
      <c r="WI165" s="558"/>
      <c r="WJ165" s="558"/>
      <c r="WK165" s="558"/>
      <c r="WL165" s="558"/>
      <c r="WM165" s="558"/>
      <c r="WN165" s="558"/>
      <c r="WO165" s="558"/>
      <c r="WP165" s="558"/>
      <c r="WQ165" s="558"/>
      <c r="WR165" s="558"/>
      <c r="WS165" s="558"/>
      <c r="WT165" s="558"/>
      <c r="WU165" s="558"/>
      <c r="WV165" s="558"/>
      <c r="WW165" s="558"/>
      <c r="WX165" s="558"/>
      <c r="WY165" s="558"/>
      <c r="WZ165" s="558"/>
      <c r="XA165" s="558"/>
      <c r="XB165" s="558"/>
      <c r="XC165" s="558"/>
      <c r="XD165" s="558"/>
      <c r="XE165" s="558"/>
      <c r="XF165" s="558"/>
      <c r="XG165" s="558"/>
      <c r="XH165" s="558"/>
      <c r="XI165" s="558"/>
      <c r="XJ165" s="558"/>
      <c r="XK165" s="558"/>
      <c r="XL165" s="558"/>
      <c r="XM165" s="558"/>
      <c r="XN165" s="558"/>
      <c r="XO165" s="558"/>
      <c r="XP165" s="558"/>
      <c r="XQ165" s="558"/>
      <c r="XR165" s="558"/>
      <c r="XS165" s="558"/>
      <c r="XT165" s="558"/>
      <c r="XU165" s="558"/>
      <c r="XV165" s="558"/>
      <c r="XW165" s="558"/>
      <c r="XX165" s="558"/>
      <c r="XY165" s="558"/>
      <c r="XZ165" s="558"/>
      <c r="YA165" s="558"/>
      <c r="YB165" s="558"/>
      <c r="YC165" s="558"/>
      <c r="YD165" s="558"/>
      <c r="YE165" s="558"/>
      <c r="YF165" s="558"/>
      <c r="YG165" s="558"/>
      <c r="YH165" s="558"/>
      <c r="YI165" s="558"/>
      <c r="YJ165" s="558"/>
      <c r="YK165" s="558"/>
      <c r="YL165" s="558"/>
      <c r="YM165" s="558"/>
      <c r="YN165" s="558"/>
      <c r="YO165" s="558"/>
      <c r="YP165" s="558"/>
      <c r="YQ165" s="558"/>
      <c r="YR165" s="558"/>
      <c r="YS165" s="558"/>
      <c r="YT165" s="558"/>
      <c r="YU165" s="558"/>
      <c r="YV165" s="558"/>
      <c r="YW165" s="558"/>
      <c r="YX165" s="558"/>
      <c r="YY165" s="558"/>
      <c r="YZ165" s="558"/>
      <c r="ZA165" s="558"/>
      <c r="ZB165" s="558"/>
      <c r="ZC165" s="558"/>
      <c r="ZD165" s="558"/>
      <c r="ZE165" s="558"/>
      <c r="ZF165" s="558"/>
      <c r="ZG165" s="558"/>
      <c r="ZH165" s="558"/>
      <c r="ZI165" s="558"/>
      <c r="ZJ165" s="558"/>
      <c r="ZK165" s="558"/>
      <c r="ZL165" s="558"/>
      <c r="ZM165" s="558"/>
      <c r="ZN165" s="558"/>
      <c r="ZO165" s="558"/>
      <c r="ZP165" s="558"/>
      <c r="ZQ165" s="558"/>
      <c r="ZR165" s="558"/>
      <c r="ZS165" s="558"/>
      <c r="ZT165" s="558"/>
      <c r="ZU165" s="558"/>
      <c r="ZV165" s="558"/>
      <c r="ZW165" s="558"/>
      <c r="ZX165" s="558"/>
      <c r="ZY165" s="558"/>
      <c r="ZZ165" s="558"/>
      <c r="AAA165" s="558"/>
      <c r="AAB165" s="558"/>
      <c r="AAC165" s="558"/>
      <c r="AAD165" s="558"/>
      <c r="AAE165" s="558"/>
      <c r="AAF165" s="558"/>
      <c r="AAG165" s="558"/>
      <c r="AAH165" s="558"/>
      <c r="AAI165" s="558"/>
      <c r="AAJ165" s="558"/>
      <c r="AAK165" s="558"/>
      <c r="AAL165" s="558"/>
      <c r="AAM165" s="558"/>
      <c r="AAN165" s="558"/>
      <c r="AAO165" s="558"/>
      <c r="AAP165" s="558"/>
      <c r="AAQ165" s="558"/>
      <c r="AAR165" s="558"/>
      <c r="AAS165" s="558"/>
      <c r="AAT165" s="558"/>
      <c r="AAU165" s="558"/>
      <c r="AAV165" s="558"/>
      <c r="AAW165" s="558"/>
      <c r="AAX165" s="558"/>
      <c r="AAY165" s="558"/>
      <c r="AAZ165" s="558"/>
      <c r="ABA165" s="558"/>
      <c r="ABB165" s="558"/>
      <c r="ABC165" s="558"/>
      <c r="ABD165" s="558"/>
      <c r="ABE165" s="558"/>
      <c r="ABF165" s="558"/>
      <c r="ABG165" s="558"/>
      <c r="ABH165" s="558"/>
      <c r="ABI165" s="558"/>
      <c r="ABJ165" s="558"/>
      <c r="ABK165" s="558"/>
      <c r="ABL165" s="558"/>
      <c r="ABM165" s="558"/>
      <c r="ABN165" s="558"/>
      <c r="ABO165" s="558"/>
      <c r="ABP165" s="558"/>
      <c r="ABQ165" s="558"/>
      <c r="ABR165" s="558"/>
      <c r="ABS165" s="558"/>
      <c r="ABT165" s="558"/>
      <c r="ABU165" s="558"/>
      <c r="ABV165" s="558"/>
      <c r="ABW165" s="558"/>
      <c r="ABX165" s="558"/>
      <c r="ABY165" s="558"/>
      <c r="ABZ165" s="558"/>
      <c r="ACA165" s="558"/>
      <c r="ACB165" s="558"/>
      <c r="ACC165" s="558"/>
      <c r="ACD165" s="558"/>
      <c r="ACE165" s="558"/>
      <c r="ACF165" s="558"/>
      <c r="ACG165" s="558"/>
      <c r="ACH165" s="558"/>
      <c r="ACI165" s="558"/>
      <c r="ACJ165" s="558"/>
      <c r="ACK165" s="558"/>
      <c r="ACL165" s="558"/>
      <c r="ACM165" s="558"/>
      <c r="ACN165" s="558"/>
      <c r="ACO165" s="558"/>
      <c r="ACP165" s="558"/>
      <c r="ACQ165" s="558"/>
      <c r="ACR165" s="558"/>
      <c r="ACS165" s="558"/>
      <c r="ACT165" s="558"/>
      <c r="ACU165" s="558"/>
      <c r="ACV165" s="558"/>
      <c r="ACW165" s="558"/>
      <c r="ACX165" s="558"/>
      <c r="ACY165" s="558"/>
      <c r="ACZ165" s="558"/>
      <c r="ADA165" s="558"/>
      <c r="ADB165" s="558"/>
      <c r="ADC165" s="558"/>
      <c r="ADD165" s="558"/>
      <c r="ADE165" s="558"/>
      <c r="ADF165" s="558"/>
      <c r="ADG165" s="558"/>
      <c r="ADH165" s="558"/>
      <c r="ADI165" s="558"/>
      <c r="ADJ165" s="558"/>
      <c r="ADK165" s="558"/>
      <c r="ADL165" s="558"/>
      <c r="ADM165" s="558"/>
      <c r="ADN165" s="558"/>
      <c r="ADO165" s="558"/>
      <c r="ADP165" s="558"/>
      <c r="ADQ165" s="558"/>
      <c r="ADR165" s="558"/>
      <c r="ADS165" s="558"/>
      <c r="ADT165" s="558"/>
      <c r="ADU165" s="558"/>
      <c r="ADV165" s="558"/>
      <c r="ADW165" s="558"/>
      <c r="ADX165" s="558"/>
      <c r="ADY165" s="558"/>
      <c r="ADZ165" s="558"/>
      <c r="AEA165" s="558"/>
      <c r="AEB165" s="558"/>
      <c r="AEC165" s="558"/>
      <c r="AED165" s="558"/>
      <c r="AEE165" s="558"/>
      <c r="AEF165" s="558"/>
      <c r="AEG165" s="558"/>
      <c r="AEH165" s="558"/>
      <c r="AEI165" s="558"/>
      <c r="AEJ165" s="558"/>
      <c r="AEK165" s="558"/>
      <c r="AEL165" s="558"/>
      <c r="AEM165" s="558"/>
      <c r="AEN165" s="558"/>
      <c r="AEO165" s="558"/>
      <c r="AEP165" s="558"/>
      <c r="AEQ165" s="558"/>
      <c r="AER165" s="558"/>
      <c r="AES165" s="558"/>
      <c r="AET165" s="558"/>
      <c r="AEU165" s="558"/>
      <c r="AEV165" s="558"/>
      <c r="AEW165" s="558"/>
      <c r="AEX165" s="558"/>
      <c r="AEY165" s="558"/>
      <c r="AEZ165" s="558"/>
      <c r="AFA165" s="558"/>
      <c r="AFB165" s="558"/>
      <c r="AFC165" s="558"/>
      <c r="AFD165" s="558"/>
      <c r="AFE165" s="558"/>
      <c r="AFF165" s="558"/>
      <c r="AFG165" s="558"/>
      <c r="AFH165" s="558"/>
      <c r="AFI165" s="558"/>
      <c r="AFJ165" s="558"/>
      <c r="AFK165" s="558"/>
      <c r="AFL165" s="558"/>
      <c r="AFM165" s="558"/>
      <c r="AFN165" s="558"/>
      <c r="AFO165" s="558"/>
      <c r="AFP165" s="558"/>
      <c r="AFQ165" s="558"/>
      <c r="AFR165" s="558"/>
      <c r="AFS165" s="558"/>
      <c r="AFT165" s="558"/>
      <c r="AFU165" s="558"/>
      <c r="AFV165" s="558"/>
      <c r="AFW165" s="558"/>
      <c r="AFX165" s="558"/>
      <c r="AFY165" s="558"/>
      <c r="AFZ165" s="558"/>
      <c r="AGA165" s="558"/>
      <c r="AGB165" s="558"/>
      <c r="AGC165" s="558"/>
      <c r="AGD165" s="558"/>
      <c r="AGE165" s="558"/>
      <c r="AGF165" s="558"/>
      <c r="AGG165" s="558"/>
      <c r="AGH165" s="558"/>
      <c r="AGI165" s="558"/>
      <c r="AGJ165" s="558"/>
      <c r="AGK165" s="558"/>
      <c r="AGL165" s="558"/>
      <c r="AGM165" s="558"/>
      <c r="AGN165" s="558"/>
      <c r="AGO165" s="558"/>
      <c r="AGP165" s="558"/>
      <c r="AGQ165" s="558"/>
      <c r="AGR165" s="558"/>
      <c r="AGS165" s="558"/>
      <c r="AGT165" s="558"/>
      <c r="AGU165" s="558"/>
      <c r="AGV165" s="558"/>
      <c r="AGW165" s="558"/>
      <c r="AGX165" s="558"/>
      <c r="AGY165" s="558"/>
      <c r="AGZ165" s="558"/>
      <c r="AHA165" s="558"/>
      <c r="AHB165" s="558"/>
      <c r="AHC165" s="558"/>
      <c r="AHD165" s="558"/>
      <c r="AHE165" s="558"/>
      <c r="AHF165" s="558"/>
      <c r="AHG165" s="558"/>
      <c r="AHH165" s="558"/>
      <c r="AHI165" s="558"/>
      <c r="AHJ165" s="558"/>
      <c r="AHK165" s="558"/>
      <c r="AHL165" s="558"/>
      <c r="AHM165" s="558"/>
      <c r="AHN165" s="558"/>
      <c r="AHO165" s="558"/>
      <c r="AHP165" s="558"/>
      <c r="AHQ165" s="558"/>
      <c r="AHR165" s="558"/>
      <c r="AHS165" s="558"/>
      <c r="AHT165" s="558"/>
      <c r="AHU165" s="558"/>
      <c r="AHV165" s="558"/>
      <c r="AHW165" s="558"/>
      <c r="AHX165" s="558"/>
      <c r="AHY165" s="558"/>
      <c r="AHZ165" s="558"/>
      <c r="AIA165" s="558"/>
      <c r="AIB165" s="558"/>
      <c r="AIC165" s="558"/>
      <c r="AID165" s="558"/>
      <c r="AIE165" s="558"/>
      <c r="AIF165" s="558"/>
      <c r="AIG165" s="558"/>
      <c r="AIH165" s="558"/>
      <c r="AII165" s="558"/>
      <c r="AIJ165" s="558"/>
      <c r="AIK165" s="558"/>
      <c r="AIL165" s="558"/>
      <c r="AIM165" s="558"/>
      <c r="AIN165" s="558"/>
      <c r="AIO165" s="558"/>
      <c r="AIP165" s="558"/>
      <c r="AIQ165" s="558"/>
      <c r="AIR165" s="558"/>
      <c r="AIS165" s="558"/>
      <c r="AIT165" s="558"/>
      <c r="AIU165" s="558"/>
      <c r="AIV165" s="558"/>
      <c r="AIW165" s="558"/>
      <c r="AIX165" s="558"/>
      <c r="AIY165" s="558"/>
      <c r="AIZ165" s="558"/>
      <c r="AJA165" s="558"/>
      <c r="AJB165" s="558"/>
      <c r="AJC165" s="558"/>
      <c r="AJD165" s="558"/>
      <c r="AJE165" s="558"/>
      <c r="AJF165" s="558"/>
      <c r="AJG165" s="558"/>
      <c r="AJH165" s="558"/>
      <c r="AJI165" s="558"/>
      <c r="AJJ165" s="558"/>
      <c r="AJK165" s="558"/>
      <c r="AJL165" s="558"/>
      <c r="AJM165" s="558"/>
      <c r="AJN165" s="558"/>
      <c r="AJO165" s="558"/>
      <c r="AJP165" s="558"/>
      <c r="AJQ165" s="558"/>
      <c r="AJR165" s="558"/>
      <c r="AJS165" s="558"/>
      <c r="AJT165" s="558"/>
      <c r="AJU165" s="558"/>
      <c r="AJV165" s="558"/>
      <c r="AJW165" s="558"/>
      <c r="AJX165" s="558"/>
      <c r="AJY165" s="558"/>
      <c r="AJZ165" s="558"/>
      <c r="AKA165" s="558"/>
      <c r="AKB165" s="558"/>
      <c r="AKC165" s="558"/>
      <c r="AKD165" s="558"/>
      <c r="AKE165" s="558"/>
      <c r="AKF165" s="558"/>
      <c r="AKG165" s="558"/>
      <c r="AKH165" s="558"/>
      <c r="AKI165" s="558"/>
      <c r="AKJ165" s="558"/>
      <c r="AKK165" s="558"/>
      <c r="AKL165" s="558"/>
      <c r="AKM165" s="558"/>
      <c r="AKN165" s="558"/>
      <c r="AKO165" s="558"/>
      <c r="AKP165" s="558"/>
      <c r="AKQ165" s="558"/>
      <c r="AKR165" s="558"/>
      <c r="AKS165" s="558"/>
      <c r="AKT165" s="558"/>
      <c r="AKU165" s="558"/>
      <c r="AKV165" s="558"/>
      <c r="AKW165" s="558"/>
      <c r="AKX165" s="558"/>
      <c r="AKY165" s="558"/>
      <c r="AKZ165" s="558"/>
      <c r="ALA165" s="558"/>
      <c r="ALB165" s="558"/>
      <c r="ALC165" s="558"/>
      <c r="ALD165" s="558"/>
      <c r="ALE165" s="558"/>
      <c r="ALF165" s="558"/>
      <c r="ALG165" s="558"/>
      <c r="ALH165" s="558"/>
      <c r="ALI165" s="558"/>
      <c r="ALJ165" s="558"/>
      <c r="ALK165" s="558"/>
      <c r="ALL165" s="558"/>
      <c r="ALM165" s="558"/>
      <c r="ALN165" s="558"/>
      <c r="ALO165" s="558"/>
      <c r="ALP165" s="558"/>
      <c r="ALQ165" s="558"/>
      <c r="ALR165" s="558"/>
      <c r="ALS165" s="558"/>
      <c r="ALT165" s="558"/>
      <c r="ALU165" s="558"/>
      <c r="ALV165" s="558"/>
      <c r="ALW165" s="558"/>
      <c r="ALX165" s="558"/>
      <c r="ALY165" s="558"/>
      <c r="ALZ165" s="558"/>
      <c r="AMA165" s="558"/>
      <c r="AMB165" s="558"/>
      <c r="AMC165" s="558"/>
      <c r="AMD165" s="558"/>
      <c r="AME165" s="558"/>
      <c r="AMF165" s="558"/>
      <c r="AMG165" s="558"/>
      <c r="AMH165" s="558"/>
      <c r="AMI165" s="558"/>
      <c r="AMJ165" s="558"/>
      <c r="AMK165" s="558"/>
      <c r="AML165" s="558"/>
      <c r="AMM165" s="558"/>
      <c r="AMN165" s="558"/>
      <c r="AMO165" s="558"/>
      <c r="AMP165" s="558"/>
      <c r="AMQ165" s="558"/>
      <c r="AMR165" s="558"/>
      <c r="AMS165" s="558"/>
      <c r="AMT165" s="558"/>
      <c r="AMU165" s="558"/>
      <c r="AMV165" s="558"/>
      <c r="AMW165" s="558"/>
      <c r="AMX165" s="558"/>
      <c r="AMY165" s="558"/>
      <c r="AMZ165" s="558"/>
      <c r="ANA165" s="558"/>
      <c r="ANB165" s="558"/>
      <c r="ANC165" s="558"/>
      <c r="AND165" s="558"/>
      <c r="ANE165" s="558"/>
      <c r="ANF165" s="558"/>
      <c r="ANG165" s="558"/>
      <c r="ANH165" s="558"/>
      <c r="ANI165" s="558"/>
      <c r="ANJ165" s="558"/>
      <c r="ANK165" s="558"/>
      <c r="ANL165" s="558"/>
      <c r="ANM165" s="558"/>
      <c r="ANN165" s="558"/>
      <c r="ANO165" s="558"/>
      <c r="ANP165" s="558"/>
      <c r="ANQ165" s="558"/>
      <c r="ANR165" s="558"/>
      <c r="ANS165" s="558"/>
      <c r="ANT165" s="558"/>
      <c r="ANU165" s="558"/>
      <c r="ANV165" s="558"/>
      <c r="ANW165" s="558"/>
      <c r="ANX165" s="558"/>
      <c r="ANY165" s="558"/>
      <c r="ANZ165" s="558"/>
      <c r="AOA165" s="558"/>
      <c r="AOB165" s="558"/>
      <c r="AOC165" s="558"/>
      <c r="AOD165" s="558"/>
      <c r="AOE165" s="558"/>
      <c r="AOF165" s="558"/>
      <c r="AOG165" s="558"/>
      <c r="AOH165" s="558"/>
      <c r="AOI165" s="558"/>
      <c r="AOJ165" s="558"/>
      <c r="AOK165" s="558"/>
      <c r="AOL165" s="558"/>
      <c r="AOM165" s="558"/>
      <c r="AON165" s="558"/>
      <c r="AOO165" s="558"/>
      <c r="AOP165" s="558"/>
      <c r="AOQ165" s="558"/>
      <c r="AOR165" s="558"/>
      <c r="AOS165" s="558"/>
      <c r="AOT165" s="558"/>
      <c r="AOU165" s="558"/>
      <c r="AOV165" s="558"/>
      <c r="AOW165" s="558"/>
      <c r="AOX165" s="558"/>
      <c r="AOY165" s="558"/>
      <c r="AOZ165" s="558"/>
      <c r="APA165" s="558"/>
      <c r="APB165" s="558"/>
      <c r="APC165" s="558"/>
      <c r="APD165" s="558"/>
      <c r="APE165" s="558"/>
      <c r="APF165" s="558"/>
      <c r="APG165" s="558"/>
      <c r="APH165" s="558"/>
      <c r="API165" s="558"/>
      <c r="APJ165" s="558"/>
      <c r="APK165" s="558"/>
      <c r="APL165" s="558"/>
      <c r="APM165" s="558"/>
      <c r="APN165" s="558"/>
      <c r="APO165" s="558"/>
      <c r="APP165" s="558"/>
      <c r="APQ165" s="558"/>
      <c r="APR165" s="558"/>
      <c r="APS165" s="558"/>
      <c r="APT165" s="558"/>
      <c r="APU165" s="558"/>
      <c r="APV165" s="558"/>
      <c r="APW165" s="558"/>
      <c r="APX165" s="558"/>
      <c r="APY165" s="558"/>
      <c r="APZ165" s="558"/>
      <c r="AQA165" s="558"/>
      <c r="AQB165" s="558"/>
      <c r="AQC165" s="558"/>
      <c r="AQD165" s="558"/>
      <c r="AQE165" s="558"/>
      <c r="AQF165" s="558"/>
      <c r="AQG165" s="558"/>
      <c r="AQH165" s="558"/>
      <c r="AQI165" s="558"/>
      <c r="AQJ165" s="558"/>
      <c r="AQK165" s="558"/>
      <c r="AQL165" s="558"/>
      <c r="AQM165" s="558"/>
      <c r="AQN165" s="558"/>
      <c r="AQO165" s="558"/>
      <c r="AQP165" s="558"/>
      <c r="AQQ165" s="558"/>
      <c r="AQR165" s="558"/>
      <c r="AQS165" s="558"/>
      <c r="AQT165" s="558"/>
      <c r="AQU165" s="558"/>
      <c r="AQV165" s="558"/>
      <c r="AQW165" s="558"/>
      <c r="AQX165" s="558"/>
      <c r="AQY165" s="558"/>
      <c r="AQZ165" s="558"/>
      <c r="ARA165" s="558"/>
      <c r="ARB165" s="558"/>
      <c r="ARC165" s="558"/>
      <c r="ARD165" s="558"/>
      <c r="ARE165" s="558"/>
      <c r="ARF165" s="558"/>
      <c r="ARG165" s="558"/>
      <c r="ARH165" s="558"/>
      <c r="ARI165" s="558"/>
      <c r="ARJ165" s="558"/>
      <c r="ARK165" s="558"/>
      <c r="ARL165" s="558"/>
      <c r="ARM165" s="558"/>
      <c r="ARN165" s="558"/>
      <c r="ARO165" s="558"/>
      <c r="ARP165" s="558"/>
      <c r="ARQ165" s="558"/>
      <c r="ARR165" s="558"/>
      <c r="ARS165" s="558"/>
      <c r="ART165" s="558"/>
      <c r="ARU165" s="558"/>
      <c r="ARV165" s="558"/>
      <c r="ARW165" s="558"/>
      <c r="ARX165" s="558"/>
      <c r="ARY165" s="558"/>
      <c r="ARZ165" s="558"/>
      <c r="ASA165" s="558"/>
      <c r="ASB165" s="558"/>
      <c r="ASC165" s="558"/>
      <c r="ASD165" s="558"/>
      <c r="ASE165" s="558"/>
      <c r="ASF165" s="558"/>
      <c r="ASG165" s="558"/>
      <c r="ASH165" s="558"/>
      <c r="ASI165" s="558"/>
      <c r="ASJ165" s="558"/>
      <c r="ASK165" s="558"/>
      <c r="ASL165" s="558"/>
      <c r="ASM165" s="558"/>
      <c r="ASN165" s="558"/>
      <c r="ASO165" s="558"/>
      <c r="ASP165" s="558"/>
      <c r="ASQ165" s="558"/>
      <c r="ASR165" s="558"/>
      <c r="ASS165" s="558"/>
      <c r="AST165" s="558"/>
      <c r="ASU165" s="558"/>
      <c r="ASV165" s="558"/>
      <c r="ASW165" s="558"/>
      <c r="ASX165" s="558"/>
      <c r="ASY165" s="558"/>
      <c r="ASZ165" s="558"/>
      <c r="ATA165" s="558"/>
      <c r="ATB165" s="558"/>
      <c r="ATC165" s="558"/>
      <c r="ATD165" s="558"/>
      <c r="ATE165" s="558"/>
      <c r="ATF165" s="558"/>
      <c r="ATG165" s="558"/>
      <c r="ATH165" s="558"/>
      <c r="ATI165" s="558"/>
      <c r="ATJ165" s="558"/>
      <c r="ATK165" s="558"/>
      <c r="ATL165" s="558"/>
      <c r="ATM165" s="558"/>
      <c r="ATN165" s="558"/>
      <c r="ATO165" s="558"/>
      <c r="ATP165" s="558"/>
      <c r="ATQ165" s="558"/>
      <c r="ATR165" s="558"/>
      <c r="ATS165" s="558"/>
      <c r="ATT165" s="558"/>
      <c r="ATU165" s="558"/>
      <c r="ATV165" s="558"/>
      <c r="ATW165" s="558"/>
      <c r="ATX165" s="558"/>
      <c r="ATY165" s="558"/>
      <c r="ATZ165" s="558"/>
      <c r="AUA165" s="558"/>
      <c r="AUB165" s="558"/>
      <c r="AUC165" s="558"/>
      <c r="AUD165" s="558"/>
      <c r="AUE165" s="558"/>
      <c r="AUF165" s="558"/>
      <c r="AUG165" s="558"/>
      <c r="AUH165" s="558"/>
      <c r="AUI165" s="558"/>
      <c r="AUJ165" s="558"/>
      <c r="AUK165" s="558"/>
      <c r="AUL165" s="558"/>
      <c r="AUM165" s="558"/>
      <c r="AUN165" s="558"/>
      <c r="AUO165" s="558"/>
      <c r="AUP165" s="558"/>
      <c r="AUQ165" s="558"/>
      <c r="AUR165" s="558"/>
      <c r="AUS165" s="558"/>
      <c r="AUT165" s="558"/>
      <c r="AUU165" s="558"/>
      <c r="AUV165" s="558"/>
      <c r="AUW165" s="558"/>
      <c r="AUX165" s="558"/>
      <c r="AUY165" s="558"/>
      <c r="AUZ165" s="558"/>
      <c r="AVA165" s="558"/>
      <c r="AVB165" s="558"/>
      <c r="AVC165" s="558"/>
      <c r="AVD165" s="558"/>
      <c r="AVE165" s="558"/>
      <c r="AVF165" s="558"/>
      <c r="AVG165" s="558"/>
      <c r="AVH165" s="558"/>
      <c r="AVI165" s="558"/>
      <c r="AVJ165" s="558"/>
      <c r="AVK165" s="558"/>
      <c r="AVL165" s="558"/>
      <c r="AVM165" s="558"/>
      <c r="AVN165" s="558"/>
      <c r="AVO165" s="558"/>
      <c r="AVP165" s="558"/>
      <c r="AVQ165" s="558"/>
      <c r="AVR165" s="558"/>
      <c r="AVS165" s="558"/>
      <c r="AVT165" s="558"/>
      <c r="AVU165" s="558"/>
      <c r="AVV165" s="558"/>
      <c r="AVW165" s="558"/>
      <c r="AVX165" s="558"/>
      <c r="AVY165" s="558"/>
      <c r="AVZ165" s="558"/>
      <c r="AWA165" s="558"/>
      <c r="AWB165" s="558"/>
      <c r="AWC165" s="558"/>
      <c r="AWD165" s="558"/>
      <c r="AWE165" s="558"/>
      <c r="AWF165" s="558"/>
      <c r="AWG165" s="558"/>
      <c r="AWH165" s="558"/>
      <c r="AWI165" s="558"/>
      <c r="AWJ165" s="558"/>
      <c r="AWK165" s="558"/>
      <c r="AWL165" s="558"/>
      <c r="AWM165" s="558"/>
      <c r="AWN165" s="558"/>
      <c r="AWO165" s="558"/>
      <c r="AWP165" s="558"/>
      <c r="AWQ165" s="558"/>
      <c r="AWR165" s="558"/>
      <c r="AWS165" s="558"/>
      <c r="AWT165" s="558"/>
      <c r="AWU165" s="558"/>
      <c r="AWV165" s="558"/>
      <c r="AWW165" s="558"/>
      <c r="AWX165" s="558"/>
      <c r="AWY165" s="558"/>
      <c r="AWZ165" s="558"/>
      <c r="AXA165" s="558"/>
      <c r="AXB165" s="558"/>
      <c r="AXC165" s="558"/>
      <c r="AXD165" s="558"/>
      <c r="AXE165" s="558"/>
      <c r="AXF165" s="558"/>
      <c r="AXG165" s="558"/>
      <c r="AXH165" s="558"/>
      <c r="AXI165" s="558"/>
      <c r="AXJ165" s="558"/>
      <c r="AXK165" s="558"/>
      <c r="AXL165" s="558"/>
      <c r="AXM165" s="558"/>
      <c r="AXN165" s="558"/>
      <c r="AXO165" s="558"/>
      <c r="AXP165" s="558"/>
      <c r="AXQ165" s="558"/>
      <c r="AXR165" s="558"/>
      <c r="AXS165" s="558"/>
      <c r="AXT165" s="558"/>
      <c r="AXU165" s="558"/>
      <c r="AXV165" s="558"/>
      <c r="AXW165" s="558"/>
      <c r="AXX165" s="558"/>
      <c r="AXY165" s="558"/>
      <c r="AXZ165" s="558"/>
      <c r="AYA165" s="558"/>
      <c r="AYB165" s="558"/>
      <c r="AYC165" s="558"/>
      <c r="AYD165" s="558"/>
      <c r="AYE165" s="558"/>
      <c r="AYF165" s="558"/>
      <c r="AYG165" s="558"/>
      <c r="AYH165" s="558"/>
      <c r="AYI165" s="558"/>
      <c r="AYJ165" s="558"/>
      <c r="AYK165" s="558"/>
      <c r="AYL165" s="558"/>
      <c r="AYM165" s="558"/>
      <c r="AYN165" s="558"/>
      <c r="AYO165" s="558"/>
      <c r="AYP165" s="558"/>
      <c r="AYQ165" s="558"/>
      <c r="AYR165" s="558"/>
      <c r="AYS165" s="558"/>
      <c r="AYT165" s="558"/>
      <c r="AYU165" s="558"/>
      <c r="AYV165" s="558"/>
      <c r="AYW165" s="558"/>
      <c r="AYX165" s="558"/>
      <c r="AYY165" s="558"/>
      <c r="AYZ165" s="558"/>
      <c r="AZA165" s="558"/>
      <c r="AZB165" s="558"/>
      <c r="AZC165" s="558"/>
      <c r="AZD165" s="558"/>
      <c r="AZE165" s="558"/>
      <c r="AZF165" s="558"/>
      <c r="AZG165" s="558"/>
      <c r="AZH165" s="558"/>
      <c r="AZI165" s="558"/>
      <c r="AZJ165" s="558"/>
      <c r="AZK165" s="558"/>
      <c r="AZL165" s="558"/>
      <c r="AZM165" s="558"/>
      <c r="AZN165" s="558"/>
      <c r="AZO165" s="558"/>
      <c r="AZP165" s="558"/>
      <c r="AZQ165" s="558"/>
      <c r="AZR165" s="558"/>
      <c r="AZS165" s="558"/>
      <c r="AZT165" s="558"/>
      <c r="AZU165" s="558"/>
      <c r="AZV165" s="558"/>
      <c r="AZW165" s="558"/>
      <c r="AZX165" s="558"/>
      <c r="AZY165" s="558"/>
      <c r="AZZ165" s="558"/>
      <c r="BAA165" s="558"/>
      <c r="BAB165" s="558"/>
      <c r="BAC165" s="558"/>
      <c r="BAD165" s="558"/>
      <c r="BAE165" s="558"/>
      <c r="BAF165" s="558"/>
      <c r="BAG165" s="558"/>
      <c r="BAH165" s="558"/>
      <c r="BAI165" s="558"/>
      <c r="BAJ165" s="558"/>
      <c r="BAK165" s="558"/>
      <c r="BAL165" s="558"/>
      <c r="BAM165" s="558"/>
      <c r="BAN165" s="558"/>
      <c r="BAO165" s="558"/>
      <c r="BAP165" s="558"/>
      <c r="BAQ165" s="558"/>
      <c r="BAR165" s="558"/>
      <c r="BAS165" s="558"/>
      <c r="BAT165" s="558"/>
      <c r="BAU165" s="558"/>
      <c r="BAV165" s="558"/>
      <c r="BAW165" s="558"/>
      <c r="BAX165" s="558"/>
      <c r="BAY165" s="558"/>
      <c r="BAZ165" s="558"/>
      <c r="BBA165" s="558"/>
      <c r="BBB165" s="558"/>
      <c r="BBC165" s="558"/>
      <c r="BBD165" s="558"/>
      <c r="BBE165" s="558"/>
      <c r="BBF165" s="558"/>
      <c r="BBG165" s="558"/>
      <c r="BBH165" s="558"/>
      <c r="BBI165" s="558"/>
      <c r="BBJ165" s="558"/>
      <c r="BBK165" s="558"/>
      <c r="BBL165" s="558"/>
      <c r="BBM165" s="558"/>
      <c r="BBN165" s="558"/>
      <c r="BBO165" s="558"/>
      <c r="BBP165" s="558"/>
      <c r="BBQ165" s="558"/>
      <c r="BBR165" s="558"/>
      <c r="BBS165" s="558"/>
      <c r="BBT165" s="558"/>
      <c r="BBU165" s="558"/>
      <c r="BBV165" s="558"/>
      <c r="BBW165" s="558"/>
      <c r="BBX165" s="558"/>
      <c r="BBY165" s="558"/>
      <c r="BBZ165" s="558"/>
      <c r="BCA165" s="558"/>
      <c r="BCB165" s="558"/>
      <c r="BCC165" s="558"/>
      <c r="BCD165" s="558"/>
      <c r="BCE165" s="558"/>
      <c r="BCF165" s="558"/>
      <c r="BCG165" s="558"/>
      <c r="BCH165" s="558"/>
      <c r="BCI165" s="558"/>
      <c r="BCJ165" s="558"/>
      <c r="BCK165" s="558"/>
      <c r="BCL165" s="558"/>
      <c r="BCM165" s="558"/>
      <c r="BCN165" s="558"/>
      <c r="BCO165" s="558"/>
      <c r="BCP165" s="558"/>
      <c r="BCQ165" s="558"/>
      <c r="BCR165" s="558"/>
      <c r="BCS165" s="558"/>
      <c r="BCT165" s="558"/>
      <c r="BCU165" s="558"/>
      <c r="BCV165" s="558"/>
      <c r="BCW165" s="558"/>
      <c r="BCX165" s="558"/>
      <c r="BCY165" s="558"/>
      <c r="BCZ165" s="558"/>
      <c r="BDA165" s="558"/>
      <c r="BDB165" s="558"/>
      <c r="BDC165" s="558"/>
      <c r="BDD165" s="558"/>
      <c r="BDE165" s="558"/>
      <c r="BDF165" s="558"/>
      <c r="BDG165" s="558"/>
      <c r="BDH165" s="558"/>
      <c r="BDI165" s="558"/>
      <c r="BDJ165" s="558"/>
      <c r="BDK165" s="558"/>
      <c r="BDL165" s="558"/>
      <c r="BDM165" s="558"/>
      <c r="BDN165" s="558"/>
      <c r="BDO165" s="558"/>
      <c r="BDP165" s="558"/>
      <c r="BDQ165" s="558"/>
      <c r="BDR165" s="558"/>
      <c r="BDS165" s="558"/>
      <c r="BDT165" s="558"/>
      <c r="BDU165" s="558"/>
      <c r="BDV165" s="558"/>
      <c r="BDW165" s="558"/>
      <c r="BDX165" s="558"/>
      <c r="BDY165" s="558"/>
      <c r="BDZ165" s="558"/>
      <c r="BEA165" s="558"/>
      <c r="BEB165" s="558"/>
      <c r="BEC165" s="558"/>
      <c r="BED165" s="558"/>
      <c r="BEE165" s="558"/>
      <c r="BEF165" s="558"/>
      <c r="BEG165" s="558"/>
      <c r="BEH165" s="558"/>
      <c r="BEI165" s="558"/>
      <c r="BEJ165" s="558"/>
      <c r="BEK165" s="558"/>
      <c r="BEL165" s="558"/>
      <c r="BEM165" s="558"/>
      <c r="BEN165" s="558"/>
      <c r="BEO165" s="558"/>
      <c r="BEP165" s="558"/>
      <c r="BEQ165" s="558"/>
      <c r="BER165" s="558"/>
      <c r="BES165" s="558"/>
      <c r="BET165" s="558"/>
      <c r="BEU165" s="558"/>
      <c r="BEV165" s="558"/>
      <c r="BEW165" s="558"/>
      <c r="BEX165" s="558"/>
      <c r="BEY165" s="558"/>
      <c r="BEZ165" s="558"/>
      <c r="BFA165" s="558"/>
      <c r="BFB165" s="558"/>
      <c r="BFC165" s="558"/>
      <c r="BFD165" s="558"/>
      <c r="BFE165" s="558"/>
      <c r="BFF165" s="558"/>
      <c r="BFG165" s="558"/>
      <c r="BFH165" s="558"/>
      <c r="BFI165" s="558"/>
      <c r="BFJ165" s="558"/>
      <c r="BFK165" s="558"/>
      <c r="BFL165" s="558"/>
      <c r="BFM165" s="558"/>
      <c r="BFN165" s="558"/>
      <c r="BFO165" s="558"/>
      <c r="BFP165" s="558"/>
      <c r="BFQ165" s="558"/>
      <c r="BFR165" s="558"/>
      <c r="BFS165" s="558"/>
      <c r="BFT165" s="558"/>
      <c r="BFU165" s="558"/>
      <c r="BFV165" s="558"/>
      <c r="BFW165" s="558"/>
      <c r="BFX165" s="558"/>
      <c r="BFY165" s="558"/>
      <c r="BFZ165" s="558"/>
      <c r="BGA165" s="558"/>
      <c r="BGB165" s="558"/>
      <c r="BGC165" s="558"/>
      <c r="BGD165" s="558"/>
      <c r="BGE165" s="558"/>
      <c r="BGF165" s="558"/>
      <c r="BGG165" s="558"/>
      <c r="BGH165" s="558"/>
      <c r="BGI165" s="558"/>
      <c r="BGJ165" s="558"/>
      <c r="BGK165" s="558"/>
      <c r="BGL165" s="558"/>
      <c r="BGM165" s="558"/>
      <c r="BGN165" s="558"/>
      <c r="BGO165" s="558"/>
      <c r="BGP165" s="558"/>
      <c r="BGQ165" s="558"/>
      <c r="BGR165" s="558"/>
      <c r="BGS165" s="558"/>
      <c r="BGT165" s="558"/>
      <c r="BGU165" s="558"/>
      <c r="BGV165" s="558"/>
      <c r="BGW165" s="558"/>
      <c r="BGX165" s="558"/>
      <c r="BGY165" s="558"/>
      <c r="BGZ165" s="558"/>
      <c r="BHA165" s="558"/>
      <c r="BHB165" s="558"/>
      <c r="BHC165" s="558"/>
      <c r="BHD165" s="558"/>
      <c r="BHE165" s="558"/>
      <c r="BHF165" s="558"/>
      <c r="BHG165" s="558"/>
      <c r="BHH165" s="558"/>
      <c r="BHI165" s="558"/>
      <c r="BHJ165" s="558"/>
      <c r="BHK165" s="558"/>
      <c r="BHL165" s="558"/>
      <c r="BHM165" s="558"/>
      <c r="BHN165" s="558"/>
      <c r="BHO165" s="558"/>
      <c r="BHP165" s="558"/>
      <c r="BHQ165" s="558"/>
      <c r="BHR165" s="558"/>
      <c r="BHS165" s="558"/>
      <c r="BHT165" s="558"/>
      <c r="BHU165" s="558"/>
      <c r="BHV165" s="558"/>
      <c r="BHW165" s="558"/>
      <c r="BHX165" s="558"/>
      <c r="BHY165" s="558"/>
      <c r="BHZ165" s="558"/>
      <c r="BIA165" s="558"/>
      <c r="BIB165" s="558"/>
      <c r="BIC165" s="558"/>
      <c r="BID165" s="558"/>
      <c r="BIE165" s="558"/>
      <c r="BIF165" s="558"/>
      <c r="BIG165" s="558"/>
      <c r="BIH165" s="558"/>
      <c r="BII165" s="558"/>
      <c r="BIJ165" s="558"/>
      <c r="BIK165" s="558"/>
      <c r="BIL165" s="558"/>
      <c r="BIM165" s="558"/>
      <c r="BIN165" s="558"/>
      <c r="BIO165" s="558"/>
      <c r="BIP165" s="558"/>
      <c r="BIQ165" s="558"/>
      <c r="BIR165" s="558"/>
      <c r="BIS165" s="558"/>
      <c r="BIT165" s="558"/>
      <c r="BIU165" s="558"/>
      <c r="BIV165" s="558"/>
      <c r="BIW165" s="558"/>
      <c r="BIX165" s="558"/>
      <c r="BIY165" s="558"/>
      <c r="BIZ165" s="558"/>
      <c r="BJA165" s="558"/>
      <c r="BJB165" s="558"/>
      <c r="BJC165" s="558"/>
      <c r="BJD165" s="558"/>
      <c r="BJE165" s="558"/>
      <c r="BJF165" s="558"/>
      <c r="BJG165" s="558"/>
      <c r="BJH165" s="558"/>
      <c r="BJI165" s="558"/>
      <c r="BJJ165" s="558"/>
      <c r="BJK165" s="558"/>
      <c r="BJL165" s="558"/>
      <c r="BJM165" s="558"/>
      <c r="BJN165" s="558"/>
      <c r="BJO165" s="558"/>
      <c r="BJP165" s="558"/>
      <c r="BJQ165" s="558"/>
      <c r="BJR165" s="558"/>
      <c r="BJS165" s="558"/>
      <c r="BJT165" s="558"/>
      <c r="BJU165" s="558"/>
      <c r="BJV165" s="558"/>
      <c r="BJW165" s="558"/>
      <c r="BJX165" s="558"/>
      <c r="BJY165" s="558"/>
      <c r="BJZ165" s="558"/>
      <c r="BKA165" s="558"/>
      <c r="BKB165" s="558"/>
      <c r="BKC165" s="558"/>
      <c r="BKD165" s="558"/>
      <c r="BKE165" s="558"/>
      <c r="BKF165" s="558"/>
      <c r="BKG165" s="558"/>
      <c r="BKH165" s="558"/>
      <c r="BKI165" s="558"/>
      <c r="BKJ165" s="558"/>
      <c r="BKK165" s="558"/>
      <c r="BKL165" s="558"/>
      <c r="BKM165" s="558"/>
      <c r="BKN165" s="558"/>
      <c r="BKO165" s="558"/>
      <c r="BKP165" s="558"/>
      <c r="BKQ165" s="558"/>
      <c r="BKR165" s="558"/>
      <c r="BKS165" s="558"/>
      <c r="BKT165" s="558"/>
      <c r="BKU165" s="558"/>
      <c r="BKV165" s="558"/>
      <c r="BKW165" s="558"/>
      <c r="BKX165" s="558"/>
      <c r="BKY165" s="558"/>
      <c r="BKZ165" s="558"/>
      <c r="BLA165" s="558"/>
      <c r="BLB165" s="558"/>
      <c r="BLC165" s="558"/>
      <c r="BLD165" s="558"/>
      <c r="BLE165" s="558"/>
      <c r="BLF165" s="558"/>
      <c r="BLG165" s="558"/>
      <c r="BLH165" s="558"/>
      <c r="BLI165" s="558"/>
      <c r="BLJ165" s="558"/>
      <c r="BLK165" s="558"/>
      <c r="BLL165" s="558"/>
      <c r="BLM165" s="558"/>
      <c r="BLN165" s="558"/>
      <c r="BLO165" s="558"/>
      <c r="BLP165" s="558"/>
      <c r="BLQ165" s="558"/>
      <c r="BLR165" s="558"/>
      <c r="BLS165" s="558"/>
      <c r="BLT165" s="558"/>
      <c r="BLU165" s="558"/>
      <c r="BLV165" s="558"/>
      <c r="BLW165" s="558"/>
      <c r="BLX165" s="558"/>
      <c r="BLY165" s="558"/>
      <c r="BLZ165" s="558"/>
      <c r="BMA165" s="558"/>
      <c r="BMB165" s="558"/>
      <c r="BMC165" s="558"/>
      <c r="BMD165" s="558"/>
      <c r="BME165" s="558"/>
      <c r="BMF165" s="558"/>
      <c r="BMG165" s="558"/>
      <c r="BMH165" s="558"/>
      <c r="BMI165" s="558"/>
      <c r="BMJ165" s="558"/>
      <c r="BMK165" s="558"/>
      <c r="BML165" s="558"/>
      <c r="BMM165" s="558"/>
      <c r="BMN165" s="558"/>
      <c r="BMO165" s="558"/>
      <c r="BMP165" s="558"/>
      <c r="BMQ165" s="558"/>
      <c r="BMR165" s="558"/>
      <c r="BMS165" s="558"/>
      <c r="BMT165" s="558"/>
      <c r="BMU165" s="558"/>
      <c r="BMV165" s="558"/>
      <c r="BMW165" s="558"/>
      <c r="BMX165" s="558"/>
      <c r="BMY165" s="558"/>
      <c r="BMZ165" s="558"/>
      <c r="BNA165" s="558"/>
      <c r="BNB165" s="558"/>
      <c r="BNC165" s="558"/>
      <c r="BND165" s="558"/>
      <c r="BNE165" s="558"/>
      <c r="BNF165" s="558"/>
      <c r="BNG165" s="558"/>
      <c r="BNH165" s="558"/>
      <c r="BNI165" s="558"/>
      <c r="BNJ165" s="558"/>
      <c r="BNK165" s="558"/>
      <c r="BNL165" s="558"/>
      <c r="BNM165" s="558"/>
      <c r="BNN165" s="558"/>
      <c r="BNO165" s="558"/>
      <c r="BNP165" s="558"/>
      <c r="BNQ165" s="558"/>
      <c r="BNR165" s="558"/>
      <c r="BNS165" s="558"/>
      <c r="BNT165" s="558"/>
      <c r="BNU165" s="558"/>
      <c r="BNV165" s="558"/>
      <c r="BNW165" s="558"/>
      <c r="BNX165" s="558"/>
      <c r="BNY165" s="558"/>
      <c r="BNZ165" s="558"/>
      <c r="BOA165" s="558"/>
      <c r="BOB165" s="558"/>
      <c r="BOC165" s="558"/>
      <c r="BOD165" s="558"/>
      <c r="BOE165" s="558"/>
      <c r="BOF165" s="558"/>
      <c r="BOG165" s="558"/>
      <c r="BOH165" s="558"/>
      <c r="BOI165" s="558"/>
      <c r="BOJ165" s="558"/>
      <c r="BOK165" s="558"/>
      <c r="BOL165" s="558"/>
      <c r="BOM165" s="558"/>
      <c r="BON165" s="558"/>
      <c r="BOO165" s="558"/>
      <c r="BOP165" s="558"/>
      <c r="BOQ165" s="558"/>
      <c r="BOR165" s="558"/>
      <c r="BOS165" s="558"/>
      <c r="BOT165" s="558"/>
      <c r="BOU165" s="558"/>
      <c r="BOV165" s="558"/>
      <c r="BOW165" s="558"/>
      <c r="BOX165" s="558"/>
      <c r="BOY165" s="558"/>
      <c r="BOZ165" s="558"/>
      <c r="BPA165" s="558"/>
      <c r="BPB165" s="558"/>
      <c r="BPC165" s="558"/>
      <c r="BPD165" s="558"/>
      <c r="BPE165" s="558"/>
      <c r="BPF165" s="558"/>
      <c r="BPG165" s="558"/>
      <c r="BPH165" s="558"/>
      <c r="BPI165" s="558"/>
      <c r="BPJ165" s="558"/>
      <c r="BPK165" s="558"/>
      <c r="BPL165" s="558"/>
      <c r="BPM165" s="558"/>
      <c r="BPN165" s="558"/>
      <c r="BPO165" s="558"/>
      <c r="BPP165" s="558"/>
      <c r="BPQ165" s="558"/>
      <c r="BPR165" s="558"/>
      <c r="BPS165" s="558"/>
      <c r="BPT165" s="558"/>
      <c r="BPU165" s="558"/>
      <c r="BPV165" s="558"/>
      <c r="BPW165" s="558"/>
      <c r="BPX165" s="558"/>
      <c r="BPY165" s="558"/>
      <c r="BPZ165" s="558"/>
      <c r="BQA165" s="558"/>
      <c r="BQB165" s="558"/>
      <c r="BQC165" s="558"/>
      <c r="BQD165" s="558"/>
      <c r="BQE165" s="558"/>
      <c r="BQF165" s="558"/>
      <c r="BQG165" s="558"/>
      <c r="BQH165" s="558"/>
      <c r="BQI165" s="558"/>
      <c r="BQJ165" s="558"/>
      <c r="BQK165" s="558"/>
      <c r="BQL165" s="558"/>
      <c r="BQM165" s="558"/>
      <c r="BQN165" s="558"/>
      <c r="BQO165" s="558"/>
      <c r="BQP165" s="558"/>
      <c r="BQQ165" s="558"/>
      <c r="BQR165" s="558"/>
      <c r="BQS165" s="558"/>
      <c r="BQT165" s="558"/>
      <c r="BQU165" s="558"/>
      <c r="BQV165" s="558"/>
      <c r="BQW165" s="558"/>
      <c r="BQX165" s="558"/>
      <c r="BQY165" s="558"/>
      <c r="BQZ165" s="558"/>
      <c r="BRA165" s="558"/>
      <c r="BRB165" s="558"/>
      <c r="BRC165" s="558"/>
      <c r="BRD165" s="558"/>
      <c r="BRE165" s="558"/>
      <c r="BRF165" s="558"/>
      <c r="BRG165" s="558"/>
      <c r="BRH165" s="558"/>
      <c r="BRI165" s="558"/>
      <c r="BRJ165" s="558"/>
      <c r="BRK165" s="558"/>
      <c r="BRL165" s="558"/>
      <c r="BRM165" s="558"/>
      <c r="BRN165" s="558"/>
      <c r="BRO165" s="558"/>
      <c r="BRP165" s="558"/>
      <c r="BRQ165" s="558"/>
      <c r="BRR165" s="558"/>
      <c r="BRS165" s="558"/>
      <c r="BRT165" s="558"/>
      <c r="BRU165" s="558"/>
      <c r="BRV165" s="558"/>
      <c r="BRW165" s="558"/>
      <c r="BRX165" s="558"/>
      <c r="BRY165" s="558"/>
      <c r="BRZ165" s="558"/>
      <c r="BSA165" s="558"/>
      <c r="BSB165" s="558"/>
      <c r="BSC165" s="558"/>
      <c r="BSD165" s="558"/>
      <c r="BSE165" s="558"/>
      <c r="BSF165" s="558"/>
      <c r="BSG165" s="558"/>
      <c r="BSH165" s="558"/>
      <c r="BSI165" s="558"/>
      <c r="BSJ165" s="558"/>
      <c r="BSK165" s="558"/>
      <c r="BSL165" s="558"/>
      <c r="BSM165" s="558"/>
      <c r="BSN165" s="558"/>
      <c r="BSO165" s="558"/>
      <c r="BSP165" s="558"/>
      <c r="BSQ165" s="558"/>
      <c r="BSR165" s="558"/>
      <c r="BSS165" s="558"/>
      <c r="BST165" s="558"/>
      <c r="BSU165" s="558"/>
      <c r="BSV165" s="558"/>
      <c r="BSW165" s="558"/>
      <c r="BSX165" s="558"/>
      <c r="BSY165" s="558"/>
      <c r="BSZ165" s="558"/>
      <c r="BTA165" s="558"/>
      <c r="BTB165" s="558"/>
      <c r="BTC165" s="558"/>
      <c r="BTD165" s="558"/>
      <c r="BTE165" s="558"/>
      <c r="BTF165" s="558"/>
      <c r="BTG165" s="558"/>
      <c r="BTH165" s="558"/>
      <c r="BTI165" s="558"/>
      <c r="BTJ165" s="558"/>
      <c r="BTK165" s="558"/>
      <c r="BTL165" s="558"/>
      <c r="BTM165" s="558"/>
      <c r="BTN165" s="558"/>
      <c r="BTO165" s="558"/>
      <c r="BTP165" s="558"/>
      <c r="BTQ165" s="558"/>
      <c r="BTR165" s="558"/>
      <c r="BTS165" s="558"/>
      <c r="BTT165" s="558"/>
      <c r="BTU165" s="558"/>
      <c r="BTV165" s="558"/>
      <c r="BTW165" s="558"/>
      <c r="BTX165" s="558"/>
      <c r="BTY165" s="558"/>
      <c r="BTZ165" s="558"/>
      <c r="BUA165" s="558"/>
      <c r="BUB165" s="558"/>
      <c r="BUC165" s="558"/>
      <c r="BUD165" s="558"/>
      <c r="BUE165" s="558"/>
      <c r="BUF165" s="558"/>
      <c r="BUG165" s="558"/>
      <c r="BUH165" s="558"/>
      <c r="BUI165" s="558"/>
      <c r="BUJ165" s="558"/>
      <c r="BUK165" s="558"/>
      <c r="BUL165" s="558"/>
      <c r="BUM165" s="558"/>
      <c r="BUN165" s="558"/>
      <c r="BUO165" s="558"/>
      <c r="BUP165" s="558"/>
      <c r="BUQ165" s="558"/>
      <c r="BUR165" s="558"/>
      <c r="BUS165" s="558"/>
      <c r="BUT165" s="558"/>
      <c r="BUU165" s="558"/>
      <c r="BUV165" s="558"/>
      <c r="BUW165" s="558"/>
      <c r="BUX165" s="558"/>
      <c r="BUY165" s="558"/>
      <c r="BUZ165" s="558"/>
      <c r="BVA165" s="558"/>
      <c r="BVB165" s="558"/>
      <c r="BVC165" s="558"/>
      <c r="BVD165" s="558"/>
      <c r="BVE165" s="558"/>
      <c r="BVF165" s="558"/>
      <c r="BVG165" s="558"/>
      <c r="BVH165" s="558"/>
      <c r="BVI165" s="558"/>
      <c r="BVJ165" s="558"/>
      <c r="BVK165" s="558"/>
      <c r="BVL165" s="558"/>
      <c r="BVM165" s="558"/>
      <c r="BVN165" s="558"/>
      <c r="BVO165" s="558"/>
      <c r="BVP165" s="558"/>
      <c r="BVQ165" s="558"/>
      <c r="BVR165" s="558"/>
      <c r="BVS165" s="558"/>
      <c r="BVT165" s="558"/>
      <c r="BVU165" s="558"/>
      <c r="BVV165" s="558"/>
      <c r="BVW165" s="558"/>
      <c r="BVX165" s="558"/>
      <c r="BVY165" s="558"/>
      <c r="BVZ165" s="558"/>
      <c r="BWA165" s="558"/>
      <c r="BWB165" s="558"/>
      <c r="BWC165" s="558"/>
      <c r="BWD165" s="558"/>
      <c r="BWE165" s="558"/>
      <c r="BWF165" s="558"/>
      <c r="BWG165" s="558"/>
      <c r="BWH165" s="558"/>
      <c r="BWI165" s="558"/>
      <c r="BWJ165" s="558"/>
      <c r="BWK165" s="558"/>
      <c r="BWL165" s="558"/>
      <c r="BWM165" s="558"/>
      <c r="BWN165" s="558"/>
      <c r="BWO165" s="558"/>
      <c r="BWP165" s="558"/>
      <c r="BWQ165" s="558"/>
      <c r="BWR165" s="558"/>
      <c r="BWS165" s="558"/>
      <c r="BWT165" s="558"/>
      <c r="BWU165" s="558"/>
      <c r="BWV165" s="558"/>
      <c r="BWW165" s="558"/>
      <c r="BWX165" s="558"/>
      <c r="BWY165" s="558"/>
      <c r="BWZ165" s="558"/>
      <c r="BXA165" s="558"/>
      <c r="BXB165" s="558"/>
      <c r="BXC165" s="558"/>
      <c r="BXD165" s="558"/>
      <c r="BXE165" s="558"/>
      <c r="BXF165" s="558"/>
      <c r="BXG165" s="558"/>
      <c r="BXH165" s="558"/>
      <c r="BXI165" s="558"/>
      <c r="BXJ165" s="558"/>
      <c r="BXK165" s="558"/>
      <c r="BXL165" s="558"/>
      <c r="BXM165" s="558"/>
      <c r="BXN165" s="558"/>
      <c r="BXO165" s="558"/>
      <c r="BXP165" s="558"/>
      <c r="BXQ165" s="558"/>
      <c r="BXR165" s="558"/>
      <c r="BXS165" s="558"/>
      <c r="BXT165" s="558"/>
      <c r="BXU165" s="558"/>
      <c r="BXV165" s="558"/>
      <c r="BXW165" s="558"/>
      <c r="BXX165" s="558"/>
      <c r="BXY165" s="558"/>
      <c r="BXZ165" s="558"/>
      <c r="BYA165" s="558"/>
      <c r="BYB165" s="558"/>
      <c r="BYC165" s="558"/>
      <c r="BYD165" s="558"/>
      <c r="BYE165" s="558"/>
      <c r="BYF165" s="558"/>
      <c r="BYG165" s="558"/>
      <c r="BYH165" s="558"/>
      <c r="BYI165" s="558"/>
      <c r="BYJ165" s="558"/>
      <c r="BYK165" s="558"/>
      <c r="BYL165" s="558"/>
      <c r="BYM165" s="558"/>
      <c r="BYN165" s="558"/>
      <c r="BYO165" s="558"/>
      <c r="BYP165" s="558"/>
      <c r="BYQ165" s="558"/>
      <c r="BYR165" s="558"/>
      <c r="BYS165" s="558"/>
      <c r="BYT165" s="558"/>
      <c r="BYU165" s="558"/>
      <c r="BYV165" s="558"/>
      <c r="BYW165" s="558"/>
      <c r="BYX165" s="558"/>
      <c r="BYY165" s="558"/>
      <c r="BYZ165" s="558"/>
      <c r="BZA165" s="558"/>
      <c r="BZB165" s="558"/>
      <c r="BZC165" s="558"/>
      <c r="BZD165" s="558"/>
      <c r="BZE165" s="558"/>
      <c r="BZF165" s="558"/>
      <c r="BZG165" s="558"/>
      <c r="BZH165" s="558"/>
      <c r="BZI165" s="558"/>
      <c r="BZJ165" s="558"/>
      <c r="BZK165" s="558"/>
      <c r="BZL165" s="558"/>
      <c r="BZM165" s="558"/>
      <c r="BZN165" s="558"/>
      <c r="BZO165" s="558"/>
      <c r="BZP165" s="558"/>
      <c r="BZQ165" s="558"/>
      <c r="BZR165" s="558"/>
      <c r="BZS165" s="558"/>
      <c r="BZT165" s="558"/>
      <c r="BZU165" s="558"/>
      <c r="BZV165" s="558"/>
      <c r="BZW165" s="558"/>
      <c r="BZX165" s="558"/>
      <c r="BZY165" s="558"/>
      <c r="BZZ165" s="558"/>
      <c r="CAA165" s="558"/>
      <c r="CAB165" s="558"/>
      <c r="CAC165" s="558"/>
      <c r="CAD165" s="558"/>
      <c r="CAE165" s="558"/>
      <c r="CAF165" s="558"/>
      <c r="CAG165" s="558"/>
      <c r="CAH165" s="558"/>
      <c r="CAI165" s="558"/>
      <c r="CAJ165" s="558"/>
      <c r="CAK165" s="558"/>
      <c r="CAL165" s="558"/>
      <c r="CAM165" s="558"/>
      <c r="CAN165" s="558"/>
      <c r="CAO165" s="558"/>
      <c r="CAP165" s="558"/>
      <c r="CAQ165" s="558"/>
      <c r="CAR165" s="558"/>
      <c r="CAS165" s="558"/>
      <c r="CAT165" s="558"/>
      <c r="CAU165" s="558"/>
      <c r="CAV165" s="558"/>
      <c r="CAW165" s="558"/>
      <c r="CAX165" s="558"/>
      <c r="CAY165" s="558"/>
      <c r="CAZ165" s="558"/>
      <c r="CBA165" s="558"/>
      <c r="CBB165" s="558"/>
      <c r="CBC165" s="558"/>
      <c r="CBD165" s="558"/>
      <c r="CBE165" s="558"/>
      <c r="CBF165" s="558"/>
      <c r="CBG165" s="558"/>
      <c r="CBH165" s="558"/>
      <c r="CBI165" s="558"/>
      <c r="CBJ165" s="558"/>
      <c r="CBK165" s="558"/>
      <c r="CBL165" s="558"/>
      <c r="CBM165" s="558"/>
      <c r="CBN165" s="558"/>
      <c r="CBO165" s="558"/>
      <c r="CBP165" s="558"/>
      <c r="CBQ165" s="558"/>
      <c r="CBR165" s="558"/>
      <c r="CBS165" s="558"/>
      <c r="CBT165" s="558"/>
      <c r="CBU165" s="558"/>
      <c r="CBV165" s="558"/>
      <c r="CBW165" s="558"/>
      <c r="CBX165" s="558"/>
      <c r="CBY165" s="558"/>
      <c r="CBZ165" s="558"/>
      <c r="CCA165" s="558"/>
      <c r="CCB165" s="558"/>
      <c r="CCC165" s="558"/>
      <c r="CCD165" s="558"/>
      <c r="CCE165" s="558"/>
      <c r="CCF165" s="558"/>
      <c r="CCG165" s="558"/>
      <c r="CCH165" s="558"/>
      <c r="CCI165" s="558"/>
      <c r="CCJ165" s="558"/>
      <c r="CCK165" s="558"/>
      <c r="CCL165" s="558"/>
      <c r="CCM165" s="558"/>
      <c r="CCN165" s="558"/>
      <c r="CCO165" s="558"/>
      <c r="CCP165" s="558"/>
      <c r="CCQ165" s="558"/>
      <c r="CCR165" s="558"/>
      <c r="CCS165" s="558"/>
      <c r="CCT165" s="558"/>
      <c r="CCU165" s="558"/>
      <c r="CCV165" s="558"/>
      <c r="CCW165" s="558"/>
      <c r="CCX165" s="558"/>
      <c r="CCY165" s="558"/>
      <c r="CCZ165" s="558"/>
      <c r="CDA165" s="558"/>
      <c r="CDB165" s="558"/>
      <c r="CDC165" s="558"/>
      <c r="CDD165" s="558"/>
      <c r="CDE165" s="558"/>
      <c r="CDF165" s="558"/>
      <c r="CDG165" s="558"/>
      <c r="CDH165" s="558"/>
      <c r="CDI165" s="558"/>
      <c r="CDJ165" s="558"/>
      <c r="CDK165" s="558"/>
      <c r="CDL165" s="558"/>
      <c r="CDM165" s="558"/>
      <c r="CDN165" s="558"/>
      <c r="CDO165" s="558"/>
      <c r="CDP165" s="558"/>
      <c r="CDQ165" s="558"/>
      <c r="CDR165" s="558"/>
      <c r="CDS165" s="558"/>
      <c r="CDT165" s="558"/>
      <c r="CDU165" s="558"/>
      <c r="CDV165" s="558"/>
      <c r="CDW165" s="558"/>
      <c r="CDX165" s="558"/>
      <c r="CDY165" s="558"/>
      <c r="CDZ165" s="558"/>
      <c r="CEA165" s="558"/>
      <c r="CEB165" s="558"/>
      <c r="CEC165" s="558"/>
      <c r="CED165" s="558"/>
      <c r="CEE165" s="558"/>
      <c r="CEF165" s="558"/>
      <c r="CEG165" s="558"/>
      <c r="CEH165" s="558"/>
      <c r="CEI165" s="558"/>
      <c r="CEJ165" s="558"/>
      <c r="CEK165" s="558"/>
      <c r="CEL165" s="558"/>
      <c r="CEM165" s="558"/>
      <c r="CEN165" s="558"/>
      <c r="CEO165" s="558"/>
      <c r="CEP165" s="558"/>
      <c r="CEQ165" s="558"/>
      <c r="CER165" s="558"/>
      <c r="CES165" s="558"/>
      <c r="CET165" s="558"/>
      <c r="CEU165" s="558"/>
      <c r="CEV165" s="558"/>
      <c r="CEW165" s="558"/>
      <c r="CEX165" s="558"/>
      <c r="CEY165" s="558"/>
      <c r="CEZ165" s="558"/>
      <c r="CFA165" s="558"/>
      <c r="CFB165" s="558"/>
      <c r="CFC165" s="558"/>
      <c r="CFD165" s="558"/>
      <c r="CFE165" s="558"/>
      <c r="CFF165" s="558"/>
      <c r="CFG165" s="558"/>
      <c r="CFH165" s="558"/>
      <c r="CFI165" s="558"/>
      <c r="CFJ165" s="558"/>
      <c r="CFK165" s="558"/>
      <c r="CFL165" s="558"/>
      <c r="CFM165" s="558"/>
      <c r="CFN165" s="558"/>
      <c r="CFO165" s="558"/>
      <c r="CFP165" s="558"/>
      <c r="CFQ165" s="558"/>
      <c r="CFR165" s="558"/>
      <c r="CFS165" s="558"/>
      <c r="CFT165" s="558"/>
      <c r="CFU165" s="558"/>
      <c r="CFV165" s="558"/>
      <c r="CFW165" s="558"/>
      <c r="CFX165" s="558"/>
      <c r="CFY165" s="558"/>
      <c r="CFZ165" s="558"/>
      <c r="CGA165" s="558"/>
      <c r="CGB165" s="558"/>
      <c r="CGC165" s="558"/>
      <c r="CGD165" s="558"/>
      <c r="CGE165" s="558"/>
      <c r="CGF165" s="558"/>
      <c r="CGG165" s="558"/>
      <c r="CGH165" s="558"/>
      <c r="CGI165" s="558"/>
      <c r="CGJ165" s="558"/>
      <c r="CGK165" s="558"/>
      <c r="CGL165" s="558"/>
      <c r="CGM165" s="558"/>
      <c r="CGN165" s="558"/>
      <c r="CGO165" s="558"/>
      <c r="CGP165" s="558"/>
      <c r="CGQ165" s="558"/>
      <c r="CGR165" s="558"/>
      <c r="CGS165" s="558"/>
      <c r="CGT165" s="558"/>
      <c r="CGU165" s="558"/>
      <c r="CGV165" s="558"/>
      <c r="CGW165" s="558"/>
      <c r="CGX165" s="558"/>
      <c r="CGY165" s="558"/>
      <c r="CGZ165" s="558"/>
      <c r="CHA165" s="558"/>
      <c r="CHB165" s="558"/>
      <c r="CHC165" s="558"/>
      <c r="CHD165" s="558"/>
      <c r="CHE165" s="558"/>
      <c r="CHF165" s="558"/>
      <c r="CHG165" s="558"/>
      <c r="CHH165" s="558"/>
      <c r="CHI165" s="558"/>
      <c r="CHJ165" s="558"/>
      <c r="CHK165" s="558"/>
      <c r="CHL165" s="558"/>
      <c r="CHM165" s="558"/>
      <c r="CHN165" s="558"/>
      <c r="CHO165" s="558"/>
      <c r="CHP165" s="558"/>
      <c r="CHQ165" s="558"/>
      <c r="CHR165" s="558"/>
      <c r="CHS165" s="558"/>
      <c r="CHT165" s="558"/>
      <c r="CHU165" s="558"/>
      <c r="CHV165" s="558"/>
      <c r="CHW165" s="558"/>
      <c r="CHX165" s="558"/>
      <c r="CHY165" s="558"/>
      <c r="CHZ165" s="558"/>
      <c r="CIA165" s="558"/>
      <c r="CIB165" s="558"/>
      <c r="CIC165" s="558"/>
      <c r="CID165" s="558"/>
      <c r="CIE165" s="558"/>
      <c r="CIF165" s="558"/>
      <c r="CIG165" s="558"/>
      <c r="CIH165" s="558"/>
      <c r="CII165" s="558"/>
      <c r="CIJ165" s="558"/>
      <c r="CIK165" s="558"/>
      <c r="CIL165" s="558"/>
      <c r="CIM165" s="558"/>
      <c r="CIN165" s="558"/>
      <c r="CIO165" s="558"/>
      <c r="CIP165" s="558"/>
      <c r="CIQ165" s="558"/>
      <c r="CIR165" s="558"/>
      <c r="CIS165" s="558"/>
      <c r="CIT165" s="558"/>
      <c r="CIU165" s="558"/>
      <c r="CIV165" s="558"/>
      <c r="CIW165" s="558"/>
      <c r="CIX165" s="558"/>
      <c r="CIY165" s="558"/>
      <c r="CIZ165" s="558"/>
      <c r="CJA165" s="558"/>
      <c r="CJB165" s="558"/>
      <c r="CJC165" s="558"/>
      <c r="CJD165" s="558"/>
      <c r="CJE165" s="558"/>
      <c r="CJF165" s="558"/>
      <c r="CJG165" s="558"/>
      <c r="CJH165" s="558"/>
      <c r="CJI165" s="558"/>
      <c r="CJJ165" s="558"/>
      <c r="CJK165" s="558"/>
      <c r="CJL165" s="558"/>
      <c r="CJM165" s="558"/>
      <c r="CJN165" s="558"/>
      <c r="CJO165" s="558"/>
      <c r="CJP165" s="558"/>
      <c r="CJQ165" s="558"/>
      <c r="CJR165" s="558"/>
      <c r="CJS165" s="558"/>
      <c r="CJT165" s="558"/>
      <c r="CJU165" s="558"/>
      <c r="CJV165" s="558"/>
      <c r="CJW165" s="558"/>
      <c r="CJX165" s="558"/>
      <c r="CJY165" s="558"/>
      <c r="CJZ165" s="558"/>
      <c r="CKA165" s="558"/>
      <c r="CKB165" s="558"/>
      <c r="CKC165" s="558"/>
      <c r="CKD165" s="558"/>
      <c r="CKE165" s="558"/>
      <c r="CKF165" s="558"/>
      <c r="CKG165" s="558"/>
      <c r="CKH165" s="558"/>
      <c r="CKI165" s="558"/>
      <c r="CKJ165" s="558"/>
      <c r="CKK165" s="558"/>
      <c r="CKL165" s="558"/>
      <c r="CKM165" s="558"/>
      <c r="CKN165" s="558"/>
      <c r="CKO165" s="558"/>
      <c r="CKP165" s="558"/>
      <c r="CKQ165" s="558"/>
      <c r="CKR165" s="558"/>
      <c r="CKS165" s="558"/>
      <c r="CKT165" s="558"/>
      <c r="CKU165" s="558"/>
      <c r="CKV165" s="558"/>
      <c r="CKW165" s="558"/>
      <c r="CKX165" s="558"/>
      <c r="CKY165" s="558"/>
      <c r="CKZ165" s="558"/>
      <c r="CLA165" s="558"/>
      <c r="CLB165" s="558"/>
      <c r="CLC165" s="558"/>
      <c r="CLD165" s="558"/>
      <c r="CLE165" s="558"/>
      <c r="CLF165" s="558"/>
      <c r="CLG165" s="558"/>
      <c r="CLH165" s="558"/>
      <c r="CLI165" s="558"/>
      <c r="CLJ165" s="558"/>
      <c r="CLK165" s="558"/>
      <c r="CLL165" s="558"/>
      <c r="CLM165" s="558"/>
      <c r="CLN165" s="558"/>
      <c r="CLO165" s="558"/>
      <c r="CLP165" s="558"/>
      <c r="CLQ165" s="558"/>
      <c r="CLR165" s="558"/>
      <c r="CLS165" s="558"/>
      <c r="CLT165" s="558"/>
      <c r="CLU165" s="558"/>
      <c r="CLV165" s="558"/>
      <c r="CLW165" s="558"/>
      <c r="CLX165" s="558"/>
      <c r="CLY165" s="558"/>
      <c r="CLZ165" s="558"/>
      <c r="CMA165" s="558"/>
      <c r="CMB165" s="558"/>
      <c r="CMC165" s="558"/>
      <c r="CMD165" s="558"/>
      <c r="CME165" s="558"/>
      <c r="CMF165" s="558"/>
      <c r="CMG165" s="558"/>
      <c r="CMH165" s="558"/>
      <c r="CMI165" s="558"/>
      <c r="CMJ165" s="558"/>
      <c r="CMK165" s="558"/>
      <c r="CML165" s="558"/>
      <c r="CMM165" s="558"/>
      <c r="CMN165" s="558"/>
      <c r="CMO165" s="558"/>
      <c r="CMP165" s="558"/>
      <c r="CMQ165" s="558"/>
      <c r="CMR165" s="558"/>
      <c r="CMS165" s="558"/>
      <c r="CMT165" s="558"/>
      <c r="CMU165" s="558"/>
      <c r="CMV165" s="558"/>
      <c r="CMW165" s="558"/>
      <c r="CMX165" s="558"/>
      <c r="CMY165" s="558"/>
      <c r="CMZ165" s="558"/>
      <c r="CNA165" s="558"/>
      <c r="CNB165" s="558"/>
      <c r="CNC165" s="558"/>
      <c r="CND165" s="558"/>
      <c r="CNE165" s="558"/>
      <c r="CNF165" s="558"/>
      <c r="CNG165" s="558"/>
      <c r="CNH165" s="558"/>
      <c r="CNI165" s="558"/>
      <c r="CNJ165" s="558"/>
      <c r="CNK165" s="558"/>
      <c r="CNL165" s="558"/>
      <c r="CNM165" s="558"/>
      <c r="CNN165" s="558"/>
      <c r="CNO165" s="558"/>
      <c r="CNP165" s="558"/>
      <c r="CNQ165" s="558"/>
      <c r="CNR165" s="558"/>
      <c r="CNS165" s="558"/>
      <c r="CNT165" s="558"/>
      <c r="CNU165" s="558"/>
      <c r="CNV165" s="558"/>
      <c r="CNW165" s="558"/>
      <c r="CNX165" s="558"/>
      <c r="CNY165" s="558"/>
      <c r="CNZ165" s="558"/>
      <c r="COA165" s="558"/>
      <c r="COB165" s="558"/>
      <c r="COC165" s="558"/>
      <c r="COD165" s="558"/>
      <c r="COE165" s="558"/>
      <c r="COF165" s="558"/>
      <c r="COG165" s="558"/>
      <c r="COH165" s="558"/>
      <c r="COI165" s="558"/>
      <c r="COJ165" s="558"/>
      <c r="COK165" s="558"/>
      <c r="COL165" s="558"/>
      <c r="COM165" s="558"/>
      <c r="CON165" s="558"/>
      <c r="COO165" s="558"/>
      <c r="COP165" s="558"/>
      <c r="COQ165" s="558"/>
      <c r="COR165" s="558"/>
      <c r="COS165" s="558"/>
      <c r="COT165" s="558"/>
      <c r="COU165" s="558"/>
      <c r="COV165" s="558"/>
      <c r="COW165" s="558"/>
      <c r="COX165" s="558"/>
      <c r="COY165" s="558"/>
      <c r="COZ165" s="558"/>
      <c r="CPA165" s="558"/>
      <c r="CPB165" s="558"/>
      <c r="CPC165" s="558"/>
      <c r="CPD165" s="558"/>
      <c r="CPE165" s="558"/>
      <c r="CPF165" s="558"/>
      <c r="CPG165" s="558"/>
      <c r="CPH165" s="558"/>
      <c r="CPI165" s="558"/>
      <c r="CPJ165" s="558"/>
      <c r="CPK165" s="558"/>
      <c r="CPL165" s="558"/>
      <c r="CPM165" s="558"/>
      <c r="CPN165" s="558"/>
      <c r="CPO165" s="558"/>
      <c r="CPP165" s="558"/>
      <c r="CPQ165" s="558"/>
      <c r="CPR165" s="558"/>
      <c r="CPS165" s="558"/>
      <c r="CPT165" s="558"/>
      <c r="CPU165" s="558"/>
      <c r="CPV165" s="558"/>
      <c r="CPW165" s="558"/>
      <c r="CPX165" s="558"/>
      <c r="CPY165" s="558"/>
      <c r="CPZ165" s="558"/>
      <c r="CQA165" s="558"/>
      <c r="CQB165" s="558"/>
      <c r="CQC165" s="558"/>
      <c r="CQD165" s="558"/>
      <c r="CQE165" s="558"/>
      <c r="CQF165" s="558"/>
      <c r="CQG165" s="558"/>
      <c r="CQH165" s="558"/>
      <c r="CQI165" s="558"/>
      <c r="CQJ165" s="558"/>
      <c r="CQK165" s="558"/>
      <c r="CQL165" s="558"/>
      <c r="CQM165" s="558"/>
      <c r="CQN165" s="558"/>
      <c r="CQO165" s="558"/>
      <c r="CQP165" s="558"/>
      <c r="CQQ165" s="558"/>
      <c r="CQR165" s="558"/>
      <c r="CQS165" s="558"/>
      <c r="CQT165" s="558"/>
      <c r="CQU165" s="558"/>
      <c r="CQV165" s="558"/>
      <c r="CQW165" s="558"/>
      <c r="CQX165" s="558"/>
      <c r="CQY165" s="558"/>
      <c r="CQZ165" s="558"/>
      <c r="CRA165" s="558"/>
      <c r="CRB165" s="558"/>
      <c r="CRC165" s="558"/>
      <c r="CRD165" s="558"/>
      <c r="CRE165" s="558"/>
      <c r="CRF165" s="558"/>
      <c r="CRG165" s="558"/>
      <c r="CRH165" s="558"/>
      <c r="CRI165" s="558"/>
      <c r="CRJ165" s="558"/>
      <c r="CRK165" s="558"/>
      <c r="CRL165" s="558"/>
      <c r="CRM165" s="558"/>
      <c r="CRN165" s="558"/>
      <c r="CRO165" s="558"/>
      <c r="CRP165" s="558"/>
      <c r="CRQ165" s="558"/>
      <c r="CRR165" s="558"/>
      <c r="CRS165" s="558"/>
      <c r="CRT165" s="558"/>
      <c r="CRU165" s="558"/>
      <c r="CRV165" s="558"/>
      <c r="CRW165" s="558"/>
      <c r="CRX165" s="558"/>
      <c r="CRY165" s="558"/>
      <c r="CRZ165" s="558"/>
      <c r="CSA165" s="558"/>
      <c r="CSB165" s="558"/>
      <c r="CSC165" s="558"/>
      <c r="CSD165" s="558"/>
      <c r="CSE165" s="558"/>
      <c r="CSF165" s="558"/>
      <c r="CSG165" s="558"/>
      <c r="CSH165" s="558"/>
      <c r="CSI165" s="558"/>
      <c r="CSJ165" s="558"/>
      <c r="CSK165" s="558"/>
      <c r="CSL165" s="558"/>
      <c r="CSM165" s="558"/>
      <c r="CSN165" s="558"/>
      <c r="CSO165" s="558"/>
      <c r="CSP165" s="558"/>
      <c r="CSQ165" s="558"/>
      <c r="CSR165" s="558"/>
      <c r="CSS165" s="558"/>
      <c r="CST165" s="558"/>
      <c r="CSU165" s="558"/>
      <c r="CSV165" s="558"/>
      <c r="CSW165" s="558"/>
      <c r="CSX165" s="558"/>
      <c r="CSY165" s="558"/>
      <c r="CSZ165" s="558"/>
      <c r="CTA165" s="558"/>
      <c r="CTB165" s="558"/>
      <c r="CTC165" s="558"/>
      <c r="CTD165" s="558"/>
      <c r="CTE165" s="558"/>
      <c r="CTF165" s="558"/>
      <c r="CTG165" s="558"/>
      <c r="CTH165" s="558"/>
      <c r="CTI165" s="558"/>
      <c r="CTJ165" s="558"/>
      <c r="CTK165" s="558"/>
      <c r="CTL165" s="558"/>
      <c r="CTM165" s="558"/>
      <c r="CTN165" s="558"/>
      <c r="CTO165" s="558"/>
      <c r="CTP165" s="558"/>
      <c r="CTQ165" s="558"/>
      <c r="CTR165" s="558"/>
      <c r="CTS165" s="558"/>
      <c r="CTT165" s="558"/>
      <c r="CTU165" s="558"/>
      <c r="CTV165" s="558"/>
      <c r="CTW165" s="558"/>
      <c r="CTX165" s="558"/>
      <c r="CTY165" s="558"/>
      <c r="CTZ165" s="558"/>
      <c r="CUA165" s="558"/>
      <c r="CUB165" s="558"/>
      <c r="CUC165" s="558"/>
      <c r="CUD165" s="558"/>
      <c r="CUE165" s="558"/>
      <c r="CUF165" s="558"/>
      <c r="CUG165" s="558"/>
      <c r="CUH165" s="558"/>
      <c r="CUI165" s="558"/>
      <c r="CUJ165" s="558"/>
      <c r="CUK165" s="558"/>
      <c r="CUL165" s="558"/>
      <c r="CUM165" s="558"/>
      <c r="CUN165" s="558"/>
      <c r="CUO165" s="558"/>
      <c r="CUP165" s="558"/>
      <c r="CUQ165" s="558"/>
      <c r="CUR165" s="558"/>
      <c r="CUS165" s="558"/>
      <c r="CUT165" s="558"/>
      <c r="CUU165" s="558"/>
      <c r="CUV165" s="558"/>
      <c r="CUW165" s="558"/>
      <c r="CUX165" s="558"/>
      <c r="CUY165" s="558"/>
      <c r="CUZ165" s="558"/>
      <c r="CVA165" s="558"/>
      <c r="CVB165" s="558"/>
      <c r="CVC165" s="558"/>
      <c r="CVD165" s="558"/>
      <c r="CVE165" s="558"/>
      <c r="CVF165" s="558"/>
      <c r="CVG165" s="558"/>
      <c r="CVH165" s="558"/>
      <c r="CVI165" s="558"/>
      <c r="CVJ165" s="558"/>
      <c r="CVK165" s="558"/>
      <c r="CVL165" s="558"/>
      <c r="CVM165" s="558"/>
      <c r="CVN165" s="558"/>
      <c r="CVO165" s="558"/>
      <c r="CVP165" s="558"/>
      <c r="CVQ165" s="558"/>
      <c r="CVR165" s="558"/>
      <c r="CVS165" s="558"/>
      <c r="CVT165" s="558"/>
      <c r="CVU165" s="558"/>
      <c r="CVV165" s="558"/>
      <c r="CVW165" s="558"/>
      <c r="CVX165" s="558"/>
      <c r="CVY165" s="558"/>
      <c r="CVZ165" s="558"/>
      <c r="CWA165" s="558"/>
      <c r="CWB165" s="558"/>
      <c r="CWC165" s="558"/>
      <c r="CWD165" s="558"/>
      <c r="CWE165" s="558"/>
      <c r="CWF165" s="558"/>
      <c r="CWG165" s="558"/>
      <c r="CWH165" s="558"/>
      <c r="CWI165" s="558"/>
      <c r="CWJ165" s="558"/>
      <c r="CWK165" s="558"/>
      <c r="CWL165" s="558"/>
      <c r="CWM165" s="558"/>
      <c r="CWN165" s="558"/>
      <c r="CWO165" s="558"/>
      <c r="CWP165" s="558"/>
      <c r="CWQ165" s="558"/>
      <c r="CWR165" s="558"/>
      <c r="CWS165" s="558"/>
      <c r="CWT165" s="558"/>
      <c r="CWU165" s="558"/>
      <c r="CWV165" s="558"/>
      <c r="CWW165" s="558"/>
      <c r="CWX165" s="558"/>
      <c r="CWY165" s="558"/>
      <c r="CWZ165" s="558"/>
      <c r="CXA165" s="558"/>
      <c r="CXB165" s="558"/>
      <c r="CXC165" s="558"/>
      <c r="CXD165" s="558"/>
      <c r="CXE165" s="558"/>
      <c r="CXF165" s="558"/>
      <c r="CXG165" s="558"/>
      <c r="CXH165" s="558"/>
      <c r="CXI165" s="558"/>
      <c r="CXJ165" s="558"/>
      <c r="CXK165" s="558"/>
      <c r="CXL165" s="558"/>
      <c r="CXM165" s="558"/>
      <c r="CXN165" s="558"/>
      <c r="CXO165" s="558"/>
      <c r="CXP165" s="558"/>
      <c r="CXQ165" s="558"/>
      <c r="CXR165" s="558"/>
      <c r="CXS165" s="558"/>
      <c r="CXT165" s="558"/>
      <c r="CXU165" s="558"/>
      <c r="CXV165" s="558"/>
      <c r="CXW165" s="558"/>
      <c r="CXX165" s="558"/>
      <c r="CXY165" s="558"/>
      <c r="CXZ165" s="558"/>
      <c r="CYA165" s="558"/>
      <c r="CYB165" s="558"/>
      <c r="CYC165" s="558"/>
      <c r="CYD165" s="558"/>
      <c r="CYE165" s="558"/>
      <c r="CYF165" s="558"/>
      <c r="CYG165" s="558"/>
      <c r="CYH165" s="558"/>
      <c r="CYI165" s="558"/>
      <c r="CYJ165" s="558"/>
      <c r="CYK165" s="558"/>
      <c r="CYL165" s="558"/>
      <c r="CYM165" s="558"/>
      <c r="CYN165" s="558"/>
      <c r="CYO165" s="558"/>
      <c r="CYP165" s="558"/>
      <c r="CYQ165" s="558"/>
      <c r="CYR165" s="558"/>
      <c r="CYS165" s="558"/>
      <c r="CYT165" s="558"/>
      <c r="CYU165" s="558"/>
      <c r="CYV165" s="558"/>
      <c r="CYW165" s="558"/>
      <c r="CYX165" s="558"/>
      <c r="CYY165" s="558"/>
      <c r="CYZ165" s="558"/>
      <c r="CZA165" s="558"/>
      <c r="CZB165" s="558"/>
      <c r="CZC165" s="558"/>
      <c r="CZD165" s="558"/>
      <c r="CZE165" s="558"/>
      <c r="CZF165" s="558"/>
      <c r="CZG165" s="558"/>
      <c r="CZH165" s="558"/>
      <c r="CZI165" s="558"/>
      <c r="CZJ165" s="558"/>
      <c r="CZK165" s="558"/>
      <c r="CZL165" s="558"/>
      <c r="CZM165" s="558"/>
      <c r="CZN165" s="558"/>
      <c r="CZO165" s="558"/>
      <c r="CZP165" s="558"/>
      <c r="CZQ165" s="558"/>
      <c r="CZR165" s="558"/>
      <c r="CZS165" s="558"/>
      <c r="CZT165" s="558"/>
      <c r="CZU165" s="558"/>
      <c r="CZV165" s="558"/>
      <c r="CZW165" s="558"/>
      <c r="CZX165" s="558"/>
      <c r="CZY165" s="558"/>
      <c r="CZZ165" s="558"/>
      <c r="DAA165" s="558"/>
      <c r="DAB165" s="558"/>
      <c r="DAC165" s="558"/>
      <c r="DAD165" s="558"/>
      <c r="DAE165" s="558"/>
      <c r="DAF165" s="558"/>
      <c r="DAG165" s="558"/>
      <c r="DAH165" s="558"/>
      <c r="DAI165" s="558"/>
      <c r="DAJ165" s="558"/>
      <c r="DAK165" s="558"/>
      <c r="DAL165" s="558"/>
      <c r="DAM165" s="558"/>
      <c r="DAN165" s="558"/>
      <c r="DAO165" s="558"/>
      <c r="DAP165" s="558"/>
      <c r="DAQ165" s="558"/>
      <c r="DAR165" s="558"/>
      <c r="DAS165" s="558"/>
      <c r="DAT165" s="558"/>
      <c r="DAU165" s="558"/>
      <c r="DAV165" s="558"/>
      <c r="DAW165" s="558"/>
      <c r="DAX165" s="558"/>
      <c r="DAY165" s="558"/>
      <c r="DAZ165" s="558"/>
      <c r="DBA165" s="558"/>
      <c r="DBB165" s="558"/>
      <c r="DBC165" s="558"/>
      <c r="DBD165" s="558"/>
      <c r="DBE165" s="558"/>
      <c r="DBF165" s="558"/>
      <c r="DBG165" s="558"/>
      <c r="DBH165" s="558"/>
      <c r="DBI165" s="558"/>
      <c r="DBJ165" s="558"/>
      <c r="DBK165" s="558"/>
      <c r="DBL165" s="558"/>
      <c r="DBM165" s="558"/>
      <c r="DBN165" s="558"/>
      <c r="DBO165" s="558"/>
      <c r="DBP165" s="558"/>
      <c r="DBQ165" s="558"/>
      <c r="DBR165" s="558"/>
      <c r="DBS165" s="558"/>
      <c r="DBT165" s="558"/>
      <c r="DBU165" s="558"/>
      <c r="DBV165" s="558"/>
      <c r="DBW165" s="558"/>
      <c r="DBX165" s="558"/>
      <c r="DBY165" s="558"/>
      <c r="DBZ165" s="558"/>
      <c r="DCA165" s="558"/>
      <c r="DCB165" s="558"/>
      <c r="DCC165" s="558"/>
      <c r="DCD165" s="558"/>
      <c r="DCE165" s="558"/>
      <c r="DCF165" s="558"/>
      <c r="DCG165" s="558"/>
      <c r="DCH165" s="558"/>
      <c r="DCI165" s="558"/>
      <c r="DCJ165" s="558"/>
      <c r="DCK165" s="558"/>
      <c r="DCL165" s="558"/>
      <c r="DCM165" s="558"/>
      <c r="DCN165" s="558"/>
      <c r="DCO165" s="558"/>
      <c r="DCP165" s="558"/>
      <c r="DCQ165" s="558"/>
      <c r="DCR165" s="558"/>
      <c r="DCS165" s="558"/>
      <c r="DCT165" s="558"/>
      <c r="DCU165" s="558"/>
      <c r="DCV165" s="558"/>
      <c r="DCW165" s="558"/>
      <c r="DCX165" s="558"/>
      <c r="DCY165" s="558"/>
      <c r="DCZ165" s="558"/>
      <c r="DDA165" s="558"/>
      <c r="DDB165" s="558"/>
      <c r="DDC165" s="558"/>
      <c r="DDD165" s="558"/>
      <c r="DDE165" s="558"/>
      <c r="DDF165" s="558"/>
      <c r="DDG165" s="558"/>
      <c r="DDH165" s="558"/>
      <c r="DDI165" s="558"/>
      <c r="DDJ165" s="558"/>
      <c r="DDK165" s="558"/>
      <c r="DDL165" s="558"/>
      <c r="DDM165" s="558"/>
      <c r="DDN165" s="558"/>
      <c r="DDO165" s="558"/>
      <c r="DDP165" s="558"/>
      <c r="DDQ165" s="558"/>
      <c r="DDR165" s="558"/>
      <c r="DDS165" s="558"/>
      <c r="DDT165" s="558"/>
      <c r="DDU165" s="558"/>
      <c r="DDV165" s="558"/>
      <c r="DDW165" s="558"/>
      <c r="DDX165" s="558"/>
      <c r="DDY165" s="558"/>
      <c r="DDZ165" s="558"/>
      <c r="DEA165" s="558"/>
      <c r="DEB165" s="558"/>
      <c r="DEC165" s="558"/>
      <c r="DED165" s="558"/>
      <c r="DEE165" s="558"/>
      <c r="DEF165" s="558"/>
      <c r="DEG165" s="558"/>
      <c r="DEH165" s="558"/>
      <c r="DEI165" s="558"/>
      <c r="DEJ165" s="558"/>
      <c r="DEK165" s="558"/>
      <c r="DEL165" s="558"/>
      <c r="DEM165" s="558"/>
      <c r="DEN165" s="558"/>
      <c r="DEO165" s="558"/>
      <c r="DEP165" s="558"/>
      <c r="DEQ165" s="558"/>
      <c r="DER165" s="558"/>
      <c r="DES165" s="558"/>
      <c r="DET165" s="558"/>
      <c r="DEU165" s="558"/>
      <c r="DEV165" s="558"/>
      <c r="DEW165" s="558"/>
      <c r="DEX165" s="558"/>
      <c r="DEY165" s="558"/>
      <c r="DEZ165" s="558"/>
      <c r="DFA165" s="558"/>
      <c r="DFB165" s="558"/>
      <c r="DFC165" s="558"/>
      <c r="DFD165" s="558"/>
      <c r="DFE165" s="558"/>
      <c r="DFF165" s="558"/>
      <c r="DFG165" s="558"/>
      <c r="DFH165" s="558"/>
      <c r="DFI165" s="558"/>
      <c r="DFJ165" s="558"/>
      <c r="DFK165" s="558"/>
      <c r="DFL165" s="558"/>
      <c r="DFM165" s="558"/>
      <c r="DFN165" s="558"/>
      <c r="DFO165" s="558"/>
      <c r="DFP165" s="558"/>
      <c r="DFQ165" s="558"/>
      <c r="DFR165" s="558"/>
      <c r="DFS165" s="558"/>
      <c r="DFT165" s="558"/>
      <c r="DFU165" s="558"/>
      <c r="DFV165" s="558"/>
      <c r="DFW165" s="558"/>
      <c r="DFX165" s="558"/>
      <c r="DFY165" s="558"/>
      <c r="DFZ165" s="558"/>
      <c r="DGA165" s="558"/>
      <c r="DGB165" s="558"/>
      <c r="DGC165" s="558"/>
      <c r="DGD165" s="558"/>
      <c r="DGE165" s="558"/>
      <c r="DGF165" s="558"/>
      <c r="DGG165" s="558"/>
      <c r="DGH165" s="558"/>
      <c r="DGI165" s="558"/>
      <c r="DGJ165" s="558"/>
      <c r="DGK165" s="558"/>
      <c r="DGL165" s="558"/>
      <c r="DGM165" s="558"/>
      <c r="DGN165" s="558"/>
      <c r="DGO165" s="558"/>
      <c r="DGP165" s="558"/>
      <c r="DGQ165" s="558"/>
      <c r="DGR165" s="558"/>
      <c r="DGS165" s="558"/>
      <c r="DGT165" s="558"/>
      <c r="DGU165" s="558"/>
      <c r="DGV165" s="558"/>
      <c r="DGW165" s="558"/>
      <c r="DGX165" s="558"/>
      <c r="DGY165" s="558"/>
      <c r="DGZ165" s="558"/>
      <c r="DHA165" s="558"/>
      <c r="DHB165" s="558"/>
      <c r="DHC165" s="558"/>
      <c r="DHD165" s="558"/>
      <c r="DHE165" s="558"/>
      <c r="DHF165" s="558"/>
      <c r="DHG165" s="558"/>
      <c r="DHH165" s="558"/>
      <c r="DHI165" s="558"/>
      <c r="DHJ165" s="558"/>
      <c r="DHK165" s="558"/>
      <c r="DHL165" s="558"/>
      <c r="DHM165" s="558"/>
      <c r="DHN165" s="558"/>
      <c r="DHO165" s="558"/>
      <c r="DHP165" s="558"/>
      <c r="DHQ165" s="558"/>
      <c r="DHR165" s="558"/>
      <c r="DHS165" s="558"/>
      <c r="DHT165" s="558"/>
      <c r="DHU165" s="558"/>
      <c r="DHV165" s="558"/>
      <c r="DHW165" s="558"/>
      <c r="DHX165" s="558"/>
      <c r="DHY165" s="558"/>
      <c r="DHZ165" s="558"/>
      <c r="DIA165" s="558"/>
      <c r="DIB165" s="558"/>
      <c r="DIC165" s="558"/>
      <c r="DID165" s="558"/>
      <c r="DIE165" s="558"/>
      <c r="DIF165" s="558"/>
      <c r="DIG165" s="558"/>
      <c r="DIH165" s="558"/>
      <c r="DII165" s="558"/>
      <c r="DIJ165" s="558"/>
      <c r="DIK165" s="558"/>
      <c r="DIL165" s="558"/>
      <c r="DIM165" s="558"/>
      <c r="DIN165" s="558"/>
      <c r="DIO165" s="558"/>
      <c r="DIP165" s="558"/>
      <c r="DIQ165" s="558"/>
      <c r="DIR165" s="558"/>
      <c r="DIS165" s="558"/>
      <c r="DIT165" s="558"/>
      <c r="DIU165" s="558"/>
      <c r="DIV165" s="558"/>
      <c r="DIW165" s="558"/>
      <c r="DIX165" s="558"/>
      <c r="DIY165" s="558"/>
      <c r="DIZ165" s="558"/>
      <c r="DJA165" s="558"/>
      <c r="DJB165" s="558"/>
      <c r="DJC165" s="558"/>
      <c r="DJD165" s="558"/>
      <c r="DJE165" s="558"/>
      <c r="DJF165" s="558"/>
      <c r="DJG165" s="558"/>
      <c r="DJH165" s="558"/>
      <c r="DJI165" s="558"/>
      <c r="DJJ165" s="558"/>
      <c r="DJK165" s="558"/>
      <c r="DJL165" s="558"/>
      <c r="DJM165" s="558"/>
      <c r="DJN165" s="558"/>
      <c r="DJO165" s="558"/>
      <c r="DJP165" s="558"/>
      <c r="DJQ165" s="558"/>
      <c r="DJR165" s="558"/>
      <c r="DJS165" s="558"/>
      <c r="DJT165" s="558"/>
      <c r="DJU165" s="558"/>
      <c r="DJV165" s="558"/>
      <c r="DJW165" s="558"/>
      <c r="DJX165" s="558"/>
      <c r="DJY165" s="558"/>
      <c r="DJZ165" s="558"/>
      <c r="DKA165" s="558"/>
      <c r="DKB165" s="558"/>
      <c r="DKC165" s="558"/>
      <c r="DKD165" s="558"/>
      <c r="DKE165" s="558"/>
      <c r="DKF165" s="558"/>
      <c r="DKG165" s="558"/>
      <c r="DKH165" s="558"/>
      <c r="DKI165" s="558"/>
      <c r="DKJ165" s="558"/>
      <c r="DKK165" s="558"/>
      <c r="DKL165" s="558"/>
      <c r="DKM165" s="558"/>
      <c r="DKN165" s="558"/>
      <c r="DKO165" s="558"/>
      <c r="DKP165" s="558"/>
      <c r="DKQ165" s="558"/>
      <c r="DKR165" s="558"/>
      <c r="DKS165" s="558"/>
      <c r="DKT165" s="558"/>
      <c r="DKU165" s="558"/>
      <c r="DKV165" s="558"/>
      <c r="DKW165" s="558"/>
      <c r="DKX165" s="558"/>
      <c r="DKY165" s="558"/>
      <c r="DKZ165" s="558"/>
      <c r="DLA165" s="558"/>
      <c r="DLB165" s="558"/>
      <c r="DLC165" s="558"/>
      <c r="DLD165" s="558"/>
      <c r="DLE165" s="558"/>
      <c r="DLF165" s="558"/>
      <c r="DLG165" s="558"/>
      <c r="DLH165" s="558"/>
      <c r="DLI165" s="558"/>
      <c r="DLJ165" s="558"/>
      <c r="DLK165" s="558"/>
      <c r="DLL165" s="558"/>
      <c r="DLM165" s="558"/>
      <c r="DLN165" s="558"/>
      <c r="DLO165" s="558"/>
      <c r="DLP165" s="558"/>
      <c r="DLQ165" s="558"/>
      <c r="DLR165" s="558"/>
      <c r="DLS165" s="558"/>
      <c r="DLT165" s="558"/>
      <c r="DLU165" s="558"/>
      <c r="DLV165" s="558"/>
      <c r="DLW165" s="558"/>
      <c r="DLX165" s="558"/>
      <c r="DLY165" s="558"/>
      <c r="DLZ165" s="558"/>
      <c r="DMA165" s="558"/>
      <c r="DMB165" s="558"/>
      <c r="DMC165" s="558"/>
      <c r="DMD165" s="558"/>
      <c r="DME165" s="558"/>
      <c r="DMF165" s="558"/>
      <c r="DMG165" s="558"/>
      <c r="DMH165" s="558"/>
      <c r="DMI165" s="558"/>
      <c r="DMJ165" s="558"/>
      <c r="DMK165" s="558"/>
      <c r="DML165" s="558"/>
      <c r="DMM165" s="558"/>
      <c r="DMN165" s="558"/>
      <c r="DMO165" s="558"/>
      <c r="DMP165" s="558"/>
      <c r="DMQ165" s="558"/>
      <c r="DMR165" s="558"/>
      <c r="DMS165" s="558"/>
      <c r="DMT165" s="558"/>
      <c r="DMU165" s="558"/>
      <c r="DMV165" s="558"/>
      <c r="DMW165" s="558"/>
      <c r="DMX165" s="558"/>
      <c r="DMY165" s="558"/>
      <c r="DMZ165" s="558"/>
      <c r="DNA165" s="558"/>
      <c r="DNB165" s="558"/>
      <c r="DNC165" s="558"/>
      <c r="DND165" s="558"/>
      <c r="DNE165" s="558"/>
      <c r="DNF165" s="558"/>
      <c r="DNG165" s="558"/>
      <c r="DNH165" s="558"/>
      <c r="DNI165" s="558"/>
      <c r="DNJ165" s="558"/>
      <c r="DNK165" s="558"/>
      <c r="DNL165" s="558"/>
      <c r="DNM165" s="558"/>
      <c r="DNN165" s="558"/>
      <c r="DNO165" s="558"/>
      <c r="DNP165" s="558"/>
      <c r="DNQ165" s="558"/>
      <c r="DNR165" s="558"/>
      <c r="DNS165" s="558"/>
      <c r="DNT165" s="558"/>
      <c r="DNU165" s="558"/>
      <c r="DNV165" s="558"/>
      <c r="DNW165" s="558"/>
      <c r="DNX165" s="558"/>
      <c r="DNY165" s="558"/>
      <c r="DNZ165" s="558"/>
      <c r="DOA165" s="558"/>
      <c r="DOB165" s="558"/>
      <c r="DOC165" s="558"/>
      <c r="DOD165" s="558"/>
      <c r="DOE165" s="558"/>
      <c r="DOF165" s="558"/>
      <c r="DOG165" s="558"/>
      <c r="DOH165" s="558"/>
      <c r="DOI165" s="558"/>
      <c r="DOJ165" s="558"/>
      <c r="DOK165" s="558"/>
      <c r="DOL165" s="558"/>
      <c r="DOM165" s="558"/>
      <c r="DON165" s="558"/>
      <c r="DOO165" s="558"/>
      <c r="DOP165" s="558"/>
      <c r="DOQ165" s="558"/>
      <c r="DOR165" s="558"/>
      <c r="DOS165" s="558"/>
      <c r="DOT165" s="558"/>
      <c r="DOU165" s="558"/>
      <c r="DOV165" s="558"/>
      <c r="DOW165" s="558"/>
      <c r="DOX165" s="558"/>
      <c r="DOY165" s="558"/>
      <c r="DOZ165" s="558"/>
      <c r="DPA165" s="558"/>
      <c r="DPB165" s="558"/>
      <c r="DPC165" s="558"/>
      <c r="DPD165" s="558"/>
      <c r="DPE165" s="558"/>
      <c r="DPF165" s="558"/>
      <c r="DPG165" s="558"/>
      <c r="DPH165" s="558"/>
      <c r="DPI165" s="558"/>
      <c r="DPJ165" s="558"/>
      <c r="DPK165" s="558"/>
      <c r="DPL165" s="558"/>
      <c r="DPM165" s="558"/>
      <c r="DPN165" s="558"/>
      <c r="DPO165" s="558"/>
      <c r="DPP165" s="558"/>
      <c r="DPQ165" s="558"/>
      <c r="DPR165" s="558"/>
      <c r="DPS165" s="558"/>
      <c r="DPT165" s="558"/>
      <c r="DPU165" s="558"/>
      <c r="DPV165" s="558"/>
      <c r="DPW165" s="558"/>
      <c r="DPX165" s="558"/>
      <c r="DPY165" s="558"/>
      <c r="DPZ165" s="558"/>
      <c r="DQA165" s="558"/>
      <c r="DQB165" s="558"/>
      <c r="DQC165" s="558"/>
      <c r="DQD165" s="558"/>
      <c r="DQE165" s="558"/>
      <c r="DQF165" s="558"/>
      <c r="DQG165" s="558"/>
      <c r="DQH165" s="558"/>
      <c r="DQI165" s="558"/>
      <c r="DQJ165" s="558"/>
      <c r="DQK165" s="558"/>
      <c r="DQL165" s="558"/>
      <c r="DQM165" s="558"/>
      <c r="DQN165" s="558"/>
      <c r="DQO165" s="558"/>
      <c r="DQP165" s="558"/>
      <c r="DQQ165" s="558"/>
      <c r="DQR165" s="558"/>
      <c r="DQS165" s="558"/>
      <c r="DQT165" s="558"/>
      <c r="DQU165" s="558"/>
      <c r="DQV165" s="558"/>
      <c r="DQW165" s="558"/>
      <c r="DQX165" s="558"/>
      <c r="DQY165" s="558"/>
      <c r="DQZ165" s="558"/>
      <c r="DRA165" s="558"/>
      <c r="DRB165" s="558"/>
      <c r="DRC165" s="558"/>
      <c r="DRD165" s="558"/>
      <c r="DRE165" s="558"/>
      <c r="DRF165" s="558"/>
      <c r="DRG165" s="558"/>
      <c r="DRH165" s="558"/>
      <c r="DRI165" s="558"/>
      <c r="DRJ165" s="558"/>
      <c r="DRK165" s="558"/>
      <c r="DRL165" s="558"/>
      <c r="DRM165" s="558"/>
      <c r="DRN165" s="558"/>
      <c r="DRO165" s="558"/>
      <c r="DRP165" s="558"/>
      <c r="DRQ165" s="558"/>
      <c r="DRR165" s="558"/>
      <c r="DRS165" s="558"/>
      <c r="DRT165" s="558"/>
      <c r="DRU165" s="558"/>
      <c r="DRV165" s="558"/>
      <c r="DRW165" s="558"/>
      <c r="DRX165" s="558"/>
      <c r="DRY165" s="558"/>
      <c r="DRZ165" s="558"/>
      <c r="DSA165" s="558"/>
      <c r="DSB165" s="558"/>
      <c r="DSC165" s="558"/>
      <c r="DSD165" s="558"/>
      <c r="DSE165" s="558"/>
      <c r="DSF165" s="558"/>
      <c r="DSG165" s="558"/>
      <c r="DSH165" s="558"/>
      <c r="DSI165" s="558"/>
      <c r="DSJ165" s="558"/>
      <c r="DSK165" s="558"/>
      <c r="DSL165" s="558"/>
      <c r="DSM165" s="558"/>
      <c r="DSN165" s="558"/>
      <c r="DSO165" s="558"/>
      <c r="DSP165" s="558"/>
      <c r="DSQ165" s="558"/>
      <c r="DSR165" s="558"/>
      <c r="DSS165" s="558"/>
      <c r="DST165" s="558"/>
      <c r="DSU165" s="558"/>
      <c r="DSV165" s="558"/>
      <c r="DSW165" s="558"/>
      <c r="DSX165" s="558"/>
      <c r="DSY165" s="558"/>
      <c r="DSZ165" s="558"/>
      <c r="DTA165" s="558"/>
      <c r="DTB165" s="558"/>
      <c r="DTC165" s="558"/>
      <c r="DTD165" s="558"/>
      <c r="DTE165" s="558"/>
      <c r="DTF165" s="558"/>
      <c r="DTG165" s="558"/>
      <c r="DTH165" s="558"/>
      <c r="DTI165" s="558"/>
      <c r="DTJ165" s="558"/>
      <c r="DTK165" s="558"/>
      <c r="DTL165" s="558"/>
      <c r="DTM165" s="558"/>
      <c r="DTN165" s="558"/>
      <c r="DTO165" s="558"/>
      <c r="DTP165" s="558"/>
      <c r="DTQ165" s="558"/>
      <c r="DTR165" s="558"/>
      <c r="DTS165" s="558"/>
      <c r="DTT165" s="558"/>
      <c r="DTU165" s="558"/>
      <c r="DTV165" s="558"/>
      <c r="DTW165" s="558"/>
      <c r="DTX165" s="558"/>
      <c r="DTY165" s="558"/>
      <c r="DTZ165" s="558"/>
      <c r="DUA165" s="558"/>
      <c r="DUB165" s="558"/>
      <c r="DUC165" s="558"/>
      <c r="DUD165" s="558"/>
      <c r="DUE165" s="558"/>
      <c r="DUF165" s="558"/>
      <c r="DUG165" s="558"/>
      <c r="DUH165" s="558"/>
      <c r="DUI165" s="558"/>
      <c r="DUJ165" s="558"/>
      <c r="DUK165" s="558"/>
      <c r="DUL165" s="558"/>
      <c r="DUM165" s="558"/>
      <c r="DUN165" s="558"/>
      <c r="DUO165" s="558"/>
      <c r="DUP165" s="558"/>
      <c r="DUQ165" s="558"/>
      <c r="DUR165" s="558"/>
      <c r="DUS165" s="558"/>
      <c r="DUT165" s="558"/>
      <c r="DUU165" s="558"/>
      <c r="DUV165" s="558"/>
      <c r="DUW165" s="558"/>
      <c r="DUX165" s="558"/>
      <c r="DUY165" s="558"/>
      <c r="DUZ165" s="558"/>
      <c r="DVA165" s="558"/>
      <c r="DVB165" s="558"/>
      <c r="DVC165" s="558"/>
      <c r="DVD165" s="558"/>
      <c r="DVE165" s="558"/>
      <c r="DVF165" s="558"/>
      <c r="DVG165" s="558"/>
      <c r="DVH165" s="558"/>
      <c r="DVI165" s="558"/>
      <c r="DVJ165" s="558"/>
      <c r="DVK165" s="558"/>
      <c r="DVL165" s="558"/>
      <c r="DVM165" s="558"/>
      <c r="DVN165" s="558"/>
      <c r="DVO165" s="558"/>
      <c r="DVP165" s="558"/>
      <c r="DVQ165" s="558"/>
      <c r="DVR165" s="558"/>
      <c r="DVS165" s="558"/>
      <c r="DVT165" s="558"/>
      <c r="DVU165" s="558"/>
      <c r="DVV165" s="558"/>
      <c r="DVW165" s="558"/>
      <c r="DVX165" s="558"/>
      <c r="DVY165" s="558"/>
      <c r="DVZ165" s="558"/>
      <c r="DWA165" s="558"/>
      <c r="DWB165" s="558"/>
      <c r="DWC165" s="558"/>
      <c r="DWD165" s="558"/>
      <c r="DWE165" s="558"/>
      <c r="DWF165" s="558"/>
      <c r="DWG165" s="558"/>
      <c r="DWH165" s="558"/>
      <c r="DWI165" s="558"/>
      <c r="DWJ165" s="558"/>
      <c r="DWK165" s="558"/>
      <c r="DWL165" s="558"/>
      <c r="DWM165" s="558"/>
      <c r="DWN165" s="558"/>
      <c r="DWO165" s="558"/>
      <c r="DWP165" s="558"/>
      <c r="DWQ165" s="558"/>
      <c r="DWR165" s="558"/>
      <c r="DWS165" s="558"/>
      <c r="DWT165" s="558"/>
      <c r="DWU165" s="558"/>
      <c r="DWV165" s="558"/>
      <c r="DWW165" s="558"/>
      <c r="DWX165" s="558"/>
      <c r="DWY165" s="558"/>
      <c r="DWZ165" s="558"/>
      <c r="DXA165" s="558"/>
      <c r="DXB165" s="558"/>
      <c r="DXC165" s="558"/>
      <c r="DXD165" s="558"/>
      <c r="DXE165" s="558"/>
      <c r="DXF165" s="558"/>
      <c r="DXG165" s="558"/>
      <c r="DXH165" s="558"/>
      <c r="DXI165" s="558"/>
      <c r="DXJ165" s="558"/>
      <c r="DXK165" s="558"/>
      <c r="DXL165" s="558"/>
      <c r="DXM165" s="558"/>
      <c r="DXN165" s="558"/>
      <c r="DXO165" s="558"/>
      <c r="DXP165" s="558"/>
      <c r="DXQ165" s="558"/>
      <c r="DXR165" s="558"/>
      <c r="DXS165" s="558"/>
      <c r="DXT165" s="558"/>
      <c r="DXU165" s="558"/>
      <c r="DXV165" s="558"/>
      <c r="DXW165" s="558"/>
      <c r="DXX165" s="558"/>
      <c r="DXY165" s="558"/>
      <c r="DXZ165" s="558"/>
      <c r="DYA165" s="558"/>
      <c r="DYB165" s="558"/>
      <c r="DYC165" s="558"/>
      <c r="DYD165" s="558"/>
      <c r="DYE165" s="558"/>
      <c r="DYF165" s="558"/>
      <c r="DYG165" s="558"/>
      <c r="DYH165" s="558"/>
      <c r="DYI165" s="558"/>
      <c r="DYJ165" s="558"/>
      <c r="DYK165" s="558"/>
      <c r="DYL165" s="558"/>
      <c r="DYM165" s="558"/>
      <c r="DYN165" s="558"/>
      <c r="DYO165" s="558"/>
      <c r="DYP165" s="558"/>
      <c r="DYQ165" s="558"/>
      <c r="DYR165" s="558"/>
      <c r="DYS165" s="558"/>
      <c r="DYT165" s="558"/>
      <c r="DYU165" s="558"/>
      <c r="DYV165" s="558"/>
      <c r="DYW165" s="558"/>
      <c r="DYX165" s="558"/>
      <c r="DYY165" s="558"/>
      <c r="DYZ165" s="558"/>
      <c r="DZA165" s="558"/>
      <c r="DZB165" s="558"/>
      <c r="DZC165" s="558"/>
      <c r="DZD165" s="558"/>
      <c r="DZE165" s="558"/>
      <c r="DZF165" s="558"/>
      <c r="DZG165" s="558"/>
      <c r="DZH165" s="558"/>
      <c r="DZI165" s="558"/>
      <c r="DZJ165" s="558"/>
      <c r="DZK165" s="558"/>
      <c r="DZL165" s="558"/>
      <c r="DZM165" s="558"/>
      <c r="DZN165" s="558"/>
      <c r="DZO165" s="558"/>
      <c r="DZP165" s="558"/>
      <c r="DZQ165" s="558"/>
      <c r="DZR165" s="558"/>
      <c r="DZS165" s="558"/>
      <c r="DZT165" s="558"/>
      <c r="DZU165" s="558"/>
      <c r="DZV165" s="558"/>
      <c r="DZW165" s="558"/>
      <c r="DZX165" s="558"/>
      <c r="DZY165" s="558"/>
      <c r="DZZ165" s="558"/>
      <c r="EAA165" s="558"/>
      <c r="EAB165" s="558"/>
      <c r="EAC165" s="558"/>
      <c r="EAD165" s="558"/>
      <c r="EAE165" s="558"/>
      <c r="EAF165" s="558"/>
      <c r="EAG165" s="558"/>
      <c r="EAH165" s="558"/>
      <c r="EAI165" s="558"/>
      <c r="EAJ165" s="558"/>
      <c r="EAK165" s="558"/>
      <c r="EAL165" s="558"/>
      <c r="EAM165" s="558"/>
      <c r="EAN165" s="558"/>
      <c r="EAO165" s="558"/>
      <c r="EAP165" s="558"/>
      <c r="EAQ165" s="558"/>
      <c r="EAR165" s="558"/>
      <c r="EAS165" s="558"/>
      <c r="EAT165" s="558"/>
      <c r="EAU165" s="558"/>
      <c r="EAV165" s="558"/>
      <c r="EAW165" s="558"/>
      <c r="EAX165" s="558"/>
      <c r="EAY165" s="558"/>
      <c r="EAZ165" s="558"/>
      <c r="EBA165" s="558"/>
      <c r="EBB165" s="558"/>
      <c r="EBC165" s="558"/>
      <c r="EBD165" s="558"/>
      <c r="EBE165" s="558"/>
      <c r="EBF165" s="558"/>
      <c r="EBG165" s="558"/>
      <c r="EBH165" s="558"/>
      <c r="EBI165" s="558"/>
      <c r="EBJ165" s="558"/>
      <c r="EBK165" s="558"/>
      <c r="EBL165" s="558"/>
      <c r="EBM165" s="558"/>
      <c r="EBN165" s="558"/>
      <c r="EBO165" s="558"/>
      <c r="EBP165" s="558"/>
      <c r="EBQ165" s="558"/>
      <c r="EBR165" s="558"/>
      <c r="EBS165" s="558"/>
      <c r="EBT165" s="558"/>
      <c r="EBU165" s="558"/>
      <c r="EBV165" s="558"/>
      <c r="EBW165" s="558"/>
      <c r="EBX165" s="558"/>
      <c r="EBY165" s="558"/>
      <c r="EBZ165" s="558"/>
      <c r="ECA165" s="558"/>
      <c r="ECB165" s="558"/>
      <c r="ECC165" s="558"/>
      <c r="ECD165" s="558"/>
      <c r="ECE165" s="558"/>
      <c r="ECF165" s="558"/>
      <c r="ECG165" s="558"/>
      <c r="ECH165" s="558"/>
      <c r="ECI165" s="558"/>
      <c r="ECJ165" s="558"/>
      <c r="ECK165" s="558"/>
      <c r="ECL165" s="558"/>
      <c r="ECM165" s="558"/>
      <c r="ECN165" s="558"/>
      <c r="ECO165" s="558"/>
      <c r="ECP165" s="558"/>
      <c r="ECQ165" s="558"/>
      <c r="ECR165" s="558"/>
      <c r="ECS165" s="558"/>
      <c r="ECT165" s="558"/>
      <c r="ECU165" s="558"/>
      <c r="ECV165" s="558"/>
      <c r="ECW165" s="558"/>
      <c r="ECX165" s="558"/>
      <c r="ECY165" s="558"/>
      <c r="ECZ165" s="558"/>
      <c r="EDA165" s="558"/>
      <c r="EDB165" s="558"/>
      <c r="EDC165" s="558"/>
      <c r="EDD165" s="558"/>
      <c r="EDE165" s="558"/>
      <c r="EDF165" s="558"/>
      <c r="EDG165" s="558"/>
      <c r="EDH165" s="558"/>
      <c r="EDI165" s="558"/>
      <c r="EDJ165" s="558"/>
      <c r="EDK165" s="558"/>
      <c r="EDL165" s="558"/>
      <c r="EDM165" s="558"/>
      <c r="EDN165" s="558"/>
      <c r="EDO165" s="558"/>
      <c r="EDP165" s="558"/>
      <c r="EDQ165" s="558"/>
      <c r="EDR165" s="558"/>
      <c r="EDS165" s="558"/>
      <c r="EDT165" s="558"/>
      <c r="EDU165" s="558"/>
      <c r="EDV165" s="558"/>
      <c r="EDW165" s="558"/>
      <c r="EDX165" s="558"/>
      <c r="EDY165" s="558"/>
      <c r="EDZ165" s="558"/>
      <c r="EEA165" s="558"/>
      <c r="EEB165" s="558"/>
      <c r="EEC165" s="558"/>
      <c r="EED165" s="558"/>
      <c r="EEE165" s="558"/>
      <c r="EEF165" s="558"/>
      <c r="EEG165" s="558"/>
      <c r="EEH165" s="558"/>
      <c r="EEI165" s="558"/>
      <c r="EEJ165" s="558"/>
      <c r="EEK165" s="558"/>
      <c r="EEL165" s="558"/>
      <c r="EEM165" s="558"/>
      <c r="EEN165" s="558"/>
      <c r="EEO165" s="558"/>
      <c r="EEP165" s="558"/>
      <c r="EEQ165" s="558"/>
      <c r="EER165" s="558"/>
      <c r="EES165" s="558"/>
      <c r="EET165" s="558"/>
      <c r="EEU165" s="558"/>
      <c r="EEV165" s="558"/>
      <c r="EEW165" s="558"/>
      <c r="EEX165" s="558"/>
      <c r="EEY165" s="558"/>
      <c r="EEZ165" s="558"/>
      <c r="EFA165" s="558"/>
      <c r="EFB165" s="558"/>
      <c r="EFC165" s="558"/>
      <c r="EFD165" s="558"/>
      <c r="EFE165" s="558"/>
      <c r="EFF165" s="558"/>
      <c r="EFG165" s="558"/>
      <c r="EFH165" s="558"/>
      <c r="EFI165" s="558"/>
      <c r="EFJ165" s="558"/>
      <c r="EFK165" s="558"/>
      <c r="EFL165" s="558"/>
      <c r="EFM165" s="558"/>
      <c r="EFN165" s="558"/>
      <c r="EFO165" s="558"/>
      <c r="EFP165" s="558"/>
      <c r="EFQ165" s="558"/>
      <c r="EFR165" s="558"/>
      <c r="EFS165" s="558"/>
      <c r="EFT165" s="558"/>
      <c r="EFU165" s="558"/>
      <c r="EFV165" s="558"/>
      <c r="EFW165" s="558"/>
      <c r="EFX165" s="558"/>
      <c r="EFY165" s="558"/>
      <c r="EFZ165" s="558"/>
      <c r="EGA165" s="558"/>
      <c r="EGB165" s="558"/>
      <c r="EGC165" s="558"/>
      <c r="EGD165" s="558"/>
      <c r="EGE165" s="558"/>
      <c r="EGF165" s="558"/>
      <c r="EGG165" s="558"/>
      <c r="EGH165" s="558"/>
      <c r="EGI165" s="558"/>
      <c r="EGJ165" s="558"/>
      <c r="EGK165" s="558"/>
      <c r="EGL165" s="558"/>
      <c r="EGM165" s="558"/>
      <c r="EGN165" s="558"/>
      <c r="EGO165" s="558"/>
      <c r="EGP165" s="558"/>
      <c r="EGQ165" s="558"/>
      <c r="EGR165" s="558"/>
      <c r="EGS165" s="558"/>
      <c r="EGT165" s="558"/>
      <c r="EGU165" s="558"/>
      <c r="EGV165" s="558"/>
      <c r="EGW165" s="558"/>
      <c r="EGX165" s="558"/>
      <c r="EGY165" s="558"/>
      <c r="EGZ165" s="558"/>
      <c r="EHA165" s="558"/>
      <c r="EHB165" s="558"/>
      <c r="EHC165" s="558"/>
      <c r="EHD165" s="558"/>
      <c r="EHE165" s="558"/>
      <c r="EHF165" s="558"/>
      <c r="EHG165" s="558"/>
      <c r="EHH165" s="558"/>
      <c r="EHI165" s="558"/>
      <c r="EHJ165" s="558"/>
      <c r="EHK165" s="558"/>
      <c r="EHL165" s="558"/>
      <c r="EHM165" s="558"/>
      <c r="EHN165" s="558"/>
      <c r="EHO165" s="558"/>
      <c r="EHP165" s="558"/>
      <c r="EHQ165" s="558"/>
      <c r="EHR165" s="558"/>
      <c r="EHS165" s="558"/>
      <c r="EHT165" s="558"/>
      <c r="EHU165" s="558"/>
      <c r="EHV165" s="558"/>
      <c r="EHW165" s="558"/>
      <c r="EHX165" s="558"/>
      <c r="EHY165" s="558"/>
      <c r="EHZ165" s="558"/>
      <c r="EIA165" s="558"/>
      <c r="EIB165" s="558"/>
      <c r="EIC165" s="558"/>
      <c r="EID165" s="558"/>
      <c r="EIE165" s="558"/>
      <c r="EIF165" s="558"/>
      <c r="EIG165" s="558"/>
      <c r="EIH165" s="558"/>
      <c r="EII165" s="558"/>
      <c r="EIJ165" s="558"/>
      <c r="EIK165" s="558"/>
      <c r="EIL165" s="558"/>
      <c r="EIM165" s="558"/>
      <c r="EIN165" s="558"/>
      <c r="EIO165" s="558"/>
      <c r="EIP165" s="558"/>
      <c r="EIQ165" s="558"/>
      <c r="EIR165" s="558"/>
      <c r="EIS165" s="558"/>
      <c r="EIT165" s="558"/>
      <c r="EIU165" s="558"/>
      <c r="EIV165" s="558"/>
      <c r="EIW165" s="558"/>
      <c r="EIX165" s="558"/>
      <c r="EIY165" s="558"/>
      <c r="EIZ165" s="558"/>
      <c r="EJA165" s="558"/>
      <c r="EJB165" s="558"/>
      <c r="EJC165" s="558"/>
      <c r="EJD165" s="558"/>
      <c r="EJE165" s="558"/>
      <c r="EJF165" s="558"/>
      <c r="EJG165" s="558"/>
      <c r="EJH165" s="558"/>
      <c r="EJI165" s="558"/>
      <c r="EJJ165" s="558"/>
      <c r="EJK165" s="558"/>
      <c r="EJL165" s="558"/>
      <c r="EJM165" s="558"/>
      <c r="EJN165" s="558"/>
      <c r="EJO165" s="558"/>
      <c r="EJP165" s="558"/>
      <c r="EJQ165" s="558"/>
      <c r="EJR165" s="558"/>
      <c r="EJS165" s="558"/>
      <c r="EJT165" s="558"/>
      <c r="EJU165" s="558"/>
      <c r="EJV165" s="558"/>
      <c r="EJW165" s="558"/>
      <c r="EJX165" s="558"/>
      <c r="EJY165" s="558"/>
      <c r="EJZ165" s="558"/>
      <c r="EKA165" s="558"/>
      <c r="EKB165" s="558"/>
      <c r="EKC165" s="558"/>
      <c r="EKD165" s="558"/>
      <c r="EKE165" s="558"/>
      <c r="EKF165" s="558"/>
      <c r="EKG165" s="558"/>
      <c r="EKH165" s="558"/>
      <c r="EKI165" s="558"/>
      <c r="EKJ165" s="558"/>
      <c r="EKK165" s="558"/>
      <c r="EKL165" s="558"/>
      <c r="EKM165" s="558"/>
      <c r="EKN165" s="558"/>
      <c r="EKO165" s="558"/>
      <c r="EKP165" s="558"/>
      <c r="EKQ165" s="558"/>
      <c r="EKR165" s="558"/>
      <c r="EKS165" s="558"/>
      <c r="EKT165" s="558"/>
      <c r="EKU165" s="558"/>
      <c r="EKV165" s="558"/>
      <c r="EKW165" s="558"/>
      <c r="EKX165" s="558"/>
      <c r="EKY165" s="558"/>
      <c r="EKZ165" s="558"/>
      <c r="ELA165" s="558"/>
      <c r="ELB165" s="558"/>
      <c r="ELC165" s="558"/>
      <c r="ELD165" s="558"/>
      <c r="ELE165" s="558"/>
      <c r="ELF165" s="558"/>
      <c r="ELG165" s="558"/>
      <c r="ELH165" s="558"/>
      <c r="ELI165" s="558"/>
      <c r="ELJ165" s="558"/>
      <c r="ELK165" s="558"/>
      <c r="ELL165" s="558"/>
      <c r="ELM165" s="558"/>
      <c r="ELN165" s="558"/>
      <c r="ELO165" s="558"/>
      <c r="ELP165" s="558"/>
      <c r="ELQ165" s="558"/>
      <c r="ELR165" s="558"/>
      <c r="ELS165" s="558"/>
      <c r="ELT165" s="558"/>
      <c r="ELU165" s="558"/>
      <c r="ELV165" s="558"/>
      <c r="ELW165" s="558"/>
      <c r="ELX165" s="558"/>
      <c r="ELY165" s="558"/>
      <c r="ELZ165" s="558"/>
      <c r="EMA165" s="558"/>
      <c r="EMB165" s="558"/>
      <c r="EMC165" s="558"/>
      <c r="EMD165" s="558"/>
      <c r="EME165" s="558"/>
      <c r="EMF165" s="558"/>
      <c r="EMG165" s="558"/>
      <c r="EMH165" s="558"/>
      <c r="EMI165" s="558"/>
      <c r="EMJ165" s="558"/>
      <c r="EMK165" s="558"/>
      <c r="EML165" s="558"/>
      <c r="EMM165" s="558"/>
      <c r="EMN165" s="558"/>
      <c r="EMO165" s="558"/>
      <c r="EMP165" s="558"/>
      <c r="EMQ165" s="558"/>
      <c r="EMR165" s="558"/>
      <c r="EMS165" s="558"/>
      <c r="EMT165" s="558"/>
      <c r="EMU165" s="558"/>
      <c r="EMV165" s="558"/>
      <c r="EMW165" s="558"/>
      <c r="EMX165" s="558"/>
      <c r="EMY165" s="558"/>
      <c r="EMZ165" s="558"/>
      <c r="ENA165" s="558"/>
      <c r="ENB165" s="558"/>
      <c r="ENC165" s="558"/>
      <c r="END165" s="558"/>
      <c r="ENE165" s="558"/>
      <c r="ENF165" s="558"/>
      <c r="ENG165" s="558"/>
      <c r="ENH165" s="558"/>
      <c r="ENI165" s="558"/>
      <c r="ENJ165" s="558"/>
      <c r="ENK165" s="558"/>
      <c r="ENL165" s="558"/>
      <c r="ENM165" s="558"/>
      <c r="ENN165" s="558"/>
      <c r="ENO165" s="558"/>
      <c r="ENP165" s="558"/>
      <c r="ENQ165" s="558"/>
      <c r="ENR165" s="558"/>
      <c r="ENS165" s="558"/>
      <c r="ENT165" s="558"/>
      <c r="ENU165" s="558"/>
      <c r="ENV165" s="558"/>
      <c r="ENW165" s="558"/>
      <c r="ENX165" s="558"/>
      <c r="ENY165" s="558"/>
      <c r="ENZ165" s="558"/>
      <c r="EOA165" s="558"/>
      <c r="EOB165" s="558"/>
      <c r="EOC165" s="558"/>
      <c r="EOD165" s="558"/>
      <c r="EOE165" s="558"/>
      <c r="EOF165" s="558"/>
      <c r="EOG165" s="558"/>
      <c r="EOH165" s="558"/>
      <c r="EOI165" s="558"/>
      <c r="EOJ165" s="558"/>
      <c r="EOK165" s="558"/>
      <c r="EOL165" s="558"/>
      <c r="EOM165" s="558"/>
      <c r="EON165" s="558"/>
      <c r="EOO165" s="558"/>
      <c r="EOP165" s="558"/>
      <c r="EOQ165" s="558"/>
      <c r="EOR165" s="558"/>
      <c r="EOS165" s="558"/>
      <c r="EOT165" s="558"/>
      <c r="EOU165" s="558"/>
      <c r="EOV165" s="558"/>
      <c r="EOW165" s="558"/>
      <c r="EOX165" s="558"/>
      <c r="EOY165" s="558"/>
      <c r="EOZ165" s="558"/>
      <c r="EPA165" s="558"/>
      <c r="EPB165" s="558"/>
      <c r="EPC165" s="558"/>
      <c r="EPD165" s="558"/>
      <c r="EPE165" s="558"/>
      <c r="EPF165" s="558"/>
      <c r="EPG165" s="558"/>
      <c r="EPH165" s="558"/>
      <c r="EPI165" s="558"/>
      <c r="EPJ165" s="558"/>
      <c r="EPK165" s="558"/>
      <c r="EPL165" s="558"/>
      <c r="EPM165" s="558"/>
      <c r="EPN165" s="558"/>
      <c r="EPO165" s="558"/>
      <c r="EPP165" s="558"/>
      <c r="EPQ165" s="558"/>
      <c r="EPR165" s="558"/>
      <c r="EPS165" s="558"/>
      <c r="EPT165" s="558"/>
      <c r="EPU165" s="558"/>
      <c r="EPV165" s="558"/>
      <c r="EPW165" s="558"/>
      <c r="EPX165" s="558"/>
      <c r="EPY165" s="558"/>
      <c r="EPZ165" s="558"/>
      <c r="EQA165" s="558"/>
      <c r="EQB165" s="558"/>
      <c r="EQC165" s="558"/>
      <c r="EQD165" s="558"/>
      <c r="EQE165" s="558"/>
      <c r="EQF165" s="558"/>
      <c r="EQG165" s="558"/>
      <c r="EQH165" s="558"/>
      <c r="EQI165" s="558"/>
      <c r="EQJ165" s="558"/>
      <c r="EQK165" s="558"/>
      <c r="EQL165" s="558"/>
      <c r="EQM165" s="558"/>
      <c r="EQN165" s="558"/>
      <c r="EQO165" s="558"/>
      <c r="EQP165" s="558"/>
      <c r="EQQ165" s="558"/>
      <c r="EQR165" s="558"/>
      <c r="EQS165" s="558"/>
      <c r="EQT165" s="558"/>
      <c r="EQU165" s="558"/>
      <c r="EQV165" s="558"/>
      <c r="EQW165" s="558"/>
      <c r="EQX165" s="558"/>
      <c r="EQY165" s="558"/>
      <c r="EQZ165" s="558"/>
      <c r="ERA165" s="558"/>
      <c r="ERB165" s="558"/>
      <c r="ERC165" s="558"/>
      <c r="ERD165" s="558"/>
      <c r="ERE165" s="558"/>
      <c r="ERF165" s="558"/>
      <c r="ERG165" s="558"/>
      <c r="ERH165" s="558"/>
      <c r="ERI165" s="558"/>
      <c r="ERJ165" s="558"/>
      <c r="ERK165" s="558"/>
      <c r="ERL165" s="558"/>
      <c r="ERM165" s="558"/>
      <c r="ERN165" s="558"/>
      <c r="ERO165" s="558"/>
      <c r="ERP165" s="558"/>
      <c r="ERQ165" s="558"/>
      <c r="ERR165" s="558"/>
      <c r="ERS165" s="558"/>
      <c r="ERT165" s="558"/>
      <c r="ERU165" s="558"/>
      <c r="ERV165" s="558"/>
      <c r="ERW165" s="558"/>
      <c r="ERX165" s="558"/>
      <c r="ERY165" s="558"/>
      <c r="ERZ165" s="558"/>
      <c r="ESA165" s="558"/>
      <c r="ESB165" s="558"/>
      <c r="ESC165" s="558"/>
      <c r="ESD165" s="558"/>
      <c r="ESE165" s="558"/>
      <c r="ESF165" s="558"/>
      <c r="ESG165" s="558"/>
      <c r="ESH165" s="558"/>
      <c r="ESI165" s="558"/>
      <c r="ESJ165" s="558"/>
      <c r="ESK165" s="558"/>
      <c r="ESL165" s="558"/>
      <c r="ESM165" s="558"/>
      <c r="ESN165" s="558"/>
      <c r="ESO165" s="558"/>
      <c r="ESP165" s="558"/>
      <c r="ESQ165" s="558"/>
      <c r="ESR165" s="558"/>
      <c r="ESS165" s="558"/>
      <c r="EST165" s="558"/>
      <c r="ESU165" s="558"/>
      <c r="ESV165" s="558"/>
      <c r="ESW165" s="558"/>
      <c r="ESX165" s="558"/>
      <c r="ESY165" s="558"/>
      <c r="ESZ165" s="558"/>
      <c r="ETA165" s="558"/>
      <c r="ETB165" s="558"/>
      <c r="ETC165" s="558"/>
      <c r="ETD165" s="558"/>
      <c r="ETE165" s="558"/>
      <c r="ETF165" s="558"/>
      <c r="ETG165" s="558"/>
      <c r="ETH165" s="558"/>
      <c r="ETI165" s="558"/>
      <c r="ETJ165" s="558"/>
      <c r="ETK165" s="558"/>
      <c r="ETL165" s="558"/>
      <c r="ETM165" s="558"/>
      <c r="ETN165" s="558"/>
      <c r="ETO165" s="558"/>
      <c r="ETP165" s="558"/>
      <c r="ETQ165" s="558"/>
      <c r="ETR165" s="558"/>
      <c r="ETS165" s="558"/>
      <c r="ETT165" s="558"/>
      <c r="ETU165" s="558"/>
      <c r="ETV165" s="558"/>
      <c r="ETW165" s="558"/>
      <c r="ETX165" s="558"/>
      <c r="ETY165" s="558"/>
      <c r="ETZ165" s="558"/>
      <c r="EUA165" s="558"/>
      <c r="EUB165" s="558"/>
      <c r="EUC165" s="558"/>
      <c r="EUD165" s="558"/>
      <c r="EUE165" s="558"/>
      <c r="EUF165" s="558"/>
      <c r="EUG165" s="558"/>
      <c r="EUH165" s="558"/>
      <c r="EUI165" s="558"/>
      <c r="EUJ165" s="558"/>
      <c r="EUK165" s="558"/>
      <c r="EUL165" s="558"/>
      <c r="EUM165" s="558"/>
      <c r="EUN165" s="558"/>
      <c r="EUO165" s="558"/>
      <c r="EUP165" s="558"/>
      <c r="EUQ165" s="558"/>
      <c r="EUR165" s="558"/>
      <c r="EUS165" s="558"/>
      <c r="EUT165" s="558"/>
      <c r="EUU165" s="558"/>
      <c r="EUV165" s="558"/>
      <c r="EUW165" s="558"/>
      <c r="EUX165" s="558"/>
      <c r="EUY165" s="558"/>
      <c r="EUZ165" s="558"/>
      <c r="EVA165" s="558"/>
      <c r="EVB165" s="558"/>
      <c r="EVC165" s="558"/>
      <c r="EVD165" s="558"/>
      <c r="EVE165" s="558"/>
      <c r="EVF165" s="558"/>
      <c r="EVG165" s="558"/>
      <c r="EVH165" s="558"/>
      <c r="EVI165" s="558"/>
      <c r="EVJ165" s="558"/>
      <c r="EVK165" s="558"/>
      <c r="EVL165" s="558"/>
      <c r="EVM165" s="558"/>
      <c r="EVN165" s="558"/>
      <c r="EVO165" s="558"/>
      <c r="EVP165" s="558"/>
      <c r="EVQ165" s="558"/>
      <c r="EVR165" s="558"/>
      <c r="EVS165" s="558"/>
      <c r="EVT165" s="558"/>
      <c r="EVU165" s="558"/>
      <c r="EVV165" s="558"/>
      <c r="EVW165" s="558"/>
      <c r="EVX165" s="558"/>
      <c r="EVY165" s="558"/>
      <c r="EVZ165" s="558"/>
      <c r="EWA165" s="558"/>
      <c r="EWB165" s="558"/>
      <c r="EWC165" s="558"/>
      <c r="EWD165" s="558"/>
      <c r="EWE165" s="558"/>
      <c r="EWF165" s="558"/>
      <c r="EWG165" s="558"/>
      <c r="EWH165" s="558"/>
      <c r="EWI165" s="558"/>
      <c r="EWJ165" s="558"/>
      <c r="EWK165" s="558"/>
      <c r="EWL165" s="558"/>
      <c r="EWM165" s="558"/>
      <c r="EWN165" s="558"/>
      <c r="EWO165" s="558"/>
      <c r="EWP165" s="558"/>
      <c r="EWQ165" s="558"/>
      <c r="EWR165" s="558"/>
      <c r="EWS165" s="558"/>
      <c r="EWT165" s="558"/>
      <c r="EWU165" s="558"/>
      <c r="EWV165" s="558"/>
      <c r="EWW165" s="558"/>
      <c r="EWX165" s="558"/>
      <c r="EWY165" s="558"/>
      <c r="EWZ165" s="558"/>
      <c r="EXA165" s="558"/>
      <c r="EXB165" s="558"/>
      <c r="EXC165" s="558"/>
      <c r="EXD165" s="558"/>
      <c r="EXE165" s="558"/>
      <c r="EXF165" s="558"/>
      <c r="EXG165" s="558"/>
      <c r="EXH165" s="558"/>
      <c r="EXI165" s="558"/>
      <c r="EXJ165" s="558"/>
      <c r="EXK165" s="558"/>
      <c r="EXL165" s="558"/>
      <c r="EXM165" s="558"/>
      <c r="EXN165" s="558"/>
      <c r="EXO165" s="558"/>
      <c r="EXP165" s="558"/>
      <c r="EXQ165" s="558"/>
      <c r="EXR165" s="558"/>
      <c r="EXS165" s="558"/>
      <c r="EXT165" s="558"/>
      <c r="EXU165" s="558"/>
      <c r="EXV165" s="558"/>
      <c r="EXW165" s="558"/>
      <c r="EXX165" s="558"/>
      <c r="EXY165" s="558"/>
      <c r="EXZ165" s="558"/>
      <c r="EYA165" s="558"/>
      <c r="EYB165" s="558"/>
      <c r="EYC165" s="558"/>
      <c r="EYD165" s="558"/>
      <c r="EYE165" s="558"/>
      <c r="EYF165" s="558"/>
      <c r="EYG165" s="558"/>
      <c r="EYH165" s="558"/>
      <c r="EYI165" s="558"/>
      <c r="EYJ165" s="558"/>
      <c r="EYK165" s="558"/>
      <c r="EYL165" s="558"/>
      <c r="EYM165" s="558"/>
      <c r="EYN165" s="558"/>
      <c r="EYO165" s="558"/>
      <c r="EYP165" s="558"/>
      <c r="EYQ165" s="558"/>
      <c r="EYR165" s="558"/>
      <c r="EYS165" s="558"/>
      <c r="EYT165" s="558"/>
      <c r="EYU165" s="558"/>
      <c r="EYV165" s="558"/>
      <c r="EYW165" s="558"/>
      <c r="EYX165" s="558"/>
      <c r="EYY165" s="558"/>
      <c r="EYZ165" s="558"/>
      <c r="EZA165" s="558"/>
      <c r="EZB165" s="558"/>
      <c r="EZC165" s="558"/>
      <c r="EZD165" s="558"/>
      <c r="EZE165" s="558"/>
      <c r="EZF165" s="558"/>
      <c r="EZG165" s="558"/>
      <c r="EZH165" s="558"/>
      <c r="EZI165" s="558"/>
      <c r="EZJ165" s="558"/>
      <c r="EZK165" s="558"/>
      <c r="EZL165" s="558"/>
      <c r="EZM165" s="558"/>
      <c r="EZN165" s="558"/>
      <c r="EZO165" s="558"/>
      <c r="EZP165" s="558"/>
      <c r="EZQ165" s="558"/>
      <c r="EZR165" s="558"/>
      <c r="EZS165" s="558"/>
      <c r="EZT165" s="558"/>
      <c r="EZU165" s="558"/>
      <c r="EZV165" s="558"/>
      <c r="EZW165" s="558"/>
      <c r="EZX165" s="558"/>
      <c r="EZY165" s="558"/>
      <c r="EZZ165" s="558"/>
      <c r="FAA165" s="558"/>
      <c r="FAB165" s="558"/>
      <c r="FAC165" s="558"/>
      <c r="FAD165" s="558"/>
      <c r="FAE165" s="558"/>
      <c r="FAF165" s="558"/>
      <c r="FAG165" s="558"/>
      <c r="FAH165" s="558"/>
      <c r="FAI165" s="558"/>
      <c r="FAJ165" s="558"/>
      <c r="FAK165" s="558"/>
      <c r="FAL165" s="558"/>
      <c r="FAM165" s="558"/>
      <c r="FAN165" s="558"/>
      <c r="FAO165" s="558"/>
      <c r="FAP165" s="558"/>
      <c r="FAQ165" s="558"/>
      <c r="FAR165" s="558"/>
      <c r="FAS165" s="558"/>
      <c r="FAT165" s="558"/>
      <c r="FAU165" s="558"/>
      <c r="FAV165" s="558"/>
      <c r="FAW165" s="558"/>
      <c r="FAX165" s="558"/>
      <c r="FAY165" s="558"/>
      <c r="FAZ165" s="558"/>
      <c r="FBA165" s="558"/>
      <c r="FBB165" s="558"/>
      <c r="FBC165" s="558"/>
      <c r="FBD165" s="558"/>
      <c r="FBE165" s="558"/>
      <c r="FBF165" s="558"/>
      <c r="FBG165" s="558"/>
      <c r="FBH165" s="558"/>
      <c r="FBI165" s="558"/>
      <c r="FBJ165" s="558"/>
      <c r="FBK165" s="558"/>
      <c r="FBL165" s="558"/>
      <c r="FBM165" s="558"/>
      <c r="FBN165" s="558"/>
      <c r="FBO165" s="558"/>
      <c r="FBP165" s="558"/>
      <c r="FBQ165" s="558"/>
      <c r="FBR165" s="558"/>
      <c r="FBS165" s="558"/>
      <c r="FBT165" s="558"/>
      <c r="FBU165" s="558"/>
      <c r="FBV165" s="558"/>
      <c r="FBW165" s="558"/>
      <c r="FBX165" s="558"/>
      <c r="FBY165" s="558"/>
      <c r="FBZ165" s="558"/>
      <c r="FCA165" s="558"/>
      <c r="FCB165" s="558"/>
      <c r="FCC165" s="558"/>
      <c r="FCD165" s="558"/>
      <c r="FCE165" s="558"/>
      <c r="FCF165" s="558"/>
      <c r="FCG165" s="558"/>
      <c r="FCH165" s="558"/>
      <c r="FCI165" s="558"/>
      <c r="FCJ165" s="558"/>
      <c r="FCK165" s="558"/>
      <c r="FCL165" s="558"/>
      <c r="FCM165" s="558"/>
      <c r="FCN165" s="558"/>
      <c r="FCO165" s="558"/>
      <c r="FCP165" s="558"/>
      <c r="FCQ165" s="558"/>
      <c r="FCR165" s="558"/>
      <c r="FCS165" s="558"/>
      <c r="FCT165" s="558"/>
      <c r="FCU165" s="558"/>
      <c r="FCV165" s="558"/>
      <c r="FCW165" s="558"/>
      <c r="FCX165" s="558"/>
      <c r="FCY165" s="558"/>
      <c r="FCZ165" s="558"/>
      <c r="FDA165" s="558"/>
      <c r="FDB165" s="558"/>
      <c r="FDC165" s="558"/>
      <c r="FDD165" s="558"/>
      <c r="FDE165" s="558"/>
      <c r="FDF165" s="558"/>
      <c r="FDG165" s="558"/>
      <c r="FDH165" s="558"/>
      <c r="FDI165" s="558"/>
      <c r="FDJ165" s="558"/>
      <c r="FDK165" s="558"/>
      <c r="FDL165" s="558"/>
      <c r="FDM165" s="558"/>
      <c r="FDN165" s="558"/>
      <c r="FDO165" s="558"/>
      <c r="FDP165" s="558"/>
      <c r="FDQ165" s="558"/>
      <c r="FDR165" s="558"/>
      <c r="FDS165" s="558"/>
      <c r="FDT165" s="558"/>
      <c r="FDU165" s="558"/>
      <c r="FDV165" s="558"/>
      <c r="FDW165" s="558"/>
      <c r="FDX165" s="558"/>
      <c r="FDY165" s="558"/>
      <c r="FDZ165" s="558"/>
      <c r="FEA165" s="558"/>
      <c r="FEB165" s="558"/>
      <c r="FEC165" s="558"/>
      <c r="FED165" s="558"/>
      <c r="FEE165" s="558"/>
      <c r="FEF165" s="558"/>
      <c r="FEG165" s="558"/>
      <c r="FEH165" s="558"/>
      <c r="FEI165" s="558"/>
      <c r="FEJ165" s="558"/>
      <c r="FEK165" s="558"/>
      <c r="FEL165" s="558"/>
      <c r="FEM165" s="558"/>
      <c r="FEN165" s="558"/>
      <c r="FEO165" s="558"/>
      <c r="FEP165" s="558"/>
      <c r="FEQ165" s="558"/>
      <c r="FER165" s="558"/>
      <c r="FES165" s="558"/>
      <c r="FET165" s="558"/>
      <c r="FEU165" s="558"/>
      <c r="FEV165" s="558"/>
      <c r="FEW165" s="558"/>
      <c r="FEX165" s="558"/>
      <c r="FEY165" s="558"/>
      <c r="FEZ165" s="558"/>
      <c r="FFA165" s="558"/>
      <c r="FFB165" s="558"/>
      <c r="FFC165" s="558"/>
      <c r="FFD165" s="558"/>
      <c r="FFE165" s="558"/>
      <c r="FFF165" s="558"/>
      <c r="FFG165" s="558"/>
      <c r="FFH165" s="558"/>
      <c r="FFI165" s="558"/>
      <c r="FFJ165" s="558"/>
      <c r="FFK165" s="558"/>
      <c r="FFL165" s="558"/>
      <c r="FFM165" s="558"/>
      <c r="FFN165" s="558"/>
      <c r="FFO165" s="558"/>
      <c r="FFP165" s="558"/>
      <c r="FFQ165" s="558"/>
      <c r="FFR165" s="558"/>
      <c r="FFS165" s="558"/>
      <c r="FFT165" s="558"/>
      <c r="FFU165" s="558"/>
      <c r="FFV165" s="558"/>
      <c r="FFW165" s="558"/>
      <c r="FFX165" s="558"/>
      <c r="FFY165" s="558"/>
      <c r="FFZ165" s="558"/>
      <c r="FGA165" s="558"/>
      <c r="FGB165" s="558"/>
      <c r="FGC165" s="558"/>
      <c r="FGD165" s="558"/>
      <c r="FGE165" s="558"/>
      <c r="FGF165" s="558"/>
      <c r="FGG165" s="558"/>
      <c r="FGH165" s="558"/>
      <c r="FGI165" s="558"/>
      <c r="FGJ165" s="558"/>
      <c r="FGK165" s="558"/>
      <c r="FGL165" s="558"/>
      <c r="FGM165" s="558"/>
      <c r="FGN165" s="558"/>
      <c r="FGO165" s="558"/>
      <c r="FGP165" s="558"/>
      <c r="FGQ165" s="558"/>
      <c r="FGR165" s="558"/>
      <c r="FGS165" s="558"/>
      <c r="FGT165" s="558"/>
      <c r="FGU165" s="558"/>
      <c r="FGV165" s="558"/>
      <c r="FGW165" s="558"/>
      <c r="FGX165" s="558"/>
      <c r="FGY165" s="558"/>
      <c r="FGZ165" s="558"/>
      <c r="FHA165" s="558"/>
      <c r="FHB165" s="558"/>
      <c r="FHC165" s="558"/>
      <c r="FHD165" s="558"/>
      <c r="FHE165" s="558"/>
      <c r="FHF165" s="558"/>
      <c r="FHG165" s="558"/>
      <c r="FHH165" s="558"/>
      <c r="FHI165" s="558"/>
      <c r="FHJ165" s="558"/>
      <c r="FHK165" s="558"/>
      <c r="FHL165" s="558"/>
      <c r="FHM165" s="558"/>
      <c r="FHN165" s="558"/>
      <c r="FHO165" s="558"/>
      <c r="FHP165" s="558"/>
      <c r="FHQ165" s="558"/>
      <c r="FHR165" s="558"/>
      <c r="FHS165" s="558"/>
      <c r="FHT165" s="558"/>
      <c r="FHU165" s="558"/>
      <c r="FHV165" s="558"/>
      <c r="FHW165" s="558"/>
      <c r="FHX165" s="558"/>
      <c r="FHY165" s="558"/>
      <c r="FHZ165" s="558"/>
      <c r="FIA165" s="558"/>
      <c r="FIB165" s="558"/>
      <c r="FIC165" s="558"/>
      <c r="FID165" s="558"/>
      <c r="FIE165" s="558"/>
      <c r="FIF165" s="558"/>
      <c r="FIG165" s="558"/>
      <c r="FIH165" s="558"/>
      <c r="FII165" s="558"/>
      <c r="FIJ165" s="558"/>
      <c r="FIK165" s="558"/>
      <c r="FIL165" s="558"/>
      <c r="FIM165" s="558"/>
      <c r="FIN165" s="558"/>
      <c r="FIO165" s="558"/>
      <c r="FIP165" s="558"/>
      <c r="FIQ165" s="558"/>
      <c r="FIR165" s="558"/>
      <c r="FIS165" s="558"/>
      <c r="FIT165" s="558"/>
      <c r="FIU165" s="558"/>
      <c r="FIV165" s="558"/>
      <c r="FIW165" s="558"/>
      <c r="FIX165" s="558"/>
      <c r="FIY165" s="558"/>
      <c r="FIZ165" s="558"/>
      <c r="FJA165" s="558"/>
      <c r="FJB165" s="558"/>
      <c r="FJC165" s="558"/>
      <c r="FJD165" s="558"/>
      <c r="FJE165" s="558"/>
      <c r="FJF165" s="558"/>
      <c r="FJG165" s="558"/>
      <c r="FJH165" s="558"/>
      <c r="FJI165" s="558"/>
      <c r="FJJ165" s="558"/>
      <c r="FJK165" s="558"/>
      <c r="FJL165" s="558"/>
      <c r="FJM165" s="558"/>
      <c r="FJN165" s="558"/>
      <c r="FJO165" s="558"/>
      <c r="FJP165" s="558"/>
      <c r="FJQ165" s="558"/>
      <c r="FJR165" s="558"/>
      <c r="FJS165" s="558"/>
      <c r="FJT165" s="558"/>
      <c r="FJU165" s="558"/>
      <c r="FJV165" s="558"/>
      <c r="FJW165" s="558"/>
      <c r="FJX165" s="558"/>
      <c r="FJY165" s="558"/>
      <c r="FJZ165" s="558"/>
      <c r="FKA165" s="558"/>
      <c r="FKB165" s="558"/>
      <c r="FKC165" s="558"/>
      <c r="FKD165" s="558"/>
      <c r="FKE165" s="558"/>
      <c r="FKF165" s="558"/>
      <c r="FKG165" s="558"/>
      <c r="FKH165" s="558"/>
      <c r="FKI165" s="558"/>
      <c r="FKJ165" s="558"/>
      <c r="FKK165" s="558"/>
      <c r="FKL165" s="558"/>
      <c r="FKM165" s="558"/>
      <c r="FKN165" s="558"/>
      <c r="FKO165" s="558"/>
      <c r="FKP165" s="558"/>
      <c r="FKQ165" s="558"/>
      <c r="FKR165" s="558"/>
      <c r="FKS165" s="558"/>
      <c r="FKT165" s="558"/>
      <c r="FKU165" s="558"/>
      <c r="FKV165" s="558"/>
      <c r="FKW165" s="558"/>
      <c r="FKX165" s="558"/>
      <c r="FKY165" s="558"/>
      <c r="FKZ165" s="558"/>
      <c r="FLA165" s="558"/>
      <c r="FLB165" s="558"/>
      <c r="FLC165" s="558"/>
      <c r="FLD165" s="558"/>
      <c r="FLE165" s="558"/>
      <c r="FLF165" s="558"/>
      <c r="FLG165" s="558"/>
      <c r="FLH165" s="558"/>
      <c r="FLI165" s="558"/>
      <c r="FLJ165" s="558"/>
      <c r="FLK165" s="558"/>
      <c r="FLL165" s="558"/>
      <c r="FLM165" s="558"/>
      <c r="FLN165" s="558"/>
      <c r="FLO165" s="558"/>
      <c r="FLP165" s="558"/>
      <c r="FLQ165" s="558"/>
      <c r="FLR165" s="558"/>
      <c r="FLS165" s="558"/>
      <c r="FLT165" s="558"/>
      <c r="FLU165" s="558"/>
      <c r="FLV165" s="558"/>
      <c r="FLW165" s="558"/>
      <c r="FLX165" s="558"/>
      <c r="FLY165" s="558"/>
      <c r="FLZ165" s="558"/>
      <c r="FMA165" s="558"/>
      <c r="FMB165" s="558"/>
      <c r="FMC165" s="558"/>
      <c r="FMD165" s="558"/>
      <c r="FME165" s="558"/>
      <c r="FMF165" s="558"/>
      <c r="FMG165" s="558"/>
      <c r="FMH165" s="558"/>
      <c r="FMI165" s="558"/>
      <c r="FMJ165" s="558"/>
      <c r="FMK165" s="558"/>
      <c r="FML165" s="558"/>
      <c r="FMM165" s="558"/>
      <c r="FMN165" s="558"/>
      <c r="FMO165" s="558"/>
      <c r="FMP165" s="558"/>
      <c r="FMQ165" s="558"/>
      <c r="FMR165" s="558"/>
      <c r="FMS165" s="558"/>
      <c r="FMT165" s="558"/>
      <c r="FMU165" s="558"/>
      <c r="FMV165" s="558"/>
      <c r="FMW165" s="558"/>
      <c r="FMX165" s="558"/>
      <c r="FMY165" s="558"/>
      <c r="FMZ165" s="558"/>
      <c r="FNA165" s="558"/>
      <c r="FNB165" s="558"/>
      <c r="FNC165" s="558"/>
      <c r="FND165" s="558"/>
      <c r="FNE165" s="558"/>
      <c r="FNF165" s="558"/>
      <c r="FNG165" s="558"/>
      <c r="FNH165" s="558"/>
      <c r="FNI165" s="558"/>
      <c r="FNJ165" s="558"/>
      <c r="FNK165" s="558"/>
      <c r="FNL165" s="558"/>
      <c r="FNM165" s="558"/>
      <c r="FNN165" s="558"/>
      <c r="FNO165" s="558"/>
      <c r="FNP165" s="558"/>
      <c r="FNQ165" s="558"/>
      <c r="FNR165" s="558"/>
      <c r="FNS165" s="558"/>
      <c r="FNT165" s="558"/>
      <c r="FNU165" s="558"/>
      <c r="FNV165" s="558"/>
      <c r="FNW165" s="558"/>
      <c r="FNX165" s="558"/>
      <c r="FNY165" s="558"/>
      <c r="FNZ165" s="558"/>
      <c r="FOA165" s="558"/>
      <c r="FOB165" s="558"/>
      <c r="FOC165" s="558"/>
      <c r="FOD165" s="558"/>
      <c r="FOE165" s="558"/>
      <c r="FOF165" s="558"/>
      <c r="FOG165" s="558"/>
      <c r="FOH165" s="558"/>
      <c r="FOI165" s="558"/>
      <c r="FOJ165" s="558"/>
      <c r="FOK165" s="558"/>
      <c r="FOL165" s="558"/>
      <c r="FOM165" s="558"/>
      <c r="FON165" s="558"/>
      <c r="FOO165" s="558"/>
      <c r="FOP165" s="558"/>
      <c r="FOQ165" s="558"/>
      <c r="FOR165" s="558"/>
      <c r="FOS165" s="558"/>
      <c r="FOT165" s="558"/>
      <c r="FOU165" s="558"/>
      <c r="FOV165" s="558"/>
      <c r="FOW165" s="558"/>
      <c r="FOX165" s="558"/>
      <c r="FOY165" s="558"/>
      <c r="FOZ165" s="558"/>
      <c r="FPA165" s="558"/>
      <c r="FPB165" s="558"/>
      <c r="FPC165" s="558"/>
      <c r="FPD165" s="558"/>
      <c r="FPE165" s="558"/>
      <c r="FPF165" s="558"/>
      <c r="FPG165" s="558"/>
      <c r="FPH165" s="558"/>
      <c r="FPI165" s="558"/>
      <c r="FPJ165" s="558"/>
      <c r="FPK165" s="558"/>
      <c r="FPL165" s="558"/>
      <c r="FPM165" s="558"/>
      <c r="FPN165" s="558"/>
      <c r="FPO165" s="558"/>
      <c r="FPP165" s="558"/>
      <c r="FPQ165" s="558"/>
      <c r="FPR165" s="558"/>
      <c r="FPS165" s="558"/>
      <c r="FPT165" s="558"/>
      <c r="FPU165" s="558"/>
      <c r="FPV165" s="558"/>
      <c r="FPW165" s="558"/>
      <c r="FPX165" s="558"/>
      <c r="FPY165" s="558"/>
      <c r="FPZ165" s="558"/>
      <c r="FQA165" s="558"/>
      <c r="FQB165" s="558"/>
      <c r="FQC165" s="558"/>
      <c r="FQD165" s="558"/>
      <c r="FQE165" s="558"/>
      <c r="FQF165" s="558"/>
      <c r="FQG165" s="558"/>
      <c r="FQH165" s="558"/>
      <c r="FQI165" s="558"/>
      <c r="FQJ165" s="558"/>
      <c r="FQK165" s="558"/>
      <c r="FQL165" s="558"/>
      <c r="FQM165" s="558"/>
      <c r="FQN165" s="558"/>
      <c r="FQO165" s="558"/>
      <c r="FQP165" s="558"/>
      <c r="FQQ165" s="558"/>
      <c r="FQR165" s="558"/>
      <c r="FQS165" s="558"/>
      <c r="FQT165" s="558"/>
      <c r="FQU165" s="558"/>
      <c r="FQV165" s="558"/>
      <c r="FQW165" s="558"/>
      <c r="FQX165" s="558"/>
      <c r="FQY165" s="558"/>
      <c r="FQZ165" s="558"/>
      <c r="FRA165" s="558"/>
      <c r="FRB165" s="558"/>
      <c r="FRC165" s="558"/>
      <c r="FRD165" s="558"/>
      <c r="FRE165" s="558"/>
      <c r="FRF165" s="558"/>
      <c r="FRG165" s="558"/>
      <c r="FRH165" s="558"/>
      <c r="FRI165" s="558"/>
      <c r="FRJ165" s="558"/>
      <c r="FRK165" s="558"/>
      <c r="FRL165" s="558"/>
      <c r="FRM165" s="558"/>
      <c r="FRN165" s="558"/>
      <c r="FRO165" s="558"/>
      <c r="FRP165" s="558"/>
      <c r="FRQ165" s="558"/>
      <c r="FRR165" s="558"/>
      <c r="FRS165" s="558"/>
      <c r="FRT165" s="558"/>
      <c r="FRU165" s="558"/>
      <c r="FRV165" s="558"/>
      <c r="FRW165" s="558"/>
      <c r="FRX165" s="558"/>
      <c r="FRY165" s="558"/>
      <c r="FRZ165" s="558"/>
      <c r="FSA165" s="558"/>
      <c r="FSB165" s="558"/>
      <c r="FSC165" s="558"/>
      <c r="FSD165" s="558"/>
      <c r="FSE165" s="558"/>
      <c r="FSF165" s="558"/>
      <c r="FSG165" s="558"/>
      <c r="FSH165" s="558"/>
      <c r="FSI165" s="558"/>
      <c r="FSJ165" s="558"/>
      <c r="FSK165" s="558"/>
      <c r="FSL165" s="558"/>
      <c r="FSM165" s="558"/>
      <c r="FSN165" s="558"/>
      <c r="FSO165" s="558"/>
      <c r="FSP165" s="558"/>
      <c r="FSQ165" s="558"/>
      <c r="FSR165" s="558"/>
      <c r="FSS165" s="558"/>
      <c r="FST165" s="558"/>
      <c r="FSU165" s="558"/>
      <c r="FSV165" s="558"/>
      <c r="FSW165" s="558"/>
      <c r="FSX165" s="558"/>
      <c r="FSY165" s="558"/>
      <c r="FSZ165" s="558"/>
      <c r="FTA165" s="558"/>
      <c r="FTB165" s="558"/>
      <c r="FTC165" s="558"/>
      <c r="FTD165" s="558"/>
      <c r="FTE165" s="558"/>
      <c r="FTF165" s="558"/>
      <c r="FTG165" s="558"/>
      <c r="FTH165" s="558"/>
      <c r="FTI165" s="558"/>
      <c r="FTJ165" s="558"/>
      <c r="FTK165" s="558"/>
      <c r="FTL165" s="558"/>
      <c r="FTM165" s="558"/>
      <c r="FTN165" s="558"/>
      <c r="FTO165" s="558"/>
      <c r="FTP165" s="558"/>
      <c r="FTQ165" s="558"/>
      <c r="FTR165" s="558"/>
      <c r="FTS165" s="558"/>
      <c r="FTT165" s="558"/>
      <c r="FTU165" s="558"/>
      <c r="FTV165" s="558"/>
      <c r="FTW165" s="558"/>
      <c r="FTX165" s="558"/>
      <c r="FTY165" s="558"/>
      <c r="FTZ165" s="558"/>
      <c r="FUA165" s="558"/>
      <c r="FUB165" s="558"/>
      <c r="FUC165" s="558"/>
      <c r="FUD165" s="558"/>
      <c r="FUE165" s="558"/>
      <c r="FUF165" s="558"/>
      <c r="FUG165" s="558"/>
      <c r="FUH165" s="558"/>
      <c r="FUI165" s="558"/>
      <c r="FUJ165" s="558"/>
      <c r="FUK165" s="558"/>
      <c r="FUL165" s="558"/>
      <c r="FUM165" s="558"/>
      <c r="FUN165" s="558"/>
      <c r="FUO165" s="558"/>
      <c r="FUP165" s="558"/>
      <c r="FUQ165" s="558"/>
      <c r="FUR165" s="558"/>
      <c r="FUS165" s="558"/>
      <c r="FUT165" s="558"/>
      <c r="FUU165" s="558"/>
      <c r="FUV165" s="558"/>
      <c r="FUW165" s="558"/>
      <c r="FUX165" s="558"/>
      <c r="FUY165" s="558"/>
      <c r="FUZ165" s="558"/>
      <c r="FVA165" s="558"/>
      <c r="FVB165" s="558"/>
      <c r="FVC165" s="558"/>
      <c r="FVD165" s="558"/>
      <c r="FVE165" s="558"/>
      <c r="FVF165" s="558"/>
      <c r="FVG165" s="558"/>
      <c r="FVH165" s="558"/>
      <c r="FVI165" s="558"/>
      <c r="FVJ165" s="558"/>
      <c r="FVK165" s="558"/>
      <c r="FVL165" s="558"/>
      <c r="FVM165" s="558"/>
      <c r="FVN165" s="558"/>
      <c r="FVO165" s="558"/>
      <c r="FVP165" s="558"/>
      <c r="FVQ165" s="558"/>
      <c r="FVR165" s="558"/>
      <c r="FVS165" s="558"/>
      <c r="FVT165" s="558"/>
      <c r="FVU165" s="558"/>
      <c r="FVV165" s="558"/>
      <c r="FVW165" s="558"/>
      <c r="FVX165" s="558"/>
      <c r="FVY165" s="558"/>
      <c r="FVZ165" s="558"/>
      <c r="FWA165" s="558"/>
      <c r="FWB165" s="558"/>
      <c r="FWC165" s="558"/>
      <c r="FWD165" s="558"/>
      <c r="FWE165" s="558"/>
      <c r="FWF165" s="558"/>
      <c r="FWG165" s="558"/>
      <c r="FWH165" s="558"/>
      <c r="FWI165" s="558"/>
      <c r="FWJ165" s="558"/>
      <c r="FWK165" s="558"/>
      <c r="FWL165" s="558"/>
      <c r="FWM165" s="558"/>
      <c r="FWN165" s="558"/>
      <c r="FWO165" s="558"/>
      <c r="FWP165" s="558"/>
      <c r="FWQ165" s="558"/>
      <c r="FWR165" s="558"/>
      <c r="FWS165" s="558"/>
      <c r="FWT165" s="558"/>
      <c r="FWU165" s="558"/>
      <c r="FWV165" s="558"/>
      <c r="FWW165" s="558"/>
      <c r="FWX165" s="558"/>
      <c r="FWY165" s="558"/>
      <c r="FWZ165" s="558"/>
      <c r="FXA165" s="558"/>
      <c r="FXB165" s="558"/>
      <c r="FXC165" s="558"/>
      <c r="FXD165" s="558"/>
      <c r="FXE165" s="558"/>
      <c r="FXF165" s="558"/>
      <c r="FXG165" s="558"/>
      <c r="FXH165" s="558"/>
      <c r="FXI165" s="558"/>
      <c r="FXJ165" s="558"/>
      <c r="FXK165" s="558"/>
      <c r="FXL165" s="558"/>
      <c r="FXM165" s="558"/>
      <c r="FXN165" s="558"/>
      <c r="FXO165" s="558"/>
      <c r="FXP165" s="558"/>
      <c r="FXQ165" s="558"/>
      <c r="FXR165" s="558"/>
      <c r="FXS165" s="558"/>
      <c r="FXT165" s="558"/>
      <c r="FXU165" s="558"/>
      <c r="FXV165" s="558"/>
      <c r="FXW165" s="558"/>
      <c r="FXX165" s="558"/>
      <c r="FXY165" s="558"/>
      <c r="FXZ165" s="558"/>
      <c r="FYA165" s="558"/>
      <c r="FYB165" s="558"/>
      <c r="FYC165" s="558"/>
      <c r="FYD165" s="558"/>
      <c r="FYE165" s="558"/>
      <c r="FYF165" s="558"/>
      <c r="FYG165" s="558"/>
      <c r="FYH165" s="558"/>
      <c r="FYI165" s="558"/>
      <c r="FYJ165" s="558"/>
      <c r="FYK165" s="558"/>
      <c r="FYL165" s="558"/>
      <c r="FYM165" s="558"/>
      <c r="FYN165" s="558"/>
      <c r="FYO165" s="558"/>
      <c r="FYP165" s="558"/>
      <c r="FYQ165" s="558"/>
      <c r="FYR165" s="558"/>
      <c r="FYS165" s="558"/>
      <c r="FYT165" s="558"/>
      <c r="FYU165" s="558"/>
      <c r="FYV165" s="558"/>
      <c r="FYW165" s="558"/>
      <c r="FYX165" s="558"/>
      <c r="FYY165" s="558"/>
      <c r="FYZ165" s="558"/>
      <c r="FZA165" s="558"/>
      <c r="FZB165" s="558"/>
      <c r="FZC165" s="558"/>
      <c r="FZD165" s="558"/>
      <c r="FZE165" s="558"/>
      <c r="FZF165" s="558"/>
      <c r="FZG165" s="558"/>
      <c r="FZH165" s="558"/>
      <c r="FZI165" s="558"/>
      <c r="FZJ165" s="558"/>
      <c r="FZK165" s="558"/>
      <c r="FZL165" s="558"/>
      <c r="FZM165" s="558"/>
      <c r="FZN165" s="558"/>
      <c r="FZO165" s="558"/>
      <c r="FZP165" s="558"/>
      <c r="FZQ165" s="558"/>
      <c r="FZR165" s="558"/>
      <c r="FZS165" s="558"/>
      <c r="FZT165" s="558"/>
      <c r="FZU165" s="558"/>
      <c r="FZV165" s="558"/>
      <c r="FZW165" s="558"/>
      <c r="FZX165" s="558"/>
      <c r="FZY165" s="558"/>
      <c r="FZZ165" s="558"/>
      <c r="GAA165" s="558"/>
      <c r="GAB165" s="558"/>
      <c r="GAC165" s="558"/>
      <c r="GAD165" s="558"/>
      <c r="GAE165" s="558"/>
      <c r="GAF165" s="558"/>
      <c r="GAG165" s="558"/>
      <c r="GAH165" s="558"/>
      <c r="GAI165" s="558"/>
      <c r="GAJ165" s="558"/>
      <c r="GAK165" s="558"/>
      <c r="GAL165" s="558"/>
      <c r="GAM165" s="558"/>
      <c r="GAN165" s="558"/>
      <c r="GAO165" s="558"/>
      <c r="GAP165" s="558"/>
      <c r="GAQ165" s="558"/>
      <c r="GAR165" s="558"/>
      <c r="GAS165" s="558"/>
      <c r="GAT165" s="558"/>
      <c r="GAU165" s="558"/>
      <c r="GAV165" s="558"/>
      <c r="GAW165" s="558"/>
      <c r="GAX165" s="558"/>
      <c r="GAY165" s="558"/>
      <c r="GAZ165" s="558"/>
      <c r="GBA165" s="558"/>
      <c r="GBB165" s="558"/>
      <c r="GBC165" s="558"/>
      <c r="GBD165" s="558"/>
      <c r="GBE165" s="558"/>
      <c r="GBF165" s="558"/>
      <c r="GBG165" s="558"/>
      <c r="GBH165" s="558"/>
      <c r="GBI165" s="558"/>
      <c r="GBJ165" s="558"/>
      <c r="GBK165" s="558"/>
      <c r="GBL165" s="558"/>
      <c r="GBM165" s="558"/>
      <c r="GBN165" s="558"/>
      <c r="GBO165" s="558"/>
      <c r="GBP165" s="558"/>
      <c r="GBQ165" s="558"/>
      <c r="GBR165" s="558"/>
      <c r="GBS165" s="558"/>
      <c r="GBT165" s="558"/>
      <c r="GBU165" s="558"/>
      <c r="GBV165" s="558"/>
      <c r="GBW165" s="558"/>
      <c r="GBX165" s="558"/>
      <c r="GBY165" s="558"/>
      <c r="GBZ165" s="558"/>
      <c r="GCA165" s="558"/>
      <c r="GCB165" s="558"/>
      <c r="GCC165" s="558"/>
      <c r="GCD165" s="558"/>
      <c r="GCE165" s="558"/>
      <c r="GCF165" s="558"/>
      <c r="GCG165" s="558"/>
      <c r="GCH165" s="558"/>
      <c r="GCI165" s="558"/>
      <c r="GCJ165" s="558"/>
      <c r="GCK165" s="558"/>
      <c r="GCL165" s="558"/>
      <c r="GCM165" s="558"/>
      <c r="GCN165" s="558"/>
      <c r="GCO165" s="558"/>
      <c r="GCP165" s="558"/>
      <c r="GCQ165" s="558"/>
      <c r="GCR165" s="558"/>
      <c r="GCS165" s="558"/>
      <c r="GCT165" s="558"/>
      <c r="GCU165" s="558"/>
      <c r="GCV165" s="558"/>
      <c r="GCW165" s="558"/>
      <c r="GCX165" s="558"/>
      <c r="GCY165" s="558"/>
      <c r="GCZ165" s="558"/>
      <c r="GDA165" s="558"/>
      <c r="GDB165" s="558"/>
      <c r="GDC165" s="558"/>
      <c r="GDD165" s="558"/>
      <c r="GDE165" s="558"/>
      <c r="GDF165" s="558"/>
      <c r="GDG165" s="558"/>
      <c r="GDH165" s="558"/>
      <c r="GDI165" s="558"/>
      <c r="GDJ165" s="558"/>
      <c r="GDK165" s="558"/>
      <c r="GDL165" s="558"/>
      <c r="GDM165" s="558"/>
      <c r="GDN165" s="558"/>
      <c r="GDO165" s="558"/>
      <c r="GDP165" s="558"/>
      <c r="GDQ165" s="558"/>
      <c r="GDR165" s="558"/>
      <c r="GDS165" s="558"/>
      <c r="GDT165" s="558"/>
      <c r="GDU165" s="558"/>
      <c r="GDV165" s="558"/>
      <c r="GDW165" s="558"/>
      <c r="GDX165" s="558"/>
      <c r="GDY165" s="558"/>
      <c r="GDZ165" s="558"/>
      <c r="GEA165" s="558"/>
      <c r="GEB165" s="558"/>
      <c r="GEC165" s="558"/>
      <c r="GED165" s="558"/>
      <c r="GEE165" s="558"/>
      <c r="GEF165" s="558"/>
      <c r="GEG165" s="558"/>
      <c r="GEH165" s="558"/>
      <c r="GEI165" s="558"/>
      <c r="GEJ165" s="558"/>
      <c r="GEK165" s="558"/>
      <c r="GEL165" s="558"/>
      <c r="GEM165" s="558"/>
      <c r="GEN165" s="558"/>
      <c r="GEO165" s="558"/>
      <c r="GEP165" s="558"/>
      <c r="GEQ165" s="558"/>
      <c r="GER165" s="558"/>
      <c r="GES165" s="558"/>
      <c r="GET165" s="558"/>
      <c r="GEU165" s="558"/>
      <c r="GEV165" s="558"/>
      <c r="GEW165" s="558"/>
      <c r="GEX165" s="558"/>
      <c r="GEY165" s="558"/>
      <c r="GEZ165" s="558"/>
      <c r="GFA165" s="558"/>
      <c r="GFB165" s="558"/>
      <c r="GFC165" s="558"/>
      <c r="GFD165" s="558"/>
      <c r="GFE165" s="558"/>
      <c r="GFF165" s="558"/>
      <c r="GFG165" s="558"/>
      <c r="GFH165" s="558"/>
      <c r="GFI165" s="558"/>
      <c r="GFJ165" s="558"/>
      <c r="GFK165" s="558"/>
      <c r="GFL165" s="558"/>
      <c r="GFM165" s="558"/>
      <c r="GFN165" s="558"/>
      <c r="GFO165" s="558"/>
      <c r="GFP165" s="558"/>
      <c r="GFQ165" s="558"/>
      <c r="GFR165" s="558"/>
      <c r="GFS165" s="558"/>
      <c r="GFT165" s="558"/>
      <c r="GFU165" s="558"/>
      <c r="GFV165" s="558"/>
      <c r="GFW165" s="558"/>
      <c r="GFX165" s="558"/>
      <c r="GFY165" s="558"/>
      <c r="GFZ165" s="558"/>
      <c r="GGA165" s="558"/>
      <c r="GGB165" s="558"/>
      <c r="GGC165" s="558"/>
      <c r="GGD165" s="558"/>
      <c r="GGE165" s="558"/>
      <c r="GGF165" s="558"/>
      <c r="GGG165" s="558"/>
      <c r="GGH165" s="558"/>
      <c r="GGI165" s="558"/>
      <c r="GGJ165" s="558"/>
      <c r="GGK165" s="558"/>
      <c r="GGL165" s="558"/>
      <c r="GGM165" s="558"/>
      <c r="GGN165" s="558"/>
      <c r="GGO165" s="558"/>
      <c r="GGP165" s="558"/>
      <c r="GGQ165" s="558"/>
      <c r="GGR165" s="558"/>
      <c r="GGS165" s="558"/>
      <c r="GGT165" s="558"/>
      <c r="GGU165" s="558"/>
      <c r="GGV165" s="558"/>
      <c r="GGW165" s="558"/>
      <c r="GGX165" s="558"/>
      <c r="GGY165" s="558"/>
      <c r="GGZ165" s="558"/>
      <c r="GHA165" s="558"/>
      <c r="GHB165" s="558"/>
      <c r="GHC165" s="558"/>
      <c r="GHD165" s="558"/>
      <c r="GHE165" s="558"/>
      <c r="GHF165" s="558"/>
      <c r="GHG165" s="558"/>
      <c r="GHH165" s="558"/>
      <c r="GHI165" s="558"/>
      <c r="GHJ165" s="558"/>
      <c r="GHK165" s="558"/>
      <c r="GHL165" s="558"/>
      <c r="GHM165" s="558"/>
      <c r="GHN165" s="558"/>
      <c r="GHO165" s="558"/>
      <c r="GHP165" s="558"/>
      <c r="GHQ165" s="558"/>
      <c r="GHR165" s="558"/>
      <c r="GHS165" s="558"/>
      <c r="GHT165" s="558"/>
      <c r="GHU165" s="558"/>
      <c r="GHV165" s="558"/>
      <c r="GHW165" s="558"/>
      <c r="GHX165" s="558"/>
      <c r="GHY165" s="558"/>
      <c r="GHZ165" s="558"/>
      <c r="GIA165" s="558"/>
      <c r="GIB165" s="558"/>
      <c r="GIC165" s="558"/>
      <c r="GID165" s="558"/>
      <c r="GIE165" s="558"/>
      <c r="GIF165" s="558"/>
      <c r="GIG165" s="558"/>
      <c r="GIH165" s="558"/>
      <c r="GII165" s="558"/>
      <c r="GIJ165" s="558"/>
      <c r="GIK165" s="558"/>
      <c r="GIL165" s="558"/>
      <c r="GIM165" s="558"/>
      <c r="GIN165" s="558"/>
      <c r="GIO165" s="558"/>
      <c r="GIP165" s="558"/>
      <c r="GIQ165" s="558"/>
      <c r="GIR165" s="558"/>
      <c r="GIS165" s="558"/>
      <c r="GIT165" s="558"/>
      <c r="GIU165" s="558"/>
      <c r="GIV165" s="558"/>
      <c r="GIW165" s="558"/>
      <c r="GIX165" s="558"/>
      <c r="GIY165" s="558"/>
      <c r="GIZ165" s="558"/>
      <c r="GJA165" s="558"/>
      <c r="GJB165" s="558"/>
      <c r="GJC165" s="558"/>
      <c r="GJD165" s="558"/>
      <c r="GJE165" s="558"/>
      <c r="GJF165" s="558"/>
      <c r="GJG165" s="558"/>
      <c r="GJH165" s="558"/>
      <c r="GJI165" s="558"/>
      <c r="GJJ165" s="558"/>
      <c r="GJK165" s="558"/>
      <c r="GJL165" s="558"/>
      <c r="GJM165" s="558"/>
      <c r="GJN165" s="558"/>
      <c r="GJO165" s="558"/>
      <c r="GJP165" s="558"/>
      <c r="GJQ165" s="558"/>
      <c r="GJR165" s="558"/>
      <c r="GJS165" s="558"/>
      <c r="GJT165" s="558"/>
      <c r="GJU165" s="558"/>
      <c r="GJV165" s="558"/>
      <c r="GJW165" s="558"/>
      <c r="GJX165" s="558"/>
      <c r="GJY165" s="558"/>
      <c r="GJZ165" s="558"/>
      <c r="GKA165" s="558"/>
      <c r="GKB165" s="558"/>
      <c r="GKC165" s="558"/>
      <c r="GKD165" s="558"/>
      <c r="GKE165" s="558"/>
      <c r="GKF165" s="558"/>
      <c r="GKG165" s="558"/>
      <c r="GKH165" s="558"/>
      <c r="GKI165" s="558"/>
      <c r="GKJ165" s="558"/>
      <c r="GKK165" s="558"/>
      <c r="GKL165" s="558"/>
      <c r="GKM165" s="558"/>
      <c r="GKN165" s="558"/>
      <c r="GKO165" s="558"/>
      <c r="GKP165" s="558"/>
      <c r="GKQ165" s="558"/>
      <c r="GKR165" s="558"/>
      <c r="GKS165" s="558"/>
      <c r="GKT165" s="558"/>
      <c r="GKU165" s="558"/>
      <c r="GKV165" s="558"/>
      <c r="GKW165" s="558"/>
      <c r="GKX165" s="558"/>
      <c r="GKY165" s="558"/>
      <c r="GKZ165" s="558"/>
      <c r="GLA165" s="558"/>
      <c r="GLB165" s="558"/>
      <c r="GLC165" s="558"/>
      <c r="GLD165" s="558"/>
      <c r="GLE165" s="558"/>
      <c r="GLF165" s="558"/>
      <c r="GLG165" s="558"/>
      <c r="GLH165" s="558"/>
      <c r="GLI165" s="558"/>
      <c r="GLJ165" s="558"/>
      <c r="GLK165" s="558"/>
      <c r="GLL165" s="558"/>
      <c r="GLM165" s="558"/>
      <c r="GLN165" s="558"/>
      <c r="GLO165" s="558"/>
      <c r="GLP165" s="558"/>
      <c r="GLQ165" s="558"/>
      <c r="GLR165" s="558"/>
      <c r="GLS165" s="558"/>
      <c r="GLT165" s="558"/>
      <c r="GLU165" s="558"/>
      <c r="GLV165" s="558"/>
      <c r="GLW165" s="558"/>
      <c r="GLX165" s="558"/>
      <c r="GLY165" s="558"/>
      <c r="GLZ165" s="558"/>
      <c r="GMA165" s="558"/>
      <c r="GMB165" s="558"/>
      <c r="GMC165" s="558"/>
      <c r="GMD165" s="558"/>
      <c r="GME165" s="558"/>
      <c r="GMF165" s="558"/>
      <c r="GMG165" s="558"/>
      <c r="GMH165" s="558"/>
      <c r="GMI165" s="558"/>
      <c r="GMJ165" s="558"/>
      <c r="GMK165" s="558"/>
      <c r="GML165" s="558"/>
      <c r="GMM165" s="558"/>
      <c r="GMN165" s="558"/>
      <c r="GMO165" s="558"/>
      <c r="GMP165" s="558"/>
      <c r="GMQ165" s="558"/>
      <c r="GMR165" s="558"/>
      <c r="GMS165" s="558"/>
      <c r="GMT165" s="558"/>
      <c r="GMU165" s="558"/>
      <c r="GMV165" s="558"/>
      <c r="GMW165" s="558"/>
      <c r="GMX165" s="558"/>
      <c r="GMY165" s="558"/>
      <c r="GMZ165" s="558"/>
      <c r="GNA165" s="558"/>
      <c r="GNB165" s="558"/>
      <c r="GNC165" s="558"/>
      <c r="GND165" s="558"/>
      <c r="GNE165" s="558"/>
      <c r="GNF165" s="558"/>
      <c r="GNG165" s="558"/>
      <c r="GNH165" s="558"/>
      <c r="GNI165" s="558"/>
      <c r="GNJ165" s="558"/>
      <c r="GNK165" s="558"/>
      <c r="GNL165" s="558"/>
      <c r="GNM165" s="558"/>
      <c r="GNN165" s="558"/>
      <c r="GNO165" s="558"/>
      <c r="GNP165" s="558"/>
      <c r="GNQ165" s="558"/>
      <c r="GNR165" s="558"/>
      <c r="GNS165" s="558"/>
      <c r="GNT165" s="558"/>
      <c r="GNU165" s="558"/>
      <c r="GNV165" s="558"/>
      <c r="GNW165" s="558"/>
      <c r="GNX165" s="558"/>
      <c r="GNY165" s="558"/>
      <c r="GNZ165" s="558"/>
      <c r="GOA165" s="558"/>
      <c r="GOB165" s="558"/>
      <c r="GOC165" s="558"/>
      <c r="GOD165" s="558"/>
      <c r="GOE165" s="558"/>
      <c r="GOF165" s="558"/>
      <c r="GOG165" s="558"/>
      <c r="GOH165" s="558"/>
      <c r="GOI165" s="558"/>
      <c r="GOJ165" s="558"/>
      <c r="GOK165" s="558"/>
      <c r="GOL165" s="558"/>
      <c r="GOM165" s="558"/>
      <c r="GON165" s="558"/>
      <c r="GOO165" s="558"/>
      <c r="GOP165" s="558"/>
      <c r="GOQ165" s="558"/>
      <c r="GOR165" s="558"/>
      <c r="GOS165" s="558"/>
      <c r="GOT165" s="558"/>
      <c r="GOU165" s="558"/>
      <c r="GOV165" s="558"/>
      <c r="GOW165" s="558"/>
      <c r="GOX165" s="558"/>
      <c r="GOY165" s="558"/>
      <c r="GOZ165" s="558"/>
      <c r="GPA165" s="558"/>
      <c r="GPB165" s="558"/>
      <c r="GPC165" s="558"/>
      <c r="GPD165" s="558"/>
      <c r="GPE165" s="558"/>
      <c r="GPF165" s="558"/>
      <c r="GPG165" s="558"/>
      <c r="GPH165" s="558"/>
      <c r="GPI165" s="558"/>
      <c r="GPJ165" s="558"/>
      <c r="GPK165" s="558"/>
      <c r="GPL165" s="558"/>
      <c r="GPM165" s="558"/>
      <c r="GPN165" s="558"/>
      <c r="GPO165" s="558"/>
      <c r="GPP165" s="558"/>
      <c r="GPQ165" s="558"/>
      <c r="GPR165" s="558"/>
      <c r="GPS165" s="558"/>
      <c r="GPT165" s="558"/>
      <c r="GPU165" s="558"/>
      <c r="GPV165" s="558"/>
      <c r="GPW165" s="558"/>
      <c r="GPX165" s="558"/>
      <c r="GPY165" s="558"/>
      <c r="GPZ165" s="558"/>
      <c r="GQA165" s="558"/>
      <c r="GQB165" s="558"/>
      <c r="GQC165" s="558"/>
      <c r="GQD165" s="558"/>
      <c r="GQE165" s="558"/>
      <c r="GQF165" s="558"/>
      <c r="GQG165" s="558"/>
      <c r="GQH165" s="558"/>
      <c r="GQI165" s="558"/>
      <c r="GQJ165" s="558"/>
      <c r="GQK165" s="558"/>
      <c r="GQL165" s="558"/>
      <c r="GQM165" s="558"/>
      <c r="GQN165" s="558"/>
      <c r="GQO165" s="558"/>
      <c r="GQP165" s="558"/>
      <c r="GQQ165" s="558"/>
      <c r="GQR165" s="558"/>
      <c r="GQS165" s="558"/>
      <c r="GQT165" s="558"/>
      <c r="GQU165" s="558"/>
      <c r="GQV165" s="558"/>
      <c r="GQW165" s="558"/>
      <c r="GQX165" s="558"/>
      <c r="GQY165" s="558"/>
      <c r="GQZ165" s="558"/>
      <c r="GRA165" s="558"/>
      <c r="GRB165" s="558"/>
      <c r="GRC165" s="558"/>
      <c r="GRD165" s="558"/>
      <c r="GRE165" s="558"/>
      <c r="GRF165" s="558"/>
      <c r="GRG165" s="558"/>
      <c r="GRH165" s="558"/>
      <c r="GRI165" s="558"/>
      <c r="GRJ165" s="558"/>
      <c r="GRK165" s="558"/>
      <c r="GRL165" s="558"/>
      <c r="GRM165" s="558"/>
      <c r="GRN165" s="558"/>
      <c r="GRO165" s="558"/>
      <c r="GRP165" s="558"/>
      <c r="GRQ165" s="558"/>
      <c r="GRR165" s="558"/>
      <c r="GRS165" s="558"/>
      <c r="GRT165" s="558"/>
      <c r="GRU165" s="558"/>
      <c r="GRV165" s="558"/>
      <c r="GRW165" s="558"/>
      <c r="GRX165" s="558"/>
      <c r="GRY165" s="558"/>
      <c r="GRZ165" s="558"/>
      <c r="GSA165" s="558"/>
      <c r="GSB165" s="558"/>
      <c r="GSC165" s="558"/>
      <c r="GSD165" s="558"/>
      <c r="GSE165" s="558"/>
      <c r="GSF165" s="558"/>
      <c r="GSG165" s="558"/>
      <c r="GSH165" s="558"/>
      <c r="GSI165" s="558"/>
      <c r="GSJ165" s="558"/>
      <c r="GSK165" s="558"/>
      <c r="GSL165" s="558"/>
      <c r="GSM165" s="558"/>
      <c r="GSN165" s="558"/>
      <c r="GSO165" s="558"/>
      <c r="GSP165" s="558"/>
      <c r="GSQ165" s="558"/>
      <c r="GSR165" s="558"/>
      <c r="GSS165" s="558"/>
      <c r="GST165" s="558"/>
      <c r="GSU165" s="558"/>
      <c r="GSV165" s="558"/>
      <c r="GSW165" s="558"/>
      <c r="GSX165" s="558"/>
      <c r="GSY165" s="558"/>
      <c r="GSZ165" s="558"/>
      <c r="GTA165" s="558"/>
      <c r="GTB165" s="558"/>
      <c r="GTC165" s="558"/>
      <c r="GTD165" s="558"/>
      <c r="GTE165" s="558"/>
      <c r="GTF165" s="558"/>
      <c r="GTG165" s="558"/>
      <c r="GTH165" s="558"/>
      <c r="GTI165" s="558"/>
      <c r="GTJ165" s="558"/>
      <c r="GTK165" s="558"/>
      <c r="GTL165" s="558"/>
      <c r="GTM165" s="558"/>
      <c r="GTN165" s="558"/>
      <c r="GTO165" s="558"/>
      <c r="GTP165" s="558"/>
      <c r="GTQ165" s="558"/>
      <c r="GTR165" s="558"/>
      <c r="GTS165" s="558"/>
      <c r="GTT165" s="558"/>
      <c r="GTU165" s="558"/>
      <c r="GTV165" s="558"/>
      <c r="GTW165" s="558"/>
      <c r="GTX165" s="558"/>
      <c r="GTY165" s="558"/>
      <c r="GTZ165" s="558"/>
      <c r="GUA165" s="558"/>
      <c r="GUB165" s="558"/>
      <c r="GUC165" s="558"/>
      <c r="GUD165" s="558"/>
      <c r="GUE165" s="558"/>
      <c r="GUF165" s="558"/>
      <c r="GUG165" s="558"/>
      <c r="GUH165" s="558"/>
      <c r="GUI165" s="558"/>
      <c r="GUJ165" s="558"/>
      <c r="GUK165" s="558"/>
      <c r="GUL165" s="558"/>
      <c r="GUM165" s="558"/>
      <c r="GUN165" s="558"/>
      <c r="GUO165" s="558"/>
      <c r="GUP165" s="558"/>
      <c r="GUQ165" s="558"/>
      <c r="GUR165" s="558"/>
      <c r="GUS165" s="558"/>
      <c r="GUT165" s="558"/>
      <c r="GUU165" s="558"/>
      <c r="GUV165" s="558"/>
      <c r="GUW165" s="558"/>
      <c r="GUX165" s="558"/>
      <c r="GUY165" s="558"/>
      <c r="GUZ165" s="558"/>
      <c r="GVA165" s="558"/>
      <c r="GVB165" s="558"/>
      <c r="GVC165" s="558"/>
      <c r="GVD165" s="558"/>
      <c r="GVE165" s="558"/>
      <c r="GVF165" s="558"/>
      <c r="GVG165" s="558"/>
      <c r="GVH165" s="558"/>
      <c r="GVI165" s="558"/>
      <c r="GVJ165" s="558"/>
      <c r="GVK165" s="558"/>
      <c r="GVL165" s="558"/>
      <c r="GVM165" s="558"/>
      <c r="GVN165" s="558"/>
      <c r="GVO165" s="558"/>
      <c r="GVP165" s="558"/>
      <c r="GVQ165" s="558"/>
      <c r="GVR165" s="558"/>
      <c r="GVS165" s="558"/>
      <c r="GVT165" s="558"/>
      <c r="GVU165" s="558"/>
      <c r="GVV165" s="558"/>
      <c r="GVW165" s="558"/>
      <c r="GVX165" s="558"/>
      <c r="GVY165" s="558"/>
      <c r="GVZ165" s="558"/>
      <c r="GWA165" s="558"/>
      <c r="GWB165" s="558"/>
      <c r="GWC165" s="558"/>
      <c r="GWD165" s="558"/>
      <c r="GWE165" s="558"/>
      <c r="GWF165" s="558"/>
      <c r="GWG165" s="558"/>
      <c r="GWH165" s="558"/>
      <c r="GWI165" s="558"/>
      <c r="GWJ165" s="558"/>
      <c r="GWK165" s="558"/>
      <c r="GWL165" s="558"/>
      <c r="GWM165" s="558"/>
      <c r="GWN165" s="558"/>
      <c r="GWO165" s="558"/>
      <c r="GWP165" s="558"/>
      <c r="GWQ165" s="558"/>
      <c r="GWR165" s="558"/>
      <c r="GWS165" s="558"/>
      <c r="GWT165" s="558"/>
      <c r="GWU165" s="558"/>
      <c r="GWV165" s="558"/>
      <c r="GWW165" s="558"/>
      <c r="GWX165" s="558"/>
      <c r="GWY165" s="558"/>
      <c r="GWZ165" s="558"/>
      <c r="GXA165" s="558"/>
      <c r="GXB165" s="558"/>
      <c r="GXC165" s="558"/>
      <c r="GXD165" s="558"/>
      <c r="GXE165" s="558"/>
      <c r="GXF165" s="558"/>
      <c r="GXG165" s="558"/>
      <c r="GXH165" s="558"/>
      <c r="GXI165" s="558"/>
      <c r="GXJ165" s="558"/>
      <c r="GXK165" s="558"/>
      <c r="GXL165" s="558"/>
      <c r="GXM165" s="558"/>
      <c r="GXN165" s="558"/>
      <c r="GXO165" s="558"/>
      <c r="GXP165" s="558"/>
      <c r="GXQ165" s="558"/>
      <c r="GXR165" s="558"/>
      <c r="GXS165" s="558"/>
      <c r="GXT165" s="558"/>
      <c r="GXU165" s="558"/>
      <c r="GXV165" s="558"/>
      <c r="GXW165" s="558"/>
      <c r="GXX165" s="558"/>
      <c r="GXY165" s="558"/>
      <c r="GXZ165" s="558"/>
      <c r="GYA165" s="558"/>
      <c r="GYB165" s="558"/>
      <c r="GYC165" s="558"/>
      <c r="GYD165" s="558"/>
      <c r="GYE165" s="558"/>
      <c r="GYF165" s="558"/>
      <c r="GYG165" s="558"/>
      <c r="GYH165" s="558"/>
      <c r="GYI165" s="558"/>
      <c r="GYJ165" s="558"/>
      <c r="GYK165" s="558"/>
      <c r="GYL165" s="558"/>
      <c r="GYM165" s="558"/>
      <c r="GYN165" s="558"/>
      <c r="GYO165" s="558"/>
      <c r="GYP165" s="558"/>
      <c r="GYQ165" s="558"/>
      <c r="GYR165" s="558"/>
      <c r="GYS165" s="558"/>
      <c r="GYT165" s="558"/>
      <c r="GYU165" s="558"/>
      <c r="GYV165" s="558"/>
      <c r="GYW165" s="558"/>
      <c r="GYX165" s="558"/>
      <c r="GYY165" s="558"/>
      <c r="GYZ165" s="558"/>
      <c r="GZA165" s="558"/>
      <c r="GZB165" s="558"/>
      <c r="GZC165" s="558"/>
      <c r="GZD165" s="558"/>
      <c r="GZE165" s="558"/>
      <c r="GZF165" s="558"/>
      <c r="GZG165" s="558"/>
      <c r="GZH165" s="558"/>
      <c r="GZI165" s="558"/>
      <c r="GZJ165" s="558"/>
      <c r="GZK165" s="558"/>
      <c r="GZL165" s="558"/>
      <c r="GZM165" s="558"/>
      <c r="GZN165" s="558"/>
      <c r="GZO165" s="558"/>
      <c r="GZP165" s="558"/>
      <c r="GZQ165" s="558"/>
      <c r="GZR165" s="558"/>
      <c r="GZS165" s="558"/>
      <c r="GZT165" s="558"/>
      <c r="GZU165" s="558"/>
      <c r="GZV165" s="558"/>
      <c r="GZW165" s="558"/>
      <c r="GZX165" s="558"/>
      <c r="GZY165" s="558"/>
      <c r="GZZ165" s="558"/>
      <c r="HAA165" s="558"/>
      <c r="HAB165" s="558"/>
      <c r="HAC165" s="558"/>
      <c r="HAD165" s="558"/>
      <c r="HAE165" s="558"/>
      <c r="HAF165" s="558"/>
      <c r="HAG165" s="558"/>
      <c r="HAH165" s="558"/>
      <c r="HAI165" s="558"/>
      <c r="HAJ165" s="558"/>
      <c r="HAK165" s="558"/>
      <c r="HAL165" s="558"/>
      <c r="HAM165" s="558"/>
      <c r="HAN165" s="558"/>
      <c r="HAO165" s="558"/>
      <c r="HAP165" s="558"/>
      <c r="HAQ165" s="558"/>
      <c r="HAR165" s="558"/>
      <c r="HAS165" s="558"/>
      <c r="HAT165" s="558"/>
      <c r="HAU165" s="558"/>
      <c r="HAV165" s="558"/>
      <c r="HAW165" s="558"/>
      <c r="HAX165" s="558"/>
      <c r="HAY165" s="558"/>
      <c r="HAZ165" s="558"/>
      <c r="HBA165" s="558"/>
      <c r="HBB165" s="558"/>
      <c r="HBC165" s="558"/>
      <c r="HBD165" s="558"/>
      <c r="HBE165" s="558"/>
      <c r="HBF165" s="558"/>
      <c r="HBG165" s="558"/>
      <c r="HBH165" s="558"/>
      <c r="HBI165" s="558"/>
      <c r="HBJ165" s="558"/>
      <c r="HBK165" s="558"/>
      <c r="HBL165" s="558"/>
      <c r="HBM165" s="558"/>
      <c r="HBN165" s="558"/>
      <c r="HBO165" s="558"/>
      <c r="HBP165" s="558"/>
      <c r="HBQ165" s="558"/>
      <c r="HBR165" s="558"/>
      <c r="HBS165" s="558"/>
      <c r="HBT165" s="558"/>
      <c r="HBU165" s="558"/>
      <c r="HBV165" s="558"/>
      <c r="HBW165" s="558"/>
      <c r="HBX165" s="558"/>
      <c r="HBY165" s="558"/>
      <c r="HBZ165" s="558"/>
      <c r="HCA165" s="558"/>
      <c r="HCB165" s="558"/>
      <c r="HCC165" s="558"/>
      <c r="HCD165" s="558"/>
      <c r="HCE165" s="558"/>
      <c r="HCF165" s="558"/>
      <c r="HCG165" s="558"/>
      <c r="HCH165" s="558"/>
      <c r="HCI165" s="558"/>
      <c r="HCJ165" s="558"/>
      <c r="HCK165" s="558"/>
      <c r="HCL165" s="558"/>
      <c r="HCM165" s="558"/>
      <c r="HCN165" s="558"/>
      <c r="HCO165" s="558"/>
      <c r="HCP165" s="558"/>
      <c r="HCQ165" s="558"/>
      <c r="HCR165" s="558"/>
      <c r="HCS165" s="558"/>
      <c r="HCT165" s="558"/>
      <c r="HCU165" s="558"/>
      <c r="HCV165" s="558"/>
      <c r="HCW165" s="558"/>
      <c r="HCX165" s="558"/>
      <c r="HCY165" s="558"/>
      <c r="HCZ165" s="558"/>
      <c r="HDA165" s="558"/>
      <c r="HDB165" s="558"/>
      <c r="HDC165" s="558"/>
      <c r="HDD165" s="558"/>
      <c r="HDE165" s="558"/>
      <c r="HDF165" s="558"/>
      <c r="HDG165" s="558"/>
      <c r="HDH165" s="558"/>
      <c r="HDI165" s="558"/>
      <c r="HDJ165" s="558"/>
      <c r="HDK165" s="558"/>
      <c r="HDL165" s="558"/>
      <c r="HDM165" s="558"/>
      <c r="HDN165" s="558"/>
      <c r="HDO165" s="558"/>
      <c r="HDP165" s="558"/>
      <c r="HDQ165" s="558"/>
      <c r="HDR165" s="558"/>
      <c r="HDS165" s="558"/>
      <c r="HDT165" s="558"/>
      <c r="HDU165" s="558"/>
      <c r="HDV165" s="558"/>
      <c r="HDW165" s="558"/>
      <c r="HDX165" s="558"/>
      <c r="HDY165" s="558"/>
      <c r="HDZ165" s="558"/>
      <c r="HEA165" s="558"/>
      <c r="HEB165" s="558"/>
      <c r="HEC165" s="558"/>
      <c r="HED165" s="558"/>
      <c r="HEE165" s="558"/>
      <c r="HEF165" s="558"/>
      <c r="HEG165" s="558"/>
      <c r="HEH165" s="558"/>
      <c r="HEI165" s="558"/>
      <c r="HEJ165" s="558"/>
      <c r="HEK165" s="558"/>
      <c r="HEL165" s="558"/>
      <c r="HEM165" s="558"/>
      <c r="HEN165" s="558"/>
      <c r="HEO165" s="558"/>
      <c r="HEP165" s="558"/>
      <c r="HEQ165" s="558"/>
      <c r="HER165" s="558"/>
      <c r="HES165" s="558"/>
      <c r="HET165" s="558"/>
      <c r="HEU165" s="558"/>
      <c r="HEV165" s="558"/>
      <c r="HEW165" s="558"/>
      <c r="HEX165" s="558"/>
      <c r="HEY165" s="558"/>
      <c r="HEZ165" s="558"/>
      <c r="HFA165" s="558"/>
      <c r="HFB165" s="558"/>
      <c r="HFC165" s="558"/>
      <c r="HFD165" s="558"/>
      <c r="HFE165" s="558"/>
      <c r="HFF165" s="558"/>
      <c r="HFG165" s="558"/>
      <c r="HFH165" s="558"/>
      <c r="HFI165" s="558"/>
      <c r="HFJ165" s="558"/>
      <c r="HFK165" s="558"/>
      <c r="HFL165" s="558"/>
      <c r="HFM165" s="558"/>
      <c r="HFN165" s="558"/>
      <c r="HFO165" s="558"/>
      <c r="HFP165" s="558"/>
      <c r="HFQ165" s="558"/>
      <c r="HFR165" s="558"/>
      <c r="HFS165" s="558"/>
      <c r="HFT165" s="558"/>
      <c r="HFU165" s="558"/>
      <c r="HFV165" s="558"/>
      <c r="HFW165" s="558"/>
      <c r="HFX165" s="558"/>
      <c r="HFY165" s="558"/>
      <c r="HFZ165" s="558"/>
      <c r="HGA165" s="558"/>
      <c r="HGB165" s="558"/>
      <c r="HGC165" s="558"/>
      <c r="HGD165" s="558"/>
      <c r="HGE165" s="558"/>
      <c r="HGF165" s="558"/>
      <c r="HGG165" s="558"/>
      <c r="HGH165" s="558"/>
      <c r="HGI165" s="558"/>
      <c r="HGJ165" s="558"/>
      <c r="HGK165" s="558"/>
      <c r="HGL165" s="558"/>
      <c r="HGM165" s="558"/>
      <c r="HGN165" s="558"/>
      <c r="HGO165" s="558"/>
      <c r="HGP165" s="558"/>
      <c r="HGQ165" s="558"/>
      <c r="HGR165" s="558"/>
      <c r="HGS165" s="558"/>
      <c r="HGT165" s="558"/>
      <c r="HGU165" s="558"/>
      <c r="HGV165" s="558"/>
      <c r="HGW165" s="558"/>
      <c r="HGX165" s="558"/>
      <c r="HGY165" s="558"/>
      <c r="HGZ165" s="558"/>
      <c r="HHA165" s="558"/>
      <c r="HHB165" s="558"/>
      <c r="HHC165" s="558"/>
      <c r="HHD165" s="558"/>
      <c r="HHE165" s="558"/>
      <c r="HHF165" s="558"/>
      <c r="HHG165" s="558"/>
      <c r="HHH165" s="558"/>
      <c r="HHI165" s="558"/>
      <c r="HHJ165" s="558"/>
      <c r="HHK165" s="558"/>
      <c r="HHL165" s="558"/>
      <c r="HHM165" s="558"/>
      <c r="HHN165" s="558"/>
      <c r="HHO165" s="558"/>
      <c r="HHP165" s="558"/>
      <c r="HHQ165" s="558"/>
      <c r="HHR165" s="558"/>
      <c r="HHS165" s="558"/>
      <c r="HHT165" s="558"/>
      <c r="HHU165" s="558"/>
      <c r="HHV165" s="558"/>
      <c r="HHW165" s="558"/>
      <c r="HHX165" s="558"/>
      <c r="HHY165" s="558"/>
      <c r="HHZ165" s="558"/>
      <c r="HIA165" s="558"/>
      <c r="HIB165" s="558"/>
      <c r="HIC165" s="558"/>
      <c r="HID165" s="558"/>
      <c r="HIE165" s="558"/>
      <c r="HIF165" s="558"/>
      <c r="HIG165" s="558"/>
      <c r="HIH165" s="558"/>
      <c r="HII165" s="558"/>
      <c r="HIJ165" s="558"/>
      <c r="HIK165" s="558"/>
      <c r="HIL165" s="558"/>
      <c r="HIM165" s="558"/>
      <c r="HIN165" s="558"/>
      <c r="HIO165" s="558"/>
      <c r="HIP165" s="558"/>
      <c r="HIQ165" s="558"/>
      <c r="HIR165" s="558"/>
      <c r="HIS165" s="558"/>
      <c r="HIT165" s="558"/>
      <c r="HIU165" s="558"/>
      <c r="HIV165" s="558"/>
      <c r="HIW165" s="558"/>
      <c r="HIX165" s="558"/>
      <c r="HIY165" s="558"/>
      <c r="HIZ165" s="558"/>
      <c r="HJA165" s="558"/>
      <c r="HJB165" s="558"/>
      <c r="HJC165" s="558"/>
      <c r="HJD165" s="558"/>
      <c r="HJE165" s="558"/>
      <c r="HJF165" s="558"/>
      <c r="HJG165" s="558"/>
      <c r="HJH165" s="558"/>
      <c r="HJI165" s="558"/>
      <c r="HJJ165" s="558"/>
      <c r="HJK165" s="558"/>
      <c r="HJL165" s="558"/>
      <c r="HJM165" s="558"/>
      <c r="HJN165" s="558"/>
      <c r="HJO165" s="558"/>
      <c r="HJP165" s="558"/>
      <c r="HJQ165" s="558"/>
      <c r="HJR165" s="558"/>
      <c r="HJS165" s="558"/>
      <c r="HJT165" s="558"/>
      <c r="HJU165" s="558"/>
      <c r="HJV165" s="558"/>
      <c r="HJW165" s="558"/>
      <c r="HJX165" s="558"/>
      <c r="HJY165" s="558"/>
      <c r="HJZ165" s="558"/>
      <c r="HKA165" s="558"/>
      <c r="HKB165" s="558"/>
      <c r="HKC165" s="558"/>
      <c r="HKD165" s="558"/>
      <c r="HKE165" s="558"/>
      <c r="HKF165" s="558"/>
      <c r="HKG165" s="558"/>
      <c r="HKH165" s="558"/>
      <c r="HKI165" s="558"/>
      <c r="HKJ165" s="558"/>
      <c r="HKK165" s="558"/>
      <c r="HKL165" s="558"/>
      <c r="HKM165" s="558"/>
      <c r="HKN165" s="558"/>
      <c r="HKO165" s="558"/>
      <c r="HKP165" s="558"/>
      <c r="HKQ165" s="558"/>
      <c r="HKR165" s="558"/>
      <c r="HKS165" s="558"/>
      <c r="HKT165" s="558"/>
      <c r="HKU165" s="558"/>
      <c r="HKV165" s="558"/>
      <c r="HKW165" s="558"/>
      <c r="HKX165" s="558"/>
      <c r="HKY165" s="558"/>
      <c r="HKZ165" s="558"/>
      <c r="HLA165" s="558"/>
      <c r="HLB165" s="558"/>
      <c r="HLC165" s="558"/>
      <c r="HLD165" s="558"/>
      <c r="HLE165" s="558"/>
      <c r="HLF165" s="558"/>
      <c r="HLG165" s="558"/>
      <c r="HLH165" s="558"/>
      <c r="HLI165" s="558"/>
      <c r="HLJ165" s="558"/>
      <c r="HLK165" s="558"/>
      <c r="HLL165" s="558"/>
      <c r="HLM165" s="558"/>
      <c r="HLN165" s="558"/>
      <c r="HLO165" s="558"/>
      <c r="HLP165" s="558"/>
      <c r="HLQ165" s="558"/>
      <c r="HLR165" s="558"/>
      <c r="HLS165" s="558"/>
      <c r="HLT165" s="558"/>
      <c r="HLU165" s="558"/>
      <c r="HLV165" s="558"/>
      <c r="HLW165" s="558"/>
      <c r="HLX165" s="558"/>
      <c r="HLY165" s="558"/>
      <c r="HLZ165" s="558"/>
      <c r="HMA165" s="558"/>
      <c r="HMB165" s="558"/>
      <c r="HMC165" s="558"/>
      <c r="HMD165" s="558"/>
      <c r="HME165" s="558"/>
      <c r="HMF165" s="558"/>
      <c r="HMG165" s="558"/>
      <c r="HMH165" s="558"/>
      <c r="HMI165" s="558"/>
      <c r="HMJ165" s="558"/>
      <c r="HMK165" s="558"/>
      <c r="HML165" s="558"/>
      <c r="HMM165" s="558"/>
      <c r="HMN165" s="558"/>
      <c r="HMO165" s="558"/>
      <c r="HMP165" s="558"/>
      <c r="HMQ165" s="558"/>
      <c r="HMR165" s="558"/>
      <c r="HMS165" s="558"/>
      <c r="HMT165" s="558"/>
      <c r="HMU165" s="558"/>
      <c r="HMV165" s="558"/>
      <c r="HMW165" s="558"/>
      <c r="HMX165" s="558"/>
      <c r="HMY165" s="558"/>
      <c r="HMZ165" s="558"/>
      <c r="HNA165" s="558"/>
      <c r="HNB165" s="558"/>
      <c r="HNC165" s="558"/>
      <c r="HND165" s="558"/>
      <c r="HNE165" s="558"/>
      <c r="HNF165" s="558"/>
      <c r="HNG165" s="558"/>
      <c r="HNH165" s="558"/>
      <c r="HNI165" s="558"/>
      <c r="HNJ165" s="558"/>
      <c r="HNK165" s="558"/>
      <c r="HNL165" s="558"/>
      <c r="HNM165" s="558"/>
      <c r="HNN165" s="558"/>
      <c r="HNO165" s="558"/>
      <c r="HNP165" s="558"/>
      <c r="HNQ165" s="558"/>
      <c r="HNR165" s="558"/>
      <c r="HNS165" s="558"/>
      <c r="HNT165" s="558"/>
      <c r="HNU165" s="558"/>
      <c r="HNV165" s="558"/>
      <c r="HNW165" s="558"/>
      <c r="HNX165" s="558"/>
      <c r="HNY165" s="558"/>
      <c r="HNZ165" s="558"/>
      <c r="HOA165" s="558"/>
      <c r="HOB165" s="558"/>
      <c r="HOC165" s="558"/>
      <c r="HOD165" s="558"/>
      <c r="HOE165" s="558"/>
      <c r="HOF165" s="558"/>
      <c r="HOG165" s="558"/>
      <c r="HOH165" s="558"/>
      <c r="HOI165" s="558"/>
      <c r="HOJ165" s="558"/>
      <c r="HOK165" s="558"/>
      <c r="HOL165" s="558"/>
      <c r="HOM165" s="558"/>
      <c r="HON165" s="558"/>
      <c r="HOO165" s="558"/>
      <c r="HOP165" s="558"/>
      <c r="HOQ165" s="558"/>
      <c r="HOR165" s="558"/>
      <c r="HOS165" s="558"/>
      <c r="HOT165" s="558"/>
      <c r="HOU165" s="558"/>
      <c r="HOV165" s="558"/>
      <c r="HOW165" s="558"/>
      <c r="HOX165" s="558"/>
      <c r="HOY165" s="558"/>
      <c r="HOZ165" s="558"/>
      <c r="HPA165" s="558"/>
      <c r="HPB165" s="558"/>
      <c r="HPC165" s="558"/>
      <c r="HPD165" s="558"/>
      <c r="HPE165" s="558"/>
      <c r="HPF165" s="558"/>
      <c r="HPG165" s="558"/>
      <c r="HPH165" s="558"/>
      <c r="HPI165" s="558"/>
      <c r="HPJ165" s="558"/>
      <c r="HPK165" s="558"/>
      <c r="HPL165" s="558"/>
      <c r="HPM165" s="558"/>
      <c r="HPN165" s="558"/>
      <c r="HPO165" s="558"/>
      <c r="HPP165" s="558"/>
      <c r="HPQ165" s="558"/>
      <c r="HPR165" s="558"/>
      <c r="HPS165" s="558"/>
      <c r="HPT165" s="558"/>
      <c r="HPU165" s="558"/>
      <c r="HPV165" s="558"/>
      <c r="HPW165" s="558"/>
      <c r="HPX165" s="558"/>
      <c r="HPY165" s="558"/>
      <c r="HPZ165" s="558"/>
      <c r="HQA165" s="558"/>
      <c r="HQB165" s="558"/>
      <c r="HQC165" s="558"/>
      <c r="HQD165" s="558"/>
      <c r="HQE165" s="558"/>
      <c r="HQF165" s="558"/>
      <c r="HQG165" s="558"/>
      <c r="HQH165" s="558"/>
      <c r="HQI165" s="558"/>
      <c r="HQJ165" s="558"/>
      <c r="HQK165" s="558"/>
      <c r="HQL165" s="558"/>
      <c r="HQM165" s="558"/>
      <c r="HQN165" s="558"/>
      <c r="HQO165" s="558"/>
      <c r="HQP165" s="558"/>
      <c r="HQQ165" s="558"/>
      <c r="HQR165" s="558"/>
      <c r="HQS165" s="558"/>
      <c r="HQT165" s="558"/>
      <c r="HQU165" s="558"/>
      <c r="HQV165" s="558"/>
      <c r="HQW165" s="558"/>
      <c r="HQX165" s="558"/>
      <c r="HQY165" s="558"/>
      <c r="HQZ165" s="558"/>
      <c r="HRA165" s="558"/>
      <c r="HRB165" s="558"/>
      <c r="HRC165" s="558"/>
      <c r="HRD165" s="558"/>
      <c r="HRE165" s="558"/>
      <c r="HRF165" s="558"/>
      <c r="HRG165" s="558"/>
      <c r="HRH165" s="558"/>
      <c r="HRI165" s="558"/>
      <c r="HRJ165" s="558"/>
      <c r="HRK165" s="558"/>
      <c r="HRL165" s="558"/>
      <c r="HRM165" s="558"/>
      <c r="HRN165" s="558"/>
      <c r="HRO165" s="558"/>
      <c r="HRP165" s="558"/>
      <c r="HRQ165" s="558"/>
      <c r="HRR165" s="558"/>
      <c r="HRS165" s="558"/>
      <c r="HRT165" s="558"/>
      <c r="HRU165" s="558"/>
      <c r="HRV165" s="558"/>
      <c r="HRW165" s="558"/>
      <c r="HRX165" s="558"/>
      <c r="HRY165" s="558"/>
      <c r="HRZ165" s="558"/>
      <c r="HSA165" s="558"/>
      <c r="HSB165" s="558"/>
      <c r="HSC165" s="558"/>
      <c r="HSD165" s="558"/>
      <c r="HSE165" s="558"/>
      <c r="HSF165" s="558"/>
      <c r="HSG165" s="558"/>
      <c r="HSH165" s="558"/>
      <c r="HSI165" s="558"/>
      <c r="HSJ165" s="558"/>
      <c r="HSK165" s="558"/>
      <c r="HSL165" s="558"/>
      <c r="HSM165" s="558"/>
      <c r="HSN165" s="558"/>
      <c r="HSO165" s="558"/>
      <c r="HSP165" s="558"/>
      <c r="HSQ165" s="558"/>
      <c r="HSR165" s="558"/>
      <c r="HSS165" s="558"/>
      <c r="HST165" s="558"/>
      <c r="HSU165" s="558"/>
      <c r="HSV165" s="558"/>
      <c r="HSW165" s="558"/>
      <c r="HSX165" s="558"/>
      <c r="HSY165" s="558"/>
      <c r="HSZ165" s="558"/>
      <c r="HTA165" s="558"/>
      <c r="HTB165" s="558"/>
      <c r="HTC165" s="558"/>
      <c r="HTD165" s="558"/>
      <c r="HTE165" s="558"/>
      <c r="HTF165" s="558"/>
      <c r="HTG165" s="558"/>
      <c r="HTH165" s="558"/>
      <c r="HTI165" s="558"/>
      <c r="HTJ165" s="558"/>
      <c r="HTK165" s="558"/>
      <c r="HTL165" s="558"/>
      <c r="HTM165" s="558"/>
      <c r="HTN165" s="558"/>
      <c r="HTO165" s="558"/>
      <c r="HTP165" s="558"/>
      <c r="HTQ165" s="558"/>
      <c r="HTR165" s="558"/>
      <c r="HTS165" s="558"/>
      <c r="HTT165" s="558"/>
      <c r="HTU165" s="558"/>
      <c r="HTV165" s="558"/>
      <c r="HTW165" s="558"/>
      <c r="HTX165" s="558"/>
      <c r="HTY165" s="558"/>
      <c r="HTZ165" s="558"/>
      <c r="HUA165" s="558"/>
      <c r="HUB165" s="558"/>
      <c r="HUC165" s="558"/>
      <c r="HUD165" s="558"/>
      <c r="HUE165" s="558"/>
      <c r="HUF165" s="558"/>
      <c r="HUG165" s="558"/>
      <c r="HUH165" s="558"/>
      <c r="HUI165" s="558"/>
      <c r="HUJ165" s="558"/>
      <c r="HUK165" s="558"/>
      <c r="HUL165" s="558"/>
      <c r="HUM165" s="558"/>
      <c r="HUN165" s="558"/>
      <c r="HUO165" s="558"/>
      <c r="HUP165" s="558"/>
      <c r="HUQ165" s="558"/>
      <c r="HUR165" s="558"/>
      <c r="HUS165" s="558"/>
      <c r="HUT165" s="558"/>
      <c r="HUU165" s="558"/>
      <c r="HUV165" s="558"/>
      <c r="HUW165" s="558"/>
      <c r="HUX165" s="558"/>
      <c r="HUY165" s="558"/>
      <c r="HUZ165" s="558"/>
      <c r="HVA165" s="558"/>
      <c r="HVB165" s="558"/>
      <c r="HVC165" s="558"/>
      <c r="HVD165" s="558"/>
      <c r="HVE165" s="558"/>
      <c r="HVF165" s="558"/>
      <c r="HVG165" s="558"/>
      <c r="HVH165" s="558"/>
      <c r="HVI165" s="558"/>
      <c r="HVJ165" s="558"/>
      <c r="HVK165" s="558"/>
      <c r="HVL165" s="558"/>
      <c r="HVM165" s="558"/>
      <c r="HVN165" s="558"/>
      <c r="HVO165" s="558"/>
      <c r="HVP165" s="558"/>
      <c r="HVQ165" s="558"/>
      <c r="HVR165" s="558"/>
      <c r="HVS165" s="558"/>
      <c r="HVT165" s="558"/>
      <c r="HVU165" s="558"/>
      <c r="HVV165" s="558"/>
      <c r="HVW165" s="558"/>
      <c r="HVX165" s="558"/>
      <c r="HVY165" s="558"/>
      <c r="HVZ165" s="558"/>
      <c r="HWA165" s="558"/>
      <c r="HWB165" s="558"/>
      <c r="HWC165" s="558"/>
      <c r="HWD165" s="558"/>
      <c r="HWE165" s="558"/>
      <c r="HWF165" s="558"/>
      <c r="HWG165" s="558"/>
      <c r="HWH165" s="558"/>
      <c r="HWI165" s="558"/>
      <c r="HWJ165" s="558"/>
      <c r="HWK165" s="558"/>
      <c r="HWL165" s="558"/>
      <c r="HWM165" s="558"/>
      <c r="HWN165" s="558"/>
      <c r="HWO165" s="558"/>
      <c r="HWP165" s="558"/>
      <c r="HWQ165" s="558"/>
      <c r="HWR165" s="558"/>
      <c r="HWS165" s="558"/>
      <c r="HWT165" s="558"/>
      <c r="HWU165" s="558"/>
      <c r="HWV165" s="558"/>
      <c r="HWW165" s="558"/>
      <c r="HWX165" s="558"/>
      <c r="HWY165" s="558"/>
      <c r="HWZ165" s="558"/>
      <c r="HXA165" s="558"/>
      <c r="HXB165" s="558"/>
      <c r="HXC165" s="558"/>
      <c r="HXD165" s="558"/>
      <c r="HXE165" s="558"/>
      <c r="HXF165" s="558"/>
      <c r="HXG165" s="558"/>
      <c r="HXH165" s="558"/>
      <c r="HXI165" s="558"/>
      <c r="HXJ165" s="558"/>
      <c r="HXK165" s="558"/>
      <c r="HXL165" s="558"/>
      <c r="HXM165" s="558"/>
      <c r="HXN165" s="558"/>
      <c r="HXO165" s="558"/>
      <c r="HXP165" s="558"/>
      <c r="HXQ165" s="558"/>
      <c r="HXR165" s="558"/>
      <c r="HXS165" s="558"/>
      <c r="HXT165" s="558"/>
      <c r="HXU165" s="558"/>
      <c r="HXV165" s="558"/>
      <c r="HXW165" s="558"/>
      <c r="HXX165" s="558"/>
      <c r="HXY165" s="558"/>
      <c r="HXZ165" s="558"/>
      <c r="HYA165" s="558"/>
      <c r="HYB165" s="558"/>
      <c r="HYC165" s="558"/>
      <c r="HYD165" s="558"/>
      <c r="HYE165" s="558"/>
      <c r="HYF165" s="558"/>
      <c r="HYG165" s="558"/>
      <c r="HYH165" s="558"/>
      <c r="HYI165" s="558"/>
      <c r="HYJ165" s="558"/>
      <c r="HYK165" s="558"/>
      <c r="HYL165" s="558"/>
      <c r="HYM165" s="558"/>
      <c r="HYN165" s="558"/>
      <c r="HYO165" s="558"/>
      <c r="HYP165" s="558"/>
      <c r="HYQ165" s="558"/>
      <c r="HYR165" s="558"/>
      <c r="HYS165" s="558"/>
      <c r="HYT165" s="558"/>
      <c r="HYU165" s="558"/>
      <c r="HYV165" s="558"/>
      <c r="HYW165" s="558"/>
      <c r="HYX165" s="558"/>
      <c r="HYY165" s="558"/>
      <c r="HYZ165" s="558"/>
      <c r="HZA165" s="558"/>
      <c r="HZB165" s="558"/>
      <c r="HZC165" s="558"/>
      <c r="HZD165" s="558"/>
      <c r="HZE165" s="558"/>
      <c r="HZF165" s="558"/>
      <c r="HZG165" s="558"/>
      <c r="HZH165" s="558"/>
      <c r="HZI165" s="558"/>
      <c r="HZJ165" s="558"/>
      <c r="HZK165" s="558"/>
      <c r="HZL165" s="558"/>
      <c r="HZM165" s="558"/>
      <c r="HZN165" s="558"/>
      <c r="HZO165" s="558"/>
      <c r="HZP165" s="558"/>
      <c r="HZQ165" s="558"/>
      <c r="HZR165" s="558"/>
      <c r="HZS165" s="558"/>
      <c r="HZT165" s="558"/>
      <c r="HZU165" s="558"/>
      <c r="HZV165" s="558"/>
      <c r="HZW165" s="558"/>
      <c r="HZX165" s="558"/>
      <c r="HZY165" s="558"/>
      <c r="HZZ165" s="558"/>
      <c r="IAA165" s="558"/>
      <c r="IAB165" s="558"/>
      <c r="IAC165" s="558"/>
      <c r="IAD165" s="558"/>
      <c r="IAE165" s="558"/>
      <c r="IAF165" s="558"/>
      <c r="IAG165" s="558"/>
      <c r="IAH165" s="558"/>
      <c r="IAI165" s="558"/>
      <c r="IAJ165" s="558"/>
      <c r="IAK165" s="558"/>
      <c r="IAL165" s="558"/>
      <c r="IAM165" s="558"/>
      <c r="IAN165" s="558"/>
      <c r="IAO165" s="558"/>
      <c r="IAP165" s="558"/>
      <c r="IAQ165" s="558"/>
      <c r="IAR165" s="558"/>
      <c r="IAS165" s="558"/>
      <c r="IAT165" s="558"/>
      <c r="IAU165" s="558"/>
      <c r="IAV165" s="558"/>
      <c r="IAW165" s="558"/>
      <c r="IAX165" s="558"/>
      <c r="IAY165" s="558"/>
      <c r="IAZ165" s="558"/>
      <c r="IBA165" s="558"/>
      <c r="IBB165" s="558"/>
      <c r="IBC165" s="558"/>
      <c r="IBD165" s="558"/>
      <c r="IBE165" s="558"/>
      <c r="IBF165" s="558"/>
      <c r="IBG165" s="558"/>
      <c r="IBH165" s="558"/>
      <c r="IBI165" s="558"/>
      <c r="IBJ165" s="558"/>
      <c r="IBK165" s="558"/>
      <c r="IBL165" s="558"/>
      <c r="IBM165" s="558"/>
      <c r="IBN165" s="558"/>
      <c r="IBO165" s="558"/>
      <c r="IBP165" s="558"/>
      <c r="IBQ165" s="558"/>
      <c r="IBR165" s="558"/>
      <c r="IBS165" s="558"/>
      <c r="IBT165" s="558"/>
      <c r="IBU165" s="558"/>
      <c r="IBV165" s="558"/>
      <c r="IBW165" s="558"/>
      <c r="IBX165" s="558"/>
      <c r="IBY165" s="558"/>
      <c r="IBZ165" s="558"/>
      <c r="ICA165" s="558"/>
      <c r="ICB165" s="558"/>
      <c r="ICC165" s="558"/>
      <c r="ICD165" s="558"/>
      <c r="ICE165" s="558"/>
      <c r="ICF165" s="558"/>
      <c r="ICG165" s="558"/>
      <c r="ICH165" s="558"/>
      <c r="ICI165" s="558"/>
      <c r="ICJ165" s="558"/>
      <c r="ICK165" s="558"/>
      <c r="ICL165" s="558"/>
      <c r="ICM165" s="558"/>
      <c r="ICN165" s="558"/>
      <c r="ICO165" s="558"/>
      <c r="ICP165" s="558"/>
      <c r="ICQ165" s="558"/>
      <c r="ICR165" s="558"/>
      <c r="ICS165" s="558"/>
      <c r="ICT165" s="558"/>
      <c r="ICU165" s="558"/>
      <c r="ICV165" s="558"/>
      <c r="ICW165" s="558"/>
      <c r="ICX165" s="558"/>
      <c r="ICY165" s="558"/>
      <c r="ICZ165" s="558"/>
      <c r="IDA165" s="558"/>
      <c r="IDB165" s="558"/>
      <c r="IDC165" s="558"/>
      <c r="IDD165" s="558"/>
      <c r="IDE165" s="558"/>
      <c r="IDF165" s="558"/>
      <c r="IDG165" s="558"/>
      <c r="IDH165" s="558"/>
      <c r="IDI165" s="558"/>
      <c r="IDJ165" s="558"/>
      <c r="IDK165" s="558"/>
      <c r="IDL165" s="558"/>
      <c r="IDM165" s="558"/>
      <c r="IDN165" s="558"/>
      <c r="IDO165" s="558"/>
      <c r="IDP165" s="558"/>
      <c r="IDQ165" s="558"/>
      <c r="IDR165" s="558"/>
      <c r="IDS165" s="558"/>
      <c r="IDT165" s="558"/>
      <c r="IDU165" s="558"/>
      <c r="IDV165" s="558"/>
      <c r="IDW165" s="558"/>
      <c r="IDX165" s="558"/>
      <c r="IDY165" s="558"/>
      <c r="IDZ165" s="558"/>
      <c r="IEA165" s="558"/>
      <c r="IEB165" s="558"/>
      <c r="IEC165" s="558"/>
      <c r="IED165" s="558"/>
      <c r="IEE165" s="558"/>
      <c r="IEF165" s="558"/>
      <c r="IEG165" s="558"/>
      <c r="IEH165" s="558"/>
      <c r="IEI165" s="558"/>
      <c r="IEJ165" s="558"/>
      <c r="IEK165" s="558"/>
      <c r="IEL165" s="558"/>
      <c r="IEM165" s="558"/>
      <c r="IEN165" s="558"/>
      <c r="IEO165" s="558"/>
      <c r="IEP165" s="558"/>
      <c r="IEQ165" s="558"/>
      <c r="IER165" s="558"/>
      <c r="IES165" s="558"/>
      <c r="IET165" s="558"/>
      <c r="IEU165" s="558"/>
      <c r="IEV165" s="558"/>
      <c r="IEW165" s="558"/>
      <c r="IEX165" s="558"/>
      <c r="IEY165" s="558"/>
      <c r="IEZ165" s="558"/>
      <c r="IFA165" s="558"/>
      <c r="IFB165" s="558"/>
      <c r="IFC165" s="558"/>
      <c r="IFD165" s="558"/>
      <c r="IFE165" s="558"/>
      <c r="IFF165" s="558"/>
      <c r="IFG165" s="558"/>
      <c r="IFH165" s="558"/>
      <c r="IFI165" s="558"/>
      <c r="IFJ165" s="558"/>
      <c r="IFK165" s="558"/>
      <c r="IFL165" s="558"/>
      <c r="IFM165" s="558"/>
      <c r="IFN165" s="558"/>
      <c r="IFO165" s="558"/>
      <c r="IFP165" s="558"/>
      <c r="IFQ165" s="558"/>
      <c r="IFR165" s="558"/>
      <c r="IFS165" s="558"/>
      <c r="IFT165" s="558"/>
      <c r="IFU165" s="558"/>
      <c r="IFV165" s="558"/>
      <c r="IFW165" s="558"/>
      <c r="IFX165" s="558"/>
      <c r="IFY165" s="558"/>
      <c r="IFZ165" s="558"/>
      <c r="IGA165" s="558"/>
      <c r="IGB165" s="558"/>
      <c r="IGC165" s="558"/>
      <c r="IGD165" s="558"/>
      <c r="IGE165" s="558"/>
      <c r="IGF165" s="558"/>
      <c r="IGG165" s="558"/>
      <c r="IGH165" s="558"/>
      <c r="IGI165" s="558"/>
      <c r="IGJ165" s="558"/>
      <c r="IGK165" s="558"/>
      <c r="IGL165" s="558"/>
      <c r="IGM165" s="558"/>
      <c r="IGN165" s="558"/>
      <c r="IGO165" s="558"/>
      <c r="IGP165" s="558"/>
      <c r="IGQ165" s="558"/>
      <c r="IGR165" s="558"/>
      <c r="IGS165" s="558"/>
      <c r="IGT165" s="558"/>
      <c r="IGU165" s="558"/>
      <c r="IGV165" s="558"/>
      <c r="IGW165" s="558"/>
      <c r="IGX165" s="558"/>
      <c r="IGY165" s="558"/>
      <c r="IGZ165" s="558"/>
      <c r="IHA165" s="558"/>
      <c r="IHB165" s="558"/>
      <c r="IHC165" s="558"/>
      <c r="IHD165" s="558"/>
      <c r="IHE165" s="558"/>
      <c r="IHF165" s="558"/>
      <c r="IHG165" s="558"/>
      <c r="IHH165" s="558"/>
      <c r="IHI165" s="558"/>
      <c r="IHJ165" s="558"/>
      <c r="IHK165" s="558"/>
      <c r="IHL165" s="558"/>
      <c r="IHM165" s="558"/>
      <c r="IHN165" s="558"/>
      <c r="IHO165" s="558"/>
      <c r="IHP165" s="558"/>
      <c r="IHQ165" s="558"/>
      <c r="IHR165" s="558"/>
      <c r="IHS165" s="558"/>
      <c r="IHT165" s="558"/>
      <c r="IHU165" s="558"/>
      <c r="IHV165" s="558"/>
      <c r="IHW165" s="558"/>
      <c r="IHX165" s="558"/>
      <c r="IHY165" s="558"/>
      <c r="IHZ165" s="558"/>
      <c r="IIA165" s="558"/>
      <c r="IIB165" s="558"/>
      <c r="IIC165" s="558"/>
      <c r="IID165" s="558"/>
      <c r="IIE165" s="558"/>
      <c r="IIF165" s="558"/>
      <c r="IIG165" s="558"/>
      <c r="IIH165" s="558"/>
      <c r="III165" s="558"/>
      <c r="IIJ165" s="558"/>
      <c r="IIK165" s="558"/>
      <c r="IIL165" s="558"/>
      <c r="IIM165" s="558"/>
      <c r="IIN165" s="558"/>
      <c r="IIO165" s="558"/>
      <c r="IIP165" s="558"/>
      <c r="IIQ165" s="558"/>
      <c r="IIR165" s="558"/>
      <c r="IIS165" s="558"/>
      <c r="IIT165" s="558"/>
      <c r="IIU165" s="558"/>
      <c r="IIV165" s="558"/>
      <c r="IIW165" s="558"/>
      <c r="IIX165" s="558"/>
      <c r="IIY165" s="558"/>
      <c r="IIZ165" s="558"/>
      <c r="IJA165" s="558"/>
      <c r="IJB165" s="558"/>
      <c r="IJC165" s="558"/>
      <c r="IJD165" s="558"/>
      <c r="IJE165" s="558"/>
      <c r="IJF165" s="558"/>
      <c r="IJG165" s="558"/>
      <c r="IJH165" s="558"/>
      <c r="IJI165" s="558"/>
      <c r="IJJ165" s="558"/>
      <c r="IJK165" s="558"/>
      <c r="IJL165" s="558"/>
      <c r="IJM165" s="558"/>
      <c r="IJN165" s="558"/>
      <c r="IJO165" s="558"/>
      <c r="IJP165" s="558"/>
      <c r="IJQ165" s="558"/>
      <c r="IJR165" s="558"/>
      <c r="IJS165" s="558"/>
      <c r="IJT165" s="558"/>
      <c r="IJU165" s="558"/>
      <c r="IJV165" s="558"/>
      <c r="IJW165" s="558"/>
      <c r="IJX165" s="558"/>
      <c r="IJY165" s="558"/>
      <c r="IJZ165" s="558"/>
      <c r="IKA165" s="558"/>
      <c r="IKB165" s="558"/>
      <c r="IKC165" s="558"/>
      <c r="IKD165" s="558"/>
      <c r="IKE165" s="558"/>
      <c r="IKF165" s="558"/>
      <c r="IKG165" s="558"/>
      <c r="IKH165" s="558"/>
      <c r="IKI165" s="558"/>
      <c r="IKJ165" s="558"/>
      <c r="IKK165" s="558"/>
      <c r="IKL165" s="558"/>
      <c r="IKM165" s="558"/>
      <c r="IKN165" s="558"/>
      <c r="IKO165" s="558"/>
      <c r="IKP165" s="558"/>
      <c r="IKQ165" s="558"/>
      <c r="IKR165" s="558"/>
      <c r="IKS165" s="558"/>
      <c r="IKT165" s="558"/>
      <c r="IKU165" s="558"/>
      <c r="IKV165" s="558"/>
      <c r="IKW165" s="558"/>
      <c r="IKX165" s="558"/>
      <c r="IKY165" s="558"/>
      <c r="IKZ165" s="558"/>
      <c r="ILA165" s="558"/>
      <c r="ILB165" s="558"/>
      <c r="ILC165" s="558"/>
      <c r="ILD165" s="558"/>
      <c r="ILE165" s="558"/>
      <c r="ILF165" s="558"/>
      <c r="ILG165" s="558"/>
      <c r="ILH165" s="558"/>
      <c r="ILI165" s="558"/>
      <c r="ILJ165" s="558"/>
      <c r="ILK165" s="558"/>
      <c r="ILL165" s="558"/>
      <c r="ILM165" s="558"/>
      <c r="ILN165" s="558"/>
      <c r="ILO165" s="558"/>
      <c r="ILP165" s="558"/>
      <c r="ILQ165" s="558"/>
      <c r="ILR165" s="558"/>
      <c r="ILS165" s="558"/>
      <c r="ILT165" s="558"/>
      <c r="ILU165" s="558"/>
      <c r="ILV165" s="558"/>
      <c r="ILW165" s="558"/>
      <c r="ILX165" s="558"/>
      <c r="ILY165" s="558"/>
      <c r="ILZ165" s="558"/>
      <c r="IMA165" s="558"/>
      <c r="IMB165" s="558"/>
      <c r="IMC165" s="558"/>
      <c r="IMD165" s="558"/>
      <c r="IME165" s="558"/>
      <c r="IMF165" s="558"/>
      <c r="IMG165" s="558"/>
      <c r="IMH165" s="558"/>
      <c r="IMI165" s="558"/>
      <c r="IMJ165" s="558"/>
      <c r="IMK165" s="558"/>
      <c r="IML165" s="558"/>
      <c r="IMM165" s="558"/>
      <c r="IMN165" s="558"/>
      <c r="IMO165" s="558"/>
      <c r="IMP165" s="558"/>
      <c r="IMQ165" s="558"/>
      <c r="IMR165" s="558"/>
      <c r="IMS165" s="558"/>
      <c r="IMT165" s="558"/>
      <c r="IMU165" s="558"/>
      <c r="IMV165" s="558"/>
      <c r="IMW165" s="558"/>
      <c r="IMX165" s="558"/>
      <c r="IMY165" s="558"/>
      <c r="IMZ165" s="558"/>
      <c r="INA165" s="558"/>
      <c r="INB165" s="558"/>
      <c r="INC165" s="558"/>
      <c r="IND165" s="558"/>
      <c r="INE165" s="558"/>
      <c r="INF165" s="558"/>
      <c r="ING165" s="558"/>
      <c r="INH165" s="558"/>
      <c r="INI165" s="558"/>
      <c r="INJ165" s="558"/>
      <c r="INK165" s="558"/>
      <c r="INL165" s="558"/>
      <c r="INM165" s="558"/>
      <c r="INN165" s="558"/>
      <c r="INO165" s="558"/>
      <c r="INP165" s="558"/>
      <c r="INQ165" s="558"/>
      <c r="INR165" s="558"/>
      <c r="INS165" s="558"/>
      <c r="INT165" s="558"/>
      <c r="INU165" s="558"/>
      <c r="INV165" s="558"/>
      <c r="INW165" s="558"/>
      <c r="INX165" s="558"/>
      <c r="INY165" s="558"/>
      <c r="INZ165" s="558"/>
      <c r="IOA165" s="558"/>
      <c r="IOB165" s="558"/>
      <c r="IOC165" s="558"/>
      <c r="IOD165" s="558"/>
      <c r="IOE165" s="558"/>
      <c r="IOF165" s="558"/>
      <c r="IOG165" s="558"/>
      <c r="IOH165" s="558"/>
      <c r="IOI165" s="558"/>
      <c r="IOJ165" s="558"/>
      <c r="IOK165" s="558"/>
      <c r="IOL165" s="558"/>
      <c r="IOM165" s="558"/>
      <c r="ION165" s="558"/>
      <c r="IOO165" s="558"/>
      <c r="IOP165" s="558"/>
      <c r="IOQ165" s="558"/>
      <c r="IOR165" s="558"/>
      <c r="IOS165" s="558"/>
      <c r="IOT165" s="558"/>
      <c r="IOU165" s="558"/>
      <c r="IOV165" s="558"/>
      <c r="IOW165" s="558"/>
      <c r="IOX165" s="558"/>
      <c r="IOY165" s="558"/>
      <c r="IOZ165" s="558"/>
      <c r="IPA165" s="558"/>
      <c r="IPB165" s="558"/>
      <c r="IPC165" s="558"/>
      <c r="IPD165" s="558"/>
      <c r="IPE165" s="558"/>
      <c r="IPF165" s="558"/>
      <c r="IPG165" s="558"/>
      <c r="IPH165" s="558"/>
      <c r="IPI165" s="558"/>
      <c r="IPJ165" s="558"/>
      <c r="IPK165" s="558"/>
      <c r="IPL165" s="558"/>
      <c r="IPM165" s="558"/>
      <c r="IPN165" s="558"/>
      <c r="IPO165" s="558"/>
      <c r="IPP165" s="558"/>
      <c r="IPQ165" s="558"/>
      <c r="IPR165" s="558"/>
      <c r="IPS165" s="558"/>
      <c r="IPT165" s="558"/>
      <c r="IPU165" s="558"/>
      <c r="IPV165" s="558"/>
      <c r="IPW165" s="558"/>
      <c r="IPX165" s="558"/>
      <c r="IPY165" s="558"/>
      <c r="IPZ165" s="558"/>
      <c r="IQA165" s="558"/>
      <c r="IQB165" s="558"/>
      <c r="IQC165" s="558"/>
      <c r="IQD165" s="558"/>
      <c r="IQE165" s="558"/>
      <c r="IQF165" s="558"/>
      <c r="IQG165" s="558"/>
      <c r="IQH165" s="558"/>
      <c r="IQI165" s="558"/>
      <c r="IQJ165" s="558"/>
      <c r="IQK165" s="558"/>
      <c r="IQL165" s="558"/>
      <c r="IQM165" s="558"/>
      <c r="IQN165" s="558"/>
      <c r="IQO165" s="558"/>
      <c r="IQP165" s="558"/>
      <c r="IQQ165" s="558"/>
      <c r="IQR165" s="558"/>
      <c r="IQS165" s="558"/>
      <c r="IQT165" s="558"/>
      <c r="IQU165" s="558"/>
      <c r="IQV165" s="558"/>
      <c r="IQW165" s="558"/>
      <c r="IQX165" s="558"/>
      <c r="IQY165" s="558"/>
      <c r="IQZ165" s="558"/>
      <c r="IRA165" s="558"/>
      <c r="IRB165" s="558"/>
      <c r="IRC165" s="558"/>
      <c r="IRD165" s="558"/>
      <c r="IRE165" s="558"/>
      <c r="IRF165" s="558"/>
      <c r="IRG165" s="558"/>
      <c r="IRH165" s="558"/>
      <c r="IRI165" s="558"/>
      <c r="IRJ165" s="558"/>
      <c r="IRK165" s="558"/>
      <c r="IRL165" s="558"/>
      <c r="IRM165" s="558"/>
      <c r="IRN165" s="558"/>
      <c r="IRO165" s="558"/>
      <c r="IRP165" s="558"/>
      <c r="IRQ165" s="558"/>
      <c r="IRR165" s="558"/>
      <c r="IRS165" s="558"/>
      <c r="IRT165" s="558"/>
      <c r="IRU165" s="558"/>
      <c r="IRV165" s="558"/>
      <c r="IRW165" s="558"/>
      <c r="IRX165" s="558"/>
      <c r="IRY165" s="558"/>
      <c r="IRZ165" s="558"/>
      <c r="ISA165" s="558"/>
      <c r="ISB165" s="558"/>
      <c r="ISC165" s="558"/>
      <c r="ISD165" s="558"/>
      <c r="ISE165" s="558"/>
      <c r="ISF165" s="558"/>
      <c r="ISG165" s="558"/>
      <c r="ISH165" s="558"/>
      <c r="ISI165" s="558"/>
      <c r="ISJ165" s="558"/>
      <c r="ISK165" s="558"/>
      <c r="ISL165" s="558"/>
      <c r="ISM165" s="558"/>
      <c r="ISN165" s="558"/>
      <c r="ISO165" s="558"/>
      <c r="ISP165" s="558"/>
      <c r="ISQ165" s="558"/>
      <c r="ISR165" s="558"/>
      <c r="ISS165" s="558"/>
      <c r="IST165" s="558"/>
      <c r="ISU165" s="558"/>
      <c r="ISV165" s="558"/>
      <c r="ISW165" s="558"/>
      <c r="ISX165" s="558"/>
      <c r="ISY165" s="558"/>
      <c r="ISZ165" s="558"/>
      <c r="ITA165" s="558"/>
      <c r="ITB165" s="558"/>
      <c r="ITC165" s="558"/>
      <c r="ITD165" s="558"/>
      <c r="ITE165" s="558"/>
      <c r="ITF165" s="558"/>
      <c r="ITG165" s="558"/>
      <c r="ITH165" s="558"/>
      <c r="ITI165" s="558"/>
      <c r="ITJ165" s="558"/>
      <c r="ITK165" s="558"/>
      <c r="ITL165" s="558"/>
      <c r="ITM165" s="558"/>
      <c r="ITN165" s="558"/>
      <c r="ITO165" s="558"/>
      <c r="ITP165" s="558"/>
      <c r="ITQ165" s="558"/>
      <c r="ITR165" s="558"/>
      <c r="ITS165" s="558"/>
      <c r="ITT165" s="558"/>
      <c r="ITU165" s="558"/>
      <c r="ITV165" s="558"/>
      <c r="ITW165" s="558"/>
      <c r="ITX165" s="558"/>
      <c r="ITY165" s="558"/>
      <c r="ITZ165" s="558"/>
      <c r="IUA165" s="558"/>
      <c r="IUB165" s="558"/>
      <c r="IUC165" s="558"/>
      <c r="IUD165" s="558"/>
      <c r="IUE165" s="558"/>
      <c r="IUF165" s="558"/>
      <c r="IUG165" s="558"/>
      <c r="IUH165" s="558"/>
      <c r="IUI165" s="558"/>
      <c r="IUJ165" s="558"/>
      <c r="IUK165" s="558"/>
      <c r="IUL165" s="558"/>
      <c r="IUM165" s="558"/>
      <c r="IUN165" s="558"/>
      <c r="IUO165" s="558"/>
      <c r="IUP165" s="558"/>
      <c r="IUQ165" s="558"/>
      <c r="IUR165" s="558"/>
      <c r="IUS165" s="558"/>
      <c r="IUT165" s="558"/>
      <c r="IUU165" s="558"/>
      <c r="IUV165" s="558"/>
      <c r="IUW165" s="558"/>
      <c r="IUX165" s="558"/>
      <c r="IUY165" s="558"/>
      <c r="IUZ165" s="558"/>
      <c r="IVA165" s="558"/>
      <c r="IVB165" s="558"/>
      <c r="IVC165" s="558"/>
      <c r="IVD165" s="558"/>
      <c r="IVE165" s="558"/>
      <c r="IVF165" s="558"/>
      <c r="IVG165" s="558"/>
      <c r="IVH165" s="558"/>
      <c r="IVI165" s="558"/>
      <c r="IVJ165" s="558"/>
      <c r="IVK165" s="558"/>
      <c r="IVL165" s="558"/>
      <c r="IVM165" s="558"/>
      <c r="IVN165" s="558"/>
      <c r="IVO165" s="558"/>
      <c r="IVP165" s="558"/>
      <c r="IVQ165" s="558"/>
      <c r="IVR165" s="558"/>
      <c r="IVS165" s="558"/>
      <c r="IVT165" s="558"/>
      <c r="IVU165" s="558"/>
      <c r="IVV165" s="558"/>
      <c r="IVW165" s="558"/>
      <c r="IVX165" s="558"/>
      <c r="IVY165" s="558"/>
      <c r="IVZ165" s="558"/>
      <c r="IWA165" s="558"/>
      <c r="IWB165" s="558"/>
      <c r="IWC165" s="558"/>
      <c r="IWD165" s="558"/>
      <c r="IWE165" s="558"/>
      <c r="IWF165" s="558"/>
      <c r="IWG165" s="558"/>
      <c r="IWH165" s="558"/>
      <c r="IWI165" s="558"/>
      <c r="IWJ165" s="558"/>
      <c r="IWK165" s="558"/>
      <c r="IWL165" s="558"/>
      <c r="IWM165" s="558"/>
      <c r="IWN165" s="558"/>
      <c r="IWO165" s="558"/>
      <c r="IWP165" s="558"/>
      <c r="IWQ165" s="558"/>
      <c r="IWR165" s="558"/>
      <c r="IWS165" s="558"/>
      <c r="IWT165" s="558"/>
      <c r="IWU165" s="558"/>
      <c r="IWV165" s="558"/>
      <c r="IWW165" s="558"/>
      <c r="IWX165" s="558"/>
      <c r="IWY165" s="558"/>
      <c r="IWZ165" s="558"/>
      <c r="IXA165" s="558"/>
      <c r="IXB165" s="558"/>
      <c r="IXC165" s="558"/>
      <c r="IXD165" s="558"/>
      <c r="IXE165" s="558"/>
      <c r="IXF165" s="558"/>
      <c r="IXG165" s="558"/>
      <c r="IXH165" s="558"/>
      <c r="IXI165" s="558"/>
      <c r="IXJ165" s="558"/>
      <c r="IXK165" s="558"/>
      <c r="IXL165" s="558"/>
      <c r="IXM165" s="558"/>
      <c r="IXN165" s="558"/>
      <c r="IXO165" s="558"/>
      <c r="IXP165" s="558"/>
      <c r="IXQ165" s="558"/>
      <c r="IXR165" s="558"/>
      <c r="IXS165" s="558"/>
      <c r="IXT165" s="558"/>
      <c r="IXU165" s="558"/>
      <c r="IXV165" s="558"/>
      <c r="IXW165" s="558"/>
      <c r="IXX165" s="558"/>
      <c r="IXY165" s="558"/>
      <c r="IXZ165" s="558"/>
      <c r="IYA165" s="558"/>
      <c r="IYB165" s="558"/>
      <c r="IYC165" s="558"/>
      <c r="IYD165" s="558"/>
      <c r="IYE165" s="558"/>
      <c r="IYF165" s="558"/>
      <c r="IYG165" s="558"/>
      <c r="IYH165" s="558"/>
      <c r="IYI165" s="558"/>
      <c r="IYJ165" s="558"/>
      <c r="IYK165" s="558"/>
      <c r="IYL165" s="558"/>
      <c r="IYM165" s="558"/>
      <c r="IYN165" s="558"/>
      <c r="IYO165" s="558"/>
      <c r="IYP165" s="558"/>
      <c r="IYQ165" s="558"/>
      <c r="IYR165" s="558"/>
      <c r="IYS165" s="558"/>
      <c r="IYT165" s="558"/>
      <c r="IYU165" s="558"/>
      <c r="IYV165" s="558"/>
      <c r="IYW165" s="558"/>
      <c r="IYX165" s="558"/>
      <c r="IYY165" s="558"/>
      <c r="IYZ165" s="558"/>
      <c r="IZA165" s="558"/>
      <c r="IZB165" s="558"/>
      <c r="IZC165" s="558"/>
      <c r="IZD165" s="558"/>
      <c r="IZE165" s="558"/>
      <c r="IZF165" s="558"/>
      <c r="IZG165" s="558"/>
      <c r="IZH165" s="558"/>
      <c r="IZI165" s="558"/>
      <c r="IZJ165" s="558"/>
      <c r="IZK165" s="558"/>
      <c r="IZL165" s="558"/>
      <c r="IZM165" s="558"/>
      <c r="IZN165" s="558"/>
      <c r="IZO165" s="558"/>
      <c r="IZP165" s="558"/>
      <c r="IZQ165" s="558"/>
      <c r="IZR165" s="558"/>
      <c r="IZS165" s="558"/>
      <c r="IZT165" s="558"/>
      <c r="IZU165" s="558"/>
      <c r="IZV165" s="558"/>
      <c r="IZW165" s="558"/>
      <c r="IZX165" s="558"/>
      <c r="IZY165" s="558"/>
      <c r="IZZ165" s="558"/>
      <c r="JAA165" s="558"/>
      <c r="JAB165" s="558"/>
      <c r="JAC165" s="558"/>
      <c r="JAD165" s="558"/>
      <c r="JAE165" s="558"/>
      <c r="JAF165" s="558"/>
      <c r="JAG165" s="558"/>
      <c r="JAH165" s="558"/>
      <c r="JAI165" s="558"/>
      <c r="JAJ165" s="558"/>
      <c r="JAK165" s="558"/>
      <c r="JAL165" s="558"/>
      <c r="JAM165" s="558"/>
      <c r="JAN165" s="558"/>
      <c r="JAO165" s="558"/>
      <c r="JAP165" s="558"/>
      <c r="JAQ165" s="558"/>
      <c r="JAR165" s="558"/>
      <c r="JAS165" s="558"/>
      <c r="JAT165" s="558"/>
      <c r="JAU165" s="558"/>
      <c r="JAV165" s="558"/>
      <c r="JAW165" s="558"/>
      <c r="JAX165" s="558"/>
      <c r="JAY165" s="558"/>
      <c r="JAZ165" s="558"/>
      <c r="JBA165" s="558"/>
      <c r="JBB165" s="558"/>
      <c r="JBC165" s="558"/>
      <c r="JBD165" s="558"/>
      <c r="JBE165" s="558"/>
      <c r="JBF165" s="558"/>
      <c r="JBG165" s="558"/>
      <c r="JBH165" s="558"/>
      <c r="JBI165" s="558"/>
      <c r="JBJ165" s="558"/>
      <c r="JBK165" s="558"/>
      <c r="JBL165" s="558"/>
      <c r="JBM165" s="558"/>
      <c r="JBN165" s="558"/>
      <c r="JBO165" s="558"/>
      <c r="JBP165" s="558"/>
      <c r="JBQ165" s="558"/>
      <c r="JBR165" s="558"/>
      <c r="JBS165" s="558"/>
      <c r="JBT165" s="558"/>
      <c r="JBU165" s="558"/>
      <c r="JBV165" s="558"/>
      <c r="JBW165" s="558"/>
      <c r="JBX165" s="558"/>
      <c r="JBY165" s="558"/>
      <c r="JBZ165" s="558"/>
      <c r="JCA165" s="558"/>
      <c r="JCB165" s="558"/>
      <c r="JCC165" s="558"/>
      <c r="JCD165" s="558"/>
      <c r="JCE165" s="558"/>
      <c r="JCF165" s="558"/>
      <c r="JCG165" s="558"/>
      <c r="JCH165" s="558"/>
      <c r="JCI165" s="558"/>
      <c r="JCJ165" s="558"/>
      <c r="JCK165" s="558"/>
      <c r="JCL165" s="558"/>
      <c r="JCM165" s="558"/>
      <c r="JCN165" s="558"/>
      <c r="JCO165" s="558"/>
      <c r="JCP165" s="558"/>
      <c r="JCQ165" s="558"/>
      <c r="JCR165" s="558"/>
      <c r="JCS165" s="558"/>
      <c r="JCT165" s="558"/>
      <c r="JCU165" s="558"/>
      <c r="JCV165" s="558"/>
      <c r="JCW165" s="558"/>
      <c r="JCX165" s="558"/>
      <c r="JCY165" s="558"/>
      <c r="JCZ165" s="558"/>
      <c r="JDA165" s="558"/>
      <c r="JDB165" s="558"/>
      <c r="JDC165" s="558"/>
      <c r="JDD165" s="558"/>
      <c r="JDE165" s="558"/>
      <c r="JDF165" s="558"/>
      <c r="JDG165" s="558"/>
      <c r="JDH165" s="558"/>
      <c r="JDI165" s="558"/>
      <c r="JDJ165" s="558"/>
      <c r="JDK165" s="558"/>
      <c r="JDL165" s="558"/>
      <c r="JDM165" s="558"/>
      <c r="JDN165" s="558"/>
      <c r="JDO165" s="558"/>
      <c r="JDP165" s="558"/>
      <c r="JDQ165" s="558"/>
      <c r="JDR165" s="558"/>
      <c r="JDS165" s="558"/>
      <c r="JDT165" s="558"/>
      <c r="JDU165" s="558"/>
      <c r="JDV165" s="558"/>
      <c r="JDW165" s="558"/>
      <c r="JDX165" s="558"/>
      <c r="JDY165" s="558"/>
      <c r="JDZ165" s="558"/>
      <c r="JEA165" s="558"/>
      <c r="JEB165" s="558"/>
      <c r="JEC165" s="558"/>
      <c r="JED165" s="558"/>
      <c r="JEE165" s="558"/>
      <c r="JEF165" s="558"/>
      <c r="JEG165" s="558"/>
      <c r="JEH165" s="558"/>
      <c r="JEI165" s="558"/>
      <c r="JEJ165" s="558"/>
      <c r="JEK165" s="558"/>
      <c r="JEL165" s="558"/>
      <c r="JEM165" s="558"/>
      <c r="JEN165" s="558"/>
      <c r="JEO165" s="558"/>
      <c r="JEP165" s="558"/>
      <c r="JEQ165" s="558"/>
      <c r="JER165" s="558"/>
      <c r="JES165" s="558"/>
      <c r="JET165" s="558"/>
      <c r="JEU165" s="558"/>
      <c r="JEV165" s="558"/>
      <c r="JEW165" s="558"/>
      <c r="JEX165" s="558"/>
      <c r="JEY165" s="558"/>
      <c r="JEZ165" s="558"/>
      <c r="JFA165" s="558"/>
      <c r="JFB165" s="558"/>
      <c r="JFC165" s="558"/>
      <c r="JFD165" s="558"/>
      <c r="JFE165" s="558"/>
      <c r="JFF165" s="558"/>
      <c r="JFG165" s="558"/>
      <c r="JFH165" s="558"/>
      <c r="JFI165" s="558"/>
      <c r="JFJ165" s="558"/>
      <c r="JFK165" s="558"/>
      <c r="JFL165" s="558"/>
      <c r="JFM165" s="558"/>
      <c r="JFN165" s="558"/>
      <c r="JFO165" s="558"/>
      <c r="JFP165" s="558"/>
      <c r="JFQ165" s="558"/>
      <c r="JFR165" s="558"/>
      <c r="JFS165" s="558"/>
      <c r="JFT165" s="558"/>
      <c r="JFU165" s="558"/>
      <c r="JFV165" s="558"/>
      <c r="JFW165" s="558"/>
      <c r="JFX165" s="558"/>
      <c r="JFY165" s="558"/>
      <c r="JFZ165" s="558"/>
      <c r="JGA165" s="558"/>
      <c r="JGB165" s="558"/>
      <c r="JGC165" s="558"/>
      <c r="JGD165" s="558"/>
      <c r="JGE165" s="558"/>
      <c r="JGF165" s="558"/>
      <c r="JGG165" s="558"/>
      <c r="JGH165" s="558"/>
      <c r="JGI165" s="558"/>
      <c r="JGJ165" s="558"/>
      <c r="JGK165" s="558"/>
      <c r="JGL165" s="558"/>
      <c r="JGM165" s="558"/>
      <c r="JGN165" s="558"/>
      <c r="JGO165" s="558"/>
      <c r="JGP165" s="558"/>
      <c r="JGQ165" s="558"/>
      <c r="JGR165" s="558"/>
      <c r="JGS165" s="558"/>
      <c r="JGT165" s="558"/>
      <c r="JGU165" s="558"/>
      <c r="JGV165" s="558"/>
      <c r="JGW165" s="558"/>
      <c r="JGX165" s="558"/>
      <c r="JGY165" s="558"/>
      <c r="JGZ165" s="558"/>
      <c r="JHA165" s="558"/>
      <c r="JHB165" s="558"/>
      <c r="JHC165" s="558"/>
      <c r="JHD165" s="558"/>
      <c r="JHE165" s="558"/>
      <c r="JHF165" s="558"/>
      <c r="JHG165" s="558"/>
      <c r="JHH165" s="558"/>
      <c r="JHI165" s="558"/>
      <c r="JHJ165" s="558"/>
      <c r="JHK165" s="558"/>
      <c r="JHL165" s="558"/>
      <c r="JHM165" s="558"/>
      <c r="JHN165" s="558"/>
      <c r="JHO165" s="558"/>
      <c r="JHP165" s="558"/>
      <c r="JHQ165" s="558"/>
      <c r="JHR165" s="558"/>
      <c r="JHS165" s="558"/>
      <c r="JHT165" s="558"/>
      <c r="JHU165" s="558"/>
      <c r="JHV165" s="558"/>
      <c r="JHW165" s="558"/>
      <c r="JHX165" s="558"/>
      <c r="JHY165" s="558"/>
      <c r="JHZ165" s="558"/>
      <c r="JIA165" s="558"/>
      <c r="JIB165" s="558"/>
      <c r="JIC165" s="558"/>
      <c r="JID165" s="558"/>
      <c r="JIE165" s="558"/>
      <c r="JIF165" s="558"/>
      <c r="JIG165" s="558"/>
      <c r="JIH165" s="558"/>
      <c r="JII165" s="558"/>
      <c r="JIJ165" s="558"/>
      <c r="JIK165" s="558"/>
      <c r="JIL165" s="558"/>
      <c r="JIM165" s="558"/>
      <c r="JIN165" s="558"/>
      <c r="JIO165" s="558"/>
      <c r="JIP165" s="558"/>
      <c r="JIQ165" s="558"/>
      <c r="JIR165" s="558"/>
      <c r="JIS165" s="558"/>
      <c r="JIT165" s="558"/>
      <c r="JIU165" s="558"/>
      <c r="JIV165" s="558"/>
      <c r="JIW165" s="558"/>
      <c r="JIX165" s="558"/>
      <c r="JIY165" s="558"/>
      <c r="JIZ165" s="558"/>
      <c r="JJA165" s="558"/>
      <c r="JJB165" s="558"/>
      <c r="JJC165" s="558"/>
      <c r="JJD165" s="558"/>
      <c r="JJE165" s="558"/>
      <c r="JJF165" s="558"/>
      <c r="JJG165" s="558"/>
      <c r="JJH165" s="558"/>
      <c r="JJI165" s="558"/>
      <c r="JJJ165" s="558"/>
      <c r="JJK165" s="558"/>
      <c r="JJL165" s="558"/>
      <c r="JJM165" s="558"/>
      <c r="JJN165" s="558"/>
      <c r="JJO165" s="558"/>
      <c r="JJP165" s="558"/>
      <c r="JJQ165" s="558"/>
      <c r="JJR165" s="558"/>
      <c r="JJS165" s="558"/>
      <c r="JJT165" s="558"/>
      <c r="JJU165" s="558"/>
      <c r="JJV165" s="558"/>
      <c r="JJW165" s="558"/>
      <c r="JJX165" s="558"/>
      <c r="JJY165" s="558"/>
      <c r="JJZ165" s="558"/>
      <c r="JKA165" s="558"/>
      <c r="JKB165" s="558"/>
      <c r="JKC165" s="558"/>
      <c r="JKD165" s="558"/>
      <c r="JKE165" s="558"/>
      <c r="JKF165" s="558"/>
      <c r="JKG165" s="558"/>
      <c r="JKH165" s="558"/>
      <c r="JKI165" s="558"/>
      <c r="JKJ165" s="558"/>
      <c r="JKK165" s="558"/>
      <c r="JKL165" s="558"/>
      <c r="JKM165" s="558"/>
      <c r="JKN165" s="558"/>
      <c r="JKO165" s="558"/>
      <c r="JKP165" s="558"/>
      <c r="JKQ165" s="558"/>
      <c r="JKR165" s="558"/>
      <c r="JKS165" s="558"/>
      <c r="JKT165" s="558"/>
      <c r="JKU165" s="558"/>
      <c r="JKV165" s="558"/>
      <c r="JKW165" s="558"/>
      <c r="JKX165" s="558"/>
      <c r="JKY165" s="558"/>
      <c r="JKZ165" s="558"/>
      <c r="JLA165" s="558"/>
      <c r="JLB165" s="558"/>
      <c r="JLC165" s="558"/>
      <c r="JLD165" s="558"/>
      <c r="JLE165" s="558"/>
      <c r="JLF165" s="558"/>
      <c r="JLG165" s="558"/>
      <c r="JLH165" s="558"/>
      <c r="JLI165" s="558"/>
      <c r="JLJ165" s="558"/>
      <c r="JLK165" s="558"/>
      <c r="JLL165" s="558"/>
      <c r="JLM165" s="558"/>
      <c r="JLN165" s="558"/>
      <c r="JLO165" s="558"/>
      <c r="JLP165" s="558"/>
      <c r="JLQ165" s="558"/>
      <c r="JLR165" s="558"/>
      <c r="JLS165" s="558"/>
      <c r="JLT165" s="558"/>
      <c r="JLU165" s="558"/>
      <c r="JLV165" s="558"/>
      <c r="JLW165" s="558"/>
      <c r="JLX165" s="558"/>
      <c r="JLY165" s="558"/>
      <c r="JLZ165" s="558"/>
      <c r="JMA165" s="558"/>
      <c r="JMB165" s="558"/>
      <c r="JMC165" s="558"/>
      <c r="JMD165" s="558"/>
      <c r="JME165" s="558"/>
      <c r="JMF165" s="558"/>
      <c r="JMG165" s="558"/>
      <c r="JMH165" s="558"/>
      <c r="JMI165" s="558"/>
      <c r="JMJ165" s="558"/>
      <c r="JMK165" s="558"/>
      <c r="JML165" s="558"/>
      <c r="JMM165" s="558"/>
      <c r="JMN165" s="558"/>
      <c r="JMO165" s="558"/>
      <c r="JMP165" s="558"/>
      <c r="JMQ165" s="558"/>
      <c r="JMR165" s="558"/>
      <c r="JMS165" s="558"/>
      <c r="JMT165" s="558"/>
      <c r="JMU165" s="558"/>
      <c r="JMV165" s="558"/>
      <c r="JMW165" s="558"/>
      <c r="JMX165" s="558"/>
      <c r="JMY165" s="558"/>
      <c r="JMZ165" s="558"/>
      <c r="JNA165" s="558"/>
      <c r="JNB165" s="558"/>
      <c r="JNC165" s="558"/>
      <c r="JND165" s="558"/>
      <c r="JNE165" s="558"/>
      <c r="JNF165" s="558"/>
      <c r="JNG165" s="558"/>
      <c r="JNH165" s="558"/>
      <c r="JNI165" s="558"/>
      <c r="JNJ165" s="558"/>
      <c r="JNK165" s="558"/>
      <c r="JNL165" s="558"/>
      <c r="JNM165" s="558"/>
      <c r="JNN165" s="558"/>
      <c r="JNO165" s="558"/>
      <c r="JNP165" s="558"/>
      <c r="JNQ165" s="558"/>
      <c r="JNR165" s="558"/>
      <c r="JNS165" s="558"/>
      <c r="JNT165" s="558"/>
      <c r="JNU165" s="558"/>
      <c r="JNV165" s="558"/>
      <c r="JNW165" s="558"/>
      <c r="JNX165" s="558"/>
      <c r="JNY165" s="558"/>
      <c r="JNZ165" s="558"/>
      <c r="JOA165" s="558"/>
      <c r="JOB165" s="558"/>
      <c r="JOC165" s="558"/>
      <c r="JOD165" s="558"/>
      <c r="JOE165" s="558"/>
      <c r="JOF165" s="558"/>
      <c r="JOG165" s="558"/>
      <c r="JOH165" s="558"/>
      <c r="JOI165" s="558"/>
      <c r="JOJ165" s="558"/>
      <c r="JOK165" s="558"/>
      <c r="JOL165" s="558"/>
      <c r="JOM165" s="558"/>
      <c r="JON165" s="558"/>
      <c r="JOO165" s="558"/>
      <c r="JOP165" s="558"/>
      <c r="JOQ165" s="558"/>
      <c r="JOR165" s="558"/>
      <c r="JOS165" s="558"/>
      <c r="JOT165" s="558"/>
      <c r="JOU165" s="558"/>
      <c r="JOV165" s="558"/>
      <c r="JOW165" s="558"/>
      <c r="JOX165" s="558"/>
      <c r="JOY165" s="558"/>
      <c r="JOZ165" s="558"/>
      <c r="JPA165" s="558"/>
      <c r="JPB165" s="558"/>
      <c r="JPC165" s="558"/>
      <c r="JPD165" s="558"/>
      <c r="JPE165" s="558"/>
      <c r="JPF165" s="558"/>
      <c r="JPG165" s="558"/>
      <c r="JPH165" s="558"/>
      <c r="JPI165" s="558"/>
      <c r="JPJ165" s="558"/>
      <c r="JPK165" s="558"/>
      <c r="JPL165" s="558"/>
      <c r="JPM165" s="558"/>
      <c r="JPN165" s="558"/>
      <c r="JPO165" s="558"/>
      <c r="JPP165" s="558"/>
      <c r="JPQ165" s="558"/>
      <c r="JPR165" s="558"/>
      <c r="JPS165" s="558"/>
      <c r="JPT165" s="558"/>
      <c r="JPU165" s="558"/>
      <c r="JPV165" s="558"/>
      <c r="JPW165" s="558"/>
      <c r="JPX165" s="558"/>
      <c r="JPY165" s="558"/>
      <c r="JPZ165" s="558"/>
      <c r="JQA165" s="558"/>
      <c r="JQB165" s="558"/>
      <c r="JQC165" s="558"/>
      <c r="JQD165" s="558"/>
      <c r="JQE165" s="558"/>
      <c r="JQF165" s="558"/>
      <c r="JQG165" s="558"/>
      <c r="JQH165" s="558"/>
      <c r="JQI165" s="558"/>
      <c r="JQJ165" s="558"/>
      <c r="JQK165" s="558"/>
      <c r="JQL165" s="558"/>
      <c r="JQM165" s="558"/>
      <c r="JQN165" s="558"/>
      <c r="JQO165" s="558"/>
      <c r="JQP165" s="558"/>
      <c r="JQQ165" s="558"/>
      <c r="JQR165" s="558"/>
      <c r="JQS165" s="558"/>
      <c r="JQT165" s="558"/>
      <c r="JQU165" s="558"/>
      <c r="JQV165" s="558"/>
      <c r="JQW165" s="558"/>
      <c r="JQX165" s="558"/>
      <c r="JQY165" s="558"/>
      <c r="JQZ165" s="558"/>
      <c r="JRA165" s="558"/>
      <c r="JRB165" s="558"/>
      <c r="JRC165" s="558"/>
      <c r="JRD165" s="558"/>
      <c r="JRE165" s="558"/>
      <c r="JRF165" s="558"/>
      <c r="JRG165" s="558"/>
      <c r="JRH165" s="558"/>
      <c r="JRI165" s="558"/>
      <c r="JRJ165" s="558"/>
      <c r="JRK165" s="558"/>
      <c r="JRL165" s="558"/>
      <c r="JRM165" s="558"/>
      <c r="JRN165" s="558"/>
      <c r="JRO165" s="558"/>
      <c r="JRP165" s="558"/>
      <c r="JRQ165" s="558"/>
      <c r="JRR165" s="558"/>
      <c r="JRS165" s="558"/>
      <c r="JRT165" s="558"/>
      <c r="JRU165" s="558"/>
      <c r="JRV165" s="558"/>
      <c r="JRW165" s="558"/>
      <c r="JRX165" s="558"/>
      <c r="JRY165" s="558"/>
      <c r="JRZ165" s="558"/>
      <c r="JSA165" s="558"/>
      <c r="JSB165" s="558"/>
      <c r="JSC165" s="558"/>
      <c r="JSD165" s="558"/>
      <c r="JSE165" s="558"/>
      <c r="JSF165" s="558"/>
      <c r="JSG165" s="558"/>
      <c r="JSH165" s="558"/>
      <c r="JSI165" s="558"/>
      <c r="JSJ165" s="558"/>
      <c r="JSK165" s="558"/>
      <c r="JSL165" s="558"/>
      <c r="JSM165" s="558"/>
      <c r="JSN165" s="558"/>
      <c r="JSO165" s="558"/>
      <c r="JSP165" s="558"/>
      <c r="JSQ165" s="558"/>
      <c r="JSR165" s="558"/>
      <c r="JSS165" s="558"/>
      <c r="JST165" s="558"/>
      <c r="JSU165" s="558"/>
      <c r="JSV165" s="558"/>
      <c r="JSW165" s="558"/>
      <c r="JSX165" s="558"/>
      <c r="JSY165" s="558"/>
      <c r="JSZ165" s="558"/>
      <c r="JTA165" s="558"/>
      <c r="JTB165" s="558"/>
      <c r="JTC165" s="558"/>
      <c r="JTD165" s="558"/>
      <c r="JTE165" s="558"/>
      <c r="JTF165" s="558"/>
      <c r="JTG165" s="558"/>
      <c r="JTH165" s="558"/>
      <c r="JTI165" s="558"/>
      <c r="JTJ165" s="558"/>
      <c r="JTK165" s="558"/>
      <c r="JTL165" s="558"/>
      <c r="JTM165" s="558"/>
      <c r="JTN165" s="558"/>
      <c r="JTO165" s="558"/>
      <c r="JTP165" s="558"/>
      <c r="JTQ165" s="558"/>
      <c r="JTR165" s="558"/>
      <c r="JTS165" s="558"/>
      <c r="JTT165" s="558"/>
      <c r="JTU165" s="558"/>
      <c r="JTV165" s="558"/>
      <c r="JTW165" s="558"/>
      <c r="JTX165" s="558"/>
      <c r="JTY165" s="558"/>
      <c r="JTZ165" s="558"/>
      <c r="JUA165" s="558"/>
      <c r="JUB165" s="558"/>
      <c r="JUC165" s="558"/>
      <c r="JUD165" s="558"/>
      <c r="JUE165" s="558"/>
      <c r="JUF165" s="558"/>
      <c r="JUG165" s="558"/>
      <c r="JUH165" s="558"/>
      <c r="JUI165" s="558"/>
      <c r="JUJ165" s="558"/>
      <c r="JUK165" s="558"/>
      <c r="JUL165" s="558"/>
      <c r="JUM165" s="558"/>
      <c r="JUN165" s="558"/>
      <c r="JUO165" s="558"/>
      <c r="JUP165" s="558"/>
      <c r="JUQ165" s="558"/>
      <c r="JUR165" s="558"/>
      <c r="JUS165" s="558"/>
      <c r="JUT165" s="558"/>
      <c r="JUU165" s="558"/>
      <c r="JUV165" s="558"/>
      <c r="JUW165" s="558"/>
      <c r="JUX165" s="558"/>
      <c r="JUY165" s="558"/>
      <c r="JUZ165" s="558"/>
      <c r="JVA165" s="558"/>
      <c r="JVB165" s="558"/>
      <c r="JVC165" s="558"/>
      <c r="JVD165" s="558"/>
      <c r="JVE165" s="558"/>
      <c r="JVF165" s="558"/>
      <c r="JVG165" s="558"/>
      <c r="JVH165" s="558"/>
      <c r="JVI165" s="558"/>
      <c r="JVJ165" s="558"/>
      <c r="JVK165" s="558"/>
      <c r="JVL165" s="558"/>
      <c r="JVM165" s="558"/>
      <c r="JVN165" s="558"/>
      <c r="JVO165" s="558"/>
      <c r="JVP165" s="558"/>
      <c r="JVQ165" s="558"/>
      <c r="JVR165" s="558"/>
      <c r="JVS165" s="558"/>
      <c r="JVT165" s="558"/>
      <c r="JVU165" s="558"/>
      <c r="JVV165" s="558"/>
      <c r="JVW165" s="558"/>
      <c r="JVX165" s="558"/>
      <c r="JVY165" s="558"/>
      <c r="JVZ165" s="558"/>
      <c r="JWA165" s="558"/>
      <c r="JWB165" s="558"/>
      <c r="JWC165" s="558"/>
      <c r="JWD165" s="558"/>
      <c r="JWE165" s="558"/>
      <c r="JWF165" s="558"/>
      <c r="JWG165" s="558"/>
      <c r="JWH165" s="558"/>
      <c r="JWI165" s="558"/>
      <c r="JWJ165" s="558"/>
      <c r="JWK165" s="558"/>
      <c r="JWL165" s="558"/>
      <c r="JWM165" s="558"/>
      <c r="JWN165" s="558"/>
      <c r="JWO165" s="558"/>
      <c r="JWP165" s="558"/>
      <c r="JWQ165" s="558"/>
      <c r="JWR165" s="558"/>
      <c r="JWS165" s="558"/>
      <c r="JWT165" s="558"/>
      <c r="JWU165" s="558"/>
      <c r="JWV165" s="558"/>
      <c r="JWW165" s="558"/>
      <c r="JWX165" s="558"/>
      <c r="JWY165" s="558"/>
      <c r="JWZ165" s="558"/>
      <c r="JXA165" s="558"/>
      <c r="JXB165" s="558"/>
      <c r="JXC165" s="558"/>
      <c r="JXD165" s="558"/>
      <c r="JXE165" s="558"/>
      <c r="JXF165" s="558"/>
      <c r="JXG165" s="558"/>
      <c r="JXH165" s="558"/>
      <c r="JXI165" s="558"/>
      <c r="JXJ165" s="558"/>
      <c r="JXK165" s="558"/>
      <c r="JXL165" s="558"/>
      <c r="JXM165" s="558"/>
      <c r="JXN165" s="558"/>
      <c r="JXO165" s="558"/>
      <c r="JXP165" s="558"/>
      <c r="JXQ165" s="558"/>
      <c r="JXR165" s="558"/>
      <c r="JXS165" s="558"/>
      <c r="JXT165" s="558"/>
      <c r="JXU165" s="558"/>
      <c r="JXV165" s="558"/>
      <c r="JXW165" s="558"/>
      <c r="JXX165" s="558"/>
      <c r="JXY165" s="558"/>
      <c r="JXZ165" s="558"/>
      <c r="JYA165" s="558"/>
      <c r="JYB165" s="558"/>
      <c r="JYC165" s="558"/>
      <c r="JYD165" s="558"/>
      <c r="JYE165" s="558"/>
      <c r="JYF165" s="558"/>
      <c r="JYG165" s="558"/>
      <c r="JYH165" s="558"/>
      <c r="JYI165" s="558"/>
      <c r="JYJ165" s="558"/>
      <c r="JYK165" s="558"/>
      <c r="JYL165" s="558"/>
      <c r="JYM165" s="558"/>
      <c r="JYN165" s="558"/>
      <c r="JYO165" s="558"/>
      <c r="JYP165" s="558"/>
      <c r="JYQ165" s="558"/>
      <c r="JYR165" s="558"/>
      <c r="JYS165" s="558"/>
      <c r="JYT165" s="558"/>
      <c r="JYU165" s="558"/>
      <c r="JYV165" s="558"/>
      <c r="JYW165" s="558"/>
      <c r="JYX165" s="558"/>
      <c r="JYY165" s="558"/>
      <c r="JYZ165" s="558"/>
      <c r="JZA165" s="558"/>
      <c r="JZB165" s="558"/>
      <c r="JZC165" s="558"/>
      <c r="JZD165" s="558"/>
      <c r="JZE165" s="558"/>
      <c r="JZF165" s="558"/>
      <c r="JZG165" s="558"/>
      <c r="JZH165" s="558"/>
      <c r="JZI165" s="558"/>
      <c r="JZJ165" s="558"/>
      <c r="JZK165" s="558"/>
      <c r="JZL165" s="558"/>
      <c r="JZM165" s="558"/>
      <c r="JZN165" s="558"/>
      <c r="JZO165" s="558"/>
      <c r="JZP165" s="558"/>
      <c r="JZQ165" s="558"/>
      <c r="JZR165" s="558"/>
      <c r="JZS165" s="558"/>
      <c r="JZT165" s="558"/>
      <c r="JZU165" s="558"/>
      <c r="JZV165" s="558"/>
      <c r="JZW165" s="558"/>
      <c r="JZX165" s="558"/>
      <c r="JZY165" s="558"/>
      <c r="JZZ165" s="558"/>
      <c r="KAA165" s="558"/>
      <c r="KAB165" s="558"/>
      <c r="KAC165" s="558"/>
      <c r="KAD165" s="558"/>
      <c r="KAE165" s="558"/>
      <c r="KAF165" s="558"/>
      <c r="KAG165" s="558"/>
      <c r="KAH165" s="558"/>
      <c r="KAI165" s="558"/>
      <c r="KAJ165" s="558"/>
      <c r="KAK165" s="558"/>
      <c r="KAL165" s="558"/>
      <c r="KAM165" s="558"/>
      <c r="KAN165" s="558"/>
      <c r="KAO165" s="558"/>
      <c r="KAP165" s="558"/>
      <c r="KAQ165" s="558"/>
      <c r="KAR165" s="558"/>
      <c r="KAS165" s="558"/>
      <c r="KAT165" s="558"/>
      <c r="KAU165" s="558"/>
      <c r="KAV165" s="558"/>
      <c r="KAW165" s="558"/>
      <c r="KAX165" s="558"/>
      <c r="KAY165" s="558"/>
      <c r="KAZ165" s="558"/>
      <c r="KBA165" s="558"/>
      <c r="KBB165" s="558"/>
      <c r="KBC165" s="558"/>
      <c r="KBD165" s="558"/>
      <c r="KBE165" s="558"/>
      <c r="KBF165" s="558"/>
      <c r="KBG165" s="558"/>
      <c r="KBH165" s="558"/>
      <c r="KBI165" s="558"/>
      <c r="KBJ165" s="558"/>
      <c r="KBK165" s="558"/>
      <c r="KBL165" s="558"/>
      <c r="KBM165" s="558"/>
      <c r="KBN165" s="558"/>
      <c r="KBO165" s="558"/>
      <c r="KBP165" s="558"/>
      <c r="KBQ165" s="558"/>
      <c r="KBR165" s="558"/>
      <c r="KBS165" s="558"/>
      <c r="KBT165" s="558"/>
      <c r="KBU165" s="558"/>
      <c r="KBV165" s="558"/>
      <c r="KBW165" s="558"/>
      <c r="KBX165" s="558"/>
      <c r="KBY165" s="558"/>
      <c r="KBZ165" s="558"/>
      <c r="KCA165" s="558"/>
      <c r="KCB165" s="558"/>
      <c r="KCC165" s="558"/>
      <c r="KCD165" s="558"/>
      <c r="KCE165" s="558"/>
      <c r="KCF165" s="558"/>
      <c r="KCG165" s="558"/>
      <c r="KCH165" s="558"/>
      <c r="KCI165" s="558"/>
      <c r="KCJ165" s="558"/>
      <c r="KCK165" s="558"/>
      <c r="KCL165" s="558"/>
      <c r="KCM165" s="558"/>
      <c r="KCN165" s="558"/>
      <c r="KCO165" s="558"/>
      <c r="KCP165" s="558"/>
      <c r="KCQ165" s="558"/>
      <c r="KCR165" s="558"/>
      <c r="KCS165" s="558"/>
      <c r="KCT165" s="558"/>
      <c r="KCU165" s="558"/>
      <c r="KCV165" s="558"/>
      <c r="KCW165" s="558"/>
      <c r="KCX165" s="558"/>
      <c r="KCY165" s="558"/>
      <c r="KCZ165" s="558"/>
      <c r="KDA165" s="558"/>
      <c r="KDB165" s="558"/>
      <c r="KDC165" s="558"/>
      <c r="KDD165" s="558"/>
      <c r="KDE165" s="558"/>
      <c r="KDF165" s="558"/>
      <c r="KDG165" s="558"/>
      <c r="KDH165" s="558"/>
      <c r="KDI165" s="558"/>
      <c r="KDJ165" s="558"/>
      <c r="KDK165" s="558"/>
      <c r="KDL165" s="558"/>
      <c r="KDM165" s="558"/>
      <c r="KDN165" s="558"/>
      <c r="KDO165" s="558"/>
      <c r="KDP165" s="558"/>
      <c r="KDQ165" s="558"/>
      <c r="KDR165" s="558"/>
      <c r="KDS165" s="558"/>
      <c r="KDT165" s="558"/>
      <c r="KDU165" s="558"/>
      <c r="KDV165" s="558"/>
      <c r="KDW165" s="558"/>
      <c r="KDX165" s="558"/>
      <c r="KDY165" s="558"/>
      <c r="KDZ165" s="558"/>
      <c r="KEA165" s="558"/>
      <c r="KEB165" s="558"/>
      <c r="KEC165" s="558"/>
      <c r="KED165" s="558"/>
      <c r="KEE165" s="558"/>
      <c r="KEF165" s="558"/>
      <c r="KEG165" s="558"/>
      <c r="KEH165" s="558"/>
      <c r="KEI165" s="558"/>
      <c r="KEJ165" s="558"/>
      <c r="KEK165" s="558"/>
      <c r="KEL165" s="558"/>
      <c r="KEM165" s="558"/>
      <c r="KEN165" s="558"/>
      <c r="KEO165" s="558"/>
      <c r="KEP165" s="558"/>
      <c r="KEQ165" s="558"/>
      <c r="KER165" s="558"/>
      <c r="KES165" s="558"/>
      <c r="KET165" s="558"/>
      <c r="KEU165" s="558"/>
      <c r="KEV165" s="558"/>
      <c r="KEW165" s="558"/>
      <c r="KEX165" s="558"/>
      <c r="KEY165" s="558"/>
      <c r="KEZ165" s="558"/>
      <c r="KFA165" s="558"/>
      <c r="KFB165" s="558"/>
      <c r="KFC165" s="558"/>
      <c r="KFD165" s="558"/>
      <c r="KFE165" s="558"/>
      <c r="KFF165" s="558"/>
      <c r="KFG165" s="558"/>
      <c r="KFH165" s="558"/>
      <c r="KFI165" s="558"/>
      <c r="KFJ165" s="558"/>
      <c r="KFK165" s="558"/>
      <c r="KFL165" s="558"/>
      <c r="KFM165" s="558"/>
      <c r="KFN165" s="558"/>
      <c r="KFO165" s="558"/>
      <c r="KFP165" s="558"/>
      <c r="KFQ165" s="558"/>
      <c r="KFR165" s="558"/>
      <c r="KFS165" s="558"/>
      <c r="KFT165" s="558"/>
      <c r="KFU165" s="558"/>
      <c r="KFV165" s="558"/>
      <c r="KFW165" s="558"/>
      <c r="KFX165" s="558"/>
      <c r="KFY165" s="558"/>
      <c r="KFZ165" s="558"/>
      <c r="KGA165" s="558"/>
      <c r="KGB165" s="558"/>
      <c r="KGC165" s="558"/>
      <c r="KGD165" s="558"/>
      <c r="KGE165" s="558"/>
      <c r="KGF165" s="558"/>
      <c r="KGG165" s="558"/>
      <c r="KGH165" s="558"/>
      <c r="KGI165" s="558"/>
      <c r="KGJ165" s="558"/>
      <c r="KGK165" s="558"/>
      <c r="KGL165" s="558"/>
      <c r="KGM165" s="558"/>
      <c r="KGN165" s="558"/>
      <c r="KGO165" s="558"/>
      <c r="KGP165" s="558"/>
      <c r="KGQ165" s="558"/>
      <c r="KGR165" s="558"/>
      <c r="KGS165" s="558"/>
      <c r="KGT165" s="558"/>
      <c r="KGU165" s="558"/>
      <c r="KGV165" s="558"/>
      <c r="KGW165" s="558"/>
      <c r="KGX165" s="558"/>
      <c r="KGY165" s="558"/>
      <c r="KGZ165" s="558"/>
      <c r="KHA165" s="558"/>
      <c r="KHB165" s="558"/>
      <c r="KHC165" s="558"/>
      <c r="KHD165" s="558"/>
      <c r="KHE165" s="558"/>
      <c r="KHF165" s="558"/>
      <c r="KHG165" s="558"/>
      <c r="KHH165" s="558"/>
      <c r="KHI165" s="558"/>
      <c r="KHJ165" s="558"/>
      <c r="KHK165" s="558"/>
      <c r="KHL165" s="558"/>
      <c r="KHM165" s="558"/>
      <c r="KHN165" s="558"/>
      <c r="KHO165" s="558"/>
      <c r="KHP165" s="558"/>
      <c r="KHQ165" s="558"/>
      <c r="KHR165" s="558"/>
      <c r="KHS165" s="558"/>
      <c r="KHT165" s="558"/>
      <c r="KHU165" s="558"/>
      <c r="KHV165" s="558"/>
      <c r="KHW165" s="558"/>
      <c r="KHX165" s="558"/>
      <c r="KHY165" s="558"/>
      <c r="KHZ165" s="558"/>
      <c r="KIA165" s="558"/>
      <c r="KIB165" s="558"/>
      <c r="KIC165" s="558"/>
      <c r="KID165" s="558"/>
      <c r="KIE165" s="558"/>
      <c r="KIF165" s="558"/>
      <c r="KIG165" s="558"/>
      <c r="KIH165" s="558"/>
      <c r="KII165" s="558"/>
      <c r="KIJ165" s="558"/>
      <c r="KIK165" s="558"/>
      <c r="KIL165" s="558"/>
      <c r="KIM165" s="558"/>
      <c r="KIN165" s="558"/>
      <c r="KIO165" s="558"/>
      <c r="KIP165" s="558"/>
      <c r="KIQ165" s="558"/>
      <c r="KIR165" s="558"/>
      <c r="KIS165" s="558"/>
      <c r="KIT165" s="558"/>
      <c r="KIU165" s="558"/>
      <c r="KIV165" s="558"/>
      <c r="KIW165" s="558"/>
      <c r="KIX165" s="558"/>
      <c r="KIY165" s="558"/>
      <c r="KIZ165" s="558"/>
      <c r="KJA165" s="558"/>
      <c r="KJB165" s="558"/>
      <c r="KJC165" s="558"/>
      <c r="KJD165" s="558"/>
      <c r="KJE165" s="558"/>
      <c r="KJF165" s="558"/>
      <c r="KJG165" s="558"/>
      <c r="KJH165" s="558"/>
      <c r="KJI165" s="558"/>
      <c r="KJJ165" s="558"/>
      <c r="KJK165" s="558"/>
      <c r="KJL165" s="558"/>
      <c r="KJM165" s="558"/>
      <c r="KJN165" s="558"/>
      <c r="KJO165" s="558"/>
      <c r="KJP165" s="558"/>
      <c r="KJQ165" s="558"/>
      <c r="KJR165" s="558"/>
      <c r="KJS165" s="558"/>
      <c r="KJT165" s="558"/>
      <c r="KJU165" s="558"/>
      <c r="KJV165" s="558"/>
      <c r="KJW165" s="558"/>
      <c r="KJX165" s="558"/>
      <c r="KJY165" s="558"/>
      <c r="KJZ165" s="558"/>
      <c r="KKA165" s="558"/>
      <c r="KKB165" s="558"/>
      <c r="KKC165" s="558"/>
      <c r="KKD165" s="558"/>
      <c r="KKE165" s="558"/>
      <c r="KKF165" s="558"/>
      <c r="KKG165" s="558"/>
      <c r="KKH165" s="558"/>
      <c r="KKI165" s="558"/>
      <c r="KKJ165" s="558"/>
      <c r="KKK165" s="558"/>
      <c r="KKL165" s="558"/>
      <c r="KKM165" s="558"/>
      <c r="KKN165" s="558"/>
      <c r="KKO165" s="558"/>
      <c r="KKP165" s="558"/>
      <c r="KKQ165" s="558"/>
      <c r="KKR165" s="558"/>
      <c r="KKS165" s="558"/>
      <c r="KKT165" s="558"/>
      <c r="KKU165" s="558"/>
      <c r="KKV165" s="558"/>
      <c r="KKW165" s="558"/>
      <c r="KKX165" s="558"/>
      <c r="KKY165" s="558"/>
      <c r="KKZ165" s="558"/>
      <c r="KLA165" s="558"/>
      <c r="KLB165" s="558"/>
      <c r="KLC165" s="558"/>
      <c r="KLD165" s="558"/>
      <c r="KLE165" s="558"/>
      <c r="KLF165" s="558"/>
      <c r="KLG165" s="558"/>
      <c r="KLH165" s="558"/>
      <c r="KLI165" s="558"/>
      <c r="KLJ165" s="558"/>
      <c r="KLK165" s="558"/>
      <c r="KLL165" s="558"/>
      <c r="KLM165" s="558"/>
      <c r="KLN165" s="558"/>
      <c r="KLO165" s="558"/>
      <c r="KLP165" s="558"/>
      <c r="KLQ165" s="558"/>
      <c r="KLR165" s="558"/>
      <c r="KLS165" s="558"/>
      <c r="KLT165" s="558"/>
      <c r="KLU165" s="558"/>
      <c r="KLV165" s="558"/>
      <c r="KLW165" s="558"/>
      <c r="KLX165" s="558"/>
      <c r="KLY165" s="558"/>
      <c r="KLZ165" s="558"/>
      <c r="KMA165" s="558"/>
      <c r="KMB165" s="558"/>
      <c r="KMC165" s="558"/>
      <c r="KMD165" s="558"/>
      <c r="KME165" s="558"/>
      <c r="KMF165" s="558"/>
      <c r="KMG165" s="558"/>
      <c r="KMH165" s="558"/>
      <c r="KMI165" s="558"/>
      <c r="KMJ165" s="558"/>
      <c r="KMK165" s="558"/>
      <c r="KML165" s="558"/>
      <c r="KMM165" s="558"/>
      <c r="KMN165" s="558"/>
      <c r="KMO165" s="558"/>
      <c r="KMP165" s="558"/>
      <c r="KMQ165" s="558"/>
      <c r="KMR165" s="558"/>
      <c r="KMS165" s="558"/>
      <c r="KMT165" s="558"/>
      <c r="KMU165" s="558"/>
      <c r="KMV165" s="558"/>
      <c r="KMW165" s="558"/>
      <c r="KMX165" s="558"/>
      <c r="KMY165" s="558"/>
      <c r="KMZ165" s="558"/>
      <c r="KNA165" s="558"/>
      <c r="KNB165" s="558"/>
      <c r="KNC165" s="558"/>
      <c r="KND165" s="558"/>
      <c r="KNE165" s="558"/>
      <c r="KNF165" s="558"/>
      <c r="KNG165" s="558"/>
      <c r="KNH165" s="558"/>
      <c r="KNI165" s="558"/>
      <c r="KNJ165" s="558"/>
      <c r="KNK165" s="558"/>
      <c r="KNL165" s="558"/>
      <c r="KNM165" s="558"/>
      <c r="KNN165" s="558"/>
      <c r="KNO165" s="558"/>
      <c r="KNP165" s="558"/>
      <c r="KNQ165" s="558"/>
      <c r="KNR165" s="558"/>
      <c r="KNS165" s="558"/>
      <c r="KNT165" s="558"/>
      <c r="KNU165" s="558"/>
      <c r="KNV165" s="558"/>
      <c r="KNW165" s="558"/>
      <c r="KNX165" s="558"/>
      <c r="KNY165" s="558"/>
      <c r="KNZ165" s="558"/>
      <c r="KOA165" s="558"/>
      <c r="KOB165" s="558"/>
      <c r="KOC165" s="558"/>
      <c r="KOD165" s="558"/>
      <c r="KOE165" s="558"/>
      <c r="KOF165" s="558"/>
      <c r="KOG165" s="558"/>
      <c r="KOH165" s="558"/>
      <c r="KOI165" s="558"/>
      <c r="KOJ165" s="558"/>
      <c r="KOK165" s="558"/>
      <c r="KOL165" s="558"/>
      <c r="KOM165" s="558"/>
      <c r="KON165" s="558"/>
      <c r="KOO165" s="558"/>
      <c r="KOP165" s="558"/>
      <c r="KOQ165" s="558"/>
      <c r="KOR165" s="558"/>
      <c r="KOS165" s="558"/>
      <c r="KOT165" s="558"/>
      <c r="KOU165" s="558"/>
      <c r="KOV165" s="558"/>
      <c r="KOW165" s="558"/>
      <c r="KOX165" s="558"/>
      <c r="KOY165" s="558"/>
      <c r="KOZ165" s="558"/>
      <c r="KPA165" s="558"/>
      <c r="KPB165" s="558"/>
      <c r="KPC165" s="558"/>
      <c r="KPD165" s="558"/>
      <c r="KPE165" s="558"/>
      <c r="KPF165" s="558"/>
      <c r="KPG165" s="558"/>
      <c r="KPH165" s="558"/>
      <c r="KPI165" s="558"/>
      <c r="KPJ165" s="558"/>
      <c r="KPK165" s="558"/>
      <c r="KPL165" s="558"/>
      <c r="KPM165" s="558"/>
      <c r="KPN165" s="558"/>
      <c r="KPO165" s="558"/>
      <c r="KPP165" s="558"/>
      <c r="KPQ165" s="558"/>
      <c r="KPR165" s="558"/>
      <c r="KPS165" s="558"/>
      <c r="KPT165" s="558"/>
      <c r="KPU165" s="558"/>
      <c r="KPV165" s="558"/>
      <c r="KPW165" s="558"/>
      <c r="KPX165" s="558"/>
      <c r="KPY165" s="558"/>
      <c r="KPZ165" s="558"/>
      <c r="KQA165" s="558"/>
      <c r="KQB165" s="558"/>
      <c r="KQC165" s="558"/>
      <c r="KQD165" s="558"/>
      <c r="KQE165" s="558"/>
      <c r="KQF165" s="558"/>
      <c r="KQG165" s="558"/>
      <c r="KQH165" s="558"/>
      <c r="KQI165" s="558"/>
      <c r="KQJ165" s="558"/>
      <c r="KQK165" s="558"/>
      <c r="KQL165" s="558"/>
      <c r="KQM165" s="558"/>
      <c r="KQN165" s="558"/>
      <c r="KQO165" s="558"/>
      <c r="KQP165" s="558"/>
      <c r="KQQ165" s="558"/>
      <c r="KQR165" s="558"/>
      <c r="KQS165" s="558"/>
      <c r="KQT165" s="558"/>
      <c r="KQU165" s="558"/>
      <c r="KQV165" s="558"/>
      <c r="KQW165" s="558"/>
      <c r="KQX165" s="558"/>
      <c r="KQY165" s="558"/>
      <c r="KQZ165" s="558"/>
      <c r="KRA165" s="558"/>
      <c r="KRB165" s="558"/>
      <c r="KRC165" s="558"/>
      <c r="KRD165" s="558"/>
      <c r="KRE165" s="558"/>
      <c r="KRF165" s="558"/>
      <c r="KRG165" s="558"/>
      <c r="KRH165" s="558"/>
      <c r="KRI165" s="558"/>
      <c r="KRJ165" s="558"/>
      <c r="KRK165" s="558"/>
      <c r="KRL165" s="558"/>
      <c r="KRM165" s="558"/>
      <c r="KRN165" s="558"/>
      <c r="KRO165" s="558"/>
      <c r="KRP165" s="558"/>
      <c r="KRQ165" s="558"/>
      <c r="KRR165" s="558"/>
      <c r="KRS165" s="558"/>
      <c r="KRT165" s="558"/>
      <c r="KRU165" s="558"/>
      <c r="KRV165" s="558"/>
      <c r="KRW165" s="558"/>
      <c r="KRX165" s="558"/>
      <c r="KRY165" s="558"/>
      <c r="KRZ165" s="558"/>
      <c r="KSA165" s="558"/>
      <c r="KSB165" s="558"/>
      <c r="KSC165" s="558"/>
      <c r="KSD165" s="558"/>
      <c r="KSE165" s="558"/>
      <c r="KSF165" s="558"/>
      <c r="KSG165" s="558"/>
      <c r="KSH165" s="558"/>
      <c r="KSI165" s="558"/>
      <c r="KSJ165" s="558"/>
      <c r="KSK165" s="558"/>
      <c r="KSL165" s="558"/>
      <c r="KSM165" s="558"/>
      <c r="KSN165" s="558"/>
      <c r="KSO165" s="558"/>
      <c r="KSP165" s="558"/>
      <c r="KSQ165" s="558"/>
      <c r="KSR165" s="558"/>
      <c r="KSS165" s="558"/>
      <c r="KST165" s="558"/>
      <c r="KSU165" s="558"/>
      <c r="KSV165" s="558"/>
      <c r="KSW165" s="558"/>
      <c r="KSX165" s="558"/>
      <c r="KSY165" s="558"/>
      <c r="KSZ165" s="558"/>
      <c r="KTA165" s="558"/>
      <c r="KTB165" s="558"/>
      <c r="KTC165" s="558"/>
      <c r="KTD165" s="558"/>
      <c r="KTE165" s="558"/>
      <c r="KTF165" s="558"/>
      <c r="KTG165" s="558"/>
      <c r="KTH165" s="558"/>
      <c r="KTI165" s="558"/>
      <c r="KTJ165" s="558"/>
      <c r="KTK165" s="558"/>
      <c r="KTL165" s="558"/>
      <c r="KTM165" s="558"/>
      <c r="KTN165" s="558"/>
      <c r="KTO165" s="558"/>
      <c r="KTP165" s="558"/>
      <c r="KTQ165" s="558"/>
      <c r="KTR165" s="558"/>
      <c r="KTS165" s="558"/>
      <c r="KTT165" s="558"/>
      <c r="KTU165" s="558"/>
      <c r="KTV165" s="558"/>
      <c r="KTW165" s="558"/>
      <c r="KTX165" s="558"/>
      <c r="KTY165" s="558"/>
      <c r="KTZ165" s="558"/>
      <c r="KUA165" s="558"/>
      <c r="KUB165" s="558"/>
      <c r="KUC165" s="558"/>
      <c r="KUD165" s="558"/>
      <c r="KUE165" s="558"/>
      <c r="KUF165" s="558"/>
      <c r="KUG165" s="558"/>
      <c r="KUH165" s="558"/>
      <c r="KUI165" s="558"/>
      <c r="KUJ165" s="558"/>
      <c r="KUK165" s="558"/>
      <c r="KUL165" s="558"/>
      <c r="KUM165" s="558"/>
      <c r="KUN165" s="558"/>
      <c r="KUO165" s="558"/>
      <c r="KUP165" s="558"/>
      <c r="KUQ165" s="558"/>
      <c r="KUR165" s="558"/>
      <c r="KUS165" s="558"/>
      <c r="KUT165" s="558"/>
      <c r="KUU165" s="558"/>
      <c r="KUV165" s="558"/>
      <c r="KUW165" s="558"/>
      <c r="KUX165" s="558"/>
      <c r="KUY165" s="558"/>
      <c r="KUZ165" s="558"/>
      <c r="KVA165" s="558"/>
      <c r="KVB165" s="558"/>
      <c r="KVC165" s="558"/>
      <c r="KVD165" s="558"/>
      <c r="KVE165" s="558"/>
      <c r="KVF165" s="558"/>
      <c r="KVG165" s="558"/>
      <c r="KVH165" s="558"/>
      <c r="KVI165" s="558"/>
      <c r="KVJ165" s="558"/>
      <c r="KVK165" s="558"/>
      <c r="KVL165" s="558"/>
      <c r="KVM165" s="558"/>
      <c r="KVN165" s="558"/>
      <c r="KVO165" s="558"/>
      <c r="KVP165" s="558"/>
      <c r="KVQ165" s="558"/>
      <c r="KVR165" s="558"/>
      <c r="KVS165" s="558"/>
      <c r="KVT165" s="558"/>
      <c r="KVU165" s="558"/>
      <c r="KVV165" s="558"/>
      <c r="KVW165" s="558"/>
      <c r="KVX165" s="558"/>
      <c r="KVY165" s="558"/>
      <c r="KVZ165" s="558"/>
      <c r="KWA165" s="558"/>
      <c r="KWB165" s="558"/>
      <c r="KWC165" s="558"/>
      <c r="KWD165" s="558"/>
      <c r="KWE165" s="558"/>
      <c r="KWF165" s="558"/>
      <c r="KWG165" s="558"/>
      <c r="KWH165" s="558"/>
      <c r="KWI165" s="558"/>
      <c r="KWJ165" s="558"/>
      <c r="KWK165" s="558"/>
      <c r="KWL165" s="558"/>
      <c r="KWM165" s="558"/>
      <c r="KWN165" s="558"/>
      <c r="KWO165" s="558"/>
      <c r="KWP165" s="558"/>
      <c r="KWQ165" s="558"/>
      <c r="KWR165" s="558"/>
      <c r="KWS165" s="558"/>
      <c r="KWT165" s="558"/>
      <c r="KWU165" s="558"/>
      <c r="KWV165" s="558"/>
      <c r="KWW165" s="558"/>
      <c r="KWX165" s="558"/>
      <c r="KWY165" s="558"/>
      <c r="KWZ165" s="558"/>
      <c r="KXA165" s="558"/>
      <c r="KXB165" s="558"/>
      <c r="KXC165" s="558"/>
      <c r="KXD165" s="558"/>
      <c r="KXE165" s="558"/>
      <c r="KXF165" s="558"/>
      <c r="KXG165" s="558"/>
      <c r="KXH165" s="558"/>
      <c r="KXI165" s="558"/>
      <c r="KXJ165" s="558"/>
      <c r="KXK165" s="558"/>
      <c r="KXL165" s="558"/>
      <c r="KXM165" s="558"/>
      <c r="KXN165" s="558"/>
      <c r="KXO165" s="558"/>
      <c r="KXP165" s="558"/>
      <c r="KXQ165" s="558"/>
      <c r="KXR165" s="558"/>
      <c r="KXS165" s="558"/>
      <c r="KXT165" s="558"/>
      <c r="KXU165" s="558"/>
      <c r="KXV165" s="558"/>
      <c r="KXW165" s="558"/>
      <c r="KXX165" s="558"/>
      <c r="KXY165" s="558"/>
      <c r="KXZ165" s="558"/>
      <c r="KYA165" s="558"/>
      <c r="KYB165" s="558"/>
      <c r="KYC165" s="558"/>
      <c r="KYD165" s="558"/>
      <c r="KYE165" s="558"/>
      <c r="KYF165" s="558"/>
      <c r="KYG165" s="558"/>
      <c r="KYH165" s="558"/>
      <c r="KYI165" s="558"/>
      <c r="KYJ165" s="558"/>
      <c r="KYK165" s="558"/>
      <c r="KYL165" s="558"/>
      <c r="KYM165" s="558"/>
      <c r="KYN165" s="558"/>
      <c r="KYO165" s="558"/>
      <c r="KYP165" s="558"/>
      <c r="KYQ165" s="558"/>
      <c r="KYR165" s="558"/>
      <c r="KYS165" s="558"/>
      <c r="KYT165" s="558"/>
      <c r="KYU165" s="558"/>
      <c r="KYV165" s="558"/>
      <c r="KYW165" s="558"/>
      <c r="KYX165" s="558"/>
      <c r="KYY165" s="558"/>
      <c r="KYZ165" s="558"/>
      <c r="KZA165" s="558"/>
      <c r="KZB165" s="558"/>
      <c r="KZC165" s="558"/>
      <c r="KZD165" s="558"/>
      <c r="KZE165" s="558"/>
      <c r="KZF165" s="558"/>
      <c r="KZG165" s="558"/>
      <c r="KZH165" s="558"/>
      <c r="KZI165" s="558"/>
      <c r="KZJ165" s="558"/>
      <c r="KZK165" s="558"/>
      <c r="KZL165" s="558"/>
      <c r="KZM165" s="558"/>
      <c r="KZN165" s="558"/>
      <c r="KZO165" s="558"/>
      <c r="KZP165" s="558"/>
      <c r="KZQ165" s="558"/>
      <c r="KZR165" s="558"/>
      <c r="KZS165" s="558"/>
      <c r="KZT165" s="558"/>
      <c r="KZU165" s="558"/>
      <c r="KZV165" s="558"/>
      <c r="KZW165" s="558"/>
      <c r="KZX165" s="558"/>
      <c r="KZY165" s="558"/>
      <c r="KZZ165" s="558"/>
      <c r="LAA165" s="558"/>
      <c r="LAB165" s="558"/>
      <c r="LAC165" s="558"/>
      <c r="LAD165" s="558"/>
      <c r="LAE165" s="558"/>
      <c r="LAF165" s="558"/>
      <c r="LAG165" s="558"/>
      <c r="LAH165" s="558"/>
      <c r="LAI165" s="558"/>
      <c r="LAJ165" s="558"/>
      <c r="LAK165" s="558"/>
      <c r="LAL165" s="558"/>
      <c r="LAM165" s="558"/>
      <c r="LAN165" s="558"/>
      <c r="LAO165" s="558"/>
      <c r="LAP165" s="558"/>
      <c r="LAQ165" s="558"/>
      <c r="LAR165" s="558"/>
      <c r="LAS165" s="558"/>
      <c r="LAT165" s="558"/>
      <c r="LAU165" s="558"/>
      <c r="LAV165" s="558"/>
      <c r="LAW165" s="558"/>
      <c r="LAX165" s="558"/>
      <c r="LAY165" s="558"/>
      <c r="LAZ165" s="558"/>
      <c r="LBA165" s="558"/>
      <c r="LBB165" s="558"/>
      <c r="LBC165" s="558"/>
      <c r="LBD165" s="558"/>
      <c r="LBE165" s="558"/>
      <c r="LBF165" s="558"/>
      <c r="LBG165" s="558"/>
      <c r="LBH165" s="558"/>
      <c r="LBI165" s="558"/>
      <c r="LBJ165" s="558"/>
      <c r="LBK165" s="558"/>
      <c r="LBL165" s="558"/>
      <c r="LBM165" s="558"/>
      <c r="LBN165" s="558"/>
      <c r="LBO165" s="558"/>
      <c r="LBP165" s="558"/>
      <c r="LBQ165" s="558"/>
      <c r="LBR165" s="558"/>
      <c r="LBS165" s="558"/>
      <c r="LBT165" s="558"/>
      <c r="LBU165" s="558"/>
      <c r="LBV165" s="558"/>
      <c r="LBW165" s="558"/>
      <c r="LBX165" s="558"/>
      <c r="LBY165" s="558"/>
      <c r="LBZ165" s="558"/>
      <c r="LCA165" s="558"/>
      <c r="LCB165" s="558"/>
      <c r="LCC165" s="558"/>
      <c r="LCD165" s="558"/>
      <c r="LCE165" s="558"/>
      <c r="LCF165" s="558"/>
      <c r="LCG165" s="558"/>
      <c r="LCH165" s="558"/>
      <c r="LCI165" s="558"/>
      <c r="LCJ165" s="558"/>
      <c r="LCK165" s="558"/>
      <c r="LCL165" s="558"/>
      <c r="LCM165" s="558"/>
      <c r="LCN165" s="558"/>
      <c r="LCO165" s="558"/>
      <c r="LCP165" s="558"/>
      <c r="LCQ165" s="558"/>
      <c r="LCR165" s="558"/>
      <c r="LCS165" s="558"/>
      <c r="LCT165" s="558"/>
      <c r="LCU165" s="558"/>
      <c r="LCV165" s="558"/>
      <c r="LCW165" s="558"/>
      <c r="LCX165" s="558"/>
      <c r="LCY165" s="558"/>
      <c r="LCZ165" s="558"/>
      <c r="LDA165" s="558"/>
      <c r="LDB165" s="558"/>
      <c r="LDC165" s="558"/>
      <c r="LDD165" s="558"/>
      <c r="LDE165" s="558"/>
      <c r="LDF165" s="558"/>
      <c r="LDG165" s="558"/>
      <c r="LDH165" s="558"/>
      <c r="LDI165" s="558"/>
      <c r="LDJ165" s="558"/>
      <c r="LDK165" s="558"/>
      <c r="LDL165" s="558"/>
      <c r="LDM165" s="558"/>
      <c r="LDN165" s="558"/>
      <c r="LDO165" s="558"/>
      <c r="LDP165" s="558"/>
      <c r="LDQ165" s="558"/>
      <c r="LDR165" s="558"/>
      <c r="LDS165" s="558"/>
      <c r="LDT165" s="558"/>
      <c r="LDU165" s="558"/>
      <c r="LDV165" s="558"/>
      <c r="LDW165" s="558"/>
      <c r="LDX165" s="558"/>
      <c r="LDY165" s="558"/>
      <c r="LDZ165" s="558"/>
      <c r="LEA165" s="558"/>
      <c r="LEB165" s="558"/>
      <c r="LEC165" s="558"/>
      <c r="LED165" s="558"/>
      <c r="LEE165" s="558"/>
      <c r="LEF165" s="558"/>
      <c r="LEG165" s="558"/>
      <c r="LEH165" s="558"/>
      <c r="LEI165" s="558"/>
      <c r="LEJ165" s="558"/>
      <c r="LEK165" s="558"/>
      <c r="LEL165" s="558"/>
      <c r="LEM165" s="558"/>
      <c r="LEN165" s="558"/>
      <c r="LEO165" s="558"/>
      <c r="LEP165" s="558"/>
      <c r="LEQ165" s="558"/>
      <c r="LER165" s="558"/>
      <c r="LES165" s="558"/>
      <c r="LET165" s="558"/>
      <c r="LEU165" s="558"/>
      <c r="LEV165" s="558"/>
      <c r="LEW165" s="558"/>
      <c r="LEX165" s="558"/>
      <c r="LEY165" s="558"/>
      <c r="LEZ165" s="558"/>
      <c r="LFA165" s="558"/>
      <c r="LFB165" s="558"/>
      <c r="LFC165" s="558"/>
      <c r="LFD165" s="558"/>
      <c r="LFE165" s="558"/>
      <c r="LFF165" s="558"/>
      <c r="LFG165" s="558"/>
      <c r="LFH165" s="558"/>
      <c r="LFI165" s="558"/>
      <c r="LFJ165" s="558"/>
      <c r="LFK165" s="558"/>
      <c r="LFL165" s="558"/>
      <c r="LFM165" s="558"/>
      <c r="LFN165" s="558"/>
      <c r="LFO165" s="558"/>
      <c r="LFP165" s="558"/>
      <c r="LFQ165" s="558"/>
      <c r="LFR165" s="558"/>
      <c r="LFS165" s="558"/>
      <c r="LFT165" s="558"/>
      <c r="LFU165" s="558"/>
      <c r="LFV165" s="558"/>
      <c r="LFW165" s="558"/>
      <c r="LFX165" s="558"/>
      <c r="LFY165" s="558"/>
      <c r="LFZ165" s="558"/>
      <c r="LGA165" s="558"/>
      <c r="LGB165" s="558"/>
      <c r="LGC165" s="558"/>
      <c r="LGD165" s="558"/>
      <c r="LGE165" s="558"/>
      <c r="LGF165" s="558"/>
      <c r="LGG165" s="558"/>
      <c r="LGH165" s="558"/>
      <c r="LGI165" s="558"/>
      <c r="LGJ165" s="558"/>
      <c r="LGK165" s="558"/>
      <c r="LGL165" s="558"/>
      <c r="LGM165" s="558"/>
      <c r="LGN165" s="558"/>
      <c r="LGO165" s="558"/>
      <c r="LGP165" s="558"/>
      <c r="LGQ165" s="558"/>
      <c r="LGR165" s="558"/>
      <c r="LGS165" s="558"/>
      <c r="LGT165" s="558"/>
      <c r="LGU165" s="558"/>
      <c r="LGV165" s="558"/>
      <c r="LGW165" s="558"/>
      <c r="LGX165" s="558"/>
      <c r="LGY165" s="558"/>
      <c r="LGZ165" s="558"/>
      <c r="LHA165" s="558"/>
      <c r="LHB165" s="558"/>
      <c r="LHC165" s="558"/>
      <c r="LHD165" s="558"/>
      <c r="LHE165" s="558"/>
      <c r="LHF165" s="558"/>
      <c r="LHG165" s="558"/>
      <c r="LHH165" s="558"/>
      <c r="LHI165" s="558"/>
      <c r="LHJ165" s="558"/>
      <c r="LHK165" s="558"/>
      <c r="LHL165" s="558"/>
      <c r="LHM165" s="558"/>
      <c r="LHN165" s="558"/>
      <c r="LHO165" s="558"/>
      <c r="LHP165" s="558"/>
      <c r="LHQ165" s="558"/>
      <c r="LHR165" s="558"/>
      <c r="LHS165" s="558"/>
      <c r="LHT165" s="558"/>
      <c r="LHU165" s="558"/>
      <c r="LHV165" s="558"/>
      <c r="LHW165" s="558"/>
      <c r="LHX165" s="558"/>
      <c r="LHY165" s="558"/>
      <c r="LHZ165" s="558"/>
      <c r="LIA165" s="558"/>
      <c r="LIB165" s="558"/>
      <c r="LIC165" s="558"/>
      <c r="LID165" s="558"/>
      <c r="LIE165" s="558"/>
      <c r="LIF165" s="558"/>
      <c r="LIG165" s="558"/>
      <c r="LIH165" s="558"/>
      <c r="LII165" s="558"/>
      <c r="LIJ165" s="558"/>
      <c r="LIK165" s="558"/>
      <c r="LIL165" s="558"/>
      <c r="LIM165" s="558"/>
      <c r="LIN165" s="558"/>
      <c r="LIO165" s="558"/>
      <c r="LIP165" s="558"/>
      <c r="LIQ165" s="558"/>
      <c r="LIR165" s="558"/>
      <c r="LIS165" s="558"/>
      <c r="LIT165" s="558"/>
      <c r="LIU165" s="558"/>
      <c r="LIV165" s="558"/>
      <c r="LIW165" s="558"/>
      <c r="LIX165" s="558"/>
      <c r="LIY165" s="558"/>
      <c r="LIZ165" s="558"/>
      <c r="LJA165" s="558"/>
      <c r="LJB165" s="558"/>
      <c r="LJC165" s="558"/>
      <c r="LJD165" s="558"/>
      <c r="LJE165" s="558"/>
      <c r="LJF165" s="558"/>
      <c r="LJG165" s="558"/>
      <c r="LJH165" s="558"/>
      <c r="LJI165" s="558"/>
      <c r="LJJ165" s="558"/>
      <c r="LJK165" s="558"/>
      <c r="LJL165" s="558"/>
      <c r="LJM165" s="558"/>
      <c r="LJN165" s="558"/>
      <c r="LJO165" s="558"/>
      <c r="LJP165" s="558"/>
      <c r="LJQ165" s="558"/>
      <c r="LJR165" s="558"/>
      <c r="LJS165" s="558"/>
      <c r="LJT165" s="558"/>
      <c r="LJU165" s="558"/>
      <c r="LJV165" s="558"/>
      <c r="LJW165" s="558"/>
      <c r="LJX165" s="558"/>
      <c r="LJY165" s="558"/>
      <c r="LJZ165" s="558"/>
      <c r="LKA165" s="558"/>
      <c r="LKB165" s="558"/>
      <c r="LKC165" s="558"/>
      <c r="LKD165" s="558"/>
      <c r="LKE165" s="558"/>
      <c r="LKF165" s="558"/>
      <c r="LKG165" s="558"/>
      <c r="LKH165" s="558"/>
      <c r="LKI165" s="558"/>
      <c r="LKJ165" s="558"/>
      <c r="LKK165" s="558"/>
      <c r="LKL165" s="558"/>
      <c r="LKM165" s="558"/>
      <c r="LKN165" s="558"/>
      <c r="LKO165" s="558"/>
      <c r="LKP165" s="558"/>
      <c r="LKQ165" s="558"/>
      <c r="LKR165" s="558"/>
      <c r="LKS165" s="558"/>
      <c r="LKT165" s="558"/>
      <c r="LKU165" s="558"/>
      <c r="LKV165" s="558"/>
      <c r="LKW165" s="558"/>
      <c r="LKX165" s="558"/>
      <c r="LKY165" s="558"/>
      <c r="LKZ165" s="558"/>
      <c r="LLA165" s="558"/>
      <c r="LLB165" s="558"/>
      <c r="LLC165" s="558"/>
      <c r="LLD165" s="558"/>
      <c r="LLE165" s="558"/>
      <c r="LLF165" s="558"/>
      <c r="LLG165" s="558"/>
      <c r="LLH165" s="558"/>
      <c r="LLI165" s="558"/>
      <c r="LLJ165" s="558"/>
      <c r="LLK165" s="558"/>
      <c r="LLL165" s="558"/>
      <c r="LLM165" s="558"/>
      <c r="LLN165" s="558"/>
      <c r="LLO165" s="558"/>
      <c r="LLP165" s="558"/>
      <c r="LLQ165" s="558"/>
      <c r="LLR165" s="558"/>
      <c r="LLS165" s="558"/>
      <c r="LLT165" s="558"/>
      <c r="LLU165" s="558"/>
      <c r="LLV165" s="558"/>
      <c r="LLW165" s="558"/>
      <c r="LLX165" s="558"/>
      <c r="LLY165" s="558"/>
      <c r="LLZ165" s="558"/>
      <c r="LMA165" s="558"/>
      <c r="LMB165" s="558"/>
      <c r="LMC165" s="558"/>
      <c r="LMD165" s="558"/>
      <c r="LME165" s="558"/>
      <c r="LMF165" s="558"/>
      <c r="LMG165" s="558"/>
      <c r="LMH165" s="558"/>
      <c r="LMI165" s="558"/>
      <c r="LMJ165" s="558"/>
      <c r="LMK165" s="558"/>
      <c r="LML165" s="558"/>
      <c r="LMM165" s="558"/>
      <c r="LMN165" s="558"/>
      <c r="LMO165" s="558"/>
      <c r="LMP165" s="558"/>
      <c r="LMQ165" s="558"/>
      <c r="LMR165" s="558"/>
      <c r="LMS165" s="558"/>
      <c r="LMT165" s="558"/>
      <c r="LMU165" s="558"/>
      <c r="LMV165" s="558"/>
      <c r="LMW165" s="558"/>
      <c r="LMX165" s="558"/>
      <c r="LMY165" s="558"/>
      <c r="LMZ165" s="558"/>
      <c r="LNA165" s="558"/>
      <c r="LNB165" s="558"/>
      <c r="LNC165" s="558"/>
      <c r="LND165" s="558"/>
      <c r="LNE165" s="558"/>
      <c r="LNF165" s="558"/>
      <c r="LNG165" s="558"/>
      <c r="LNH165" s="558"/>
      <c r="LNI165" s="558"/>
      <c r="LNJ165" s="558"/>
      <c r="LNK165" s="558"/>
      <c r="LNL165" s="558"/>
      <c r="LNM165" s="558"/>
      <c r="LNN165" s="558"/>
      <c r="LNO165" s="558"/>
      <c r="LNP165" s="558"/>
      <c r="LNQ165" s="558"/>
      <c r="LNR165" s="558"/>
      <c r="LNS165" s="558"/>
      <c r="LNT165" s="558"/>
      <c r="LNU165" s="558"/>
      <c r="LNV165" s="558"/>
      <c r="LNW165" s="558"/>
      <c r="LNX165" s="558"/>
      <c r="LNY165" s="558"/>
      <c r="LNZ165" s="558"/>
      <c r="LOA165" s="558"/>
      <c r="LOB165" s="558"/>
      <c r="LOC165" s="558"/>
      <c r="LOD165" s="558"/>
      <c r="LOE165" s="558"/>
      <c r="LOF165" s="558"/>
      <c r="LOG165" s="558"/>
      <c r="LOH165" s="558"/>
      <c r="LOI165" s="558"/>
      <c r="LOJ165" s="558"/>
      <c r="LOK165" s="558"/>
      <c r="LOL165" s="558"/>
      <c r="LOM165" s="558"/>
      <c r="LON165" s="558"/>
      <c r="LOO165" s="558"/>
      <c r="LOP165" s="558"/>
      <c r="LOQ165" s="558"/>
      <c r="LOR165" s="558"/>
      <c r="LOS165" s="558"/>
      <c r="LOT165" s="558"/>
      <c r="LOU165" s="558"/>
      <c r="LOV165" s="558"/>
      <c r="LOW165" s="558"/>
      <c r="LOX165" s="558"/>
      <c r="LOY165" s="558"/>
      <c r="LOZ165" s="558"/>
      <c r="LPA165" s="558"/>
      <c r="LPB165" s="558"/>
      <c r="LPC165" s="558"/>
      <c r="LPD165" s="558"/>
      <c r="LPE165" s="558"/>
      <c r="LPF165" s="558"/>
      <c r="LPG165" s="558"/>
      <c r="LPH165" s="558"/>
      <c r="LPI165" s="558"/>
      <c r="LPJ165" s="558"/>
      <c r="LPK165" s="558"/>
      <c r="LPL165" s="558"/>
      <c r="LPM165" s="558"/>
      <c r="LPN165" s="558"/>
      <c r="LPO165" s="558"/>
      <c r="LPP165" s="558"/>
      <c r="LPQ165" s="558"/>
      <c r="LPR165" s="558"/>
      <c r="LPS165" s="558"/>
      <c r="LPT165" s="558"/>
      <c r="LPU165" s="558"/>
      <c r="LPV165" s="558"/>
      <c r="LPW165" s="558"/>
      <c r="LPX165" s="558"/>
      <c r="LPY165" s="558"/>
      <c r="LPZ165" s="558"/>
      <c r="LQA165" s="558"/>
      <c r="LQB165" s="558"/>
      <c r="LQC165" s="558"/>
      <c r="LQD165" s="558"/>
      <c r="LQE165" s="558"/>
      <c r="LQF165" s="558"/>
      <c r="LQG165" s="558"/>
      <c r="LQH165" s="558"/>
      <c r="LQI165" s="558"/>
      <c r="LQJ165" s="558"/>
      <c r="LQK165" s="558"/>
      <c r="LQL165" s="558"/>
      <c r="LQM165" s="558"/>
      <c r="LQN165" s="558"/>
      <c r="LQO165" s="558"/>
      <c r="LQP165" s="558"/>
      <c r="LQQ165" s="558"/>
      <c r="LQR165" s="558"/>
      <c r="LQS165" s="558"/>
      <c r="LQT165" s="558"/>
      <c r="LQU165" s="558"/>
      <c r="LQV165" s="558"/>
      <c r="LQW165" s="558"/>
      <c r="LQX165" s="558"/>
      <c r="LQY165" s="558"/>
      <c r="LQZ165" s="558"/>
      <c r="LRA165" s="558"/>
      <c r="LRB165" s="558"/>
      <c r="LRC165" s="558"/>
      <c r="LRD165" s="558"/>
      <c r="LRE165" s="558"/>
      <c r="LRF165" s="558"/>
      <c r="LRG165" s="558"/>
      <c r="LRH165" s="558"/>
      <c r="LRI165" s="558"/>
      <c r="LRJ165" s="558"/>
      <c r="LRK165" s="558"/>
      <c r="LRL165" s="558"/>
      <c r="LRM165" s="558"/>
      <c r="LRN165" s="558"/>
      <c r="LRO165" s="558"/>
      <c r="LRP165" s="558"/>
      <c r="LRQ165" s="558"/>
      <c r="LRR165" s="558"/>
      <c r="LRS165" s="558"/>
      <c r="LRT165" s="558"/>
      <c r="LRU165" s="558"/>
      <c r="LRV165" s="558"/>
      <c r="LRW165" s="558"/>
      <c r="LRX165" s="558"/>
      <c r="LRY165" s="558"/>
      <c r="LRZ165" s="558"/>
      <c r="LSA165" s="558"/>
      <c r="LSB165" s="558"/>
      <c r="LSC165" s="558"/>
      <c r="LSD165" s="558"/>
      <c r="LSE165" s="558"/>
      <c r="LSF165" s="558"/>
      <c r="LSG165" s="558"/>
      <c r="LSH165" s="558"/>
      <c r="LSI165" s="558"/>
      <c r="LSJ165" s="558"/>
      <c r="LSK165" s="558"/>
      <c r="LSL165" s="558"/>
      <c r="LSM165" s="558"/>
      <c r="LSN165" s="558"/>
      <c r="LSO165" s="558"/>
      <c r="LSP165" s="558"/>
      <c r="LSQ165" s="558"/>
      <c r="LSR165" s="558"/>
      <c r="LSS165" s="558"/>
      <c r="LST165" s="558"/>
      <c r="LSU165" s="558"/>
      <c r="LSV165" s="558"/>
      <c r="LSW165" s="558"/>
      <c r="LSX165" s="558"/>
      <c r="LSY165" s="558"/>
      <c r="LSZ165" s="558"/>
      <c r="LTA165" s="558"/>
      <c r="LTB165" s="558"/>
      <c r="LTC165" s="558"/>
      <c r="LTD165" s="558"/>
      <c r="LTE165" s="558"/>
      <c r="LTF165" s="558"/>
      <c r="LTG165" s="558"/>
      <c r="LTH165" s="558"/>
      <c r="LTI165" s="558"/>
      <c r="LTJ165" s="558"/>
      <c r="LTK165" s="558"/>
      <c r="LTL165" s="558"/>
      <c r="LTM165" s="558"/>
      <c r="LTN165" s="558"/>
      <c r="LTO165" s="558"/>
      <c r="LTP165" s="558"/>
      <c r="LTQ165" s="558"/>
      <c r="LTR165" s="558"/>
      <c r="LTS165" s="558"/>
      <c r="LTT165" s="558"/>
      <c r="LTU165" s="558"/>
      <c r="LTV165" s="558"/>
      <c r="LTW165" s="558"/>
      <c r="LTX165" s="558"/>
      <c r="LTY165" s="558"/>
      <c r="LTZ165" s="558"/>
      <c r="LUA165" s="558"/>
      <c r="LUB165" s="558"/>
      <c r="LUC165" s="558"/>
      <c r="LUD165" s="558"/>
      <c r="LUE165" s="558"/>
      <c r="LUF165" s="558"/>
      <c r="LUG165" s="558"/>
      <c r="LUH165" s="558"/>
      <c r="LUI165" s="558"/>
      <c r="LUJ165" s="558"/>
      <c r="LUK165" s="558"/>
      <c r="LUL165" s="558"/>
      <c r="LUM165" s="558"/>
      <c r="LUN165" s="558"/>
      <c r="LUO165" s="558"/>
      <c r="LUP165" s="558"/>
      <c r="LUQ165" s="558"/>
      <c r="LUR165" s="558"/>
      <c r="LUS165" s="558"/>
      <c r="LUT165" s="558"/>
      <c r="LUU165" s="558"/>
      <c r="LUV165" s="558"/>
      <c r="LUW165" s="558"/>
      <c r="LUX165" s="558"/>
      <c r="LUY165" s="558"/>
      <c r="LUZ165" s="558"/>
      <c r="LVA165" s="558"/>
      <c r="LVB165" s="558"/>
      <c r="LVC165" s="558"/>
      <c r="LVD165" s="558"/>
      <c r="LVE165" s="558"/>
      <c r="LVF165" s="558"/>
      <c r="LVG165" s="558"/>
      <c r="LVH165" s="558"/>
      <c r="LVI165" s="558"/>
      <c r="LVJ165" s="558"/>
      <c r="LVK165" s="558"/>
      <c r="LVL165" s="558"/>
      <c r="LVM165" s="558"/>
      <c r="LVN165" s="558"/>
      <c r="LVO165" s="558"/>
      <c r="LVP165" s="558"/>
      <c r="LVQ165" s="558"/>
      <c r="LVR165" s="558"/>
      <c r="LVS165" s="558"/>
      <c r="LVT165" s="558"/>
      <c r="LVU165" s="558"/>
      <c r="LVV165" s="558"/>
      <c r="LVW165" s="558"/>
      <c r="LVX165" s="558"/>
      <c r="LVY165" s="558"/>
      <c r="LVZ165" s="558"/>
      <c r="LWA165" s="558"/>
      <c r="LWB165" s="558"/>
      <c r="LWC165" s="558"/>
      <c r="LWD165" s="558"/>
      <c r="LWE165" s="558"/>
      <c r="LWF165" s="558"/>
      <c r="LWG165" s="558"/>
      <c r="LWH165" s="558"/>
      <c r="LWI165" s="558"/>
      <c r="LWJ165" s="558"/>
      <c r="LWK165" s="558"/>
      <c r="LWL165" s="558"/>
      <c r="LWM165" s="558"/>
      <c r="LWN165" s="558"/>
      <c r="LWO165" s="558"/>
      <c r="LWP165" s="558"/>
      <c r="LWQ165" s="558"/>
      <c r="LWR165" s="558"/>
      <c r="LWS165" s="558"/>
      <c r="LWT165" s="558"/>
      <c r="LWU165" s="558"/>
      <c r="LWV165" s="558"/>
      <c r="LWW165" s="558"/>
      <c r="LWX165" s="558"/>
      <c r="LWY165" s="558"/>
      <c r="LWZ165" s="558"/>
      <c r="LXA165" s="558"/>
      <c r="LXB165" s="558"/>
      <c r="LXC165" s="558"/>
      <c r="LXD165" s="558"/>
      <c r="LXE165" s="558"/>
      <c r="LXF165" s="558"/>
      <c r="LXG165" s="558"/>
      <c r="LXH165" s="558"/>
      <c r="LXI165" s="558"/>
      <c r="LXJ165" s="558"/>
      <c r="LXK165" s="558"/>
      <c r="LXL165" s="558"/>
      <c r="LXM165" s="558"/>
      <c r="LXN165" s="558"/>
      <c r="LXO165" s="558"/>
      <c r="LXP165" s="558"/>
      <c r="LXQ165" s="558"/>
      <c r="LXR165" s="558"/>
      <c r="LXS165" s="558"/>
      <c r="LXT165" s="558"/>
      <c r="LXU165" s="558"/>
      <c r="LXV165" s="558"/>
      <c r="LXW165" s="558"/>
      <c r="LXX165" s="558"/>
      <c r="LXY165" s="558"/>
      <c r="LXZ165" s="558"/>
      <c r="LYA165" s="558"/>
      <c r="LYB165" s="558"/>
      <c r="LYC165" s="558"/>
      <c r="LYD165" s="558"/>
      <c r="LYE165" s="558"/>
      <c r="LYF165" s="558"/>
      <c r="LYG165" s="558"/>
      <c r="LYH165" s="558"/>
      <c r="LYI165" s="558"/>
      <c r="LYJ165" s="558"/>
      <c r="LYK165" s="558"/>
      <c r="LYL165" s="558"/>
      <c r="LYM165" s="558"/>
      <c r="LYN165" s="558"/>
      <c r="LYO165" s="558"/>
      <c r="LYP165" s="558"/>
      <c r="LYQ165" s="558"/>
      <c r="LYR165" s="558"/>
      <c r="LYS165" s="558"/>
      <c r="LYT165" s="558"/>
      <c r="LYU165" s="558"/>
      <c r="LYV165" s="558"/>
      <c r="LYW165" s="558"/>
      <c r="LYX165" s="558"/>
      <c r="LYY165" s="558"/>
      <c r="LYZ165" s="558"/>
      <c r="LZA165" s="558"/>
      <c r="LZB165" s="558"/>
      <c r="LZC165" s="558"/>
      <c r="LZD165" s="558"/>
      <c r="LZE165" s="558"/>
      <c r="LZF165" s="558"/>
      <c r="LZG165" s="558"/>
      <c r="LZH165" s="558"/>
      <c r="LZI165" s="558"/>
      <c r="LZJ165" s="558"/>
      <c r="LZK165" s="558"/>
      <c r="LZL165" s="558"/>
      <c r="LZM165" s="558"/>
      <c r="LZN165" s="558"/>
      <c r="LZO165" s="558"/>
      <c r="LZP165" s="558"/>
      <c r="LZQ165" s="558"/>
      <c r="LZR165" s="558"/>
      <c r="LZS165" s="558"/>
      <c r="LZT165" s="558"/>
      <c r="LZU165" s="558"/>
      <c r="LZV165" s="558"/>
      <c r="LZW165" s="558"/>
      <c r="LZX165" s="558"/>
      <c r="LZY165" s="558"/>
      <c r="LZZ165" s="558"/>
      <c r="MAA165" s="558"/>
      <c r="MAB165" s="558"/>
      <c r="MAC165" s="558"/>
      <c r="MAD165" s="558"/>
      <c r="MAE165" s="558"/>
      <c r="MAF165" s="558"/>
      <c r="MAG165" s="558"/>
      <c r="MAH165" s="558"/>
      <c r="MAI165" s="558"/>
      <c r="MAJ165" s="558"/>
      <c r="MAK165" s="558"/>
      <c r="MAL165" s="558"/>
      <c r="MAM165" s="558"/>
      <c r="MAN165" s="558"/>
      <c r="MAO165" s="558"/>
      <c r="MAP165" s="558"/>
      <c r="MAQ165" s="558"/>
      <c r="MAR165" s="558"/>
      <c r="MAS165" s="558"/>
      <c r="MAT165" s="558"/>
      <c r="MAU165" s="558"/>
      <c r="MAV165" s="558"/>
      <c r="MAW165" s="558"/>
      <c r="MAX165" s="558"/>
      <c r="MAY165" s="558"/>
      <c r="MAZ165" s="558"/>
      <c r="MBA165" s="558"/>
      <c r="MBB165" s="558"/>
      <c r="MBC165" s="558"/>
      <c r="MBD165" s="558"/>
      <c r="MBE165" s="558"/>
      <c r="MBF165" s="558"/>
      <c r="MBG165" s="558"/>
      <c r="MBH165" s="558"/>
      <c r="MBI165" s="558"/>
      <c r="MBJ165" s="558"/>
      <c r="MBK165" s="558"/>
      <c r="MBL165" s="558"/>
      <c r="MBM165" s="558"/>
      <c r="MBN165" s="558"/>
      <c r="MBO165" s="558"/>
      <c r="MBP165" s="558"/>
      <c r="MBQ165" s="558"/>
      <c r="MBR165" s="558"/>
      <c r="MBS165" s="558"/>
      <c r="MBT165" s="558"/>
      <c r="MBU165" s="558"/>
      <c r="MBV165" s="558"/>
      <c r="MBW165" s="558"/>
      <c r="MBX165" s="558"/>
      <c r="MBY165" s="558"/>
      <c r="MBZ165" s="558"/>
      <c r="MCA165" s="558"/>
      <c r="MCB165" s="558"/>
      <c r="MCC165" s="558"/>
      <c r="MCD165" s="558"/>
      <c r="MCE165" s="558"/>
      <c r="MCF165" s="558"/>
      <c r="MCG165" s="558"/>
      <c r="MCH165" s="558"/>
      <c r="MCI165" s="558"/>
      <c r="MCJ165" s="558"/>
      <c r="MCK165" s="558"/>
      <c r="MCL165" s="558"/>
      <c r="MCM165" s="558"/>
      <c r="MCN165" s="558"/>
      <c r="MCO165" s="558"/>
      <c r="MCP165" s="558"/>
      <c r="MCQ165" s="558"/>
      <c r="MCR165" s="558"/>
      <c r="MCS165" s="558"/>
      <c r="MCT165" s="558"/>
      <c r="MCU165" s="558"/>
      <c r="MCV165" s="558"/>
      <c r="MCW165" s="558"/>
      <c r="MCX165" s="558"/>
      <c r="MCY165" s="558"/>
      <c r="MCZ165" s="558"/>
      <c r="MDA165" s="558"/>
      <c r="MDB165" s="558"/>
      <c r="MDC165" s="558"/>
      <c r="MDD165" s="558"/>
      <c r="MDE165" s="558"/>
      <c r="MDF165" s="558"/>
      <c r="MDG165" s="558"/>
      <c r="MDH165" s="558"/>
      <c r="MDI165" s="558"/>
      <c r="MDJ165" s="558"/>
      <c r="MDK165" s="558"/>
      <c r="MDL165" s="558"/>
      <c r="MDM165" s="558"/>
      <c r="MDN165" s="558"/>
      <c r="MDO165" s="558"/>
      <c r="MDP165" s="558"/>
      <c r="MDQ165" s="558"/>
      <c r="MDR165" s="558"/>
      <c r="MDS165" s="558"/>
      <c r="MDT165" s="558"/>
      <c r="MDU165" s="558"/>
      <c r="MDV165" s="558"/>
      <c r="MDW165" s="558"/>
      <c r="MDX165" s="558"/>
      <c r="MDY165" s="558"/>
      <c r="MDZ165" s="558"/>
      <c r="MEA165" s="558"/>
      <c r="MEB165" s="558"/>
      <c r="MEC165" s="558"/>
      <c r="MED165" s="558"/>
      <c r="MEE165" s="558"/>
      <c r="MEF165" s="558"/>
      <c r="MEG165" s="558"/>
      <c r="MEH165" s="558"/>
      <c r="MEI165" s="558"/>
      <c r="MEJ165" s="558"/>
      <c r="MEK165" s="558"/>
      <c r="MEL165" s="558"/>
      <c r="MEM165" s="558"/>
      <c r="MEN165" s="558"/>
      <c r="MEO165" s="558"/>
      <c r="MEP165" s="558"/>
      <c r="MEQ165" s="558"/>
      <c r="MER165" s="558"/>
      <c r="MES165" s="558"/>
      <c r="MET165" s="558"/>
      <c r="MEU165" s="558"/>
      <c r="MEV165" s="558"/>
      <c r="MEW165" s="558"/>
      <c r="MEX165" s="558"/>
      <c r="MEY165" s="558"/>
      <c r="MEZ165" s="558"/>
      <c r="MFA165" s="558"/>
      <c r="MFB165" s="558"/>
      <c r="MFC165" s="558"/>
      <c r="MFD165" s="558"/>
      <c r="MFE165" s="558"/>
      <c r="MFF165" s="558"/>
      <c r="MFG165" s="558"/>
      <c r="MFH165" s="558"/>
      <c r="MFI165" s="558"/>
      <c r="MFJ165" s="558"/>
      <c r="MFK165" s="558"/>
      <c r="MFL165" s="558"/>
      <c r="MFM165" s="558"/>
      <c r="MFN165" s="558"/>
      <c r="MFO165" s="558"/>
      <c r="MFP165" s="558"/>
      <c r="MFQ165" s="558"/>
      <c r="MFR165" s="558"/>
      <c r="MFS165" s="558"/>
      <c r="MFT165" s="558"/>
      <c r="MFU165" s="558"/>
      <c r="MFV165" s="558"/>
      <c r="MFW165" s="558"/>
      <c r="MFX165" s="558"/>
      <c r="MFY165" s="558"/>
      <c r="MFZ165" s="558"/>
      <c r="MGA165" s="558"/>
      <c r="MGB165" s="558"/>
      <c r="MGC165" s="558"/>
      <c r="MGD165" s="558"/>
      <c r="MGE165" s="558"/>
      <c r="MGF165" s="558"/>
      <c r="MGG165" s="558"/>
      <c r="MGH165" s="558"/>
      <c r="MGI165" s="558"/>
      <c r="MGJ165" s="558"/>
      <c r="MGK165" s="558"/>
      <c r="MGL165" s="558"/>
      <c r="MGM165" s="558"/>
      <c r="MGN165" s="558"/>
      <c r="MGO165" s="558"/>
      <c r="MGP165" s="558"/>
      <c r="MGQ165" s="558"/>
      <c r="MGR165" s="558"/>
      <c r="MGS165" s="558"/>
      <c r="MGT165" s="558"/>
      <c r="MGU165" s="558"/>
      <c r="MGV165" s="558"/>
      <c r="MGW165" s="558"/>
      <c r="MGX165" s="558"/>
      <c r="MGY165" s="558"/>
      <c r="MGZ165" s="558"/>
      <c r="MHA165" s="558"/>
      <c r="MHB165" s="558"/>
      <c r="MHC165" s="558"/>
      <c r="MHD165" s="558"/>
      <c r="MHE165" s="558"/>
      <c r="MHF165" s="558"/>
      <c r="MHG165" s="558"/>
      <c r="MHH165" s="558"/>
      <c r="MHI165" s="558"/>
      <c r="MHJ165" s="558"/>
      <c r="MHK165" s="558"/>
      <c r="MHL165" s="558"/>
      <c r="MHM165" s="558"/>
      <c r="MHN165" s="558"/>
      <c r="MHO165" s="558"/>
      <c r="MHP165" s="558"/>
      <c r="MHQ165" s="558"/>
      <c r="MHR165" s="558"/>
      <c r="MHS165" s="558"/>
      <c r="MHT165" s="558"/>
      <c r="MHU165" s="558"/>
      <c r="MHV165" s="558"/>
      <c r="MHW165" s="558"/>
      <c r="MHX165" s="558"/>
      <c r="MHY165" s="558"/>
      <c r="MHZ165" s="558"/>
      <c r="MIA165" s="558"/>
      <c r="MIB165" s="558"/>
      <c r="MIC165" s="558"/>
      <c r="MID165" s="558"/>
      <c r="MIE165" s="558"/>
      <c r="MIF165" s="558"/>
      <c r="MIG165" s="558"/>
      <c r="MIH165" s="558"/>
      <c r="MII165" s="558"/>
      <c r="MIJ165" s="558"/>
      <c r="MIK165" s="558"/>
      <c r="MIL165" s="558"/>
      <c r="MIM165" s="558"/>
      <c r="MIN165" s="558"/>
      <c r="MIO165" s="558"/>
      <c r="MIP165" s="558"/>
      <c r="MIQ165" s="558"/>
      <c r="MIR165" s="558"/>
      <c r="MIS165" s="558"/>
      <c r="MIT165" s="558"/>
      <c r="MIU165" s="558"/>
      <c r="MIV165" s="558"/>
      <c r="MIW165" s="558"/>
      <c r="MIX165" s="558"/>
      <c r="MIY165" s="558"/>
      <c r="MIZ165" s="558"/>
      <c r="MJA165" s="558"/>
      <c r="MJB165" s="558"/>
      <c r="MJC165" s="558"/>
      <c r="MJD165" s="558"/>
      <c r="MJE165" s="558"/>
      <c r="MJF165" s="558"/>
      <c r="MJG165" s="558"/>
      <c r="MJH165" s="558"/>
      <c r="MJI165" s="558"/>
      <c r="MJJ165" s="558"/>
      <c r="MJK165" s="558"/>
      <c r="MJL165" s="558"/>
      <c r="MJM165" s="558"/>
      <c r="MJN165" s="558"/>
      <c r="MJO165" s="558"/>
      <c r="MJP165" s="558"/>
      <c r="MJQ165" s="558"/>
      <c r="MJR165" s="558"/>
      <c r="MJS165" s="558"/>
      <c r="MJT165" s="558"/>
      <c r="MJU165" s="558"/>
      <c r="MJV165" s="558"/>
      <c r="MJW165" s="558"/>
      <c r="MJX165" s="558"/>
      <c r="MJY165" s="558"/>
      <c r="MJZ165" s="558"/>
      <c r="MKA165" s="558"/>
      <c r="MKB165" s="558"/>
      <c r="MKC165" s="558"/>
      <c r="MKD165" s="558"/>
      <c r="MKE165" s="558"/>
      <c r="MKF165" s="558"/>
      <c r="MKG165" s="558"/>
      <c r="MKH165" s="558"/>
      <c r="MKI165" s="558"/>
      <c r="MKJ165" s="558"/>
      <c r="MKK165" s="558"/>
      <c r="MKL165" s="558"/>
      <c r="MKM165" s="558"/>
      <c r="MKN165" s="558"/>
      <c r="MKO165" s="558"/>
      <c r="MKP165" s="558"/>
      <c r="MKQ165" s="558"/>
      <c r="MKR165" s="558"/>
      <c r="MKS165" s="558"/>
      <c r="MKT165" s="558"/>
      <c r="MKU165" s="558"/>
      <c r="MKV165" s="558"/>
      <c r="MKW165" s="558"/>
      <c r="MKX165" s="558"/>
      <c r="MKY165" s="558"/>
      <c r="MKZ165" s="558"/>
      <c r="MLA165" s="558"/>
      <c r="MLB165" s="558"/>
      <c r="MLC165" s="558"/>
      <c r="MLD165" s="558"/>
      <c r="MLE165" s="558"/>
      <c r="MLF165" s="558"/>
      <c r="MLG165" s="558"/>
      <c r="MLH165" s="558"/>
      <c r="MLI165" s="558"/>
      <c r="MLJ165" s="558"/>
      <c r="MLK165" s="558"/>
      <c r="MLL165" s="558"/>
      <c r="MLM165" s="558"/>
      <c r="MLN165" s="558"/>
      <c r="MLO165" s="558"/>
      <c r="MLP165" s="558"/>
      <c r="MLQ165" s="558"/>
      <c r="MLR165" s="558"/>
      <c r="MLS165" s="558"/>
      <c r="MLT165" s="558"/>
      <c r="MLU165" s="558"/>
      <c r="MLV165" s="558"/>
      <c r="MLW165" s="558"/>
      <c r="MLX165" s="558"/>
      <c r="MLY165" s="558"/>
      <c r="MLZ165" s="558"/>
      <c r="MMA165" s="558"/>
      <c r="MMB165" s="558"/>
      <c r="MMC165" s="558"/>
      <c r="MMD165" s="558"/>
      <c r="MME165" s="558"/>
      <c r="MMF165" s="558"/>
      <c r="MMG165" s="558"/>
      <c r="MMH165" s="558"/>
      <c r="MMI165" s="558"/>
      <c r="MMJ165" s="558"/>
      <c r="MMK165" s="558"/>
      <c r="MML165" s="558"/>
      <c r="MMM165" s="558"/>
      <c r="MMN165" s="558"/>
      <c r="MMO165" s="558"/>
      <c r="MMP165" s="558"/>
      <c r="MMQ165" s="558"/>
      <c r="MMR165" s="558"/>
      <c r="MMS165" s="558"/>
      <c r="MMT165" s="558"/>
      <c r="MMU165" s="558"/>
      <c r="MMV165" s="558"/>
      <c r="MMW165" s="558"/>
      <c r="MMX165" s="558"/>
      <c r="MMY165" s="558"/>
      <c r="MMZ165" s="558"/>
      <c r="MNA165" s="558"/>
      <c r="MNB165" s="558"/>
      <c r="MNC165" s="558"/>
      <c r="MND165" s="558"/>
      <c r="MNE165" s="558"/>
      <c r="MNF165" s="558"/>
      <c r="MNG165" s="558"/>
      <c r="MNH165" s="558"/>
      <c r="MNI165" s="558"/>
      <c r="MNJ165" s="558"/>
      <c r="MNK165" s="558"/>
      <c r="MNL165" s="558"/>
      <c r="MNM165" s="558"/>
      <c r="MNN165" s="558"/>
      <c r="MNO165" s="558"/>
      <c r="MNP165" s="558"/>
      <c r="MNQ165" s="558"/>
      <c r="MNR165" s="558"/>
      <c r="MNS165" s="558"/>
      <c r="MNT165" s="558"/>
      <c r="MNU165" s="558"/>
      <c r="MNV165" s="558"/>
      <c r="MNW165" s="558"/>
      <c r="MNX165" s="558"/>
      <c r="MNY165" s="558"/>
      <c r="MNZ165" s="558"/>
      <c r="MOA165" s="558"/>
      <c r="MOB165" s="558"/>
      <c r="MOC165" s="558"/>
      <c r="MOD165" s="558"/>
      <c r="MOE165" s="558"/>
      <c r="MOF165" s="558"/>
      <c r="MOG165" s="558"/>
      <c r="MOH165" s="558"/>
      <c r="MOI165" s="558"/>
      <c r="MOJ165" s="558"/>
      <c r="MOK165" s="558"/>
      <c r="MOL165" s="558"/>
      <c r="MOM165" s="558"/>
      <c r="MON165" s="558"/>
      <c r="MOO165" s="558"/>
      <c r="MOP165" s="558"/>
      <c r="MOQ165" s="558"/>
      <c r="MOR165" s="558"/>
      <c r="MOS165" s="558"/>
      <c r="MOT165" s="558"/>
      <c r="MOU165" s="558"/>
      <c r="MOV165" s="558"/>
      <c r="MOW165" s="558"/>
      <c r="MOX165" s="558"/>
      <c r="MOY165" s="558"/>
      <c r="MOZ165" s="558"/>
      <c r="MPA165" s="558"/>
      <c r="MPB165" s="558"/>
      <c r="MPC165" s="558"/>
      <c r="MPD165" s="558"/>
      <c r="MPE165" s="558"/>
      <c r="MPF165" s="558"/>
      <c r="MPG165" s="558"/>
      <c r="MPH165" s="558"/>
      <c r="MPI165" s="558"/>
      <c r="MPJ165" s="558"/>
      <c r="MPK165" s="558"/>
      <c r="MPL165" s="558"/>
      <c r="MPM165" s="558"/>
      <c r="MPN165" s="558"/>
      <c r="MPO165" s="558"/>
      <c r="MPP165" s="558"/>
      <c r="MPQ165" s="558"/>
      <c r="MPR165" s="558"/>
      <c r="MPS165" s="558"/>
      <c r="MPT165" s="558"/>
      <c r="MPU165" s="558"/>
      <c r="MPV165" s="558"/>
      <c r="MPW165" s="558"/>
      <c r="MPX165" s="558"/>
      <c r="MPY165" s="558"/>
      <c r="MPZ165" s="558"/>
      <c r="MQA165" s="558"/>
      <c r="MQB165" s="558"/>
      <c r="MQC165" s="558"/>
      <c r="MQD165" s="558"/>
      <c r="MQE165" s="558"/>
      <c r="MQF165" s="558"/>
      <c r="MQG165" s="558"/>
      <c r="MQH165" s="558"/>
      <c r="MQI165" s="558"/>
      <c r="MQJ165" s="558"/>
      <c r="MQK165" s="558"/>
      <c r="MQL165" s="558"/>
      <c r="MQM165" s="558"/>
      <c r="MQN165" s="558"/>
      <c r="MQO165" s="558"/>
      <c r="MQP165" s="558"/>
      <c r="MQQ165" s="558"/>
      <c r="MQR165" s="558"/>
      <c r="MQS165" s="558"/>
      <c r="MQT165" s="558"/>
      <c r="MQU165" s="558"/>
      <c r="MQV165" s="558"/>
      <c r="MQW165" s="558"/>
      <c r="MQX165" s="558"/>
      <c r="MQY165" s="558"/>
      <c r="MQZ165" s="558"/>
      <c r="MRA165" s="558"/>
      <c r="MRB165" s="558"/>
      <c r="MRC165" s="558"/>
      <c r="MRD165" s="558"/>
      <c r="MRE165" s="558"/>
      <c r="MRF165" s="558"/>
      <c r="MRG165" s="558"/>
      <c r="MRH165" s="558"/>
      <c r="MRI165" s="558"/>
      <c r="MRJ165" s="558"/>
      <c r="MRK165" s="558"/>
      <c r="MRL165" s="558"/>
      <c r="MRM165" s="558"/>
      <c r="MRN165" s="558"/>
      <c r="MRO165" s="558"/>
      <c r="MRP165" s="558"/>
      <c r="MRQ165" s="558"/>
      <c r="MRR165" s="558"/>
      <c r="MRS165" s="558"/>
      <c r="MRT165" s="558"/>
      <c r="MRU165" s="558"/>
      <c r="MRV165" s="558"/>
      <c r="MRW165" s="558"/>
      <c r="MRX165" s="558"/>
      <c r="MRY165" s="558"/>
      <c r="MRZ165" s="558"/>
      <c r="MSA165" s="558"/>
      <c r="MSB165" s="558"/>
      <c r="MSC165" s="558"/>
      <c r="MSD165" s="558"/>
      <c r="MSE165" s="558"/>
      <c r="MSF165" s="558"/>
      <c r="MSG165" s="558"/>
      <c r="MSH165" s="558"/>
      <c r="MSI165" s="558"/>
      <c r="MSJ165" s="558"/>
      <c r="MSK165" s="558"/>
      <c r="MSL165" s="558"/>
      <c r="MSM165" s="558"/>
      <c r="MSN165" s="558"/>
      <c r="MSO165" s="558"/>
      <c r="MSP165" s="558"/>
      <c r="MSQ165" s="558"/>
      <c r="MSR165" s="558"/>
      <c r="MSS165" s="558"/>
      <c r="MST165" s="558"/>
      <c r="MSU165" s="558"/>
      <c r="MSV165" s="558"/>
      <c r="MSW165" s="558"/>
      <c r="MSX165" s="558"/>
      <c r="MSY165" s="558"/>
      <c r="MSZ165" s="558"/>
      <c r="MTA165" s="558"/>
      <c r="MTB165" s="558"/>
      <c r="MTC165" s="558"/>
      <c r="MTD165" s="558"/>
      <c r="MTE165" s="558"/>
      <c r="MTF165" s="558"/>
      <c r="MTG165" s="558"/>
      <c r="MTH165" s="558"/>
      <c r="MTI165" s="558"/>
      <c r="MTJ165" s="558"/>
      <c r="MTK165" s="558"/>
      <c r="MTL165" s="558"/>
      <c r="MTM165" s="558"/>
      <c r="MTN165" s="558"/>
      <c r="MTO165" s="558"/>
      <c r="MTP165" s="558"/>
      <c r="MTQ165" s="558"/>
      <c r="MTR165" s="558"/>
      <c r="MTS165" s="558"/>
      <c r="MTT165" s="558"/>
      <c r="MTU165" s="558"/>
      <c r="MTV165" s="558"/>
      <c r="MTW165" s="558"/>
      <c r="MTX165" s="558"/>
      <c r="MTY165" s="558"/>
      <c r="MTZ165" s="558"/>
      <c r="MUA165" s="558"/>
      <c r="MUB165" s="558"/>
      <c r="MUC165" s="558"/>
      <c r="MUD165" s="558"/>
      <c r="MUE165" s="558"/>
      <c r="MUF165" s="558"/>
      <c r="MUG165" s="558"/>
      <c r="MUH165" s="558"/>
      <c r="MUI165" s="558"/>
      <c r="MUJ165" s="558"/>
      <c r="MUK165" s="558"/>
      <c r="MUL165" s="558"/>
      <c r="MUM165" s="558"/>
      <c r="MUN165" s="558"/>
      <c r="MUO165" s="558"/>
      <c r="MUP165" s="558"/>
      <c r="MUQ165" s="558"/>
      <c r="MUR165" s="558"/>
      <c r="MUS165" s="558"/>
      <c r="MUT165" s="558"/>
      <c r="MUU165" s="558"/>
      <c r="MUV165" s="558"/>
      <c r="MUW165" s="558"/>
      <c r="MUX165" s="558"/>
      <c r="MUY165" s="558"/>
      <c r="MUZ165" s="558"/>
      <c r="MVA165" s="558"/>
      <c r="MVB165" s="558"/>
      <c r="MVC165" s="558"/>
      <c r="MVD165" s="558"/>
      <c r="MVE165" s="558"/>
      <c r="MVF165" s="558"/>
      <c r="MVG165" s="558"/>
      <c r="MVH165" s="558"/>
      <c r="MVI165" s="558"/>
      <c r="MVJ165" s="558"/>
      <c r="MVK165" s="558"/>
      <c r="MVL165" s="558"/>
      <c r="MVM165" s="558"/>
      <c r="MVN165" s="558"/>
      <c r="MVO165" s="558"/>
      <c r="MVP165" s="558"/>
      <c r="MVQ165" s="558"/>
      <c r="MVR165" s="558"/>
      <c r="MVS165" s="558"/>
      <c r="MVT165" s="558"/>
      <c r="MVU165" s="558"/>
      <c r="MVV165" s="558"/>
      <c r="MVW165" s="558"/>
      <c r="MVX165" s="558"/>
      <c r="MVY165" s="558"/>
      <c r="MVZ165" s="558"/>
      <c r="MWA165" s="558"/>
      <c r="MWB165" s="558"/>
      <c r="MWC165" s="558"/>
      <c r="MWD165" s="558"/>
      <c r="MWE165" s="558"/>
      <c r="MWF165" s="558"/>
      <c r="MWG165" s="558"/>
      <c r="MWH165" s="558"/>
      <c r="MWI165" s="558"/>
      <c r="MWJ165" s="558"/>
      <c r="MWK165" s="558"/>
      <c r="MWL165" s="558"/>
      <c r="MWM165" s="558"/>
      <c r="MWN165" s="558"/>
      <c r="MWO165" s="558"/>
      <c r="MWP165" s="558"/>
      <c r="MWQ165" s="558"/>
      <c r="MWR165" s="558"/>
      <c r="MWS165" s="558"/>
      <c r="MWT165" s="558"/>
      <c r="MWU165" s="558"/>
      <c r="MWV165" s="558"/>
      <c r="MWW165" s="558"/>
      <c r="MWX165" s="558"/>
      <c r="MWY165" s="558"/>
      <c r="MWZ165" s="558"/>
      <c r="MXA165" s="558"/>
      <c r="MXB165" s="558"/>
      <c r="MXC165" s="558"/>
      <c r="MXD165" s="558"/>
      <c r="MXE165" s="558"/>
      <c r="MXF165" s="558"/>
      <c r="MXG165" s="558"/>
      <c r="MXH165" s="558"/>
      <c r="MXI165" s="558"/>
      <c r="MXJ165" s="558"/>
      <c r="MXK165" s="558"/>
      <c r="MXL165" s="558"/>
      <c r="MXM165" s="558"/>
      <c r="MXN165" s="558"/>
      <c r="MXO165" s="558"/>
      <c r="MXP165" s="558"/>
      <c r="MXQ165" s="558"/>
      <c r="MXR165" s="558"/>
      <c r="MXS165" s="558"/>
      <c r="MXT165" s="558"/>
      <c r="MXU165" s="558"/>
      <c r="MXV165" s="558"/>
      <c r="MXW165" s="558"/>
      <c r="MXX165" s="558"/>
      <c r="MXY165" s="558"/>
      <c r="MXZ165" s="558"/>
      <c r="MYA165" s="558"/>
      <c r="MYB165" s="558"/>
      <c r="MYC165" s="558"/>
      <c r="MYD165" s="558"/>
      <c r="MYE165" s="558"/>
      <c r="MYF165" s="558"/>
      <c r="MYG165" s="558"/>
      <c r="MYH165" s="558"/>
      <c r="MYI165" s="558"/>
      <c r="MYJ165" s="558"/>
      <c r="MYK165" s="558"/>
      <c r="MYL165" s="558"/>
      <c r="MYM165" s="558"/>
      <c r="MYN165" s="558"/>
      <c r="MYO165" s="558"/>
      <c r="MYP165" s="558"/>
      <c r="MYQ165" s="558"/>
      <c r="MYR165" s="558"/>
      <c r="MYS165" s="558"/>
      <c r="MYT165" s="558"/>
      <c r="MYU165" s="558"/>
      <c r="MYV165" s="558"/>
      <c r="MYW165" s="558"/>
      <c r="MYX165" s="558"/>
      <c r="MYY165" s="558"/>
      <c r="MYZ165" s="558"/>
      <c r="MZA165" s="558"/>
      <c r="MZB165" s="558"/>
      <c r="MZC165" s="558"/>
      <c r="MZD165" s="558"/>
      <c r="MZE165" s="558"/>
      <c r="MZF165" s="558"/>
      <c r="MZG165" s="558"/>
      <c r="MZH165" s="558"/>
      <c r="MZI165" s="558"/>
      <c r="MZJ165" s="558"/>
      <c r="MZK165" s="558"/>
      <c r="MZL165" s="558"/>
      <c r="MZM165" s="558"/>
      <c r="MZN165" s="558"/>
      <c r="MZO165" s="558"/>
      <c r="MZP165" s="558"/>
      <c r="MZQ165" s="558"/>
      <c r="MZR165" s="558"/>
      <c r="MZS165" s="558"/>
      <c r="MZT165" s="558"/>
      <c r="MZU165" s="558"/>
      <c r="MZV165" s="558"/>
      <c r="MZW165" s="558"/>
      <c r="MZX165" s="558"/>
      <c r="MZY165" s="558"/>
      <c r="MZZ165" s="558"/>
      <c r="NAA165" s="558"/>
      <c r="NAB165" s="558"/>
      <c r="NAC165" s="558"/>
      <c r="NAD165" s="558"/>
      <c r="NAE165" s="558"/>
      <c r="NAF165" s="558"/>
      <c r="NAG165" s="558"/>
      <c r="NAH165" s="558"/>
      <c r="NAI165" s="558"/>
      <c r="NAJ165" s="558"/>
      <c r="NAK165" s="558"/>
      <c r="NAL165" s="558"/>
      <c r="NAM165" s="558"/>
      <c r="NAN165" s="558"/>
      <c r="NAO165" s="558"/>
      <c r="NAP165" s="558"/>
      <c r="NAQ165" s="558"/>
      <c r="NAR165" s="558"/>
      <c r="NAS165" s="558"/>
      <c r="NAT165" s="558"/>
      <c r="NAU165" s="558"/>
      <c r="NAV165" s="558"/>
      <c r="NAW165" s="558"/>
      <c r="NAX165" s="558"/>
      <c r="NAY165" s="558"/>
      <c r="NAZ165" s="558"/>
      <c r="NBA165" s="558"/>
      <c r="NBB165" s="558"/>
      <c r="NBC165" s="558"/>
      <c r="NBD165" s="558"/>
      <c r="NBE165" s="558"/>
      <c r="NBF165" s="558"/>
      <c r="NBG165" s="558"/>
      <c r="NBH165" s="558"/>
      <c r="NBI165" s="558"/>
      <c r="NBJ165" s="558"/>
      <c r="NBK165" s="558"/>
      <c r="NBL165" s="558"/>
      <c r="NBM165" s="558"/>
      <c r="NBN165" s="558"/>
      <c r="NBO165" s="558"/>
      <c r="NBP165" s="558"/>
      <c r="NBQ165" s="558"/>
      <c r="NBR165" s="558"/>
      <c r="NBS165" s="558"/>
      <c r="NBT165" s="558"/>
      <c r="NBU165" s="558"/>
      <c r="NBV165" s="558"/>
      <c r="NBW165" s="558"/>
      <c r="NBX165" s="558"/>
      <c r="NBY165" s="558"/>
      <c r="NBZ165" s="558"/>
      <c r="NCA165" s="558"/>
      <c r="NCB165" s="558"/>
      <c r="NCC165" s="558"/>
      <c r="NCD165" s="558"/>
      <c r="NCE165" s="558"/>
      <c r="NCF165" s="558"/>
      <c r="NCG165" s="558"/>
      <c r="NCH165" s="558"/>
      <c r="NCI165" s="558"/>
      <c r="NCJ165" s="558"/>
      <c r="NCK165" s="558"/>
      <c r="NCL165" s="558"/>
      <c r="NCM165" s="558"/>
      <c r="NCN165" s="558"/>
      <c r="NCO165" s="558"/>
      <c r="NCP165" s="558"/>
      <c r="NCQ165" s="558"/>
      <c r="NCR165" s="558"/>
      <c r="NCS165" s="558"/>
      <c r="NCT165" s="558"/>
      <c r="NCU165" s="558"/>
      <c r="NCV165" s="558"/>
      <c r="NCW165" s="558"/>
      <c r="NCX165" s="558"/>
      <c r="NCY165" s="558"/>
      <c r="NCZ165" s="558"/>
      <c r="NDA165" s="558"/>
      <c r="NDB165" s="558"/>
      <c r="NDC165" s="558"/>
      <c r="NDD165" s="558"/>
      <c r="NDE165" s="558"/>
      <c r="NDF165" s="558"/>
      <c r="NDG165" s="558"/>
      <c r="NDH165" s="558"/>
      <c r="NDI165" s="558"/>
      <c r="NDJ165" s="558"/>
      <c r="NDK165" s="558"/>
      <c r="NDL165" s="558"/>
      <c r="NDM165" s="558"/>
      <c r="NDN165" s="558"/>
      <c r="NDO165" s="558"/>
      <c r="NDP165" s="558"/>
      <c r="NDQ165" s="558"/>
      <c r="NDR165" s="558"/>
      <c r="NDS165" s="558"/>
      <c r="NDT165" s="558"/>
      <c r="NDU165" s="558"/>
      <c r="NDV165" s="558"/>
      <c r="NDW165" s="558"/>
      <c r="NDX165" s="558"/>
      <c r="NDY165" s="558"/>
      <c r="NDZ165" s="558"/>
      <c r="NEA165" s="558"/>
      <c r="NEB165" s="558"/>
      <c r="NEC165" s="558"/>
      <c r="NED165" s="558"/>
      <c r="NEE165" s="558"/>
      <c r="NEF165" s="558"/>
      <c r="NEG165" s="558"/>
      <c r="NEH165" s="558"/>
      <c r="NEI165" s="558"/>
      <c r="NEJ165" s="558"/>
      <c r="NEK165" s="558"/>
      <c r="NEL165" s="558"/>
      <c r="NEM165" s="558"/>
      <c r="NEN165" s="558"/>
      <c r="NEO165" s="558"/>
      <c r="NEP165" s="558"/>
      <c r="NEQ165" s="558"/>
      <c r="NER165" s="558"/>
      <c r="NES165" s="558"/>
      <c r="NET165" s="558"/>
      <c r="NEU165" s="558"/>
      <c r="NEV165" s="558"/>
      <c r="NEW165" s="558"/>
      <c r="NEX165" s="558"/>
      <c r="NEY165" s="558"/>
      <c r="NEZ165" s="558"/>
      <c r="NFA165" s="558"/>
      <c r="NFB165" s="558"/>
      <c r="NFC165" s="558"/>
      <c r="NFD165" s="558"/>
      <c r="NFE165" s="558"/>
      <c r="NFF165" s="558"/>
      <c r="NFG165" s="558"/>
      <c r="NFH165" s="558"/>
      <c r="NFI165" s="558"/>
      <c r="NFJ165" s="558"/>
      <c r="NFK165" s="558"/>
      <c r="NFL165" s="558"/>
      <c r="NFM165" s="558"/>
      <c r="NFN165" s="558"/>
      <c r="NFO165" s="558"/>
      <c r="NFP165" s="558"/>
      <c r="NFQ165" s="558"/>
      <c r="NFR165" s="558"/>
      <c r="NFS165" s="558"/>
      <c r="NFT165" s="558"/>
      <c r="NFU165" s="558"/>
      <c r="NFV165" s="558"/>
      <c r="NFW165" s="558"/>
      <c r="NFX165" s="558"/>
      <c r="NFY165" s="558"/>
      <c r="NFZ165" s="558"/>
      <c r="NGA165" s="558"/>
      <c r="NGB165" s="558"/>
      <c r="NGC165" s="558"/>
      <c r="NGD165" s="558"/>
      <c r="NGE165" s="558"/>
      <c r="NGF165" s="558"/>
      <c r="NGG165" s="558"/>
      <c r="NGH165" s="558"/>
      <c r="NGI165" s="558"/>
      <c r="NGJ165" s="558"/>
      <c r="NGK165" s="558"/>
      <c r="NGL165" s="558"/>
      <c r="NGM165" s="558"/>
      <c r="NGN165" s="558"/>
      <c r="NGO165" s="558"/>
      <c r="NGP165" s="558"/>
      <c r="NGQ165" s="558"/>
      <c r="NGR165" s="558"/>
      <c r="NGS165" s="558"/>
      <c r="NGT165" s="558"/>
      <c r="NGU165" s="558"/>
      <c r="NGV165" s="558"/>
      <c r="NGW165" s="558"/>
      <c r="NGX165" s="558"/>
      <c r="NGY165" s="558"/>
      <c r="NGZ165" s="558"/>
      <c r="NHA165" s="558"/>
      <c r="NHB165" s="558"/>
      <c r="NHC165" s="558"/>
      <c r="NHD165" s="558"/>
      <c r="NHE165" s="558"/>
      <c r="NHF165" s="558"/>
      <c r="NHG165" s="558"/>
      <c r="NHH165" s="558"/>
      <c r="NHI165" s="558"/>
      <c r="NHJ165" s="558"/>
      <c r="NHK165" s="558"/>
      <c r="NHL165" s="558"/>
      <c r="NHM165" s="558"/>
      <c r="NHN165" s="558"/>
      <c r="NHO165" s="558"/>
      <c r="NHP165" s="558"/>
      <c r="NHQ165" s="558"/>
      <c r="NHR165" s="558"/>
      <c r="NHS165" s="558"/>
      <c r="NHT165" s="558"/>
      <c r="NHU165" s="558"/>
      <c r="NHV165" s="558"/>
      <c r="NHW165" s="558"/>
      <c r="NHX165" s="558"/>
      <c r="NHY165" s="558"/>
      <c r="NHZ165" s="558"/>
      <c r="NIA165" s="558"/>
      <c r="NIB165" s="558"/>
      <c r="NIC165" s="558"/>
      <c r="NID165" s="558"/>
      <c r="NIE165" s="558"/>
      <c r="NIF165" s="558"/>
      <c r="NIG165" s="558"/>
      <c r="NIH165" s="558"/>
      <c r="NII165" s="558"/>
      <c r="NIJ165" s="558"/>
      <c r="NIK165" s="558"/>
      <c r="NIL165" s="558"/>
      <c r="NIM165" s="558"/>
      <c r="NIN165" s="558"/>
      <c r="NIO165" s="558"/>
      <c r="NIP165" s="558"/>
      <c r="NIQ165" s="558"/>
      <c r="NIR165" s="558"/>
      <c r="NIS165" s="558"/>
      <c r="NIT165" s="558"/>
      <c r="NIU165" s="558"/>
      <c r="NIV165" s="558"/>
      <c r="NIW165" s="558"/>
      <c r="NIX165" s="558"/>
      <c r="NIY165" s="558"/>
      <c r="NIZ165" s="558"/>
      <c r="NJA165" s="558"/>
      <c r="NJB165" s="558"/>
      <c r="NJC165" s="558"/>
      <c r="NJD165" s="558"/>
      <c r="NJE165" s="558"/>
      <c r="NJF165" s="558"/>
      <c r="NJG165" s="558"/>
      <c r="NJH165" s="558"/>
      <c r="NJI165" s="558"/>
      <c r="NJJ165" s="558"/>
      <c r="NJK165" s="558"/>
      <c r="NJL165" s="558"/>
      <c r="NJM165" s="558"/>
      <c r="NJN165" s="558"/>
      <c r="NJO165" s="558"/>
      <c r="NJP165" s="558"/>
      <c r="NJQ165" s="558"/>
      <c r="NJR165" s="558"/>
      <c r="NJS165" s="558"/>
      <c r="NJT165" s="558"/>
      <c r="NJU165" s="558"/>
      <c r="NJV165" s="558"/>
      <c r="NJW165" s="558"/>
      <c r="NJX165" s="558"/>
      <c r="NJY165" s="558"/>
      <c r="NJZ165" s="558"/>
      <c r="NKA165" s="558"/>
      <c r="NKB165" s="558"/>
      <c r="NKC165" s="558"/>
      <c r="NKD165" s="558"/>
      <c r="NKE165" s="558"/>
      <c r="NKF165" s="558"/>
      <c r="NKG165" s="558"/>
      <c r="NKH165" s="558"/>
      <c r="NKI165" s="558"/>
      <c r="NKJ165" s="558"/>
      <c r="NKK165" s="558"/>
      <c r="NKL165" s="558"/>
      <c r="NKM165" s="558"/>
      <c r="NKN165" s="558"/>
      <c r="NKO165" s="558"/>
      <c r="NKP165" s="558"/>
      <c r="NKQ165" s="558"/>
      <c r="NKR165" s="558"/>
      <c r="NKS165" s="558"/>
      <c r="NKT165" s="558"/>
      <c r="NKU165" s="558"/>
      <c r="NKV165" s="558"/>
      <c r="NKW165" s="558"/>
      <c r="NKX165" s="558"/>
      <c r="NKY165" s="558"/>
      <c r="NKZ165" s="558"/>
      <c r="NLA165" s="558"/>
      <c r="NLB165" s="558"/>
      <c r="NLC165" s="558"/>
      <c r="NLD165" s="558"/>
      <c r="NLE165" s="558"/>
      <c r="NLF165" s="558"/>
      <c r="NLG165" s="558"/>
      <c r="NLH165" s="558"/>
      <c r="NLI165" s="558"/>
      <c r="NLJ165" s="558"/>
      <c r="NLK165" s="558"/>
      <c r="NLL165" s="558"/>
      <c r="NLM165" s="558"/>
      <c r="NLN165" s="558"/>
      <c r="NLO165" s="558"/>
      <c r="NLP165" s="558"/>
      <c r="NLQ165" s="558"/>
      <c r="NLR165" s="558"/>
      <c r="NLS165" s="558"/>
      <c r="NLT165" s="558"/>
      <c r="NLU165" s="558"/>
      <c r="NLV165" s="558"/>
      <c r="NLW165" s="558"/>
      <c r="NLX165" s="558"/>
      <c r="NLY165" s="558"/>
      <c r="NLZ165" s="558"/>
      <c r="NMA165" s="558"/>
      <c r="NMB165" s="558"/>
      <c r="NMC165" s="558"/>
      <c r="NMD165" s="558"/>
      <c r="NME165" s="558"/>
      <c r="NMF165" s="558"/>
      <c r="NMG165" s="558"/>
      <c r="NMH165" s="558"/>
      <c r="NMI165" s="558"/>
      <c r="NMJ165" s="558"/>
      <c r="NMK165" s="558"/>
      <c r="NML165" s="558"/>
      <c r="NMM165" s="558"/>
      <c r="NMN165" s="558"/>
      <c r="NMO165" s="558"/>
      <c r="NMP165" s="558"/>
      <c r="NMQ165" s="558"/>
      <c r="NMR165" s="558"/>
      <c r="NMS165" s="558"/>
      <c r="NMT165" s="558"/>
      <c r="NMU165" s="558"/>
      <c r="NMV165" s="558"/>
      <c r="NMW165" s="558"/>
      <c r="NMX165" s="558"/>
      <c r="NMY165" s="558"/>
      <c r="NMZ165" s="558"/>
      <c r="NNA165" s="558"/>
      <c r="NNB165" s="558"/>
      <c r="NNC165" s="558"/>
      <c r="NND165" s="558"/>
      <c r="NNE165" s="558"/>
      <c r="NNF165" s="558"/>
      <c r="NNG165" s="558"/>
      <c r="NNH165" s="558"/>
      <c r="NNI165" s="558"/>
      <c r="NNJ165" s="558"/>
      <c r="NNK165" s="558"/>
      <c r="NNL165" s="558"/>
      <c r="NNM165" s="558"/>
      <c r="NNN165" s="558"/>
      <c r="NNO165" s="558"/>
      <c r="NNP165" s="558"/>
      <c r="NNQ165" s="558"/>
      <c r="NNR165" s="558"/>
      <c r="NNS165" s="558"/>
      <c r="NNT165" s="558"/>
      <c r="NNU165" s="558"/>
      <c r="NNV165" s="558"/>
      <c r="NNW165" s="558"/>
      <c r="NNX165" s="558"/>
      <c r="NNY165" s="558"/>
      <c r="NNZ165" s="558"/>
      <c r="NOA165" s="558"/>
      <c r="NOB165" s="558"/>
      <c r="NOC165" s="558"/>
      <c r="NOD165" s="558"/>
      <c r="NOE165" s="558"/>
      <c r="NOF165" s="558"/>
      <c r="NOG165" s="558"/>
      <c r="NOH165" s="558"/>
      <c r="NOI165" s="558"/>
      <c r="NOJ165" s="558"/>
      <c r="NOK165" s="558"/>
      <c r="NOL165" s="558"/>
      <c r="NOM165" s="558"/>
      <c r="NON165" s="558"/>
      <c r="NOO165" s="558"/>
      <c r="NOP165" s="558"/>
      <c r="NOQ165" s="558"/>
      <c r="NOR165" s="558"/>
      <c r="NOS165" s="558"/>
      <c r="NOT165" s="558"/>
      <c r="NOU165" s="558"/>
      <c r="NOV165" s="558"/>
      <c r="NOW165" s="558"/>
      <c r="NOX165" s="558"/>
      <c r="NOY165" s="558"/>
      <c r="NOZ165" s="558"/>
      <c r="NPA165" s="558"/>
      <c r="NPB165" s="558"/>
      <c r="NPC165" s="558"/>
      <c r="NPD165" s="558"/>
      <c r="NPE165" s="558"/>
      <c r="NPF165" s="558"/>
      <c r="NPG165" s="558"/>
      <c r="NPH165" s="558"/>
      <c r="NPI165" s="558"/>
      <c r="NPJ165" s="558"/>
      <c r="NPK165" s="558"/>
      <c r="NPL165" s="558"/>
      <c r="NPM165" s="558"/>
      <c r="NPN165" s="558"/>
      <c r="NPO165" s="558"/>
      <c r="NPP165" s="558"/>
      <c r="NPQ165" s="558"/>
      <c r="NPR165" s="558"/>
      <c r="NPS165" s="558"/>
      <c r="NPT165" s="558"/>
      <c r="NPU165" s="558"/>
      <c r="NPV165" s="558"/>
      <c r="NPW165" s="558"/>
      <c r="NPX165" s="558"/>
      <c r="NPY165" s="558"/>
      <c r="NPZ165" s="558"/>
      <c r="NQA165" s="558"/>
      <c r="NQB165" s="558"/>
      <c r="NQC165" s="558"/>
      <c r="NQD165" s="558"/>
      <c r="NQE165" s="558"/>
      <c r="NQF165" s="558"/>
      <c r="NQG165" s="558"/>
      <c r="NQH165" s="558"/>
      <c r="NQI165" s="558"/>
      <c r="NQJ165" s="558"/>
      <c r="NQK165" s="558"/>
      <c r="NQL165" s="558"/>
      <c r="NQM165" s="558"/>
      <c r="NQN165" s="558"/>
      <c r="NQO165" s="558"/>
      <c r="NQP165" s="558"/>
      <c r="NQQ165" s="558"/>
      <c r="NQR165" s="558"/>
      <c r="NQS165" s="558"/>
      <c r="NQT165" s="558"/>
      <c r="NQU165" s="558"/>
      <c r="NQV165" s="558"/>
      <c r="NQW165" s="558"/>
      <c r="NQX165" s="558"/>
      <c r="NQY165" s="558"/>
      <c r="NQZ165" s="558"/>
      <c r="NRA165" s="558"/>
      <c r="NRB165" s="558"/>
      <c r="NRC165" s="558"/>
      <c r="NRD165" s="558"/>
      <c r="NRE165" s="558"/>
      <c r="NRF165" s="558"/>
      <c r="NRG165" s="558"/>
      <c r="NRH165" s="558"/>
      <c r="NRI165" s="558"/>
      <c r="NRJ165" s="558"/>
      <c r="NRK165" s="558"/>
      <c r="NRL165" s="558"/>
      <c r="NRM165" s="558"/>
      <c r="NRN165" s="558"/>
      <c r="NRO165" s="558"/>
      <c r="NRP165" s="558"/>
      <c r="NRQ165" s="558"/>
      <c r="NRR165" s="558"/>
      <c r="NRS165" s="558"/>
      <c r="NRT165" s="558"/>
      <c r="NRU165" s="558"/>
      <c r="NRV165" s="558"/>
      <c r="NRW165" s="558"/>
      <c r="NRX165" s="558"/>
      <c r="NRY165" s="558"/>
      <c r="NRZ165" s="558"/>
      <c r="NSA165" s="558"/>
      <c r="NSB165" s="558"/>
      <c r="NSC165" s="558"/>
      <c r="NSD165" s="558"/>
      <c r="NSE165" s="558"/>
      <c r="NSF165" s="558"/>
      <c r="NSG165" s="558"/>
      <c r="NSH165" s="558"/>
      <c r="NSI165" s="558"/>
      <c r="NSJ165" s="558"/>
      <c r="NSK165" s="558"/>
      <c r="NSL165" s="558"/>
      <c r="NSM165" s="558"/>
      <c r="NSN165" s="558"/>
      <c r="NSO165" s="558"/>
      <c r="NSP165" s="558"/>
      <c r="NSQ165" s="558"/>
      <c r="NSR165" s="558"/>
      <c r="NSS165" s="558"/>
      <c r="NST165" s="558"/>
      <c r="NSU165" s="558"/>
      <c r="NSV165" s="558"/>
      <c r="NSW165" s="558"/>
      <c r="NSX165" s="558"/>
      <c r="NSY165" s="558"/>
      <c r="NSZ165" s="558"/>
      <c r="NTA165" s="558"/>
      <c r="NTB165" s="558"/>
      <c r="NTC165" s="558"/>
      <c r="NTD165" s="558"/>
      <c r="NTE165" s="558"/>
      <c r="NTF165" s="558"/>
      <c r="NTG165" s="558"/>
      <c r="NTH165" s="558"/>
      <c r="NTI165" s="558"/>
      <c r="NTJ165" s="558"/>
      <c r="NTK165" s="558"/>
      <c r="NTL165" s="558"/>
      <c r="NTM165" s="558"/>
      <c r="NTN165" s="558"/>
      <c r="NTO165" s="558"/>
      <c r="NTP165" s="558"/>
      <c r="NTQ165" s="558"/>
      <c r="NTR165" s="558"/>
      <c r="NTS165" s="558"/>
      <c r="NTT165" s="558"/>
      <c r="NTU165" s="558"/>
      <c r="NTV165" s="558"/>
      <c r="NTW165" s="558"/>
      <c r="NTX165" s="558"/>
      <c r="NTY165" s="558"/>
      <c r="NTZ165" s="558"/>
      <c r="NUA165" s="558"/>
      <c r="NUB165" s="558"/>
      <c r="NUC165" s="558"/>
      <c r="NUD165" s="558"/>
      <c r="NUE165" s="558"/>
      <c r="NUF165" s="558"/>
      <c r="NUG165" s="558"/>
      <c r="NUH165" s="558"/>
      <c r="NUI165" s="558"/>
      <c r="NUJ165" s="558"/>
      <c r="NUK165" s="558"/>
      <c r="NUL165" s="558"/>
      <c r="NUM165" s="558"/>
      <c r="NUN165" s="558"/>
      <c r="NUO165" s="558"/>
      <c r="NUP165" s="558"/>
      <c r="NUQ165" s="558"/>
      <c r="NUR165" s="558"/>
      <c r="NUS165" s="558"/>
      <c r="NUT165" s="558"/>
      <c r="NUU165" s="558"/>
      <c r="NUV165" s="558"/>
      <c r="NUW165" s="558"/>
      <c r="NUX165" s="558"/>
      <c r="NUY165" s="558"/>
      <c r="NUZ165" s="558"/>
      <c r="NVA165" s="558"/>
      <c r="NVB165" s="558"/>
      <c r="NVC165" s="558"/>
      <c r="NVD165" s="558"/>
      <c r="NVE165" s="558"/>
      <c r="NVF165" s="558"/>
      <c r="NVG165" s="558"/>
      <c r="NVH165" s="558"/>
      <c r="NVI165" s="558"/>
      <c r="NVJ165" s="558"/>
      <c r="NVK165" s="558"/>
      <c r="NVL165" s="558"/>
      <c r="NVM165" s="558"/>
      <c r="NVN165" s="558"/>
      <c r="NVO165" s="558"/>
      <c r="NVP165" s="558"/>
      <c r="NVQ165" s="558"/>
      <c r="NVR165" s="558"/>
      <c r="NVS165" s="558"/>
      <c r="NVT165" s="558"/>
      <c r="NVU165" s="558"/>
      <c r="NVV165" s="558"/>
      <c r="NVW165" s="558"/>
      <c r="NVX165" s="558"/>
      <c r="NVY165" s="558"/>
      <c r="NVZ165" s="558"/>
      <c r="NWA165" s="558"/>
      <c r="NWB165" s="558"/>
      <c r="NWC165" s="558"/>
      <c r="NWD165" s="558"/>
      <c r="NWE165" s="558"/>
      <c r="NWF165" s="558"/>
      <c r="NWG165" s="558"/>
      <c r="NWH165" s="558"/>
      <c r="NWI165" s="558"/>
      <c r="NWJ165" s="558"/>
      <c r="NWK165" s="558"/>
      <c r="NWL165" s="558"/>
      <c r="NWM165" s="558"/>
      <c r="NWN165" s="558"/>
      <c r="NWO165" s="558"/>
      <c r="NWP165" s="558"/>
      <c r="NWQ165" s="558"/>
      <c r="NWR165" s="558"/>
      <c r="NWS165" s="558"/>
      <c r="NWT165" s="558"/>
      <c r="NWU165" s="558"/>
      <c r="NWV165" s="558"/>
      <c r="NWW165" s="558"/>
      <c r="NWX165" s="558"/>
      <c r="NWY165" s="558"/>
      <c r="NWZ165" s="558"/>
      <c r="NXA165" s="558"/>
      <c r="NXB165" s="558"/>
      <c r="NXC165" s="558"/>
      <c r="NXD165" s="558"/>
      <c r="NXE165" s="558"/>
      <c r="NXF165" s="558"/>
      <c r="NXG165" s="558"/>
      <c r="NXH165" s="558"/>
      <c r="NXI165" s="558"/>
      <c r="NXJ165" s="558"/>
      <c r="NXK165" s="558"/>
      <c r="NXL165" s="558"/>
      <c r="NXM165" s="558"/>
      <c r="NXN165" s="558"/>
      <c r="NXO165" s="558"/>
      <c r="NXP165" s="558"/>
      <c r="NXQ165" s="558"/>
      <c r="NXR165" s="558"/>
      <c r="NXS165" s="558"/>
      <c r="NXT165" s="558"/>
      <c r="NXU165" s="558"/>
      <c r="NXV165" s="558"/>
      <c r="NXW165" s="558"/>
      <c r="NXX165" s="558"/>
      <c r="NXY165" s="558"/>
      <c r="NXZ165" s="558"/>
      <c r="NYA165" s="558"/>
      <c r="NYB165" s="558"/>
      <c r="NYC165" s="558"/>
      <c r="NYD165" s="558"/>
      <c r="NYE165" s="558"/>
      <c r="NYF165" s="558"/>
      <c r="NYG165" s="558"/>
      <c r="NYH165" s="558"/>
      <c r="NYI165" s="558"/>
      <c r="NYJ165" s="558"/>
      <c r="NYK165" s="558"/>
      <c r="NYL165" s="558"/>
      <c r="NYM165" s="558"/>
      <c r="NYN165" s="558"/>
      <c r="NYO165" s="558"/>
      <c r="NYP165" s="558"/>
      <c r="NYQ165" s="558"/>
      <c r="NYR165" s="558"/>
      <c r="NYS165" s="558"/>
      <c r="NYT165" s="558"/>
      <c r="NYU165" s="558"/>
      <c r="NYV165" s="558"/>
      <c r="NYW165" s="558"/>
      <c r="NYX165" s="558"/>
      <c r="NYY165" s="558"/>
      <c r="NYZ165" s="558"/>
      <c r="NZA165" s="558"/>
      <c r="NZB165" s="558"/>
      <c r="NZC165" s="558"/>
      <c r="NZD165" s="558"/>
      <c r="NZE165" s="558"/>
      <c r="NZF165" s="558"/>
      <c r="NZG165" s="558"/>
      <c r="NZH165" s="558"/>
      <c r="NZI165" s="558"/>
      <c r="NZJ165" s="558"/>
      <c r="NZK165" s="558"/>
      <c r="NZL165" s="558"/>
      <c r="NZM165" s="558"/>
      <c r="NZN165" s="558"/>
      <c r="NZO165" s="558"/>
      <c r="NZP165" s="558"/>
      <c r="NZQ165" s="558"/>
      <c r="NZR165" s="558"/>
      <c r="NZS165" s="558"/>
      <c r="NZT165" s="558"/>
      <c r="NZU165" s="558"/>
      <c r="NZV165" s="558"/>
      <c r="NZW165" s="558"/>
      <c r="NZX165" s="558"/>
      <c r="NZY165" s="558"/>
      <c r="NZZ165" s="558"/>
      <c r="OAA165" s="558"/>
      <c r="OAB165" s="558"/>
      <c r="OAC165" s="558"/>
      <c r="OAD165" s="558"/>
      <c r="OAE165" s="558"/>
      <c r="OAF165" s="558"/>
      <c r="OAG165" s="558"/>
      <c r="OAH165" s="558"/>
      <c r="OAI165" s="558"/>
      <c r="OAJ165" s="558"/>
      <c r="OAK165" s="558"/>
      <c r="OAL165" s="558"/>
      <c r="OAM165" s="558"/>
      <c r="OAN165" s="558"/>
      <c r="OAO165" s="558"/>
      <c r="OAP165" s="558"/>
      <c r="OAQ165" s="558"/>
      <c r="OAR165" s="558"/>
      <c r="OAS165" s="558"/>
      <c r="OAT165" s="558"/>
      <c r="OAU165" s="558"/>
      <c r="OAV165" s="558"/>
      <c r="OAW165" s="558"/>
      <c r="OAX165" s="558"/>
      <c r="OAY165" s="558"/>
      <c r="OAZ165" s="558"/>
      <c r="OBA165" s="558"/>
      <c r="OBB165" s="558"/>
      <c r="OBC165" s="558"/>
      <c r="OBD165" s="558"/>
      <c r="OBE165" s="558"/>
      <c r="OBF165" s="558"/>
      <c r="OBG165" s="558"/>
      <c r="OBH165" s="558"/>
      <c r="OBI165" s="558"/>
      <c r="OBJ165" s="558"/>
      <c r="OBK165" s="558"/>
      <c r="OBL165" s="558"/>
      <c r="OBM165" s="558"/>
      <c r="OBN165" s="558"/>
      <c r="OBO165" s="558"/>
      <c r="OBP165" s="558"/>
      <c r="OBQ165" s="558"/>
      <c r="OBR165" s="558"/>
      <c r="OBS165" s="558"/>
      <c r="OBT165" s="558"/>
      <c r="OBU165" s="558"/>
      <c r="OBV165" s="558"/>
      <c r="OBW165" s="558"/>
      <c r="OBX165" s="558"/>
      <c r="OBY165" s="558"/>
      <c r="OBZ165" s="558"/>
      <c r="OCA165" s="558"/>
      <c r="OCB165" s="558"/>
      <c r="OCC165" s="558"/>
      <c r="OCD165" s="558"/>
      <c r="OCE165" s="558"/>
      <c r="OCF165" s="558"/>
      <c r="OCG165" s="558"/>
      <c r="OCH165" s="558"/>
      <c r="OCI165" s="558"/>
      <c r="OCJ165" s="558"/>
      <c r="OCK165" s="558"/>
      <c r="OCL165" s="558"/>
      <c r="OCM165" s="558"/>
      <c r="OCN165" s="558"/>
      <c r="OCO165" s="558"/>
      <c r="OCP165" s="558"/>
      <c r="OCQ165" s="558"/>
      <c r="OCR165" s="558"/>
      <c r="OCS165" s="558"/>
      <c r="OCT165" s="558"/>
      <c r="OCU165" s="558"/>
      <c r="OCV165" s="558"/>
      <c r="OCW165" s="558"/>
      <c r="OCX165" s="558"/>
      <c r="OCY165" s="558"/>
      <c r="OCZ165" s="558"/>
      <c r="ODA165" s="558"/>
      <c r="ODB165" s="558"/>
      <c r="ODC165" s="558"/>
      <c r="ODD165" s="558"/>
      <c r="ODE165" s="558"/>
      <c r="ODF165" s="558"/>
      <c r="ODG165" s="558"/>
      <c r="ODH165" s="558"/>
      <c r="ODI165" s="558"/>
      <c r="ODJ165" s="558"/>
      <c r="ODK165" s="558"/>
      <c r="ODL165" s="558"/>
      <c r="ODM165" s="558"/>
      <c r="ODN165" s="558"/>
      <c r="ODO165" s="558"/>
      <c r="ODP165" s="558"/>
      <c r="ODQ165" s="558"/>
      <c r="ODR165" s="558"/>
      <c r="ODS165" s="558"/>
      <c r="ODT165" s="558"/>
      <c r="ODU165" s="558"/>
      <c r="ODV165" s="558"/>
      <c r="ODW165" s="558"/>
      <c r="ODX165" s="558"/>
      <c r="ODY165" s="558"/>
      <c r="ODZ165" s="558"/>
      <c r="OEA165" s="558"/>
      <c r="OEB165" s="558"/>
      <c r="OEC165" s="558"/>
      <c r="OED165" s="558"/>
      <c r="OEE165" s="558"/>
      <c r="OEF165" s="558"/>
      <c r="OEG165" s="558"/>
      <c r="OEH165" s="558"/>
      <c r="OEI165" s="558"/>
      <c r="OEJ165" s="558"/>
      <c r="OEK165" s="558"/>
      <c r="OEL165" s="558"/>
      <c r="OEM165" s="558"/>
      <c r="OEN165" s="558"/>
      <c r="OEO165" s="558"/>
      <c r="OEP165" s="558"/>
      <c r="OEQ165" s="558"/>
      <c r="OER165" s="558"/>
      <c r="OES165" s="558"/>
      <c r="OET165" s="558"/>
      <c r="OEU165" s="558"/>
      <c r="OEV165" s="558"/>
      <c r="OEW165" s="558"/>
      <c r="OEX165" s="558"/>
      <c r="OEY165" s="558"/>
      <c r="OEZ165" s="558"/>
      <c r="OFA165" s="558"/>
      <c r="OFB165" s="558"/>
      <c r="OFC165" s="558"/>
      <c r="OFD165" s="558"/>
      <c r="OFE165" s="558"/>
      <c r="OFF165" s="558"/>
      <c r="OFG165" s="558"/>
      <c r="OFH165" s="558"/>
      <c r="OFI165" s="558"/>
      <c r="OFJ165" s="558"/>
      <c r="OFK165" s="558"/>
      <c r="OFL165" s="558"/>
      <c r="OFM165" s="558"/>
      <c r="OFN165" s="558"/>
      <c r="OFO165" s="558"/>
      <c r="OFP165" s="558"/>
      <c r="OFQ165" s="558"/>
      <c r="OFR165" s="558"/>
      <c r="OFS165" s="558"/>
      <c r="OFT165" s="558"/>
      <c r="OFU165" s="558"/>
      <c r="OFV165" s="558"/>
      <c r="OFW165" s="558"/>
      <c r="OFX165" s="558"/>
      <c r="OFY165" s="558"/>
      <c r="OFZ165" s="558"/>
      <c r="OGA165" s="558"/>
      <c r="OGB165" s="558"/>
      <c r="OGC165" s="558"/>
      <c r="OGD165" s="558"/>
      <c r="OGE165" s="558"/>
      <c r="OGF165" s="558"/>
      <c r="OGG165" s="558"/>
      <c r="OGH165" s="558"/>
      <c r="OGI165" s="558"/>
      <c r="OGJ165" s="558"/>
      <c r="OGK165" s="558"/>
      <c r="OGL165" s="558"/>
      <c r="OGM165" s="558"/>
      <c r="OGN165" s="558"/>
      <c r="OGO165" s="558"/>
      <c r="OGP165" s="558"/>
      <c r="OGQ165" s="558"/>
      <c r="OGR165" s="558"/>
      <c r="OGS165" s="558"/>
      <c r="OGT165" s="558"/>
      <c r="OGU165" s="558"/>
      <c r="OGV165" s="558"/>
      <c r="OGW165" s="558"/>
      <c r="OGX165" s="558"/>
      <c r="OGY165" s="558"/>
      <c r="OGZ165" s="558"/>
      <c r="OHA165" s="558"/>
      <c r="OHB165" s="558"/>
      <c r="OHC165" s="558"/>
      <c r="OHD165" s="558"/>
      <c r="OHE165" s="558"/>
      <c r="OHF165" s="558"/>
      <c r="OHG165" s="558"/>
      <c r="OHH165" s="558"/>
      <c r="OHI165" s="558"/>
      <c r="OHJ165" s="558"/>
      <c r="OHK165" s="558"/>
      <c r="OHL165" s="558"/>
      <c r="OHM165" s="558"/>
      <c r="OHN165" s="558"/>
      <c r="OHO165" s="558"/>
      <c r="OHP165" s="558"/>
      <c r="OHQ165" s="558"/>
      <c r="OHR165" s="558"/>
      <c r="OHS165" s="558"/>
      <c r="OHT165" s="558"/>
      <c r="OHU165" s="558"/>
      <c r="OHV165" s="558"/>
      <c r="OHW165" s="558"/>
      <c r="OHX165" s="558"/>
      <c r="OHY165" s="558"/>
      <c r="OHZ165" s="558"/>
      <c r="OIA165" s="558"/>
      <c r="OIB165" s="558"/>
      <c r="OIC165" s="558"/>
      <c r="OID165" s="558"/>
      <c r="OIE165" s="558"/>
      <c r="OIF165" s="558"/>
      <c r="OIG165" s="558"/>
      <c r="OIH165" s="558"/>
      <c r="OII165" s="558"/>
      <c r="OIJ165" s="558"/>
      <c r="OIK165" s="558"/>
      <c r="OIL165" s="558"/>
      <c r="OIM165" s="558"/>
      <c r="OIN165" s="558"/>
      <c r="OIO165" s="558"/>
      <c r="OIP165" s="558"/>
      <c r="OIQ165" s="558"/>
      <c r="OIR165" s="558"/>
      <c r="OIS165" s="558"/>
      <c r="OIT165" s="558"/>
      <c r="OIU165" s="558"/>
      <c r="OIV165" s="558"/>
      <c r="OIW165" s="558"/>
      <c r="OIX165" s="558"/>
      <c r="OIY165" s="558"/>
      <c r="OIZ165" s="558"/>
      <c r="OJA165" s="558"/>
      <c r="OJB165" s="558"/>
      <c r="OJC165" s="558"/>
      <c r="OJD165" s="558"/>
      <c r="OJE165" s="558"/>
      <c r="OJF165" s="558"/>
      <c r="OJG165" s="558"/>
      <c r="OJH165" s="558"/>
      <c r="OJI165" s="558"/>
      <c r="OJJ165" s="558"/>
      <c r="OJK165" s="558"/>
      <c r="OJL165" s="558"/>
      <c r="OJM165" s="558"/>
      <c r="OJN165" s="558"/>
      <c r="OJO165" s="558"/>
      <c r="OJP165" s="558"/>
      <c r="OJQ165" s="558"/>
      <c r="OJR165" s="558"/>
      <c r="OJS165" s="558"/>
      <c r="OJT165" s="558"/>
      <c r="OJU165" s="558"/>
      <c r="OJV165" s="558"/>
      <c r="OJW165" s="558"/>
      <c r="OJX165" s="558"/>
      <c r="OJY165" s="558"/>
      <c r="OJZ165" s="558"/>
      <c r="OKA165" s="558"/>
      <c r="OKB165" s="558"/>
      <c r="OKC165" s="558"/>
      <c r="OKD165" s="558"/>
      <c r="OKE165" s="558"/>
      <c r="OKF165" s="558"/>
      <c r="OKG165" s="558"/>
      <c r="OKH165" s="558"/>
      <c r="OKI165" s="558"/>
      <c r="OKJ165" s="558"/>
      <c r="OKK165" s="558"/>
      <c r="OKL165" s="558"/>
      <c r="OKM165" s="558"/>
      <c r="OKN165" s="558"/>
      <c r="OKO165" s="558"/>
      <c r="OKP165" s="558"/>
      <c r="OKQ165" s="558"/>
      <c r="OKR165" s="558"/>
      <c r="OKS165" s="558"/>
      <c r="OKT165" s="558"/>
      <c r="OKU165" s="558"/>
      <c r="OKV165" s="558"/>
      <c r="OKW165" s="558"/>
      <c r="OKX165" s="558"/>
      <c r="OKY165" s="558"/>
      <c r="OKZ165" s="558"/>
      <c r="OLA165" s="558"/>
      <c r="OLB165" s="558"/>
      <c r="OLC165" s="558"/>
      <c r="OLD165" s="558"/>
      <c r="OLE165" s="558"/>
      <c r="OLF165" s="558"/>
      <c r="OLG165" s="558"/>
      <c r="OLH165" s="558"/>
      <c r="OLI165" s="558"/>
      <c r="OLJ165" s="558"/>
      <c r="OLK165" s="558"/>
      <c r="OLL165" s="558"/>
      <c r="OLM165" s="558"/>
      <c r="OLN165" s="558"/>
      <c r="OLO165" s="558"/>
      <c r="OLP165" s="558"/>
      <c r="OLQ165" s="558"/>
      <c r="OLR165" s="558"/>
      <c r="OLS165" s="558"/>
      <c r="OLT165" s="558"/>
      <c r="OLU165" s="558"/>
      <c r="OLV165" s="558"/>
      <c r="OLW165" s="558"/>
      <c r="OLX165" s="558"/>
      <c r="OLY165" s="558"/>
      <c r="OLZ165" s="558"/>
      <c r="OMA165" s="558"/>
      <c r="OMB165" s="558"/>
      <c r="OMC165" s="558"/>
      <c r="OMD165" s="558"/>
      <c r="OME165" s="558"/>
      <c r="OMF165" s="558"/>
      <c r="OMG165" s="558"/>
      <c r="OMH165" s="558"/>
      <c r="OMI165" s="558"/>
      <c r="OMJ165" s="558"/>
      <c r="OMK165" s="558"/>
      <c r="OML165" s="558"/>
      <c r="OMM165" s="558"/>
      <c r="OMN165" s="558"/>
      <c r="OMO165" s="558"/>
      <c r="OMP165" s="558"/>
      <c r="OMQ165" s="558"/>
      <c r="OMR165" s="558"/>
      <c r="OMS165" s="558"/>
      <c r="OMT165" s="558"/>
      <c r="OMU165" s="558"/>
      <c r="OMV165" s="558"/>
      <c r="OMW165" s="558"/>
      <c r="OMX165" s="558"/>
      <c r="OMY165" s="558"/>
      <c r="OMZ165" s="558"/>
      <c r="ONA165" s="558"/>
      <c r="ONB165" s="558"/>
      <c r="ONC165" s="558"/>
      <c r="OND165" s="558"/>
      <c r="ONE165" s="558"/>
      <c r="ONF165" s="558"/>
      <c r="ONG165" s="558"/>
      <c r="ONH165" s="558"/>
      <c r="ONI165" s="558"/>
      <c r="ONJ165" s="558"/>
      <c r="ONK165" s="558"/>
      <c r="ONL165" s="558"/>
      <c r="ONM165" s="558"/>
      <c r="ONN165" s="558"/>
      <c r="ONO165" s="558"/>
      <c r="ONP165" s="558"/>
      <c r="ONQ165" s="558"/>
      <c r="ONR165" s="558"/>
      <c r="ONS165" s="558"/>
      <c r="ONT165" s="558"/>
      <c r="ONU165" s="558"/>
      <c r="ONV165" s="558"/>
      <c r="ONW165" s="558"/>
      <c r="ONX165" s="558"/>
      <c r="ONY165" s="558"/>
      <c r="ONZ165" s="558"/>
      <c r="OOA165" s="558"/>
      <c r="OOB165" s="558"/>
      <c r="OOC165" s="558"/>
      <c r="OOD165" s="558"/>
      <c r="OOE165" s="558"/>
      <c r="OOF165" s="558"/>
      <c r="OOG165" s="558"/>
      <c r="OOH165" s="558"/>
      <c r="OOI165" s="558"/>
      <c r="OOJ165" s="558"/>
      <c r="OOK165" s="558"/>
      <c r="OOL165" s="558"/>
      <c r="OOM165" s="558"/>
      <c r="OON165" s="558"/>
      <c r="OOO165" s="558"/>
      <c r="OOP165" s="558"/>
      <c r="OOQ165" s="558"/>
      <c r="OOR165" s="558"/>
      <c r="OOS165" s="558"/>
      <c r="OOT165" s="558"/>
      <c r="OOU165" s="558"/>
      <c r="OOV165" s="558"/>
      <c r="OOW165" s="558"/>
      <c r="OOX165" s="558"/>
      <c r="OOY165" s="558"/>
      <c r="OOZ165" s="558"/>
      <c r="OPA165" s="558"/>
      <c r="OPB165" s="558"/>
      <c r="OPC165" s="558"/>
      <c r="OPD165" s="558"/>
      <c r="OPE165" s="558"/>
      <c r="OPF165" s="558"/>
      <c r="OPG165" s="558"/>
      <c r="OPH165" s="558"/>
      <c r="OPI165" s="558"/>
      <c r="OPJ165" s="558"/>
      <c r="OPK165" s="558"/>
      <c r="OPL165" s="558"/>
      <c r="OPM165" s="558"/>
      <c r="OPN165" s="558"/>
      <c r="OPO165" s="558"/>
      <c r="OPP165" s="558"/>
      <c r="OPQ165" s="558"/>
      <c r="OPR165" s="558"/>
      <c r="OPS165" s="558"/>
      <c r="OPT165" s="558"/>
      <c r="OPU165" s="558"/>
      <c r="OPV165" s="558"/>
      <c r="OPW165" s="558"/>
      <c r="OPX165" s="558"/>
      <c r="OPY165" s="558"/>
      <c r="OPZ165" s="558"/>
      <c r="OQA165" s="558"/>
      <c r="OQB165" s="558"/>
      <c r="OQC165" s="558"/>
      <c r="OQD165" s="558"/>
      <c r="OQE165" s="558"/>
      <c r="OQF165" s="558"/>
      <c r="OQG165" s="558"/>
      <c r="OQH165" s="558"/>
      <c r="OQI165" s="558"/>
      <c r="OQJ165" s="558"/>
      <c r="OQK165" s="558"/>
      <c r="OQL165" s="558"/>
      <c r="OQM165" s="558"/>
      <c r="OQN165" s="558"/>
      <c r="OQO165" s="558"/>
      <c r="OQP165" s="558"/>
      <c r="OQQ165" s="558"/>
      <c r="OQR165" s="558"/>
      <c r="OQS165" s="558"/>
      <c r="OQT165" s="558"/>
      <c r="OQU165" s="558"/>
      <c r="OQV165" s="558"/>
      <c r="OQW165" s="558"/>
      <c r="OQX165" s="558"/>
      <c r="OQY165" s="558"/>
      <c r="OQZ165" s="558"/>
      <c r="ORA165" s="558"/>
      <c r="ORB165" s="558"/>
      <c r="ORC165" s="558"/>
      <c r="ORD165" s="558"/>
      <c r="ORE165" s="558"/>
      <c r="ORF165" s="558"/>
      <c r="ORG165" s="558"/>
      <c r="ORH165" s="558"/>
      <c r="ORI165" s="558"/>
      <c r="ORJ165" s="558"/>
      <c r="ORK165" s="558"/>
      <c r="ORL165" s="558"/>
      <c r="ORM165" s="558"/>
      <c r="ORN165" s="558"/>
      <c r="ORO165" s="558"/>
      <c r="ORP165" s="558"/>
      <c r="ORQ165" s="558"/>
      <c r="ORR165" s="558"/>
      <c r="ORS165" s="558"/>
      <c r="ORT165" s="558"/>
      <c r="ORU165" s="558"/>
      <c r="ORV165" s="558"/>
      <c r="ORW165" s="558"/>
      <c r="ORX165" s="558"/>
      <c r="ORY165" s="558"/>
      <c r="ORZ165" s="558"/>
      <c r="OSA165" s="558"/>
      <c r="OSB165" s="558"/>
      <c r="OSC165" s="558"/>
      <c r="OSD165" s="558"/>
      <c r="OSE165" s="558"/>
      <c r="OSF165" s="558"/>
      <c r="OSG165" s="558"/>
      <c r="OSH165" s="558"/>
      <c r="OSI165" s="558"/>
      <c r="OSJ165" s="558"/>
      <c r="OSK165" s="558"/>
      <c r="OSL165" s="558"/>
      <c r="OSM165" s="558"/>
      <c r="OSN165" s="558"/>
      <c r="OSO165" s="558"/>
      <c r="OSP165" s="558"/>
      <c r="OSQ165" s="558"/>
      <c r="OSR165" s="558"/>
      <c r="OSS165" s="558"/>
      <c r="OST165" s="558"/>
      <c r="OSU165" s="558"/>
      <c r="OSV165" s="558"/>
      <c r="OSW165" s="558"/>
      <c r="OSX165" s="558"/>
      <c r="OSY165" s="558"/>
      <c r="OSZ165" s="558"/>
      <c r="OTA165" s="558"/>
      <c r="OTB165" s="558"/>
      <c r="OTC165" s="558"/>
      <c r="OTD165" s="558"/>
      <c r="OTE165" s="558"/>
      <c r="OTF165" s="558"/>
      <c r="OTG165" s="558"/>
      <c r="OTH165" s="558"/>
      <c r="OTI165" s="558"/>
      <c r="OTJ165" s="558"/>
      <c r="OTK165" s="558"/>
      <c r="OTL165" s="558"/>
      <c r="OTM165" s="558"/>
      <c r="OTN165" s="558"/>
      <c r="OTO165" s="558"/>
      <c r="OTP165" s="558"/>
      <c r="OTQ165" s="558"/>
      <c r="OTR165" s="558"/>
      <c r="OTS165" s="558"/>
      <c r="OTT165" s="558"/>
      <c r="OTU165" s="558"/>
      <c r="OTV165" s="558"/>
      <c r="OTW165" s="558"/>
      <c r="OTX165" s="558"/>
      <c r="OTY165" s="558"/>
      <c r="OTZ165" s="558"/>
      <c r="OUA165" s="558"/>
      <c r="OUB165" s="558"/>
      <c r="OUC165" s="558"/>
      <c r="OUD165" s="558"/>
      <c r="OUE165" s="558"/>
      <c r="OUF165" s="558"/>
      <c r="OUG165" s="558"/>
      <c r="OUH165" s="558"/>
      <c r="OUI165" s="558"/>
      <c r="OUJ165" s="558"/>
      <c r="OUK165" s="558"/>
      <c r="OUL165" s="558"/>
      <c r="OUM165" s="558"/>
      <c r="OUN165" s="558"/>
      <c r="OUO165" s="558"/>
      <c r="OUP165" s="558"/>
      <c r="OUQ165" s="558"/>
      <c r="OUR165" s="558"/>
      <c r="OUS165" s="558"/>
      <c r="OUT165" s="558"/>
      <c r="OUU165" s="558"/>
      <c r="OUV165" s="558"/>
      <c r="OUW165" s="558"/>
      <c r="OUX165" s="558"/>
      <c r="OUY165" s="558"/>
      <c r="OUZ165" s="558"/>
      <c r="OVA165" s="558"/>
      <c r="OVB165" s="558"/>
      <c r="OVC165" s="558"/>
      <c r="OVD165" s="558"/>
      <c r="OVE165" s="558"/>
      <c r="OVF165" s="558"/>
      <c r="OVG165" s="558"/>
      <c r="OVH165" s="558"/>
      <c r="OVI165" s="558"/>
      <c r="OVJ165" s="558"/>
      <c r="OVK165" s="558"/>
      <c r="OVL165" s="558"/>
      <c r="OVM165" s="558"/>
      <c r="OVN165" s="558"/>
      <c r="OVO165" s="558"/>
      <c r="OVP165" s="558"/>
      <c r="OVQ165" s="558"/>
      <c r="OVR165" s="558"/>
      <c r="OVS165" s="558"/>
      <c r="OVT165" s="558"/>
      <c r="OVU165" s="558"/>
      <c r="OVV165" s="558"/>
      <c r="OVW165" s="558"/>
      <c r="OVX165" s="558"/>
      <c r="OVY165" s="558"/>
      <c r="OVZ165" s="558"/>
      <c r="OWA165" s="558"/>
      <c r="OWB165" s="558"/>
      <c r="OWC165" s="558"/>
      <c r="OWD165" s="558"/>
      <c r="OWE165" s="558"/>
      <c r="OWF165" s="558"/>
      <c r="OWG165" s="558"/>
      <c r="OWH165" s="558"/>
      <c r="OWI165" s="558"/>
      <c r="OWJ165" s="558"/>
      <c r="OWK165" s="558"/>
      <c r="OWL165" s="558"/>
      <c r="OWM165" s="558"/>
      <c r="OWN165" s="558"/>
      <c r="OWO165" s="558"/>
      <c r="OWP165" s="558"/>
      <c r="OWQ165" s="558"/>
      <c r="OWR165" s="558"/>
      <c r="OWS165" s="558"/>
      <c r="OWT165" s="558"/>
      <c r="OWU165" s="558"/>
      <c r="OWV165" s="558"/>
      <c r="OWW165" s="558"/>
      <c r="OWX165" s="558"/>
      <c r="OWY165" s="558"/>
      <c r="OWZ165" s="558"/>
      <c r="OXA165" s="558"/>
      <c r="OXB165" s="558"/>
      <c r="OXC165" s="558"/>
      <c r="OXD165" s="558"/>
      <c r="OXE165" s="558"/>
      <c r="OXF165" s="558"/>
      <c r="OXG165" s="558"/>
      <c r="OXH165" s="558"/>
      <c r="OXI165" s="558"/>
      <c r="OXJ165" s="558"/>
      <c r="OXK165" s="558"/>
      <c r="OXL165" s="558"/>
      <c r="OXM165" s="558"/>
      <c r="OXN165" s="558"/>
      <c r="OXO165" s="558"/>
      <c r="OXP165" s="558"/>
      <c r="OXQ165" s="558"/>
      <c r="OXR165" s="558"/>
      <c r="OXS165" s="558"/>
      <c r="OXT165" s="558"/>
      <c r="OXU165" s="558"/>
      <c r="OXV165" s="558"/>
      <c r="OXW165" s="558"/>
      <c r="OXX165" s="558"/>
      <c r="OXY165" s="558"/>
      <c r="OXZ165" s="558"/>
      <c r="OYA165" s="558"/>
      <c r="OYB165" s="558"/>
      <c r="OYC165" s="558"/>
      <c r="OYD165" s="558"/>
      <c r="OYE165" s="558"/>
      <c r="OYF165" s="558"/>
      <c r="OYG165" s="558"/>
      <c r="OYH165" s="558"/>
      <c r="OYI165" s="558"/>
      <c r="OYJ165" s="558"/>
      <c r="OYK165" s="558"/>
      <c r="OYL165" s="558"/>
      <c r="OYM165" s="558"/>
      <c r="OYN165" s="558"/>
      <c r="OYO165" s="558"/>
      <c r="OYP165" s="558"/>
      <c r="OYQ165" s="558"/>
      <c r="OYR165" s="558"/>
      <c r="OYS165" s="558"/>
      <c r="OYT165" s="558"/>
      <c r="OYU165" s="558"/>
      <c r="OYV165" s="558"/>
      <c r="OYW165" s="558"/>
      <c r="OYX165" s="558"/>
      <c r="OYY165" s="558"/>
      <c r="OYZ165" s="558"/>
      <c r="OZA165" s="558"/>
      <c r="OZB165" s="558"/>
      <c r="OZC165" s="558"/>
      <c r="OZD165" s="558"/>
      <c r="OZE165" s="558"/>
      <c r="OZF165" s="558"/>
      <c r="OZG165" s="558"/>
      <c r="OZH165" s="558"/>
      <c r="OZI165" s="558"/>
      <c r="OZJ165" s="558"/>
      <c r="OZK165" s="558"/>
      <c r="OZL165" s="558"/>
      <c r="OZM165" s="558"/>
      <c r="OZN165" s="558"/>
      <c r="OZO165" s="558"/>
      <c r="OZP165" s="558"/>
      <c r="OZQ165" s="558"/>
      <c r="OZR165" s="558"/>
      <c r="OZS165" s="558"/>
      <c r="OZT165" s="558"/>
      <c r="OZU165" s="558"/>
      <c r="OZV165" s="558"/>
      <c r="OZW165" s="558"/>
      <c r="OZX165" s="558"/>
      <c r="OZY165" s="558"/>
      <c r="OZZ165" s="558"/>
      <c r="PAA165" s="558"/>
      <c r="PAB165" s="558"/>
      <c r="PAC165" s="558"/>
      <c r="PAD165" s="558"/>
      <c r="PAE165" s="558"/>
      <c r="PAF165" s="558"/>
      <c r="PAG165" s="558"/>
      <c r="PAH165" s="558"/>
      <c r="PAI165" s="558"/>
      <c r="PAJ165" s="558"/>
      <c r="PAK165" s="558"/>
      <c r="PAL165" s="558"/>
      <c r="PAM165" s="558"/>
      <c r="PAN165" s="558"/>
      <c r="PAO165" s="558"/>
      <c r="PAP165" s="558"/>
      <c r="PAQ165" s="558"/>
      <c r="PAR165" s="558"/>
      <c r="PAS165" s="558"/>
      <c r="PAT165" s="558"/>
      <c r="PAU165" s="558"/>
      <c r="PAV165" s="558"/>
      <c r="PAW165" s="558"/>
      <c r="PAX165" s="558"/>
      <c r="PAY165" s="558"/>
      <c r="PAZ165" s="558"/>
      <c r="PBA165" s="558"/>
      <c r="PBB165" s="558"/>
      <c r="PBC165" s="558"/>
      <c r="PBD165" s="558"/>
      <c r="PBE165" s="558"/>
      <c r="PBF165" s="558"/>
      <c r="PBG165" s="558"/>
      <c r="PBH165" s="558"/>
      <c r="PBI165" s="558"/>
      <c r="PBJ165" s="558"/>
      <c r="PBK165" s="558"/>
      <c r="PBL165" s="558"/>
      <c r="PBM165" s="558"/>
      <c r="PBN165" s="558"/>
      <c r="PBO165" s="558"/>
      <c r="PBP165" s="558"/>
      <c r="PBQ165" s="558"/>
      <c r="PBR165" s="558"/>
      <c r="PBS165" s="558"/>
      <c r="PBT165" s="558"/>
      <c r="PBU165" s="558"/>
      <c r="PBV165" s="558"/>
      <c r="PBW165" s="558"/>
      <c r="PBX165" s="558"/>
      <c r="PBY165" s="558"/>
      <c r="PBZ165" s="558"/>
      <c r="PCA165" s="558"/>
      <c r="PCB165" s="558"/>
      <c r="PCC165" s="558"/>
      <c r="PCD165" s="558"/>
      <c r="PCE165" s="558"/>
      <c r="PCF165" s="558"/>
      <c r="PCG165" s="558"/>
      <c r="PCH165" s="558"/>
      <c r="PCI165" s="558"/>
      <c r="PCJ165" s="558"/>
      <c r="PCK165" s="558"/>
      <c r="PCL165" s="558"/>
      <c r="PCM165" s="558"/>
      <c r="PCN165" s="558"/>
      <c r="PCO165" s="558"/>
      <c r="PCP165" s="558"/>
      <c r="PCQ165" s="558"/>
      <c r="PCR165" s="558"/>
      <c r="PCS165" s="558"/>
      <c r="PCT165" s="558"/>
      <c r="PCU165" s="558"/>
      <c r="PCV165" s="558"/>
      <c r="PCW165" s="558"/>
      <c r="PCX165" s="558"/>
      <c r="PCY165" s="558"/>
      <c r="PCZ165" s="558"/>
      <c r="PDA165" s="558"/>
      <c r="PDB165" s="558"/>
      <c r="PDC165" s="558"/>
      <c r="PDD165" s="558"/>
      <c r="PDE165" s="558"/>
      <c r="PDF165" s="558"/>
      <c r="PDG165" s="558"/>
      <c r="PDH165" s="558"/>
      <c r="PDI165" s="558"/>
      <c r="PDJ165" s="558"/>
      <c r="PDK165" s="558"/>
      <c r="PDL165" s="558"/>
      <c r="PDM165" s="558"/>
      <c r="PDN165" s="558"/>
      <c r="PDO165" s="558"/>
      <c r="PDP165" s="558"/>
      <c r="PDQ165" s="558"/>
      <c r="PDR165" s="558"/>
      <c r="PDS165" s="558"/>
      <c r="PDT165" s="558"/>
      <c r="PDU165" s="558"/>
      <c r="PDV165" s="558"/>
      <c r="PDW165" s="558"/>
      <c r="PDX165" s="558"/>
      <c r="PDY165" s="558"/>
      <c r="PDZ165" s="558"/>
      <c r="PEA165" s="558"/>
      <c r="PEB165" s="558"/>
      <c r="PEC165" s="558"/>
      <c r="PED165" s="558"/>
      <c r="PEE165" s="558"/>
      <c r="PEF165" s="558"/>
      <c r="PEG165" s="558"/>
      <c r="PEH165" s="558"/>
      <c r="PEI165" s="558"/>
      <c r="PEJ165" s="558"/>
      <c r="PEK165" s="558"/>
      <c r="PEL165" s="558"/>
      <c r="PEM165" s="558"/>
      <c r="PEN165" s="558"/>
      <c r="PEO165" s="558"/>
      <c r="PEP165" s="558"/>
      <c r="PEQ165" s="558"/>
      <c r="PER165" s="558"/>
      <c r="PES165" s="558"/>
      <c r="PET165" s="558"/>
      <c r="PEU165" s="558"/>
      <c r="PEV165" s="558"/>
      <c r="PEW165" s="558"/>
      <c r="PEX165" s="558"/>
      <c r="PEY165" s="558"/>
      <c r="PEZ165" s="558"/>
      <c r="PFA165" s="558"/>
      <c r="PFB165" s="558"/>
      <c r="PFC165" s="558"/>
      <c r="PFD165" s="558"/>
      <c r="PFE165" s="558"/>
      <c r="PFF165" s="558"/>
      <c r="PFG165" s="558"/>
      <c r="PFH165" s="558"/>
      <c r="PFI165" s="558"/>
      <c r="PFJ165" s="558"/>
      <c r="PFK165" s="558"/>
      <c r="PFL165" s="558"/>
      <c r="PFM165" s="558"/>
      <c r="PFN165" s="558"/>
      <c r="PFO165" s="558"/>
      <c r="PFP165" s="558"/>
      <c r="PFQ165" s="558"/>
      <c r="PFR165" s="558"/>
      <c r="PFS165" s="558"/>
      <c r="PFT165" s="558"/>
      <c r="PFU165" s="558"/>
      <c r="PFV165" s="558"/>
      <c r="PFW165" s="558"/>
      <c r="PFX165" s="558"/>
      <c r="PFY165" s="558"/>
      <c r="PFZ165" s="558"/>
      <c r="PGA165" s="558"/>
      <c r="PGB165" s="558"/>
      <c r="PGC165" s="558"/>
      <c r="PGD165" s="558"/>
      <c r="PGE165" s="558"/>
      <c r="PGF165" s="558"/>
      <c r="PGG165" s="558"/>
      <c r="PGH165" s="558"/>
      <c r="PGI165" s="558"/>
      <c r="PGJ165" s="558"/>
      <c r="PGK165" s="558"/>
      <c r="PGL165" s="558"/>
      <c r="PGM165" s="558"/>
      <c r="PGN165" s="558"/>
      <c r="PGO165" s="558"/>
      <c r="PGP165" s="558"/>
      <c r="PGQ165" s="558"/>
      <c r="PGR165" s="558"/>
      <c r="PGS165" s="558"/>
      <c r="PGT165" s="558"/>
      <c r="PGU165" s="558"/>
      <c r="PGV165" s="558"/>
      <c r="PGW165" s="558"/>
      <c r="PGX165" s="558"/>
      <c r="PGY165" s="558"/>
      <c r="PGZ165" s="558"/>
      <c r="PHA165" s="558"/>
      <c r="PHB165" s="558"/>
      <c r="PHC165" s="558"/>
      <c r="PHD165" s="558"/>
      <c r="PHE165" s="558"/>
      <c r="PHF165" s="558"/>
      <c r="PHG165" s="558"/>
      <c r="PHH165" s="558"/>
      <c r="PHI165" s="558"/>
      <c r="PHJ165" s="558"/>
      <c r="PHK165" s="558"/>
      <c r="PHL165" s="558"/>
      <c r="PHM165" s="558"/>
      <c r="PHN165" s="558"/>
      <c r="PHO165" s="558"/>
      <c r="PHP165" s="558"/>
      <c r="PHQ165" s="558"/>
      <c r="PHR165" s="558"/>
      <c r="PHS165" s="558"/>
      <c r="PHT165" s="558"/>
      <c r="PHU165" s="558"/>
      <c r="PHV165" s="558"/>
      <c r="PHW165" s="558"/>
      <c r="PHX165" s="558"/>
      <c r="PHY165" s="558"/>
      <c r="PHZ165" s="558"/>
      <c r="PIA165" s="558"/>
      <c r="PIB165" s="558"/>
      <c r="PIC165" s="558"/>
      <c r="PID165" s="558"/>
      <c r="PIE165" s="558"/>
      <c r="PIF165" s="558"/>
      <c r="PIG165" s="558"/>
      <c r="PIH165" s="558"/>
      <c r="PII165" s="558"/>
      <c r="PIJ165" s="558"/>
      <c r="PIK165" s="558"/>
      <c r="PIL165" s="558"/>
      <c r="PIM165" s="558"/>
      <c r="PIN165" s="558"/>
      <c r="PIO165" s="558"/>
      <c r="PIP165" s="558"/>
      <c r="PIQ165" s="558"/>
      <c r="PIR165" s="558"/>
      <c r="PIS165" s="558"/>
      <c r="PIT165" s="558"/>
      <c r="PIU165" s="558"/>
      <c r="PIV165" s="558"/>
      <c r="PIW165" s="558"/>
      <c r="PIX165" s="558"/>
      <c r="PIY165" s="558"/>
      <c r="PIZ165" s="558"/>
      <c r="PJA165" s="558"/>
      <c r="PJB165" s="558"/>
      <c r="PJC165" s="558"/>
      <c r="PJD165" s="558"/>
      <c r="PJE165" s="558"/>
      <c r="PJF165" s="558"/>
      <c r="PJG165" s="558"/>
      <c r="PJH165" s="558"/>
      <c r="PJI165" s="558"/>
      <c r="PJJ165" s="558"/>
      <c r="PJK165" s="558"/>
      <c r="PJL165" s="558"/>
      <c r="PJM165" s="558"/>
      <c r="PJN165" s="558"/>
      <c r="PJO165" s="558"/>
      <c r="PJP165" s="558"/>
      <c r="PJQ165" s="558"/>
      <c r="PJR165" s="558"/>
      <c r="PJS165" s="558"/>
      <c r="PJT165" s="558"/>
      <c r="PJU165" s="558"/>
      <c r="PJV165" s="558"/>
      <c r="PJW165" s="558"/>
      <c r="PJX165" s="558"/>
      <c r="PJY165" s="558"/>
      <c r="PJZ165" s="558"/>
      <c r="PKA165" s="558"/>
      <c r="PKB165" s="558"/>
      <c r="PKC165" s="558"/>
      <c r="PKD165" s="558"/>
      <c r="PKE165" s="558"/>
      <c r="PKF165" s="558"/>
      <c r="PKG165" s="558"/>
      <c r="PKH165" s="558"/>
      <c r="PKI165" s="558"/>
      <c r="PKJ165" s="558"/>
      <c r="PKK165" s="558"/>
      <c r="PKL165" s="558"/>
      <c r="PKM165" s="558"/>
      <c r="PKN165" s="558"/>
      <c r="PKO165" s="558"/>
      <c r="PKP165" s="558"/>
      <c r="PKQ165" s="558"/>
      <c r="PKR165" s="558"/>
      <c r="PKS165" s="558"/>
      <c r="PKT165" s="558"/>
      <c r="PKU165" s="558"/>
      <c r="PKV165" s="558"/>
      <c r="PKW165" s="558"/>
      <c r="PKX165" s="558"/>
      <c r="PKY165" s="558"/>
      <c r="PKZ165" s="558"/>
      <c r="PLA165" s="558"/>
      <c r="PLB165" s="558"/>
      <c r="PLC165" s="558"/>
      <c r="PLD165" s="558"/>
      <c r="PLE165" s="558"/>
      <c r="PLF165" s="558"/>
      <c r="PLG165" s="558"/>
      <c r="PLH165" s="558"/>
      <c r="PLI165" s="558"/>
      <c r="PLJ165" s="558"/>
      <c r="PLK165" s="558"/>
      <c r="PLL165" s="558"/>
      <c r="PLM165" s="558"/>
      <c r="PLN165" s="558"/>
      <c r="PLO165" s="558"/>
      <c r="PLP165" s="558"/>
      <c r="PLQ165" s="558"/>
      <c r="PLR165" s="558"/>
      <c r="PLS165" s="558"/>
      <c r="PLT165" s="558"/>
      <c r="PLU165" s="558"/>
      <c r="PLV165" s="558"/>
      <c r="PLW165" s="558"/>
      <c r="PLX165" s="558"/>
      <c r="PLY165" s="558"/>
      <c r="PLZ165" s="558"/>
      <c r="PMA165" s="558"/>
      <c r="PMB165" s="558"/>
      <c r="PMC165" s="558"/>
      <c r="PMD165" s="558"/>
      <c r="PME165" s="558"/>
      <c r="PMF165" s="558"/>
      <c r="PMG165" s="558"/>
      <c r="PMH165" s="558"/>
      <c r="PMI165" s="558"/>
      <c r="PMJ165" s="558"/>
      <c r="PMK165" s="558"/>
      <c r="PML165" s="558"/>
      <c r="PMM165" s="558"/>
      <c r="PMN165" s="558"/>
      <c r="PMO165" s="558"/>
      <c r="PMP165" s="558"/>
      <c r="PMQ165" s="558"/>
      <c r="PMR165" s="558"/>
      <c r="PMS165" s="558"/>
      <c r="PMT165" s="558"/>
      <c r="PMU165" s="558"/>
      <c r="PMV165" s="558"/>
      <c r="PMW165" s="558"/>
      <c r="PMX165" s="558"/>
      <c r="PMY165" s="558"/>
      <c r="PMZ165" s="558"/>
      <c r="PNA165" s="558"/>
      <c r="PNB165" s="558"/>
      <c r="PNC165" s="558"/>
      <c r="PND165" s="558"/>
      <c r="PNE165" s="558"/>
      <c r="PNF165" s="558"/>
      <c r="PNG165" s="558"/>
      <c r="PNH165" s="558"/>
      <c r="PNI165" s="558"/>
      <c r="PNJ165" s="558"/>
      <c r="PNK165" s="558"/>
      <c r="PNL165" s="558"/>
      <c r="PNM165" s="558"/>
      <c r="PNN165" s="558"/>
      <c r="PNO165" s="558"/>
      <c r="PNP165" s="558"/>
      <c r="PNQ165" s="558"/>
      <c r="PNR165" s="558"/>
      <c r="PNS165" s="558"/>
      <c r="PNT165" s="558"/>
      <c r="PNU165" s="558"/>
      <c r="PNV165" s="558"/>
      <c r="PNW165" s="558"/>
      <c r="PNX165" s="558"/>
      <c r="PNY165" s="558"/>
      <c r="PNZ165" s="558"/>
      <c r="POA165" s="558"/>
      <c r="POB165" s="558"/>
      <c r="POC165" s="558"/>
      <c r="POD165" s="558"/>
      <c r="POE165" s="558"/>
      <c r="POF165" s="558"/>
      <c r="POG165" s="558"/>
      <c r="POH165" s="558"/>
      <c r="POI165" s="558"/>
      <c r="POJ165" s="558"/>
      <c r="POK165" s="558"/>
      <c r="POL165" s="558"/>
      <c r="POM165" s="558"/>
      <c r="PON165" s="558"/>
      <c r="POO165" s="558"/>
      <c r="POP165" s="558"/>
      <c r="POQ165" s="558"/>
      <c r="POR165" s="558"/>
      <c r="POS165" s="558"/>
      <c r="POT165" s="558"/>
      <c r="POU165" s="558"/>
      <c r="POV165" s="558"/>
      <c r="POW165" s="558"/>
      <c r="POX165" s="558"/>
      <c r="POY165" s="558"/>
      <c r="POZ165" s="558"/>
      <c r="PPA165" s="558"/>
      <c r="PPB165" s="558"/>
      <c r="PPC165" s="558"/>
      <c r="PPD165" s="558"/>
      <c r="PPE165" s="558"/>
      <c r="PPF165" s="558"/>
      <c r="PPG165" s="558"/>
      <c r="PPH165" s="558"/>
      <c r="PPI165" s="558"/>
      <c r="PPJ165" s="558"/>
      <c r="PPK165" s="558"/>
      <c r="PPL165" s="558"/>
      <c r="PPM165" s="558"/>
      <c r="PPN165" s="558"/>
      <c r="PPO165" s="558"/>
      <c r="PPP165" s="558"/>
      <c r="PPQ165" s="558"/>
      <c r="PPR165" s="558"/>
      <c r="PPS165" s="558"/>
      <c r="PPT165" s="558"/>
      <c r="PPU165" s="558"/>
      <c r="PPV165" s="558"/>
      <c r="PPW165" s="558"/>
      <c r="PPX165" s="558"/>
      <c r="PPY165" s="558"/>
      <c r="PPZ165" s="558"/>
      <c r="PQA165" s="558"/>
      <c r="PQB165" s="558"/>
      <c r="PQC165" s="558"/>
      <c r="PQD165" s="558"/>
      <c r="PQE165" s="558"/>
      <c r="PQF165" s="558"/>
      <c r="PQG165" s="558"/>
      <c r="PQH165" s="558"/>
      <c r="PQI165" s="558"/>
      <c r="PQJ165" s="558"/>
      <c r="PQK165" s="558"/>
      <c r="PQL165" s="558"/>
      <c r="PQM165" s="558"/>
      <c r="PQN165" s="558"/>
      <c r="PQO165" s="558"/>
      <c r="PQP165" s="558"/>
      <c r="PQQ165" s="558"/>
      <c r="PQR165" s="558"/>
      <c r="PQS165" s="558"/>
      <c r="PQT165" s="558"/>
      <c r="PQU165" s="558"/>
      <c r="PQV165" s="558"/>
      <c r="PQW165" s="558"/>
      <c r="PQX165" s="558"/>
      <c r="PQY165" s="558"/>
      <c r="PQZ165" s="558"/>
      <c r="PRA165" s="558"/>
      <c r="PRB165" s="558"/>
      <c r="PRC165" s="558"/>
      <c r="PRD165" s="558"/>
      <c r="PRE165" s="558"/>
      <c r="PRF165" s="558"/>
      <c r="PRG165" s="558"/>
      <c r="PRH165" s="558"/>
      <c r="PRI165" s="558"/>
      <c r="PRJ165" s="558"/>
      <c r="PRK165" s="558"/>
      <c r="PRL165" s="558"/>
      <c r="PRM165" s="558"/>
      <c r="PRN165" s="558"/>
      <c r="PRO165" s="558"/>
      <c r="PRP165" s="558"/>
      <c r="PRQ165" s="558"/>
      <c r="PRR165" s="558"/>
      <c r="PRS165" s="558"/>
      <c r="PRT165" s="558"/>
      <c r="PRU165" s="558"/>
      <c r="PRV165" s="558"/>
      <c r="PRW165" s="558"/>
      <c r="PRX165" s="558"/>
      <c r="PRY165" s="558"/>
      <c r="PRZ165" s="558"/>
      <c r="PSA165" s="558"/>
      <c r="PSB165" s="558"/>
      <c r="PSC165" s="558"/>
      <c r="PSD165" s="558"/>
      <c r="PSE165" s="558"/>
      <c r="PSF165" s="558"/>
      <c r="PSG165" s="558"/>
      <c r="PSH165" s="558"/>
      <c r="PSI165" s="558"/>
      <c r="PSJ165" s="558"/>
      <c r="PSK165" s="558"/>
      <c r="PSL165" s="558"/>
      <c r="PSM165" s="558"/>
      <c r="PSN165" s="558"/>
      <c r="PSO165" s="558"/>
      <c r="PSP165" s="558"/>
      <c r="PSQ165" s="558"/>
      <c r="PSR165" s="558"/>
      <c r="PSS165" s="558"/>
      <c r="PST165" s="558"/>
      <c r="PSU165" s="558"/>
      <c r="PSV165" s="558"/>
      <c r="PSW165" s="558"/>
      <c r="PSX165" s="558"/>
      <c r="PSY165" s="558"/>
      <c r="PSZ165" s="558"/>
      <c r="PTA165" s="558"/>
      <c r="PTB165" s="558"/>
      <c r="PTC165" s="558"/>
      <c r="PTD165" s="558"/>
      <c r="PTE165" s="558"/>
      <c r="PTF165" s="558"/>
      <c r="PTG165" s="558"/>
      <c r="PTH165" s="558"/>
      <c r="PTI165" s="558"/>
      <c r="PTJ165" s="558"/>
      <c r="PTK165" s="558"/>
      <c r="PTL165" s="558"/>
      <c r="PTM165" s="558"/>
      <c r="PTN165" s="558"/>
      <c r="PTO165" s="558"/>
      <c r="PTP165" s="558"/>
      <c r="PTQ165" s="558"/>
      <c r="PTR165" s="558"/>
      <c r="PTS165" s="558"/>
      <c r="PTT165" s="558"/>
      <c r="PTU165" s="558"/>
      <c r="PTV165" s="558"/>
      <c r="PTW165" s="558"/>
      <c r="PTX165" s="558"/>
      <c r="PTY165" s="558"/>
      <c r="PTZ165" s="558"/>
      <c r="PUA165" s="558"/>
      <c r="PUB165" s="558"/>
      <c r="PUC165" s="558"/>
      <c r="PUD165" s="558"/>
      <c r="PUE165" s="558"/>
      <c r="PUF165" s="558"/>
      <c r="PUG165" s="558"/>
      <c r="PUH165" s="558"/>
      <c r="PUI165" s="558"/>
      <c r="PUJ165" s="558"/>
      <c r="PUK165" s="558"/>
      <c r="PUL165" s="558"/>
      <c r="PUM165" s="558"/>
      <c r="PUN165" s="558"/>
      <c r="PUO165" s="558"/>
      <c r="PUP165" s="558"/>
      <c r="PUQ165" s="558"/>
      <c r="PUR165" s="558"/>
      <c r="PUS165" s="558"/>
      <c r="PUT165" s="558"/>
      <c r="PUU165" s="558"/>
      <c r="PUV165" s="558"/>
      <c r="PUW165" s="558"/>
      <c r="PUX165" s="558"/>
      <c r="PUY165" s="558"/>
      <c r="PUZ165" s="558"/>
      <c r="PVA165" s="558"/>
      <c r="PVB165" s="558"/>
      <c r="PVC165" s="558"/>
      <c r="PVD165" s="558"/>
      <c r="PVE165" s="558"/>
      <c r="PVF165" s="558"/>
      <c r="PVG165" s="558"/>
      <c r="PVH165" s="558"/>
      <c r="PVI165" s="558"/>
      <c r="PVJ165" s="558"/>
      <c r="PVK165" s="558"/>
      <c r="PVL165" s="558"/>
      <c r="PVM165" s="558"/>
      <c r="PVN165" s="558"/>
      <c r="PVO165" s="558"/>
      <c r="PVP165" s="558"/>
      <c r="PVQ165" s="558"/>
      <c r="PVR165" s="558"/>
      <c r="PVS165" s="558"/>
      <c r="PVT165" s="558"/>
      <c r="PVU165" s="558"/>
      <c r="PVV165" s="558"/>
      <c r="PVW165" s="558"/>
      <c r="PVX165" s="558"/>
      <c r="PVY165" s="558"/>
      <c r="PVZ165" s="558"/>
      <c r="PWA165" s="558"/>
      <c r="PWB165" s="558"/>
      <c r="PWC165" s="558"/>
      <c r="PWD165" s="558"/>
      <c r="PWE165" s="558"/>
      <c r="PWF165" s="558"/>
      <c r="PWG165" s="558"/>
      <c r="PWH165" s="558"/>
      <c r="PWI165" s="558"/>
      <c r="PWJ165" s="558"/>
      <c r="PWK165" s="558"/>
      <c r="PWL165" s="558"/>
      <c r="PWM165" s="558"/>
      <c r="PWN165" s="558"/>
      <c r="PWO165" s="558"/>
      <c r="PWP165" s="558"/>
      <c r="PWQ165" s="558"/>
      <c r="PWR165" s="558"/>
      <c r="PWS165" s="558"/>
      <c r="PWT165" s="558"/>
      <c r="PWU165" s="558"/>
      <c r="PWV165" s="558"/>
      <c r="PWW165" s="558"/>
      <c r="PWX165" s="558"/>
      <c r="PWY165" s="558"/>
      <c r="PWZ165" s="558"/>
      <c r="PXA165" s="558"/>
      <c r="PXB165" s="558"/>
      <c r="PXC165" s="558"/>
      <c r="PXD165" s="558"/>
      <c r="PXE165" s="558"/>
      <c r="PXF165" s="558"/>
      <c r="PXG165" s="558"/>
      <c r="PXH165" s="558"/>
      <c r="PXI165" s="558"/>
      <c r="PXJ165" s="558"/>
      <c r="PXK165" s="558"/>
      <c r="PXL165" s="558"/>
      <c r="PXM165" s="558"/>
      <c r="PXN165" s="558"/>
      <c r="PXO165" s="558"/>
      <c r="PXP165" s="558"/>
      <c r="PXQ165" s="558"/>
      <c r="PXR165" s="558"/>
      <c r="PXS165" s="558"/>
      <c r="PXT165" s="558"/>
      <c r="PXU165" s="558"/>
      <c r="PXV165" s="558"/>
      <c r="PXW165" s="558"/>
      <c r="PXX165" s="558"/>
      <c r="PXY165" s="558"/>
      <c r="PXZ165" s="558"/>
      <c r="PYA165" s="558"/>
      <c r="PYB165" s="558"/>
      <c r="PYC165" s="558"/>
      <c r="PYD165" s="558"/>
      <c r="PYE165" s="558"/>
      <c r="PYF165" s="558"/>
      <c r="PYG165" s="558"/>
      <c r="PYH165" s="558"/>
      <c r="PYI165" s="558"/>
      <c r="PYJ165" s="558"/>
      <c r="PYK165" s="558"/>
      <c r="PYL165" s="558"/>
      <c r="PYM165" s="558"/>
      <c r="PYN165" s="558"/>
      <c r="PYO165" s="558"/>
      <c r="PYP165" s="558"/>
      <c r="PYQ165" s="558"/>
      <c r="PYR165" s="558"/>
      <c r="PYS165" s="558"/>
      <c r="PYT165" s="558"/>
      <c r="PYU165" s="558"/>
      <c r="PYV165" s="558"/>
      <c r="PYW165" s="558"/>
      <c r="PYX165" s="558"/>
      <c r="PYY165" s="558"/>
      <c r="PYZ165" s="558"/>
      <c r="PZA165" s="558"/>
      <c r="PZB165" s="558"/>
      <c r="PZC165" s="558"/>
      <c r="PZD165" s="558"/>
      <c r="PZE165" s="558"/>
      <c r="PZF165" s="558"/>
      <c r="PZG165" s="558"/>
      <c r="PZH165" s="558"/>
      <c r="PZI165" s="558"/>
      <c r="PZJ165" s="558"/>
      <c r="PZK165" s="558"/>
      <c r="PZL165" s="558"/>
      <c r="PZM165" s="558"/>
      <c r="PZN165" s="558"/>
      <c r="PZO165" s="558"/>
      <c r="PZP165" s="558"/>
      <c r="PZQ165" s="558"/>
      <c r="PZR165" s="558"/>
      <c r="PZS165" s="558"/>
      <c r="PZT165" s="558"/>
      <c r="PZU165" s="558"/>
      <c r="PZV165" s="558"/>
      <c r="PZW165" s="558"/>
      <c r="PZX165" s="558"/>
      <c r="PZY165" s="558"/>
      <c r="PZZ165" s="558"/>
      <c r="QAA165" s="558"/>
      <c r="QAB165" s="558"/>
      <c r="QAC165" s="558"/>
      <c r="QAD165" s="558"/>
      <c r="QAE165" s="558"/>
      <c r="QAF165" s="558"/>
      <c r="QAG165" s="558"/>
      <c r="QAH165" s="558"/>
      <c r="QAI165" s="558"/>
      <c r="QAJ165" s="558"/>
      <c r="QAK165" s="558"/>
      <c r="QAL165" s="558"/>
      <c r="QAM165" s="558"/>
      <c r="QAN165" s="558"/>
      <c r="QAO165" s="558"/>
      <c r="QAP165" s="558"/>
      <c r="QAQ165" s="558"/>
      <c r="QAR165" s="558"/>
      <c r="QAS165" s="558"/>
      <c r="QAT165" s="558"/>
      <c r="QAU165" s="558"/>
      <c r="QAV165" s="558"/>
      <c r="QAW165" s="558"/>
      <c r="QAX165" s="558"/>
      <c r="QAY165" s="558"/>
      <c r="QAZ165" s="558"/>
      <c r="QBA165" s="558"/>
      <c r="QBB165" s="558"/>
      <c r="QBC165" s="558"/>
      <c r="QBD165" s="558"/>
      <c r="QBE165" s="558"/>
      <c r="QBF165" s="558"/>
      <c r="QBG165" s="558"/>
      <c r="QBH165" s="558"/>
      <c r="QBI165" s="558"/>
      <c r="QBJ165" s="558"/>
      <c r="QBK165" s="558"/>
      <c r="QBL165" s="558"/>
      <c r="QBM165" s="558"/>
      <c r="QBN165" s="558"/>
      <c r="QBO165" s="558"/>
      <c r="QBP165" s="558"/>
      <c r="QBQ165" s="558"/>
      <c r="QBR165" s="558"/>
      <c r="QBS165" s="558"/>
      <c r="QBT165" s="558"/>
      <c r="QBU165" s="558"/>
      <c r="QBV165" s="558"/>
      <c r="QBW165" s="558"/>
      <c r="QBX165" s="558"/>
      <c r="QBY165" s="558"/>
      <c r="QBZ165" s="558"/>
      <c r="QCA165" s="558"/>
      <c r="QCB165" s="558"/>
      <c r="QCC165" s="558"/>
      <c r="QCD165" s="558"/>
      <c r="QCE165" s="558"/>
      <c r="QCF165" s="558"/>
      <c r="QCG165" s="558"/>
      <c r="QCH165" s="558"/>
      <c r="QCI165" s="558"/>
      <c r="QCJ165" s="558"/>
      <c r="QCK165" s="558"/>
      <c r="QCL165" s="558"/>
      <c r="QCM165" s="558"/>
      <c r="QCN165" s="558"/>
      <c r="QCO165" s="558"/>
      <c r="QCP165" s="558"/>
      <c r="QCQ165" s="558"/>
      <c r="QCR165" s="558"/>
      <c r="QCS165" s="558"/>
      <c r="QCT165" s="558"/>
      <c r="QCU165" s="558"/>
      <c r="QCV165" s="558"/>
      <c r="QCW165" s="558"/>
      <c r="QCX165" s="558"/>
      <c r="QCY165" s="558"/>
      <c r="QCZ165" s="558"/>
      <c r="QDA165" s="558"/>
      <c r="QDB165" s="558"/>
      <c r="QDC165" s="558"/>
      <c r="QDD165" s="558"/>
      <c r="QDE165" s="558"/>
      <c r="QDF165" s="558"/>
      <c r="QDG165" s="558"/>
      <c r="QDH165" s="558"/>
      <c r="QDI165" s="558"/>
      <c r="QDJ165" s="558"/>
      <c r="QDK165" s="558"/>
      <c r="QDL165" s="558"/>
      <c r="QDM165" s="558"/>
      <c r="QDN165" s="558"/>
      <c r="QDO165" s="558"/>
      <c r="QDP165" s="558"/>
      <c r="QDQ165" s="558"/>
      <c r="QDR165" s="558"/>
      <c r="QDS165" s="558"/>
      <c r="QDT165" s="558"/>
      <c r="QDU165" s="558"/>
      <c r="QDV165" s="558"/>
      <c r="QDW165" s="558"/>
      <c r="QDX165" s="558"/>
      <c r="QDY165" s="558"/>
      <c r="QDZ165" s="558"/>
      <c r="QEA165" s="558"/>
      <c r="QEB165" s="558"/>
      <c r="QEC165" s="558"/>
      <c r="QED165" s="558"/>
      <c r="QEE165" s="558"/>
      <c r="QEF165" s="558"/>
      <c r="QEG165" s="558"/>
      <c r="QEH165" s="558"/>
      <c r="QEI165" s="558"/>
      <c r="QEJ165" s="558"/>
      <c r="QEK165" s="558"/>
      <c r="QEL165" s="558"/>
      <c r="QEM165" s="558"/>
      <c r="QEN165" s="558"/>
      <c r="QEO165" s="558"/>
      <c r="QEP165" s="558"/>
      <c r="QEQ165" s="558"/>
      <c r="QER165" s="558"/>
      <c r="QES165" s="558"/>
      <c r="QET165" s="558"/>
      <c r="QEU165" s="558"/>
      <c r="QEV165" s="558"/>
      <c r="QEW165" s="558"/>
      <c r="QEX165" s="558"/>
      <c r="QEY165" s="558"/>
      <c r="QEZ165" s="558"/>
      <c r="QFA165" s="558"/>
      <c r="QFB165" s="558"/>
      <c r="QFC165" s="558"/>
      <c r="QFD165" s="558"/>
      <c r="QFE165" s="558"/>
      <c r="QFF165" s="558"/>
      <c r="QFG165" s="558"/>
      <c r="QFH165" s="558"/>
      <c r="QFI165" s="558"/>
      <c r="QFJ165" s="558"/>
      <c r="QFK165" s="558"/>
      <c r="QFL165" s="558"/>
      <c r="QFM165" s="558"/>
      <c r="QFN165" s="558"/>
      <c r="QFO165" s="558"/>
      <c r="QFP165" s="558"/>
      <c r="QFQ165" s="558"/>
      <c r="QFR165" s="558"/>
      <c r="QFS165" s="558"/>
      <c r="QFT165" s="558"/>
      <c r="QFU165" s="558"/>
      <c r="QFV165" s="558"/>
      <c r="QFW165" s="558"/>
      <c r="QFX165" s="558"/>
      <c r="QFY165" s="558"/>
      <c r="QFZ165" s="558"/>
      <c r="QGA165" s="558"/>
      <c r="QGB165" s="558"/>
      <c r="QGC165" s="558"/>
      <c r="QGD165" s="558"/>
      <c r="QGE165" s="558"/>
      <c r="QGF165" s="558"/>
      <c r="QGG165" s="558"/>
      <c r="QGH165" s="558"/>
      <c r="QGI165" s="558"/>
      <c r="QGJ165" s="558"/>
      <c r="QGK165" s="558"/>
      <c r="QGL165" s="558"/>
      <c r="QGM165" s="558"/>
      <c r="QGN165" s="558"/>
      <c r="QGO165" s="558"/>
      <c r="QGP165" s="558"/>
      <c r="QGQ165" s="558"/>
      <c r="QGR165" s="558"/>
      <c r="QGS165" s="558"/>
      <c r="QGT165" s="558"/>
      <c r="QGU165" s="558"/>
      <c r="QGV165" s="558"/>
      <c r="QGW165" s="558"/>
      <c r="QGX165" s="558"/>
      <c r="QGY165" s="558"/>
      <c r="QGZ165" s="558"/>
      <c r="QHA165" s="558"/>
      <c r="QHB165" s="558"/>
      <c r="QHC165" s="558"/>
      <c r="QHD165" s="558"/>
      <c r="QHE165" s="558"/>
      <c r="QHF165" s="558"/>
      <c r="QHG165" s="558"/>
      <c r="QHH165" s="558"/>
      <c r="QHI165" s="558"/>
      <c r="QHJ165" s="558"/>
      <c r="QHK165" s="558"/>
      <c r="QHL165" s="558"/>
      <c r="QHM165" s="558"/>
      <c r="QHN165" s="558"/>
      <c r="QHO165" s="558"/>
      <c r="QHP165" s="558"/>
      <c r="QHQ165" s="558"/>
      <c r="QHR165" s="558"/>
      <c r="QHS165" s="558"/>
      <c r="QHT165" s="558"/>
      <c r="QHU165" s="558"/>
      <c r="QHV165" s="558"/>
      <c r="QHW165" s="558"/>
      <c r="QHX165" s="558"/>
      <c r="QHY165" s="558"/>
      <c r="QHZ165" s="558"/>
      <c r="QIA165" s="558"/>
      <c r="QIB165" s="558"/>
      <c r="QIC165" s="558"/>
      <c r="QID165" s="558"/>
      <c r="QIE165" s="558"/>
      <c r="QIF165" s="558"/>
      <c r="QIG165" s="558"/>
      <c r="QIH165" s="558"/>
      <c r="QII165" s="558"/>
      <c r="QIJ165" s="558"/>
      <c r="QIK165" s="558"/>
      <c r="QIL165" s="558"/>
      <c r="QIM165" s="558"/>
      <c r="QIN165" s="558"/>
      <c r="QIO165" s="558"/>
      <c r="QIP165" s="558"/>
      <c r="QIQ165" s="558"/>
      <c r="QIR165" s="558"/>
      <c r="QIS165" s="558"/>
      <c r="QIT165" s="558"/>
      <c r="QIU165" s="558"/>
      <c r="QIV165" s="558"/>
      <c r="QIW165" s="558"/>
      <c r="QIX165" s="558"/>
      <c r="QIY165" s="558"/>
      <c r="QIZ165" s="558"/>
      <c r="QJA165" s="558"/>
      <c r="QJB165" s="558"/>
      <c r="QJC165" s="558"/>
      <c r="QJD165" s="558"/>
      <c r="QJE165" s="558"/>
      <c r="QJF165" s="558"/>
      <c r="QJG165" s="558"/>
      <c r="QJH165" s="558"/>
      <c r="QJI165" s="558"/>
      <c r="QJJ165" s="558"/>
      <c r="QJK165" s="558"/>
      <c r="QJL165" s="558"/>
      <c r="QJM165" s="558"/>
      <c r="QJN165" s="558"/>
      <c r="QJO165" s="558"/>
      <c r="QJP165" s="558"/>
      <c r="QJQ165" s="558"/>
      <c r="QJR165" s="558"/>
      <c r="QJS165" s="558"/>
      <c r="QJT165" s="558"/>
      <c r="QJU165" s="558"/>
      <c r="QJV165" s="558"/>
      <c r="QJW165" s="558"/>
      <c r="QJX165" s="558"/>
      <c r="QJY165" s="558"/>
      <c r="QJZ165" s="558"/>
      <c r="QKA165" s="558"/>
      <c r="QKB165" s="558"/>
      <c r="QKC165" s="558"/>
      <c r="QKD165" s="558"/>
      <c r="QKE165" s="558"/>
      <c r="QKF165" s="558"/>
      <c r="QKG165" s="558"/>
      <c r="QKH165" s="558"/>
      <c r="QKI165" s="558"/>
      <c r="QKJ165" s="558"/>
      <c r="QKK165" s="558"/>
      <c r="QKL165" s="558"/>
      <c r="QKM165" s="558"/>
      <c r="QKN165" s="558"/>
      <c r="QKO165" s="558"/>
      <c r="QKP165" s="558"/>
      <c r="QKQ165" s="558"/>
      <c r="QKR165" s="558"/>
      <c r="QKS165" s="558"/>
      <c r="QKT165" s="558"/>
      <c r="QKU165" s="558"/>
      <c r="QKV165" s="558"/>
      <c r="QKW165" s="558"/>
      <c r="QKX165" s="558"/>
      <c r="QKY165" s="558"/>
      <c r="QKZ165" s="558"/>
      <c r="QLA165" s="558"/>
      <c r="QLB165" s="558"/>
      <c r="QLC165" s="558"/>
      <c r="QLD165" s="558"/>
      <c r="QLE165" s="558"/>
      <c r="QLF165" s="558"/>
      <c r="QLG165" s="558"/>
      <c r="QLH165" s="558"/>
      <c r="QLI165" s="558"/>
      <c r="QLJ165" s="558"/>
      <c r="QLK165" s="558"/>
      <c r="QLL165" s="558"/>
      <c r="QLM165" s="558"/>
      <c r="QLN165" s="558"/>
      <c r="QLO165" s="558"/>
      <c r="QLP165" s="558"/>
      <c r="QLQ165" s="558"/>
      <c r="QLR165" s="558"/>
      <c r="QLS165" s="558"/>
      <c r="QLT165" s="558"/>
      <c r="QLU165" s="558"/>
      <c r="QLV165" s="558"/>
      <c r="QLW165" s="558"/>
      <c r="QLX165" s="558"/>
      <c r="QLY165" s="558"/>
      <c r="QLZ165" s="558"/>
      <c r="QMA165" s="558"/>
      <c r="QMB165" s="558"/>
      <c r="QMC165" s="558"/>
      <c r="QMD165" s="558"/>
      <c r="QME165" s="558"/>
      <c r="QMF165" s="558"/>
      <c r="QMG165" s="558"/>
      <c r="QMH165" s="558"/>
      <c r="QMI165" s="558"/>
      <c r="QMJ165" s="558"/>
      <c r="QMK165" s="558"/>
      <c r="QML165" s="558"/>
      <c r="QMM165" s="558"/>
      <c r="QMN165" s="558"/>
      <c r="QMO165" s="558"/>
      <c r="QMP165" s="558"/>
      <c r="QMQ165" s="558"/>
      <c r="QMR165" s="558"/>
      <c r="QMS165" s="558"/>
      <c r="QMT165" s="558"/>
      <c r="QMU165" s="558"/>
      <c r="QMV165" s="558"/>
      <c r="QMW165" s="558"/>
      <c r="QMX165" s="558"/>
      <c r="QMY165" s="558"/>
      <c r="QMZ165" s="558"/>
      <c r="QNA165" s="558"/>
      <c r="QNB165" s="558"/>
      <c r="QNC165" s="558"/>
      <c r="QND165" s="558"/>
      <c r="QNE165" s="558"/>
      <c r="QNF165" s="558"/>
      <c r="QNG165" s="558"/>
      <c r="QNH165" s="558"/>
      <c r="QNI165" s="558"/>
      <c r="QNJ165" s="558"/>
      <c r="QNK165" s="558"/>
      <c r="QNL165" s="558"/>
      <c r="QNM165" s="558"/>
      <c r="QNN165" s="558"/>
      <c r="QNO165" s="558"/>
      <c r="QNP165" s="558"/>
      <c r="QNQ165" s="558"/>
      <c r="QNR165" s="558"/>
      <c r="QNS165" s="558"/>
      <c r="QNT165" s="558"/>
      <c r="QNU165" s="558"/>
      <c r="QNV165" s="558"/>
      <c r="QNW165" s="558"/>
      <c r="QNX165" s="558"/>
      <c r="QNY165" s="558"/>
      <c r="QNZ165" s="558"/>
      <c r="QOA165" s="558"/>
      <c r="QOB165" s="558"/>
      <c r="QOC165" s="558"/>
      <c r="QOD165" s="558"/>
      <c r="QOE165" s="558"/>
      <c r="QOF165" s="558"/>
      <c r="QOG165" s="558"/>
      <c r="QOH165" s="558"/>
      <c r="QOI165" s="558"/>
      <c r="QOJ165" s="558"/>
      <c r="QOK165" s="558"/>
      <c r="QOL165" s="558"/>
      <c r="QOM165" s="558"/>
      <c r="QON165" s="558"/>
      <c r="QOO165" s="558"/>
      <c r="QOP165" s="558"/>
      <c r="QOQ165" s="558"/>
      <c r="QOR165" s="558"/>
      <c r="QOS165" s="558"/>
      <c r="QOT165" s="558"/>
      <c r="QOU165" s="558"/>
      <c r="QOV165" s="558"/>
      <c r="QOW165" s="558"/>
      <c r="QOX165" s="558"/>
      <c r="QOY165" s="558"/>
      <c r="QOZ165" s="558"/>
      <c r="QPA165" s="558"/>
      <c r="QPB165" s="558"/>
      <c r="QPC165" s="558"/>
      <c r="QPD165" s="558"/>
      <c r="QPE165" s="558"/>
      <c r="QPF165" s="558"/>
      <c r="QPG165" s="558"/>
      <c r="QPH165" s="558"/>
      <c r="QPI165" s="558"/>
      <c r="QPJ165" s="558"/>
      <c r="QPK165" s="558"/>
      <c r="QPL165" s="558"/>
      <c r="QPM165" s="558"/>
      <c r="QPN165" s="558"/>
      <c r="QPO165" s="558"/>
      <c r="QPP165" s="558"/>
      <c r="QPQ165" s="558"/>
      <c r="QPR165" s="558"/>
      <c r="QPS165" s="558"/>
      <c r="QPT165" s="558"/>
      <c r="QPU165" s="558"/>
      <c r="QPV165" s="558"/>
      <c r="QPW165" s="558"/>
      <c r="QPX165" s="558"/>
      <c r="QPY165" s="558"/>
      <c r="QPZ165" s="558"/>
      <c r="QQA165" s="558"/>
      <c r="QQB165" s="558"/>
      <c r="QQC165" s="558"/>
      <c r="QQD165" s="558"/>
      <c r="QQE165" s="558"/>
      <c r="QQF165" s="558"/>
      <c r="QQG165" s="558"/>
      <c r="QQH165" s="558"/>
      <c r="QQI165" s="558"/>
      <c r="QQJ165" s="558"/>
      <c r="QQK165" s="558"/>
      <c r="QQL165" s="558"/>
      <c r="QQM165" s="558"/>
      <c r="QQN165" s="558"/>
      <c r="QQO165" s="558"/>
      <c r="QQP165" s="558"/>
      <c r="QQQ165" s="558"/>
      <c r="QQR165" s="558"/>
      <c r="QQS165" s="558"/>
      <c r="QQT165" s="558"/>
      <c r="QQU165" s="558"/>
      <c r="QQV165" s="558"/>
      <c r="QQW165" s="558"/>
      <c r="QQX165" s="558"/>
      <c r="QQY165" s="558"/>
      <c r="QQZ165" s="558"/>
      <c r="QRA165" s="558"/>
      <c r="QRB165" s="558"/>
      <c r="QRC165" s="558"/>
      <c r="QRD165" s="558"/>
      <c r="QRE165" s="558"/>
      <c r="QRF165" s="558"/>
      <c r="QRG165" s="558"/>
      <c r="QRH165" s="558"/>
      <c r="QRI165" s="558"/>
      <c r="QRJ165" s="558"/>
      <c r="QRK165" s="558"/>
      <c r="QRL165" s="558"/>
      <c r="QRM165" s="558"/>
      <c r="QRN165" s="558"/>
      <c r="QRO165" s="558"/>
      <c r="QRP165" s="558"/>
      <c r="QRQ165" s="558"/>
      <c r="QRR165" s="558"/>
      <c r="QRS165" s="558"/>
      <c r="QRT165" s="558"/>
      <c r="QRU165" s="558"/>
      <c r="QRV165" s="558"/>
      <c r="QRW165" s="558"/>
      <c r="QRX165" s="558"/>
      <c r="QRY165" s="558"/>
      <c r="QRZ165" s="558"/>
      <c r="QSA165" s="558"/>
      <c r="QSB165" s="558"/>
      <c r="QSC165" s="558"/>
      <c r="QSD165" s="558"/>
      <c r="QSE165" s="558"/>
      <c r="QSF165" s="558"/>
      <c r="QSG165" s="558"/>
      <c r="QSH165" s="558"/>
      <c r="QSI165" s="558"/>
      <c r="QSJ165" s="558"/>
      <c r="QSK165" s="558"/>
      <c r="QSL165" s="558"/>
      <c r="QSM165" s="558"/>
      <c r="QSN165" s="558"/>
      <c r="QSO165" s="558"/>
      <c r="QSP165" s="558"/>
      <c r="QSQ165" s="558"/>
      <c r="QSR165" s="558"/>
      <c r="QSS165" s="558"/>
      <c r="QST165" s="558"/>
      <c r="QSU165" s="558"/>
      <c r="QSV165" s="558"/>
      <c r="QSW165" s="558"/>
      <c r="QSX165" s="558"/>
      <c r="QSY165" s="558"/>
      <c r="QSZ165" s="558"/>
      <c r="QTA165" s="558"/>
      <c r="QTB165" s="558"/>
      <c r="QTC165" s="558"/>
      <c r="QTD165" s="558"/>
      <c r="QTE165" s="558"/>
      <c r="QTF165" s="558"/>
      <c r="QTG165" s="558"/>
      <c r="QTH165" s="558"/>
      <c r="QTI165" s="558"/>
      <c r="QTJ165" s="558"/>
      <c r="QTK165" s="558"/>
      <c r="QTL165" s="558"/>
      <c r="QTM165" s="558"/>
      <c r="QTN165" s="558"/>
      <c r="QTO165" s="558"/>
      <c r="QTP165" s="558"/>
      <c r="QTQ165" s="558"/>
      <c r="QTR165" s="558"/>
      <c r="QTS165" s="558"/>
      <c r="QTT165" s="558"/>
      <c r="QTU165" s="558"/>
      <c r="QTV165" s="558"/>
      <c r="QTW165" s="558"/>
      <c r="QTX165" s="558"/>
      <c r="QTY165" s="558"/>
      <c r="QTZ165" s="558"/>
      <c r="QUA165" s="558"/>
      <c r="QUB165" s="558"/>
      <c r="QUC165" s="558"/>
      <c r="QUD165" s="558"/>
      <c r="QUE165" s="558"/>
      <c r="QUF165" s="558"/>
      <c r="QUG165" s="558"/>
      <c r="QUH165" s="558"/>
      <c r="QUI165" s="558"/>
      <c r="QUJ165" s="558"/>
      <c r="QUK165" s="558"/>
      <c r="QUL165" s="558"/>
      <c r="QUM165" s="558"/>
      <c r="QUN165" s="558"/>
      <c r="QUO165" s="558"/>
      <c r="QUP165" s="558"/>
      <c r="QUQ165" s="558"/>
      <c r="QUR165" s="558"/>
      <c r="QUS165" s="558"/>
      <c r="QUT165" s="558"/>
      <c r="QUU165" s="558"/>
      <c r="QUV165" s="558"/>
      <c r="QUW165" s="558"/>
      <c r="QUX165" s="558"/>
      <c r="QUY165" s="558"/>
      <c r="QUZ165" s="558"/>
      <c r="QVA165" s="558"/>
      <c r="QVB165" s="558"/>
      <c r="QVC165" s="558"/>
      <c r="QVD165" s="558"/>
      <c r="QVE165" s="558"/>
      <c r="QVF165" s="558"/>
      <c r="QVG165" s="558"/>
      <c r="QVH165" s="558"/>
      <c r="QVI165" s="558"/>
      <c r="QVJ165" s="558"/>
      <c r="QVK165" s="558"/>
      <c r="QVL165" s="558"/>
      <c r="QVM165" s="558"/>
      <c r="QVN165" s="558"/>
      <c r="QVO165" s="558"/>
      <c r="QVP165" s="558"/>
      <c r="QVQ165" s="558"/>
      <c r="QVR165" s="558"/>
      <c r="QVS165" s="558"/>
      <c r="QVT165" s="558"/>
      <c r="QVU165" s="558"/>
      <c r="QVV165" s="558"/>
      <c r="QVW165" s="558"/>
      <c r="QVX165" s="558"/>
      <c r="QVY165" s="558"/>
      <c r="QVZ165" s="558"/>
      <c r="QWA165" s="558"/>
      <c r="QWB165" s="558"/>
      <c r="QWC165" s="558"/>
      <c r="QWD165" s="558"/>
      <c r="QWE165" s="558"/>
      <c r="QWF165" s="558"/>
      <c r="QWG165" s="558"/>
      <c r="QWH165" s="558"/>
      <c r="QWI165" s="558"/>
      <c r="QWJ165" s="558"/>
      <c r="QWK165" s="558"/>
      <c r="QWL165" s="558"/>
      <c r="QWM165" s="558"/>
      <c r="QWN165" s="558"/>
      <c r="QWO165" s="558"/>
      <c r="QWP165" s="558"/>
      <c r="QWQ165" s="558"/>
      <c r="QWR165" s="558"/>
      <c r="QWS165" s="558"/>
      <c r="QWT165" s="558"/>
      <c r="QWU165" s="558"/>
      <c r="QWV165" s="558"/>
      <c r="QWW165" s="558"/>
      <c r="QWX165" s="558"/>
      <c r="QWY165" s="558"/>
      <c r="QWZ165" s="558"/>
      <c r="QXA165" s="558"/>
      <c r="QXB165" s="558"/>
      <c r="QXC165" s="558"/>
      <c r="QXD165" s="558"/>
      <c r="QXE165" s="558"/>
      <c r="QXF165" s="558"/>
      <c r="QXG165" s="558"/>
      <c r="QXH165" s="558"/>
      <c r="QXI165" s="558"/>
      <c r="QXJ165" s="558"/>
      <c r="QXK165" s="558"/>
      <c r="QXL165" s="558"/>
      <c r="QXM165" s="558"/>
      <c r="QXN165" s="558"/>
      <c r="QXO165" s="558"/>
      <c r="QXP165" s="558"/>
      <c r="QXQ165" s="558"/>
      <c r="QXR165" s="558"/>
      <c r="QXS165" s="558"/>
      <c r="QXT165" s="558"/>
      <c r="QXU165" s="558"/>
      <c r="QXV165" s="558"/>
      <c r="QXW165" s="558"/>
      <c r="QXX165" s="558"/>
      <c r="QXY165" s="558"/>
      <c r="QXZ165" s="558"/>
      <c r="QYA165" s="558"/>
      <c r="QYB165" s="558"/>
      <c r="QYC165" s="558"/>
      <c r="QYD165" s="558"/>
      <c r="QYE165" s="558"/>
      <c r="QYF165" s="558"/>
      <c r="QYG165" s="558"/>
      <c r="QYH165" s="558"/>
      <c r="QYI165" s="558"/>
      <c r="QYJ165" s="558"/>
      <c r="QYK165" s="558"/>
      <c r="QYL165" s="558"/>
      <c r="QYM165" s="558"/>
      <c r="QYN165" s="558"/>
      <c r="QYO165" s="558"/>
      <c r="QYP165" s="558"/>
      <c r="QYQ165" s="558"/>
      <c r="QYR165" s="558"/>
      <c r="QYS165" s="558"/>
      <c r="QYT165" s="558"/>
      <c r="QYU165" s="558"/>
      <c r="QYV165" s="558"/>
      <c r="QYW165" s="558"/>
      <c r="QYX165" s="558"/>
      <c r="QYY165" s="558"/>
      <c r="QYZ165" s="558"/>
      <c r="QZA165" s="558"/>
      <c r="QZB165" s="558"/>
      <c r="QZC165" s="558"/>
      <c r="QZD165" s="558"/>
      <c r="QZE165" s="558"/>
      <c r="QZF165" s="558"/>
      <c r="QZG165" s="558"/>
      <c r="QZH165" s="558"/>
      <c r="QZI165" s="558"/>
      <c r="QZJ165" s="558"/>
      <c r="QZK165" s="558"/>
      <c r="QZL165" s="558"/>
      <c r="QZM165" s="558"/>
      <c r="QZN165" s="558"/>
      <c r="QZO165" s="558"/>
      <c r="QZP165" s="558"/>
      <c r="QZQ165" s="558"/>
      <c r="QZR165" s="558"/>
      <c r="QZS165" s="558"/>
      <c r="QZT165" s="558"/>
      <c r="QZU165" s="558"/>
      <c r="QZV165" s="558"/>
      <c r="QZW165" s="558"/>
      <c r="QZX165" s="558"/>
      <c r="QZY165" s="558"/>
      <c r="QZZ165" s="558"/>
      <c r="RAA165" s="558"/>
      <c r="RAB165" s="558"/>
      <c r="RAC165" s="558"/>
      <c r="RAD165" s="558"/>
      <c r="RAE165" s="558"/>
      <c r="RAF165" s="558"/>
      <c r="RAG165" s="558"/>
      <c r="RAH165" s="558"/>
      <c r="RAI165" s="558"/>
      <c r="RAJ165" s="558"/>
      <c r="RAK165" s="558"/>
      <c r="RAL165" s="558"/>
      <c r="RAM165" s="558"/>
      <c r="RAN165" s="558"/>
      <c r="RAO165" s="558"/>
      <c r="RAP165" s="558"/>
      <c r="RAQ165" s="558"/>
      <c r="RAR165" s="558"/>
      <c r="RAS165" s="558"/>
      <c r="RAT165" s="558"/>
      <c r="RAU165" s="558"/>
      <c r="RAV165" s="558"/>
      <c r="RAW165" s="558"/>
      <c r="RAX165" s="558"/>
      <c r="RAY165" s="558"/>
      <c r="RAZ165" s="558"/>
      <c r="RBA165" s="558"/>
      <c r="RBB165" s="558"/>
      <c r="RBC165" s="558"/>
      <c r="RBD165" s="558"/>
      <c r="RBE165" s="558"/>
      <c r="RBF165" s="558"/>
      <c r="RBG165" s="558"/>
      <c r="RBH165" s="558"/>
      <c r="RBI165" s="558"/>
      <c r="RBJ165" s="558"/>
      <c r="RBK165" s="558"/>
      <c r="RBL165" s="558"/>
      <c r="RBM165" s="558"/>
      <c r="RBN165" s="558"/>
      <c r="RBO165" s="558"/>
      <c r="RBP165" s="558"/>
      <c r="RBQ165" s="558"/>
      <c r="RBR165" s="558"/>
      <c r="RBS165" s="558"/>
      <c r="RBT165" s="558"/>
      <c r="RBU165" s="558"/>
      <c r="RBV165" s="558"/>
      <c r="RBW165" s="558"/>
      <c r="RBX165" s="558"/>
      <c r="RBY165" s="558"/>
      <c r="RBZ165" s="558"/>
      <c r="RCA165" s="558"/>
      <c r="RCB165" s="558"/>
      <c r="RCC165" s="558"/>
      <c r="RCD165" s="558"/>
      <c r="RCE165" s="558"/>
      <c r="RCF165" s="558"/>
      <c r="RCG165" s="558"/>
      <c r="RCH165" s="558"/>
      <c r="RCI165" s="558"/>
      <c r="RCJ165" s="558"/>
      <c r="RCK165" s="558"/>
      <c r="RCL165" s="558"/>
      <c r="RCM165" s="558"/>
      <c r="RCN165" s="558"/>
      <c r="RCO165" s="558"/>
      <c r="RCP165" s="558"/>
      <c r="RCQ165" s="558"/>
      <c r="RCR165" s="558"/>
      <c r="RCS165" s="558"/>
      <c r="RCT165" s="558"/>
      <c r="RCU165" s="558"/>
      <c r="RCV165" s="558"/>
      <c r="RCW165" s="558"/>
      <c r="RCX165" s="558"/>
      <c r="RCY165" s="558"/>
      <c r="RCZ165" s="558"/>
      <c r="RDA165" s="558"/>
      <c r="RDB165" s="558"/>
      <c r="RDC165" s="558"/>
      <c r="RDD165" s="558"/>
      <c r="RDE165" s="558"/>
      <c r="RDF165" s="558"/>
      <c r="RDG165" s="558"/>
      <c r="RDH165" s="558"/>
      <c r="RDI165" s="558"/>
      <c r="RDJ165" s="558"/>
      <c r="RDK165" s="558"/>
      <c r="RDL165" s="558"/>
      <c r="RDM165" s="558"/>
      <c r="RDN165" s="558"/>
      <c r="RDO165" s="558"/>
      <c r="RDP165" s="558"/>
      <c r="RDQ165" s="558"/>
      <c r="RDR165" s="558"/>
      <c r="RDS165" s="558"/>
      <c r="RDT165" s="558"/>
      <c r="RDU165" s="558"/>
      <c r="RDV165" s="558"/>
      <c r="RDW165" s="558"/>
      <c r="RDX165" s="558"/>
      <c r="RDY165" s="558"/>
      <c r="RDZ165" s="558"/>
      <c r="REA165" s="558"/>
      <c r="REB165" s="558"/>
      <c r="REC165" s="558"/>
      <c r="RED165" s="558"/>
      <c r="REE165" s="558"/>
      <c r="REF165" s="558"/>
      <c r="REG165" s="558"/>
      <c r="REH165" s="558"/>
      <c r="REI165" s="558"/>
      <c r="REJ165" s="558"/>
      <c r="REK165" s="558"/>
      <c r="REL165" s="558"/>
      <c r="REM165" s="558"/>
      <c r="REN165" s="558"/>
      <c r="REO165" s="558"/>
      <c r="REP165" s="558"/>
      <c r="REQ165" s="558"/>
      <c r="RER165" s="558"/>
      <c r="RES165" s="558"/>
      <c r="RET165" s="558"/>
      <c r="REU165" s="558"/>
      <c r="REV165" s="558"/>
      <c r="REW165" s="558"/>
      <c r="REX165" s="558"/>
      <c r="REY165" s="558"/>
      <c r="REZ165" s="558"/>
      <c r="RFA165" s="558"/>
      <c r="RFB165" s="558"/>
      <c r="RFC165" s="558"/>
      <c r="RFD165" s="558"/>
      <c r="RFE165" s="558"/>
      <c r="RFF165" s="558"/>
      <c r="RFG165" s="558"/>
      <c r="RFH165" s="558"/>
      <c r="RFI165" s="558"/>
      <c r="RFJ165" s="558"/>
      <c r="RFK165" s="558"/>
      <c r="RFL165" s="558"/>
      <c r="RFM165" s="558"/>
      <c r="RFN165" s="558"/>
      <c r="RFO165" s="558"/>
      <c r="RFP165" s="558"/>
      <c r="RFQ165" s="558"/>
      <c r="RFR165" s="558"/>
      <c r="RFS165" s="558"/>
      <c r="RFT165" s="558"/>
      <c r="RFU165" s="558"/>
      <c r="RFV165" s="558"/>
      <c r="RFW165" s="558"/>
      <c r="RFX165" s="558"/>
      <c r="RFY165" s="558"/>
      <c r="RFZ165" s="558"/>
      <c r="RGA165" s="558"/>
      <c r="RGB165" s="558"/>
      <c r="RGC165" s="558"/>
      <c r="RGD165" s="558"/>
      <c r="RGE165" s="558"/>
      <c r="RGF165" s="558"/>
      <c r="RGG165" s="558"/>
      <c r="RGH165" s="558"/>
      <c r="RGI165" s="558"/>
      <c r="RGJ165" s="558"/>
      <c r="RGK165" s="558"/>
      <c r="RGL165" s="558"/>
      <c r="RGM165" s="558"/>
      <c r="RGN165" s="558"/>
      <c r="RGO165" s="558"/>
      <c r="RGP165" s="558"/>
      <c r="RGQ165" s="558"/>
      <c r="RGR165" s="558"/>
      <c r="RGS165" s="558"/>
      <c r="RGT165" s="558"/>
      <c r="RGU165" s="558"/>
      <c r="RGV165" s="558"/>
      <c r="RGW165" s="558"/>
      <c r="RGX165" s="558"/>
      <c r="RGY165" s="558"/>
      <c r="RGZ165" s="558"/>
      <c r="RHA165" s="558"/>
      <c r="RHB165" s="558"/>
      <c r="RHC165" s="558"/>
      <c r="RHD165" s="558"/>
      <c r="RHE165" s="558"/>
      <c r="RHF165" s="558"/>
      <c r="RHG165" s="558"/>
      <c r="RHH165" s="558"/>
      <c r="RHI165" s="558"/>
      <c r="RHJ165" s="558"/>
      <c r="RHK165" s="558"/>
      <c r="RHL165" s="558"/>
      <c r="RHM165" s="558"/>
      <c r="RHN165" s="558"/>
      <c r="RHO165" s="558"/>
      <c r="RHP165" s="558"/>
      <c r="RHQ165" s="558"/>
      <c r="RHR165" s="558"/>
      <c r="RHS165" s="558"/>
      <c r="RHT165" s="558"/>
      <c r="RHU165" s="558"/>
      <c r="RHV165" s="558"/>
      <c r="RHW165" s="558"/>
      <c r="RHX165" s="558"/>
      <c r="RHY165" s="558"/>
      <c r="RHZ165" s="558"/>
      <c r="RIA165" s="558"/>
      <c r="RIB165" s="558"/>
      <c r="RIC165" s="558"/>
      <c r="RID165" s="558"/>
      <c r="RIE165" s="558"/>
      <c r="RIF165" s="558"/>
      <c r="RIG165" s="558"/>
      <c r="RIH165" s="558"/>
      <c r="RII165" s="558"/>
      <c r="RIJ165" s="558"/>
      <c r="RIK165" s="558"/>
      <c r="RIL165" s="558"/>
      <c r="RIM165" s="558"/>
      <c r="RIN165" s="558"/>
      <c r="RIO165" s="558"/>
      <c r="RIP165" s="558"/>
      <c r="RIQ165" s="558"/>
      <c r="RIR165" s="558"/>
      <c r="RIS165" s="558"/>
      <c r="RIT165" s="558"/>
      <c r="RIU165" s="558"/>
      <c r="RIV165" s="558"/>
      <c r="RIW165" s="558"/>
      <c r="RIX165" s="558"/>
      <c r="RIY165" s="558"/>
      <c r="RIZ165" s="558"/>
      <c r="RJA165" s="558"/>
      <c r="RJB165" s="558"/>
      <c r="RJC165" s="558"/>
      <c r="RJD165" s="558"/>
      <c r="RJE165" s="558"/>
      <c r="RJF165" s="558"/>
      <c r="RJG165" s="558"/>
      <c r="RJH165" s="558"/>
      <c r="RJI165" s="558"/>
      <c r="RJJ165" s="558"/>
      <c r="RJK165" s="558"/>
      <c r="RJL165" s="558"/>
      <c r="RJM165" s="558"/>
      <c r="RJN165" s="558"/>
      <c r="RJO165" s="558"/>
      <c r="RJP165" s="558"/>
      <c r="RJQ165" s="558"/>
      <c r="RJR165" s="558"/>
      <c r="RJS165" s="558"/>
      <c r="RJT165" s="558"/>
      <c r="RJU165" s="558"/>
      <c r="RJV165" s="558"/>
      <c r="RJW165" s="558"/>
      <c r="RJX165" s="558"/>
      <c r="RJY165" s="558"/>
      <c r="RJZ165" s="558"/>
      <c r="RKA165" s="558"/>
      <c r="RKB165" s="558"/>
      <c r="RKC165" s="558"/>
      <c r="RKD165" s="558"/>
      <c r="RKE165" s="558"/>
      <c r="RKF165" s="558"/>
      <c r="RKG165" s="558"/>
      <c r="RKH165" s="558"/>
      <c r="RKI165" s="558"/>
      <c r="RKJ165" s="558"/>
      <c r="RKK165" s="558"/>
      <c r="RKL165" s="558"/>
      <c r="RKM165" s="558"/>
      <c r="RKN165" s="558"/>
      <c r="RKO165" s="558"/>
      <c r="RKP165" s="558"/>
      <c r="RKQ165" s="558"/>
      <c r="RKR165" s="558"/>
      <c r="RKS165" s="558"/>
      <c r="RKT165" s="558"/>
      <c r="RKU165" s="558"/>
      <c r="RKV165" s="558"/>
      <c r="RKW165" s="558"/>
      <c r="RKX165" s="558"/>
      <c r="RKY165" s="558"/>
      <c r="RKZ165" s="558"/>
      <c r="RLA165" s="558"/>
      <c r="RLB165" s="558"/>
      <c r="RLC165" s="558"/>
      <c r="RLD165" s="558"/>
      <c r="RLE165" s="558"/>
      <c r="RLF165" s="558"/>
      <c r="RLG165" s="558"/>
      <c r="RLH165" s="558"/>
      <c r="RLI165" s="558"/>
      <c r="RLJ165" s="558"/>
      <c r="RLK165" s="558"/>
      <c r="RLL165" s="558"/>
      <c r="RLM165" s="558"/>
      <c r="RLN165" s="558"/>
      <c r="RLO165" s="558"/>
      <c r="RLP165" s="558"/>
      <c r="RLQ165" s="558"/>
      <c r="RLR165" s="558"/>
      <c r="RLS165" s="558"/>
      <c r="RLT165" s="558"/>
      <c r="RLU165" s="558"/>
      <c r="RLV165" s="558"/>
      <c r="RLW165" s="558"/>
      <c r="RLX165" s="558"/>
      <c r="RLY165" s="558"/>
      <c r="RLZ165" s="558"/>
      <c r="RMA165" s="558"/>
      <c r="RMB165" s="558"/>
      <c r="RMC165" s="558"/>
      <c r="RMD165" s="558"/>
      <c r="RME165" s="558"/>
      <c r="RMF165" s="558"/>
      <c r="RMG165" s="558"/>
      <c r="RMH165" s="558"/>
      <c r="RMI165" s="558"/>
      <c r="RMJ165" s="558"/>
      <c r="RMK165" s="558"/>
      <c r="RML165" s="558"/>
      <c r="RMM165" s="558"/>
      <c r="RMN165" s="558"/>
      <c r="RMO165" s="558"/>
      <c r="RMP165" s="558"/>
      <c r="RMQ165" s="558"/>
      <c r="RMR165" s="558"/>
      <c r="RMS165" s="558"/>
      <c r="RMT165" s="558"/>
      <c r="RMU165" s="558"/>
      <c r="RMV165" s="558"/>
      <c r="RMW165" s="558"/>
      <c r="RMX165" s="558"/>
      <c r="RMY165" s="558"/>
      <c r="RMZ165" s="558"/>
      <c r="RNA165" s="558"/>
      <c r="RNB165" s="558"/>
      <c r="RNC165" s="558"/>
      <c r="RND165" s="558"/>
      <c r="RNE165" s="558"/>
      <c r="RNF165" s="558"/>
      <c r="RNG165" s="558"/>
      <c r="RNH165" s="558"/>
      <c r="RNI165" s="558"/>
      <c r="RNJ165" s="558"/>
      <c r="RNK165" s="558"/>
      <c r="RNL165" s="558"/>
      <c r="RNM165" s="558"/>
      <c r="RNN165" s="558"/>
      <c r="RNO165" s="558"/>
      <c r="RNP165" s="558"/>
      <c r="RNQ165" s="558"/>
      <c r="RNR165" s="558"/>
      <c r="RNS165" s="558"/>
      <c r="RNT165" s="558"/>
      <c r="RNU165" s="558"/>
      <c r="RNV165" s="558"/>
      <c r="RNW165" s="558"/>
      <c r="RNX165" s="558"/>
      <c r="RNY165" s="558"/>
      <c r="RNZ165" s="558"/>
      <c r="ROA165" s="558"/>
      <c r="ROB165" s="558"/>
      <c r="ROC165" s="558"/>
      <c r="ROD165" s="558"/>
      <c r="ROE165" s="558"/>
      <c r="ROF165" s="558"/>
      <c r="ROG165" s="558"/>
      <c r="ROH165" s="558"/>
      <c r="ROI165" s="558"/>
      <c r="ROJ165" s="558"/>
      <c r="ROK165" s="558"/>
      <c r="ROL165" s="558"/>
      <c r="ROM165" s="558"/>
      <c r="RON165" s="558"/>
      <c r="ROO165" s="558"/>
      <c r="ROP165" s="558"/>
      <c r="ROQ165" s="558"/>
      <c r="ROR165" s="558"/>
      <c r="ROS165" s="558"/>
      <c r="ROT165" s="558"/>
      <c r="ROU165" s="558"/>
      <c r="ROV165" s="558"/>
      <c r="ROW165" s="558"/>
      <c r="ROX165" s="558"/>
      <c r="ROY165" s="558"/>
      <c r="ROZ165" s="558"/>
      <c r="RPA165" s="558"/>
      <c r="RPB165" s="558"/>
      <c r="RPC165" s="558"/>
      <c r="RPD165" s="558"/>
      <c r="RPE165" s="558"/>
      <c r="RPF165" s="558"/>
      <c r="RPG165" s="558"/>
      <c r="RPH165" s="558"/>
      <c r="RPI165" s="558"/>
      <c r="RPJ165" s="558"/>
      <c r="RPK165" s="558"/>
      <c r="RPL165" s="558"/>
      <c r="RPM165" s="558"/>
      <c r="RPN165" s="558"/>
      <c r="RPO165" s="558"/>
      <c r="RPP165" s="558"/>
      <c r="RPQ165" s="558"/>
      <c r="RPR165" s="558"/>
      <c r="RPS165" s="558"/>
      <c r="RPT165" s="558"/>
      <c r="RPU165" s="558"/>
      <c r="RPV165" s="558"/>
      <c r="RPW165" s="558"/>
      <c r="RPX165" s="558"/>
      <c r="RPY165" s="558"/>
      <c r="RPZ165" s="558"/>
      <c r="RQA165" s="558"/>
      <c r="RQB165" s="558"/>
      <c r="RQC165" s="558"/>
      <c r="RQD165" s="558"/>
      <c r="RQE165" s="558"/>
      <c r="RQF165" s="558"/>
      <c r="RQG165" s="558"/>
      <c r="RQH165" s="558"/>
      <c r="RQI165" s="558"/>
      <c r="RQJ165" s="558"/>
      <c r="RQK165" s="558"/>
      <c r="RQL165" s="558"/>
      <c r="RQM165" s="558"/>
      <c r="RQN165" s="558"/>
      <c r="RQO165" s="558"/>
      <c r="RQP165" s="558"/>
      <c r="RQQ165" s="558"/>
      <c r="RQR165" s="558"/>
      <c r="RQS165" s="558"/>
      <c r="RQT165" s="558"/>
      <c r="RQU165" s="558"/>
      <c r="RQV165" s="558"/>
      <c r="RQW165" s="558"/>
      <c r="RQX165" s="558"/>
      <c r="RQY165" s="558"/>
      <c r="RQZ165" s="558"/>
      <c r="RRA165" s="558"/>
      <c r="RRB165" s="558"/>
      <c r="RRC165" s="558"/>
      <c r="RRD165" s="558"/>
      <c r="RRE165" s="558"/>
      <c r="RRF165" s="558"/>
      <c r="RRG165" s="558"/>
      <c r="RRH165" s="558"/>
      <c r="RRI165" s="558"/>
      <c r="RRJ165" s="558"/>
      <c r="RRK165" s="558"/>
      <c r="RRL165" s="558"/>
      <c r="RRM165" s="558"/>
      <c r="RRN165" s="558"/>
      <c r="RRO165" s="558"/>
      <c r="RRP165" s="558"/>
      <c r="RRQ165" s="558"/>
      <c r="RRR165" s="558"/>
      <c r="RRS165" s="558"/>
      <c r="RRT165" s="558"/>
      <c r="RRU165" s="558"/>
      <c r="RRV165" s="558"/>
      <c r="RRW165" s="558"/>
      <c r="RRX165" s="558"/>
      <c r="RRY165" s="558"/>
      <c r="RRZ165" s="558"/>
      <c r="RSA165" s="558"/>
      <c r="RSB165" s="558"/>
      <c r="RSC165" s="558"/>
      <c r="RSD165" s="558"/>
      <c r="RSE165" s="558"/>
      <c r="RSF165" s="558"/>
      <c r="RSG165" s="558"/>
      <c r="RSH165" s="558"/>
      <c r="RSI165" s="558"/>
      <c r="RSJ165" s="558"/>
      <c r="RSK165" s="558"/>
      <c r="RSL165" s="558"/>
      <c r="RSM165" s="558"/>
      <c r="RSN165" s="558"/>
      <c r="RSO165" s="558"/>
      <c r="RSP165" s="558"/>
      <c r="RSQ165" s="558"/>
      <c r="RSR165" s="558"/>
      <c r="RSS165" s="558"/>
      <c r="RST165" s="558"/>
      <c r="RSU165" s="558"/>
      <c r="RSV165" s="558"/>
      <c r="RSW165" s="558"/>
      <c r="RSX165" s="558"/>
      <c r="RSY165" s="558"/>
      <c r="RSZ165" s="558"/>
      <c r="RTA165" s="558"/>
      <c r="RTB165" s="558"/>
      <c r="RTC165" s="558"/>
      <c r="RTD165" s="558"/>
      <c r="RTE165" s="558"/>
      <c r="RTF165" s="558"/>
      <c r="RTG165" s="558"/>
      <c r="RTH165" s="558"/>
      <c r="RTI165" s="558"/>
      <c r="RTJ165" s="558"/>
      <c r="RTK165" s="558"/>
      <c r="RTL165" s="558"/>
      <c r="RTM165" s="558"/>
      <c r="RTN165" s="558"/>
      <c r="RTO165" s="558"/>
      <c r="RTP165" s="558"/>
      <c r="RTQ165" s="558"/>
      <c r="RTR165" s="558"/>
      <c r="RTS165" s="558"/>
      <c r="RTT165" s="558"/>
      <c r="RTU165" s="558"/>
      <c r="RTV165" s="558"/>
      <c r="RTW165" s="558"/>
      <c r="RTX165" s="558"/>
      <c r="RTY165" s="558"/>
      <c r="RTZ165" s="558"/>
      <c r="RUA165" s="558"/>
      <c r="RUB165" s="558"/>
      <c r="RUC165" s="558"/>
      <c r="RUD165" s="558"/>
      <c r="RUE165" s="558"/>
      <c r="RUF165" s="558"/>
      <c r="RUG165" s="558"/>
      <c r="RUH165" s="558"/>
      <c r="RUI165" s="558"/>
      <c r="RUJ165" s="558"/>
      <c r="RUK165" s="558"/>
      <c r="RUL165" s="558"/>
      <c r="RUM165" s="558"/>
      <c r="RUN165" s="558"/>
      <c r="RUO165" s="558"/>
      <c r="RUP165" s="558"/>
      <c r="RUQ165" s="558"/>
      <c r="RUR165" s="558"/>
      <c r="RUS165" s="558"/>
      <c r="RUT165" s="558"/>
      <c r="RUU165" s="558"/>
      <c r="RUV165" s="558"/>
      <c r="RUW165" s="558"/>
      <c r="RUX165" s="558"/>
      <c r="RUY165" s="558"/>
      <c r="RUZ165" s="558"/>
      <c r="RVA165" s="558"/>
      <c r="RVB165" s="558"/>
      <c r="RVC165" s="558"/>
      <c r="RVD165" s="558"/>
      <c r="RVE165" s="558"/>
      <c r="RVF165" s="558"/>
      <c r="RVG165" s="558"/>
      <c r="RVH165" s="558"/>
      <c r="RVI165" s="558"/>
      <c r="RVJ165" s="558"/>
      <c r="RVK165" s="558"/>
      <c r="RVL165" s="558"/>
      <c r="RVM165" s="558"/>
      <c r="RVN165" s="558"/>
      <c r="RVO165" s="558"/>
      <c r="RVP165" s="558"/>
      <c r="RVQ165" s="558"/>
      <c r="RVR165" s="558"/>
      <c r="RVS165" s="558"/>
      <c r="RVT165" s="558"/>
      <c r="RVU165" s="558"/>
      <c r="RVV165" s="558"/>
      <c r="RVW165" s="558"/>
      <c r="RVX165" s="558"/>
      <c r="RVY165" s="558"/>
      <c r="RVZ165" s="558"/>
      <c r="RWA165" s="558"/>
      <c r="RWB165" s="558"/>
      <c r="RWC165" s="558"/>
      <c r="RWD165" s="558"/>
      <c r="RWE165" s="558"/>
      <c r="RWF165" s="558"/>
      <c r="RWG165" s="558"/>
      <c r="RWH165" s="558"/>
      <c r="RWI165" s="558"/>
      <c r="RWJ165" s="558"/>
      <c r="RWK165" s="558"/>
      <c r="RWL165" s="558"/>
      <c r="RWM165" s="558"/>
      <c r="RWN165" s="558"/>
      <c r="RWO165" s="558"/>
      <c r="RWP165" s="558"/>
      <c r="RWQ165" s="558"/>
      <c r="RWR165" s="558"/>
      <c r="RWS165" s="558"/>
      <c r="RWT165" s="558"/>
      <c r="RWU165" s="558"/>
      <c r="RWV165" s="558"/>
      <c r="RWW165" s="558"/>
      <c r="RWX165" s="558"/>
      <c r="RWY165" s="558"/>
      <c r="RWZ165" s="558"/>
      <c r="RXA165" s="558"/>
      <c r="RXB165" s="558"/>
      <c r="RXC165" s="558"/>
      <c r="RXD165" s="558"/>
      <c r="RXE165" s="558"/>
      <c r="RXF165" s="558"/>
      <c r="RXG165" s="558"/>
      <c r="RXH165" s="558"/>
      <c r="RXI165" s="558"/>
      <c r="RXJ165" s="558"/>
      <c r="RXK165" s="558"/>
      <c r="RXL165" s="558"/>
      <c r="RXM165" s="558"/>
      <c r="RXN165" s="558"/>
      <c r="RXO165" s="558"/>
      <c r="RXP165" s="558"/>
      <c r="RXQ165" s="558"/>
      <c r="RXR165" s="558"/>
      <c r="RXS165" s="558"/>
      <c r="RXT165" s="558"/>
      <c r="RXU165" s="558"/>
      <c r="RXV165" s="558"/>
      <c r="RXW165" s="558"/>
      <c r="RXX165" s="558"/>
      <c r="RXY165" s="558"/>
      <c r="RXZ165" s="558"/>
      <c r="RYA165" s="558"/>
      <c r="RYB165" s="558"/>
      <c r="RYC165" s="558"/>
      <c r="RYD165" s="558"/>
      <c r="RYE165" s="558"/>
      <c r="RYF165" s="558"/>
      <c r="RYG165" s="558"/>
      <c r="RYH165" s="558"/>
      <c r="RYI165" s="558"/>
      <c r="RYJ165" s="558"/>
      <c r="RYK165" s="558"/>
      <c r="RYL165" s="558"/>
      <c r="RYM165" s="558"/>
      <c r="RYN165" s="558"/>
      <c r="RYO165" s="558"/>
      <c r="RYP165" s="558"/>
      <c r="RYQ165" s="558"/>
      <c r="RYR165" s="558"/>
      <c r="RYS165" s="558"/>
      <c r="RYT165" s="558"/>
      <c r="RYU165" s="558"/>
      <c r="RYV165" s="558"/>
      <c r="RYW165" s="558"/>
      <c r="RYX165" s="558"/>
      <c r="RYY165" s="558"/>
      <c r="RYZ165" s="558"/>
      <c r="RZA165" s="558"/>
      <c r="RZB165" s="558"/>
      <c r="RZC165" s="558"/>
      <c r="RZD165" s="558"/>
      <c r="RZE165" s="558"/>
      <c r="RZF165" s="558"/>
      <c r="RZG165" s="558"/>
      <c r="RZH165" s="558"/>
      <c r="RZI165" s="558"/>
      <c r="RZJ165" s="558"/>
      <c r="RZK165" s="558"/>
      <c r="RZL165" s="558"/>
      <c r="RZM165" s="558"/>
      <c r="RZN165" s="558"/>
      <c r="RZO165" s="558"/>
      <c r="RZP165" s="558"/>
      <c r="RZQ165" s="558"/>
      <c r="RZR165" s="558"/>
      <c r="RZS165" s="558"/>
      <c r="RZT165" s="558"/>
      <c r="RZU165" s="558"/>
      <c r="RZV165" s="558"/>
      <c r="RZW165" s="558"/>
      <c r="RZX165" s="558"/>
      <c r="RZY165" s="558"/>
      <c r="RZZ165" s="558"/>
      <c r="SAA165" s="558"/>
      <c r="SAB165" s="558"/>
      <c r="SAC165" s="558"/>
      <c r="SAD165" s="558"/>
      <c r="SAE165" s="558"/>
      <c r="SAF165" s="558"/>
      <c r="SAG165" s="558"/>
      <c r="SAH165" s="558"/>
      <c r="SAI165" s="558"/>
      <c r="SAJ165" s="558"/>
      <c r="SAK165" s="558"/>
      <c r="SAL165" s="558"/>
      <c r="SAM165" s="558"/>
      <c r="SAN165" s="558"/>
      <c r="SAO165" s="558"/>
      <c r="SAP165" s="558"/>
      <c r="SAQ165" s="558"/>
      <c r="SAR165" s="558"/>
      <c r="SAS165" s="558"/>
      <c r="SAT165" s="558"/>
      <c r="SAU165" s="558"/>
      <c r="SAV165" s="558"/>
      <c r="SAW165" s="558"/>
      <c r="SAX165" s="558"/>
      <c r="SAY165" s="558"/>
      <c r="SAZ165" s="558"/>
      <c r="SBA165" s="558"/>
      <c r="SBB165" s="558"/>
      <c r="SBC165" s="558"/>
      <c r="SBD165" s="558"/>
      <c r="SBE165" s="558"/>
      <c r="SBF165" s="558"/>
      <c r="SBG165" s="558"/>
      <c r="SBH165" s="558"/>
      <c r="SBI165" s="558"/>
      <c r="SBJ165" s="558"/>
      <c r="SBK165" s="558"/>
      <c r="SBL165" s="558"/>
      <c r="SBM165" s="558"/>
      <c r="SBN165" s="558"/>
      <c r="SBO165" s="558"/>
      <c r="SBP165" s="558"/>
      <c r="SBQ165" s="558"/>
      <c r="SBR165" s="558"/>
      <c r="SBS165" s="558"/>
      <c r="SBT165" s="558"/>
      <c r="SBU165" s="558"/>
      <c r="SBV165" s="558"/>
      <c r="SBW165" s="558"/>
      <c r="SBX165" s="558"/>
      <c r="SBY165" s="558"/>
      <c r="SBZ165" s="558"/>
      <c r="SCA165" s="558"/>
      <c r="SCB165" s="558"/>
      <c r="SCC165" s="558"/>
      <c r="SCD165" s="558"/>
      <c r="SCE165" s="558"/>
      <c r="SCF165" s="558"/>
      <c r="SCG165" s="558"/>
      <c r="SCH165" s="558"/>
      <c r="SCI165" s="558"/>
      <c r="SCJ165" s="558"/>
      <c r="SCK165" s="558"/>
      <c r="SCL165" s="558"/>
      <c r="SCM165" s="558"/>
      <c r="SCN165" s="558"/>
      <c r="SCO165" s="558"/>
      <c r="SCP165" s="558"/>
      <c r="SCQ165" s="558"/>
      <c r="SCR165" s="558"/>
      <c r="SCS165" s="558"/>
      <c r="SCT165" s="558"/>
      <c r="SCU165" s="558"/>
      <c r="SCV165" s="558"/>
      <c r="SCW165" s="558"/>
      <c r="SCX165" s="558"/>
      <c r="SCY165" s="558"/>
      <c r="SCZ165" s="558"/>
      <c r="SDA165" s="558"/>
      <c r="SDB165" s="558"/>
      <c r="SDC165" s="558"/>
      <c r="SDD165" s="558"/>
      <c r="SDE165" s="558"/>
      <c r="SDF165" s="558"/>
      <c r="SDG165" s="558"/>
      <c r="SDH165" s="558"/>
      <c r="SDI165" s="558"/>
      <c r="SDJ165" s="558"/>
      <c r="SDK165" s="558"/>
      <c r="SDL165" s="558"/>
      <c r="SDM165" s="558"/>
      <c r="SDN165" s="558"/>
      <c r="SDO165" s="558"/>
      <c r="SDP165" s="558"/>
      <c r="SDQ165" s="558"/>
      <c r="SDR165" s="558"/>
      <c r="SDS165" s="558"/>
      <c r="SDT165" s="558"/>
      <c r="SDU165" s="558"/>
      <c r="SDV165" s="558"/>
      <c r="SDW165" s="558"/>
      <c r="SDX165" s="558"/>
      <c r="SDY165" s="558"/>
      <c r="SDZ165" s="558"/>
      <c r="SEA165" s="558"/>
      <c r="SEB165" s="558"/>
      <c r="SEC165" s="558"/>
      <c r="SED165" s="558"/>
      <c r="SEE165" s="558"/>
      <c r="SEF165" s="558"/>
      <c r="SEG165" s="558"/>
      <c r="SEH165" s="558"/>
      <c r="SEI165" s="558"/>
      <c r="SEJ165" s="558"/>
      <c r="SEK165" s="558"/>
      <c r="SEL165" s="558"/>
      <c r="SEM165" s="558"/>
      <c r="SEN165" s="558"/>
      <c r="SEO165" s="558"/>
      <c r="SEP165" s="558"/>
      <c r="SEQ165" s="558"/>
      <c r="SER165" s="558"/>
      <c r="SES165" s="558"/>
      <c r="SET165" s="558"/>
      <c r="SEU165" s="558"/>
      <c r="SEV165" s="558"/>
      <c r="SEW165" s="558"/>
      <c r="SEX165" s="558"/>
      <c r="SEY165" s="558"/>
      <c r="SEZ165" s="558"/>
      <c r="SFA165" s="558"/>
      <c r="SFB165" s="558"/>
      <c r="SFC165" s="558"/>
      <c r="SFD165" s="558"/>
      <c r="SFE165" s="558"/>
      <c r="SFF165" s="558"/>
      <c r="SFG165" s="558"/>
      <c r="SFH165" s="558"/>
      <c r="SFI165" s="558"/>
      <c r="SFJ165" s="558"/>
      <c r="SFK165" s="558"/>
      <c r="SFL165" s="558"/>
      <c r="SFM165" s="558"/>
      <c r="SFN165" s="558"/>
      <c r="SFO165" s="558"/>
      <c r="SFP165" s="558"/>
      <c r="SFQ165" s="558"/>
      <c r="SFR165" s="558"/>
      <c r="SFS165" s="558"/>
      <c r="SFT165" s="558"/>
      <c r="SFU165" s="558"/>
      <c r="SFV165" s="558"/>
      <c r="SFW165" s="558"/>
      <c r="SFX165" s="558"/>
      <c r="SFY165" s="558"/>
      <c r="SFZ165" s="558"/>
      <c r="SGA165" s="558"/>
      <c r="SGB165" s="558"/>
      <c r="SGC165" s="558"/>
      <c r="SGD165" s="558"/>
      <c r="SGE165" s="558"/>
      <c r="SGF165" s="558"/>
      <c r="SGG165" s="558"/>
      <c r="SGH165" s="558"/>
      <c r="SGI165" s="558"/>
      <c r="SGJ165" s="558"/>
      <c r="SGK165" s="558"/>
      <c r="SGL165" s="558"/>
      <c r="SGM165" s="558"/>
      <c r="SGN165" s="558"/>
      <c r="SGO165" s="558"/>
      <c r="SGP165" s="558"/>
      <c r="SGQ165" s="558"/>
      <c r="SGR165" s="558"/>
      <c r="SGS165" s="558"/>
      <c r="SGT165" s="558"/>
      <c r="SGU165" s="558"/>
      <c r="SGV165" s="558"/>
      <c r="SGW165" s="558"/>
      <c r="SGX165" s="558"/>
      <c r="SGY165" s="558"/>
      <c r="SGZ165" s="558"/>
      <c r="SHA165" s="558"/>
      <c r="SHB165" s="558"/>
      <c r="SHC165" s="558"/>
      <c r="SHD165" s="558"/>
      <c r="SHE165" s="558"/>
      <c r="SHF165" s="558"/>
      <c r="SHG165" s="558"/>
      <c r="SHH165" s="558"/>
      <c r="SHI165" s="558"/>
      <c r="SHJ165" s="558"/>
      <c r="SHK165" s="558"/>
      <c r="SHL165" s="558"/>
      <c r="SHM165" s="558"/>
      <c r="SHN165" s="558"/>
      <c r="SHO165" s="558"/>
      <c r="SHP165" s="558"/>
      <c r="SHQ165" s="558"/>
      <c r="SHR165" s="558"/>
      <c r="SHS165" s="558"/>
      <c r="SHT165" s="558"/>
      <c r="SHU165" s="558"/>
      <c r="SHV165" s="558"/>
      <c r="SHW165" s="558"/>
      <c r="SHX165" s="558"/>
      <c r="SHY165" s="558"/>
      <c r="SHZ165" s="558"/>
      <c r="SIA165" s="558"/>
      <c r="SIB165" s="558"/>
      <c r="SIC165" s="558"/>
      <c r="SID165" s="558"/>
      <c r="SIE165" s="558"/>
      <c r="SIF165" s="558"/>
      <c r="SIG165" s="558"/>
      <c r="SIH165" s="558"/>
      <c r="SII165" s="558"/>
      <c r="SIJ165" s="558"/>
      <c r="SIK165" s="558"/>
      <c r="SIL165" s="558"/>
      <c r="SIM165" s="558"/>
      <c r="SIN165" s="558"/>
      <c r="SIO165" s="558"/>
      <c r="SIP165" s="558"/>
      <c r="SIQ165" s="558"/>
      <c r="SIR165" s="558"/>
      <c r="SIS165" s="558"/>
      <c r="SIT165" s="558"/>
      <c r="SIU165" s="558"/>
      <c r="SIV165" s="558"/>
      <c r="SIW165" s="558"/>
      <c r="SIX165" s="558"/>
      <c r="SIY165" s="558"/>
      <c r="SIZ165" s="558"/>
      <c r="SJA165" s="558"/>
      <c r="SJB165" s="558"/>
      <c r="SJC165" s="558"/>
      <c r="SJD165" s="558"/>
      <c r="SJE165" s="558"/>
      <c r="SJF165" s="558"/>
      <c r="SJG165" s="558"/>
      <c r="SJH165" s="558"/>
      <c r="SJI165" s="558"/>
      <c r="SJJ165" s="558"/>
      <c r="SJK165" s="558"/>
      <c r="SJL165" s="558"/>
      <c r="SJM165" s="558"/>
      <c r="SJN165" s="558"/>
      <c r="SJO165" s="558"/>
      <c r="SJP165" s="558"/>
      <c r="SJQ165" s="558"/>
      <c r="SJR165" s="558"/>
      <c r="SJS165" s="558"/>
      <c r="SJT165" s="558"/>
      <c r="SJU165" s="558"/>
      <c r="SJV165" s="558"/>
      <c r="SJW165" s="558"/>
      <c r="SJX165" s="558"/>
      <c r="SJY165" s="558"/>
      <c r="SJZ165" s="558"/>
      <c r="SKA165" s="558"/>
      <c r="SKB165" s="558"/>
      <c r="SKC165" s="558"/>
      <c r="SKD165" s="558"/>
      <c r="SKE165" s="558"/>
      <c r="SKF165" s="558"/>
      <c r="SKG165" s="558"/>
      <c r="SKH165" s="558"/>
      <c r="SKI165" s="558"/>
      <c r="SKJ165" s="558"/>
      <c r="SKK165" s="558"/>
      <c r="SKL165" s="558"/>
      <c r="SKM165" s="558"/>
      <c r="SKN165" s="558"/>
      <c r="SKO165" s="558"/>
      <c r="SKP165" s="558"/>
      <c r="SKQ165" s="558"/>
      <c r="SKR165" s="558"/>
      <c r="SKS165" s="558"/>
      <c r="SKT165" s="558"/>
      <c r="SKU165" s="558"/>
      <c r="SKV165" s="558"/>
      <c r="SKW165" s="558"/>
      <c r="SKX165" s="558"/>
      <c r="SKY165" s="558"/>
      <c r="SKZ165" s="558"/>
      <c r="SLA165" s="558"/>
      <c r="SLB165" s="558"/>
      <c r="SLC165" s="558"/>
      <c r="SLD165" s="558"/>
      <c r="SLE165" s="558"/>
      <c r="SLF165" s="558"/>
      <c r="SLG165" s="558"/>
      <c r="SLH165" s="558"/>
      <c r="SLI165" s="558"/>
      <c r="SLJ165" s="558"/>
      <c r="SLK165" s="558"/>
      <c r="SLL165" s="558"/>
      <c r="SLM165" s="558"/>
      <c r="SLN165" s="558"/>
      <c r="SLO165" s="558"/>
      <c r="SLP165" s="558"/>
      <c r="SLQ165" s="558"/>
      <c r="SLR165" s="558"/>
      <c r="SLS165" s="558"/>
      <c r="SLT165" s="558"/>
      <c r="SLU165" s="558"/>
      <c r="SLV165" s="558"/>
      <c r="SLW165" s="558"/>
      <c r="SLX165" s="558"/>
      <c r="SLY165" s="558"/>
      <c r="SLZ165" s="558"/>
      <c r="SMA165" s="558"/>
      <c r="SMB165" s="558"/>
      <c r="SMC165" s="558"/>
      <c r="SMD165" s="558"/>
      <c r="SME165" s="558"/>
      <c r="SMF165" s="558"/>
      <c r="SMG165" s="558"/>
      <c r="SMH165" s="558"/>
      <c r="SMI165" s="558"/>
      <c r="SMJ165" s="558"/>
      <c r="SMK165" s="558"/>
      <c r="SML165" s="558"/>
      <c r="SMM165" s="558"/>
      <c r="SMN165" s="558"/>
      <c r="SMO165" s="558"/>
      <c r="SMP165" s="558"/>
      <c r="SMQ165" s="558"/>
      <c r="SMR165" s="558"/>
      <c r="SMS165" s="558"/>
      <c r="SMT165" s="558"/>
      <c r="SMU165" s="558"/>
      <c r="SMV165" s="558"/>
      <c r="SMW165" s="558"/>
      <c r="SMX165" s="558"/>
      <c r="SMY165" s="558"/>
      <c r="SMZ165" s="558"/>
      <c r="SNA165" s="558"/>
      <c r="SNB165" s="558"/>
      <c r="SNC165" s="558"/>
      <c r="SND165" s="558"/>
      <c r="SNE165" s="558"/>
      <c r="SNF165" s="558"/>
      <c r="SNG165" s="558"/>
      <c r="SNH165" s="558"/>
      <c r="SNI165" s="558"/>
      <c r="SNJ165" s="558"/>
      <c r="SNK165" s="558"/>
      <c r="SNL165" s="558"/>
      <c r="SNM165" s="558"/>
      <c r="SNN165" s="558"/>
      <c r="SNO165" s="558"/>
      <c r="SNP165" s="558"/>
      <c r="SNQ165" s="558"/>
      <c r="SNR165" s="558"/>
      <c r="SNS165" s="558"/>
      <c r="SNT165" s="558"/>
      <c r="SNU165" s="558"/>
      <c r="SNV165" s="558"/>
      <c r="SNW165" s="558"/>
      <c r="SNX165" s="558"/>
      <c r="SNY165" s="558"/>
      <c r="SNZ165" s="558"/>
      <c r="SOA165" s="558"/>
      <c r="SOB165" s="558"/>
      <c r="SOC165" s="558"/>
      <c r="SOD165" s="558"/>
      <c r="SOE165" s="558"/>
      <c r="SOF165" s="558"/>
      <c r="SOG165" s="558"/>
      <c r="SOH165" s="558"/>
      <c r="SOI165" s="558"/>
      <c r="SOJ165" s="558"/>
      <c r="SOK165" s="558"/>
      <c r="SOL165" s="558"/>
      <c r="SOM165" s="558"/>
      <c r="SON165" s="558"/>
      <c r="SOO165" s="558"/>
      <c r="SOP165" s="558"/>
      <c r="SOQ165" s="558"/>
      <c r="SOR165" s="558"/>
      <c r="SOS165" s="558"/>
      <c r="SOT165" s="558"/>
      <c r="SOU165" s="558"/>
      <c r="SOV165" s="558"/>
      <c r="SOW165" s="558"/>
      <c r="SOX165" s="558"/>
      <c r="SOY165" s="558"/>
      <c r="SOZ165" s="558"/>
      <c r="SPA165" s="558"/>
      <c r="SPB165" s="558"/>
      <c r="SPC165" s="558"/>
      <c r="SPD165" s="558"/>
      <c r="SPE165" s="558"/>
      <c r="SPF165" s="558"/>
      <c r="SPG165" s="558"/>
      <c r="SPH165" s="558"/>
      <c r="SPI165" s="558"/>
      <c r="SPJ165" s="558"/>
      <c r="SPK165" s="558"/>
      <c r="SPL165" s="558"/>
      <c r="SPM165" s="558"/>
      <c r="SPN165" s="558"/>
      <c r="SPO165" s="558"/>
      <c r="SPP165" s="558"/>
      <c r="SPQ165" s="558"/>
      <c r="SPR165" s="558"/>
      <c r="SPS165" s="558"/>
      <c r="SPT165" s="558"/>
      <c r="SPU165" s="558"/>
      <c r="SPV165" s="558"/>
      <c r="SPW165" s="558"/>
      <c r="SPX165" s="558"/>
      <c r="SPY165" s="558"/>
      <c r="SPZ165" s="558"/>
      <c r="SQA165" s="558"/>
      <c r="SQB165" s="558"/>
      <c r="SQC165" s="558"/>
      <c r="SQD165" s="558"/>
      <c r="SQE165" s="558"/>
      <c r="SQF165" s="558"/>
      <c r="SQG165" s="558"/>
      <c r="SQH165" s="558"/>
      <c r="SQI165" s="558"/>
      <c r="SQJ165" s="558"/>
      <c r="SQK165" s="558"/>
      <c r="SQL165" s="558"/>
      <c r="SQM165" s="558"/>
      <c r="SQN165" s="558"/>
      <c r="SQO165" s="558"/>
      <c r="SQP165" s="558"/>
      <c r="SQQ165" s="558"/>
      <c r="SQR165" s="558"/>
      <c r="SQS165" s="558"/>
      <c r="SQT165" s="558"/>
      <c r="SQU165" s="558"/>
      <c r="SQV165" s="558"/>
      <c r="SQW165" s="558"/>
      <c r="SQX165" s="558"/>
      <c r="SQY165" s="558"/>
      <c r="SQZ165" s="558"/>
      <c r="SRA165" s="558"/>
      <c r="SRB165" s="558"/>
      <c r="SRC165" s="558"/>
      <c r="SRD165" s="558"/>
      <c r="SRE165" s="558"/>
      <c r="SRF165" s="558"/>
      <c r="SRG165" s="558"/>
      <c r="SRH165" s="558"/>
      <c r="SRI165" s="558"/>
      <c r="SRJ165" s="558"/>
      <c r="SRK165" s="558"/>
      <c r="SRL165" s="558"/>
      <c r="SRM165" s="558"/>
      <c r="SRN165" s="558"/>
      <c r="SRO165" s="558"/>
      <c r="SRP165" s="558"/>
      <c r="SRQ165" s="558"/>
      <c r="SRR165" s="558"/>
      <c r="SRS165" s="558"/>
      <c r="SRT165" s="558"/>
      <c r="SRU165" s="558"/>
      <c r="SRV165" s="558"/>
      <c r="SRW165" s="558"/>
      <c r="SRX165" s="558"/>
      <c r="SRY165" s="558"/>
      <c r="SRZ165" s="558"/>
      <c r="SSA165" s="558"/>
      <c r="SSB165" s="558"/>
      <c r="SSC165" s="558"/>
      <c r="SSD165" s="558"/>
      <c r="SSE165" s="558"/>
      <c r="SSF165" s="558"/>
      <c r="SSG165" s="558"/>
      <c r="SSH165" s="558"/>
      <c r="SSI165" s="558"/>
      <c r="SSJ165" s="558"/>
      <c r="SSK165" s="558"/>
      <c r="SSL165" s="558"/>
      <c r="SSM165" s="558"/>
      <c r="SSN165" s="558"/>
      <c r="SSO165" s="558"/>
      <c r="SSP165" s="558"/>
      <c r="SSQ165" s="558"/>
      <c r="SSR165" s="558"/>
      <c r="SSS165" s="558"/>
      <c r="SST165" s="558"/>
      <c r="SSU165" s="558"/>
      <c r="SSV165" s="558"/>
      <c r="SSW165" s="558"/>
      <c r="SSX165" s="558"/>
      <c r="SSY165" s="558"/>
      <c r="SSZ165" s="558"/>
      <c r="STA165" s="558"/>
      <c r="STB165" s="558"/>
      <c r="STC165" s="558"/>
      <c r="STD165" s="558"/>
      <c r="STE165" s="558"/>
      <c r="STF165" s="558"/>
      <c r="STG165" s="558"/>
      <c r="STH165" s="558"/>
      <c r="STI165" s="558"/>
      <c r="STJ165" s="558"/>
      <c r="STK165" s="558"/>
      <c r="STL165" s="558"/>
      <c r="STM165" s="558"/>
      <c r="STN165" s="558"/>
      <c r="STO165" s="558"/>
      <c r="STP165" s="558"/>
      <c r="STQ165" s="558"/>
      <c r="STR165" s="558"/>
      <c r="STS165" s="558"/>
      <c r="STT165" s="558"/>
      <c r="STU165" s="558"/>
      <c r="STV165" s="558"/>
      <c r="STW165" s="558"/>
      <c r="STX165" s="558"/>
      <c r="STY165" s="558"/>
      <c r="STZ165" s="558"/>
      <c r="SUA165" s="558"/>
      <c r="SUB165" s="558"/>
      <c r="SUC165" s="558"/>
      <c r="SUD165" s="558"/>
      <c r="SUE165" s="558"/>
      <c r="SUF165" s="558"/>
      <c r="SUG165" s="558"/>
      <c r="SUH165" s="558"/>
      <c r="SUI165" s="558"/>
      <c r="SUJ165" s="558"/>
      <c r="SUK165" s="558"/>
      <c r="SUL165" s="558"/>
      <c r="SUM165" s="558"/>
      <c r="SUN165" s="558"/>
      <c r="SUO165" s="558"/>
      <c r="SUP165" s="558"/>
      <c r="SUQ165" s="558"/>
      <c r="SUR165" s="558"/>
      <c r="SUS165" s="558"/>
      <c r="SUT165" s="558"/>
      <c r="SUU165" s="558"/>
      <c r="SUV165" s="558"/>
      <c r="SUW165" s="558"/>
      <c r="SUX165" s="558"/>
      <c r="SUY165" s="558"/>
      <c r="SUZ165" s="558"/>
      <c r="SVA165" s="558"/>
      <c r="SVB165" s="558"/>
      <c r="SVC165" s="558"/>
      <c r="SVD165" s="558"/>
      <c r="SVE165" s="558"/>
      <c r="SVF165" s="558"/>
      <c r="SVG165" s="558"/>
      <c r="SVH165" s="558"/>
      <c r="SVI165" s="558"/>
      <c r="SVJ165" s="558"/>
      <c r="SVK165" s="558"/>
      <c r="SVL165" s="558"/>
      <c r="SVM165" s="558"/>
      <c r="SVN165" s="558"/>
      <c r="SVO165" s="558"/>
      <c r="SVP165" s="558"/>
      <c r="SVQ165" s="558"/>
      <c r="SVR165" s="558"/>
      <c r="SVS165" s="558"/>
      <c r="SVT165" s="558"/>
      <c r="SVU165" s="558"/>
      <c r="SVV165" s="558"/>
      <c r="SVW165" s="558"/>
      <c r="SVX165" s="558"/>
      <c r="SVY165" s="558"/>
      <c r="SVZ165" s="558"/>
      <c r="SWA165" s="558"/>
      <c r="SWB165" s="558"/>
      <c r="SWC165" s="558"/>
      <c r="SWD165" s="558"/>
      <c r="SWE165" s="558"/>
      <c r="SWF165" s="558"/>
      <c r="SWG165" s="558"/>
      <c r="SWH165" s="558"/>
      <c r="SWI165" s="558"/>
      <c r="SWJ165" s="558"/>
      <c r="SWK165" s="558"/>
      <c r="SWL165" s="558"/>
      <c r="SWM165" s="558"/>
      <c r="SWN165" s="558"/>
      <c r="SWO165" s="558"/>
      <c r="SWP165" s="558"/>
      <c r="SWQ165" s="558"/>
      <c r="SWR165" s="558"/>
      <c r="SWS165" s="558"/>
      <c r="SWT165" s="558"/>
      <c r="SWU165" s="558"/>
      <c r="SWV165" s="558"/>
      <c r="SWW165" s="558"/>
      <c r="SWX165" s="558"/>
      <c r="SWY165" s="558"/>
      <c r="SWZ165" s="558"/>
      <c r="SXA165" s="558"/>
      <c r="SXB165" s="558"/>
      <c r="SXC165" s="558"/>
      <c r="SXD165" s="558"/>
      <c r="SXE165" s="558"/>
      <c r="SXF165" s="558"/>
      <c r="SXG165" s="558"/>
      <c r="SXH165" s="558"/>
      <c r="SXI165" s="558"/>
      <c r="SXJ165" s="558"/>
      <c r="SXK165" s="558"/>
      <c r="SXL165" s="558"/>
      <c r="SXM165" s="558"/>
      <c r="SXN165" s="558"/>
      <c r="SXO165" s="558"/>
      <c r="SXP165" s="558"/>
      <c r="SXQ165" s="558"/>
      <c r="SXR165" s="558"/>
      <c r="SXS165" s="558"/>
      <c r="SXT165" s="558"/>
      <c r="SXU165" s="558"/>
      <c r="SXV165" s="558"/>
      <c r="SXW165" s="558"/>
      <c r="SXX165" s="558"/>
      <c r="SXY165" s="558"/>
      <c r="SXZ165" s="558"/>
      <c r="SYA165" s="558"/>
      <c r="SYB165" s="558"/>
      <c r="SYC165" s="558"/>
      <c r="SYD165" s="558"/>
      <c r="SYE165" s="558"/>
      <c r="SYF165" s="558"/>
      <c r="SYG165" s="558"/>
      <c r="SYH165" s="558"/>
      <c r="SYI165" s="558"/>
      <c r="SYJ165" s="558"/>
      <c r="SYK165" s="558"/>
      <c r="SYL165" s="558"/>
      <c r="SYM165" s="558"/>
      <c r="SYN165" s="558"/>
      <c r="SYO165" s="558"/>
      <c r="SYP165" s="558"/>
      <c r="SYQ165" s="558"/>
      <c r="SYR165" s="558"/>
      <c r="SYS165" s="558"/>
      <c r="SYT165" s="558"/>
      <c r="SYU165" s="558"/>
      <c r="SYV165" s="558"/>
      <c r="SYW165" s="558"/>
      <c r="SYX165" s="558"/>
      <c r="SYY165" s="558"/>
      <c r="SYZ165" s="558"/>
      <c r="SZA165" s="558"/>
      <c r="SZB165" s="558"/>
      <c r="SZC165" s="558"/>
      <c r="SZD165" s="558"/>
      <c r="SZE165" s="558"/>
      <c r="SZF165" s="558"/>
      <c r="SZG165" s="558"/>
      <c r="SZH165" s="558"/>
      <c r="SZI165" s="558"/>
      <c r="SZJ165" s="558"/>
      <c r="SZK165" s="558"/>
      <c r="SZL165" s="558"/>
      <c r="SZM165" s="558"/>
      <c r="SZN165" s="558"/>
      <c r="SZO165" s="558"/>
      <c r="SZP165" s="558"/>
      <c r="SZQ165" s="558"/>
      <c r="SZR165" s="558"/>
      <c r="SZS165" s="558"/>
      <c r="SZT165" s="558"/>
      <c r="SZU165" s="558"/>
      <c r="SZV165" s="558"/>
      <c r="SZW165" s="558"/>
      <c r="SZX165" s="558"/>
      <c r="SZY165" s="558"/>
      <c r="SZZ165" s="558"/>
      <c r="TAA165" s="558"/>
      <c r="TAB165" s="558"/>
      <c r="TAC165" s="558"/>
      <c r="TAD165" s="558"/>
      <c r="TAE165" s="558"/>
      <c r="TAF165" s="558"/>
      <c r="TAG165" s="558"/>
      <c r="TAH165" s="558"/>
      <c r="TAI165" s="558"/>
      <c r="TAJ165" s="558"/>
      <c r="TAK165" s="558"/>
      <c r="TAL165" s="558"/>
      <c r="TAM165" s="558"/>
      <c r="TAN165" s="558"/>
      <c r="TAO165" s="558"/>
      <c r="TAP165" s="558"/>
      <c r="TAQ165" s="558"/>
      <c r="TAR165" s="558"/>
      <c r="TAS165" s="558"/>
      <c r="TAT165" s="558"/>
      <c r="TAU165" s="558"/>
      <c r="TAV165" s="558"/>
      <c r="TAW165" s="558"/>
      <c r="TAX165" s="558"/>
      <c r="TAY165" s="558"/>
      <c r="TAZ165" s="558"/>
      <c r="TBA165" s="558"/>
      <c r="TBB165" s="558"/>
      <c r="TBC165" s="558"/>
      <c r="TBD165" s="558"/>
      <c r="TBE165" s="558"/>
      <c r="TBF165" s="558"/>
      <c r="TBG165" s="558"/>
      <c r="TBH165" s="558"/>
      <c r="TBI165" s="558"/>
      <c r="TBJ165" s="558"/>
      <c r="TBK165" s="558"/>
      <c r="TBL165" s="558"/>
      <c r="TBM165" s="558"/>
      <c r="TBN165" s="558"/>
      <c r="TBO165" s="558"/>
      <c r="TBP165" s="558"/>
      <c r="TBQ165" s="558"/>
      <c r="TBR165" s="558"/>
      <c r="TBS165" s="558"/>
      <c r="TBT165" s="558"/>
      <c r="TBU165" s="558"/>
      <c r="TBV165" s="558"/>
      <c r="TBW165" s="558"/>
      <c r="TBX165" s="558"/>
      <c r="TBY165" s="558"/>
      <c r="TBZ165" s="558"/>
      <c r="TCA165" s="558"/>
      <c r="TCB165" s="558"/>
      <c r="TCC165" s="558"/>
      <c r="TCD165" s="558"/>
      <c r="TCE165" s="558"/>
      <c r="TCF165" s="558"/>
      <c r="TCG165" s="558"/>
      <c r="TCH165" s="558"/>
      <c r="TCI165" s="558"/>
      <c r="TCJ165" s="558"/>
      <c r="TCK165" s="558"/>
      <c r="TCL165" s="558"/>
      <c r="TCM165" s="558"/>
      <c r="TCN165" s="558"/>
      <c r="TCO165" s="558"/>
      <c r="TCP165" s="558"/>
      <c r="TCQ165" s="558"/>
      <c r="TCR165" s="558"/>
      <c r="TCS165" s="558"/>
      <c r="TCT165" s="558"/>
      <c r="TCU165" s="558"/>
      <c r="TCV165" s="558"/>
      <c r="TCW165" s="558"/>
      <c r="TCX165" s="558"/>
      <c r="TCY165" s="558"/>
      <c r="TCZ165" s="558"/>
      <c r="TDA165" s="558"/>
      <c r="TDB165" s="558"/>
      <c r="TDC165" s="558"/>
      <c r="TDD165" s="558"/>
      <c r="TDE165" s="558"/>
      <c r="TDF165" s="558"/>
      <c r="TDG165" s="558"/>
      <c r="TDH165" s="558"/>
      <c r="TDI165" s="558"/>
      <c r="TDJ165" s="558"/>
      <c r="TDK165" s="558"/>
      <c r="TDL165" s="558"/>
      <c r="TDM165" s="558"/>
      <c r="TDN165" s="558"/>
      <c r="TDO165" s="558"/>
      <c r="TDP165" s="558"/>
      <c r="TDQ165" s="558"/>
      <c r="TDR165" s="558"/>
      <c r="TDS165" s="558"/>
      <c r="TDT165" s="558"/>
      <c r="TDU165" s="558"/>
      <c r="TDV165" s="558"/>
      <c r="TDW165" s="558"/>
      <c r="TDX165" s="558"/>
      <c r="TDY165" s="558"/>
      <c r="TDZ165" s="558"/>
      <c r="TEA165" s="558"/>
      <c r="TEB165" s="558"/>
      <c r="TEC165" s="558"/>
      <c r="TED165" s="558"/>
      <c r="TEE165" s="558"/>
      <c r="TEF165" s="558"/>
      <c r="TEG165" s="558"/>
      <c r="TEH165" s="558"/>
      <c r="TEI165" s="558"/>
      <c r="TEJ165" s="558"/>
      <c r="TEK165" s="558"/>
      <c r="TEL165" s="558"/>
      <c r="TEM165" s="558"/>
      <c r="TEN165" s="558"/>
      <c r="TEO165" s="558"/>
      <c r="TEP165" s="558"/>
      <c r="TEQ165" s="558"/>
      <c r="TER165" s="558"/>
      <c r="TES165" s="558"/>
      <c r="TET165" s="558"/>
      <c r="TEU165" s="558"/>
      <c r="TEV165" s="558"/>
      <c r="TEW165" s="558"/>
      <c r="TEX165" s="558"/>
      <c r="TEY165" s="558"/>
      <c r="TEZ165" s="558"/>
      <c r="TFA165" s="558"/>
      <c r="TFB165" s="558"/>
      <c r="TFC165" s="558"/>
      <c r="TFD165" s="558"/>
      <c r="TFE165" s="558"/>
      <c r="TFF165" s="558"/>
      <c r="TFG165" s="558"/>
      <c r="TFH165" s="558"/>
      <c r="TFI165" s="558"/>
      <c r="TFJ165" s="558"/>
      <c r="TFK165" s="558"/>
      <c r="TFL165" s="558"/>
      <c r="TFM165" s="558"/>
      <c r="TFN165" s="558"/>
      <c r="TFO165" s="558"/>
      <c r="TFP165" s="558"/>
      <c r="TFQ165" s="558"/>
      <c r="TFR165" s="558"/>
      <c r="TFS165" s="558"/>
      <c r="TFT165" s="558"/>
      <c r="TFU165" s="558"/>
      <c r="TFV165" s="558"/>
      <c r="TFW165" s="558"/>
      <c r="TFX165" s="558"/>
      <c r="TFY165" s="558"/>
      <c r="TFZ165" s="558"/>
      <c r="TGA165" s="558"/>
      <c r="TGB165" s="558"/>
      <c r="TGC165" s="558"/>
      <c r="TGD165" s="558"/>
      <c r="TGE165" s="558"/>
      <c r="TGF165" s="558"/>
      <c r="TGG165" s="558"/>
      <c r="TGH165" s="558"/>
      <c r="TGI165" s="558"/>
      <c r="TGJ165" s="558"/>
      <c r="TGK165" s="558"/>
      <c r="TGL165" s="558"/>
      <c r="TGM165" s="558"/>
      <c r="TGN165" s="558"/>
      <c r="TGO165" s="558"/>
      <c r="TGP165" s="558"/>
      <c r="TGQ165" s="558"/>
      <c r="TGR165" s="558"/>
      <c r="TGS165" s="558"/>
      <c r="TGT165" s="558"/>
      <c r="TGU165" s="558"/>
      <c r="TGV165" s="558"/>
      <c r="TGW165" s="558"/>
      <c r="TGX165" s="558"/>
      <c r="TGY165" s="558"/>
      <c r="TGZ165" s="558"/>
      <c r="THA165" s="558"/>
      <c r="THB165" s="558"/>
      <c r="THC165" s="558"/>
      <c r="THD165" s="558"/>
      <c r="THE165" s="558"/>
      <c r="THF165" s="558"/>
      <c r="THG165" s="558"/>
      <c r="THH165" s="558"/>
      <c r="THI165" s="558"/>
      <c r="THJ165" s="558"/>
      <c r="THK165" s="558"/>
      <c r="THL165" s="558"/>
      <c r="THM165" s="558"/>
      <c r="THN165" s="558"/>
      <c r="THO165" s="558"/>
      <c r="THP165" s="558"/>
      <c r="THQ165" s="558"/>
      <c r="THR165" s="558"/>
      <c r="THS165" s="558"/>
      <c r="THT165" s="558"/>
      <c r="THU165" s="558"/>
      <c r="THV165" s="558"/>
      <c r="THW165" s="558"/>
      <c r="THX165" s="558"/>
      <c r="THY165" s="558"/>
      <c r="THZ165" s="558"/>
      <c r="TIA165" s="558"/>
      <c r="TIB165" s="558"/>
      <c r="TIC165" s="558"/>
      <c r="TID165" s="558"/>
      <c r="TIE165" s="558"/>
      <c r="TIF165" s="558"/>
      <c r="TIG165" s="558"/>
      <c r="TIH165" s="558"/>
      <c r="TII165" s="558"/>
      <c r="TIJ165" s="558"/>
      <c r="TIK165" s="558"/>
      <c r="TIL165" s="558"/>
      <c r="TIM165" s="558"/>
      <c r="TIN165" s="558"/>
      <c r="TIO165" s="558"/>
      <c r="TIP165" s="558"/>
      <c r="TIQ165" s="558"/>
      <c r="TIR165" s="558"/>
      <c r="TIS165" s="558"/>
      <c r="TIT165" s="558"/>
      <c r="TIU165" s="558"/>
      <c r="TIV165" s="558"/>
      <c r="TIW165" s="558"/>
      <c r="TIX165" s="558"/>
      <c r="TIY165" s="558"/>
      <c r="TIZ165" s="558"/>
      <c r="TJA165" s="558"/>
      <c r="TJB165" s="558"/>
      <c r="TJC165" s="558"/>
      <c r="TJD165" s="558"/>
      <c r="TJE165" s="558"/>
      <c r="TJF165" s="558"/>
      <c r="TJG165" s="558"/>
      <c r="TJH165" s="558"/>
      <c r="TJI165" s="558"/>
      <c r="TJJ165" s="558"/>
      <c r="TJK165" s="558"/>
      <c r="TJL165" s="558"/>
      <c r="TJM165" s="558"/>
      <c r="TJN165" s="558"/>
      <c r="TJO165" s="558"/>
      <c r="TJP165" s="558"/>
      <c r="TJQ165" s="558"/>
      <c r="TJR165" s="558"/>
      <c r="TJS165" s="558"/>
      <c r="TJT165" s="558"/>
      <c r="TJU165" s="558"/>
      <c r="TJV165" s="558"/>
      <c r="TJW165" s="558"/>
      <c r="TJX165" s="558"/>
      <c r="TJY165" s="558"/>
      <c r="TJZ165" s="558"/>
      <c r="TKA165" s="558"/>
      <c r="TKB165" s="558"/>
      <c r="TKC165" s="558"/>
      <c r="TKD165" s="558"/>
      <c r="TKE165" s="558"/>
      <c r="TKF165" s="558"/>
      <c r="TKG165" s="558"/>
      <c r="TKH165" s="558"/>
      <c r="TKI165" s="558"/>
      <c r="TKJ165" s="558"/>
      <c r="TKK165" s="558"/>
      <c r="TKL165" s="558"/>
      <c r="TKM165" s="558"/>
      <c r="TKN165" s="558"/>
      <c r="TKO165" s="558"/>
      <c r="TKP165" s="558"/>
      <c r="TKQ165" s="558"/>
      <c r="TKR165" s="558"/>
      <c r="TKS165" s="558"/>
      <c r="TKT165" s="558"/>
      <c r="TKU165" s="558"/>
      <c r="TKV165" s="558"/>
      <c r="TKW165" s="558"/>
      <c r="TKX165" s="558"/>
      <c r="TKY165" s="558"/>
      <c r="TKZ165" s="558"/>
      <c r="TLA165" s="558"/>
      <c r="TLB165" s="558"/>
      <c r="TLC165" s="558"/>
      <c r="TLD165" s="558"/>
      <c r="TLE165" s="558"/>
      <c r="TLF165" s="558"/>
      <c r="TLG165" s="558"/>
      <c r="TLH165" s="558"/>
      <c r="TLI165" s="558"/>
      <c r="TLJ165" s="558"/>
      <c r="TLK165" s="558"/>
      <c r="TLL165" s="558"/>
      <c r="TLM165" s="558"/>
      <c r="TLN165" s="558"/>
      <c r="TLO165" s="558"/>
      <c r="TLP165" s="558"/>
      <c r="TLQ165" s="558"/>
      <c r="TLR165" s="558"/>
      <c r="TLS165" s="558"/>
      <c r="TLT165" s="558"/>
      <c r="TLU165" s="558"/>
      <c r="TLV165" s="558"/>
      <c r="TLW165" s="558"/>
      <c r="TLX165" s="558"/>
      <c r="TLY165" s="558"/>
      <c r="TLZ165" s="558"/>
      <c r="TMA165" s="558"/>
      <c r="TMB165" s="558"/>
      <c r="TMC165" s="558"/>
      <c r="TMD165" s="558"/>
      <c r="TME165" s="558"/>
      <c r="TMF165" s="558"/>
      <c r="TMG165" s="558"/>
      <c r="TMH165" s="558"/>
      <c r="TMI165" s="558"/>
      <c r="TMJ165" s="558"/>
      <c r="TMK165" s="558"/>
      <c r="TML165" s="558"/>
      <c r="TMM165" s="558"/>
      <c r="TMN165" s="558"/>
      <c r="TMO165" s="558"/>
      <c r="TMP165" s="558"/>
      <c r="TMQ165" s="558"/>
      <c r="TMR165" s="558"/>
      <c r="TMS165" s="558"/>
      <c r="TMT165" s="558"/>
      <c r="TMU165" s="558"/>
      <c r="TMV165" s="558"/>
      <c r="TMW165" s="558"/>
      <c r="TMX165" s="558"/>
      <c r="TMY165" s="558"/>
      <c r="TMZ165" s="558"/>
      <c r="TNA165" s="558"/>
      <c r="TNB165" s="558"/>
      <c r="TNC165" s="558"/>
      <c r="TND165" s="558"/>
      <c r="TNE165" s="558"/>
      <c r="TNF165" s="558"/>
      <c r="TNG165" s="558"/>
      <c r="TNH165" s="558"/>
      <c r="TNI165" s="558"/>
      <c r="TNJ165" s="558"/>
      <c r="TNK165" s="558"/>
      <c r="TNL165" s="558"/>
      <c r="TNM165" s="558"/>
      <c r="TNN165" s="558"/>
      <c r="TNO165" s="558"/>
      <c r="TNP165" s="558"/>
      <c r="TNQ165" s="558"/>
      <c r="TNR165" s="558"/>
      <c r="TNS165" s="558"/>
      <c r="TNT165" s="558"/>
      <c r="TNU165" s="558"/>
      <c r="TNV165" s="558"/>
      <c r="TNW165" s="558"/>
      <c r="TNX165" s="558"/>
      <c r="TNY165" s="558"/>
      <c r="TNZ165" s="558"/>
      <c r="TOA165" s="558"/>
      <c r="TOB165" s="558"/>
      <c r="TOC165" s="558"/>
      <c r="TOD165" s="558"/>
      <c r="TOE165" s="558"/>
      <c r="TOF165" s="558"/>
      <c r="TOG165" s="558"/>
      <c r="TOH165" s="558"/>
      <c r="TOI165" s="558"/>
      <c r="TOJ165" s="558"/>
      <c r="TOK165" s="558"/>
      <c r="TOL165" s="558"/>
      <c r="TOM165" s="558"/>
      <c r="TON165" s="558"/>
      <c r="TOO165" s="558"/>
      <c r="TOP165" s="558"/>
      <c r="TOQ165" s="558"/>
      <c r="TOR165" s="558"/>
      <c r="TOS165" s="558"/>
      <c r="TOT165" s="558"/>
      <c r="TOU165" s="558"/>
      <c r="TOV165" s="558"/>
      <c r="TOW165" s="558"/>
      <c r="TOX165" s="558"/>
      <c r="TOY165" s="558"/>
      <c r="TOZ165" s="558"/>
      <c r="TPA165" s="558"/>
      <c r="TPB165" s="558"/>
      <c r="TPC165" s="558"/>
      <c r="TPD165" s="558"/>
      <c r="TPE165" s="558"/>
      <c r="TPF165" s="558"/>
      <c r="TPG165" s="558"/>
      <c r="TPH165" s="558"/>
      <c r="TPI165" s="558"/>
      <c r="TPJ165" s="558"/>
      <c r="TPK165" s="558"/>
      <c r="TPL165" s="558"/>
      <c r="TPM165" s="558"/>
      <c r="TPN165" s="558"/>
      <c r="TPO165" s="558"/>
      <c r="TPP165" s="558"/>
      <c r="TPQ165" s="558"/>
      <c r="TPR165" s="558"/>
      <c r="TPS165" s="558"/>
      <c r="TPT165" s="558"/>
      <c r="TPU165" s="558"/>
      <c r="TPV165" s="558"/>
      <c r="TPW165" s="558"/>
      <c r="TPX165" s="558"/>
      <c r="TPY165" s="558"/>
      <c r="TPZ165" s="558"/>
      <c r="TQA165" s="558"/>
      <c r="TQB165" s="558"/>
      <c r="TQC165" s="558"/>
      <c r="TQD165" s="558"/>
      <c r="TQE165" s="558"/>
      <c r="TQF165" s="558"/>
      <c r="TQG165" s="558"/>
      <c r="TQH165" s="558"/>
      <c r="TQI165" s="558"/>
      <c r="TQJ165" s="558"/>
      <c r="TQK165" s="558"/>
      <c r="TQL165" s="558"/>
      <c r="TQM165" s="558"/>
      <c r="TQN165" s="558"/>
      <c r="TQO165" s="558"/>
      <c r="TQP165" s="558"/>
      <c r="TQQ165" s="558"/>
      <c r="TQR165" s="558"/>
      <c r="TQS165" s="558"/>
      <c r="TQT165" s="558"/>
      <c r="TQU165" s="558"/>
      <c r="TQV165" s="558"/>
      <c r="TQW165" s="558"/>
      <c r="TQX165" s="558"/>
      <c r="TQY165" s="558"/>
      <c r="TQZ165" s="558"/>
      <c r="TRA165" s="558"/>
      <c r="TRB165" s="558"/>
      <c r="TRC165" s="558"/>
      <c r="TRD165" s="558"/>
      <c r="TRE165" s="558"/>
      <c r="TRF165" s="558"/>
      <c r="TRG165" s="558"/>
      <c r="TRH165" s="558"/>
      <c r="TRI165" s="558"/>
      <c r="TRJ165" s="558"/>
      <c r="TRK165" s="558"/>
      <c r="TRL165" s="558"/>
      <c r="TRM165" s="558"/>
      <c r="TRN165" s="558"/>
      <c r="TRO165" s="558"/>
      <c r="TRP165" s="558"/>
      <c r="TRQ165" s="558"/>
      <c r="TRR165" s="558"/>
      <c r="TRS165" s="558"/>
      <c r="TRT165" s="558"/>
      <c r="TRU165" s="558"/>
      <c r="TRV165" s="558"/>
      <c r="TRW165" s="558"/>
      <c r="TRX165" s="558"/>
      <c r="TRY165" s="558"/>
      <c r="TRZ165" s="558"/>
      <c r="TSA165" s="558"/>
      <c r="TSB165" s="558"/>
      <c r="TSC165" s="558"/>
      <c r="TSD165" s="558"/>
      <c r="TSE165" s="558"/>
      <c r="TSF165" s="558"/>
      <c r="TSG165" s="558"/>
      <c r="TSH165" s="558"/>
      <c r="TSI165" s="558"/>
      <c r="TSJ165" s="558"/>
      <c r="TSK165" s="558"/>
      <c r="TSL165" s="558"/>
      <c r="TSM165" s="558"/>
      <c r="TSN165" s="558"/>
      <c r="TSO165" s="558"/>
      <c r="TSP165" s="558"/>
      <c r="TSQ165" s="558"/>
      <c r="TSR165" s="558"/>
      <c r="TSS165" s="558"/>
      <c r="TST165" s="558"/>
      <c r="TSU165" s="558"/>
      <c r="TSV165" s="558"/>
      <c r="TSW165" s="558"/>
      <c r="TSX165" s="558"/>
      <c r="TSY165" s="558"/>
      <c r="TSZ165" s="558"/>
      <c r="TTA165" s="558"/>
      <c r="TTB165" s="558"/>
      <c r="TTC165" s="558"/>
      <c r="TTD165" s="558"/>
      <c r="TTE165" s="558"/>
      <c r="TTF165" s="558"/>
      <c r="TTG165" s="558"/>
      <c r="TTH165" s="558"/>
      <c r="TTI165" s="558"/>
      <c r="TTJ165" s="558"/>
      <c r="TTK165" s="558"/>
      <c r="TTL165" s="558"/>
      <c r="TTM165" s="558"/>
      <c r="TTN165" s="558"/>
      <c r="TTO165" s="558"/>
      <c r="TTP165" s="558"/>
      <c r="TTQ165" s="558"/>
      <c r="TTR165" s="558"/>
      <c r="TTS165" s="558"/>
      <c r="TTT165" s="558"/>
      <c r="TTU165" s="558"/>
      <c r="TTV165" s="558"/>
      <c r="TTW165" s="558"/>
      <c r="TTX165" s="558"/>
      <c r="TTY165" s="558"/>
      <c r="TTZ165" s="558"/>
      <c r="TUA165" s="558"/>
      <c r="TUB165" s="558"/>
      <c r="TUC165" s="558"/>
      <c r="TUD165" s="558"/>
      <c r="TUE165" s="558"/>
      <c r="TUF165" s="558"/>
      <c r="TUG165" s="558"/>
      <c r="TUH165" s="558"/>
      <c r="TUI165" s="558"/>
      <c r="TUJ165" s="558"/>
      <c r="TUK165" s="558"/>
      <c r="TUL165" s="558"/>
      <c r="TUM165" s="558"/>
      <c r="TUN165" s="558"/>
      <c r="TUO165" s="558"/>
      <c r="TUP165" s="558"/>
      <c r="TUQ165" s="558"/>
      <c r="TUR165" s="558"/>
      <c r="TUS165" s="558"/>
      <c r="TUT165" s="558"/>
      <c r="TUU165" s="558"/>
      <c r="TUV165" s="558"/>
      <c r="TUW165" s="558"/>
      <c r="TUX165" s="558"/>
      <c r="TUY165" s="558"/>
      <c r="TUZ165" s="558"/>
      <c r="TVA165" s="558"/>
      <c r="TVB165" s="558"/>
      <c r="TVC165" s="558"/>
      <c r="TVD165" s="558"/>
      <c r="TVE165" s="558"/>
      <c r="TVF165" s="558"/>
      <c r="TVG165" s="558"/>
      <c r="TVH165" s="558"/>
      <c r="TVI165" s="558"/>
      <c r="TVJ165" s="558"/>
      <c r="TVK165" s="558"/>
      <c r="TVL165" s="558"/>
      <c r="TVM165" s="558"/>
      <c r="TVN165" s="558"/>
      <c r="TVO165" s="558"/>
      <c r="TVP165" s="558"/>
      <c r="TVQ165" s="558"/>
      <c r="TVR165" s="558"/>
      <c r="TVS165" s="558"/>
      <c r="TVT165" s="558"/>
      <c r="TVU165" s="558"/>
      <c r="TVV165" s="558"/>
      <c r="TVW165" s="558"/>
      <c r="TVX165" s="558"/>
      <c r="TVY165" s="558"/>
      <c r="TVZ165" s="558"/>
      <c r="TWA165" s="558"/>
      <c r="TWB165" s="558"/>
      <c r="TWC165" s="558"/>
      <c r="TWD165" s="558"/>
      <c r="TWE165" s="558"/>
      <c r="TWF165" s="558"/>
      <c r="TWG165" s="558"/>
      <c r="TWH165" s="558"/>
      <c r="TWI165" s="558"/>
      <c r="TWJ165" s="558"/>
      <c r="TWK165" s="558"/>
      <c r="TWL165" s="558"/>
      <c r="TWM165" s="558"/>
      <c r="TWN165" s="558"/>
      <c r="TWO165" s="558"/>
      <c r="TWP165" s="558"/>
      <c r="TWQ165" s="558"/>
      <c r="TWR165" s="558"/>
      <c r="TWS165" s="558"/>
      <c r="TWT165" s="558"/>
      <c r="TWU165" s="558"/>
      <c r="TWV165" s="558"/>
      <c r="TWW165" s="558"/>
      <c r="TWX165" s="558"/>
      <c r="TWY165" s="558"/>
      <c r="TWZ165" s="558"/>
      <c r="TXA165" s="558"/>
      <c r="TXB165" s="558"/>
      <c r="TXC165" s="558"/>
      <c r="TXD165" s="558"/>
      <c r="TXE165" s="558"/>
      <c r="TXF165" s="558"/>
      <c r="TXG165" s="558"/>
      <c r="TXH165" s="558"/>
      <c r="TXI165" s="558"/>
      <c r="TXJ165" s="558"/>
      <c r="TXK165" s="558"/>
      <c r="TXL165" s="558"/>
      <c r="TXM165" s="558"/>
      <c r="TXN165" s="558"/>
      <c r="TXO165" s="558"/>
      <c r="TXP165" s="558"/>
      <c r="TXQ165" s="558"/>
      <c r="TXR165" s="558"/>
      <c r="TXS165" s="558"/>
      <c r="TXT165" s="558"/>
      <c r="TXU165" s="558"/>
      <c r="TXV165" s="558"/>
      <c r="TXW165" s="558"/>
      <c r="TXX165" s="558"/>
      <c r="TXY165" s="558"/>
      <c r="TXZ165" s="558"/>
      <c r="TYA165" s="558"/>
      <c r="TYB165" s="558"/>
      <c r="TYC165" s="558"/>
      <c r="TYD165" s="558"/>
      <c r="TYE165" s="558"/>
      <c r="TYF165" s="558"/>
      <c r="TYG165" s="558"/>
      <c r="TYH165" s="558"/>
      <c r="TYI165" s="558"/>
      <c r="TYJ165" s="558"/>
      <c r="TYK165" s="558"/>
      <c r="TYL165" s="558"/>
      <c r="TYM165" s="558"/>
      <c r="TYN165" s="558"/>
      <c r="TYO165" s="558"/>
      <c r="TYP165" s="558"/>
      <c r="TYQ165" s="558"/>
      <c r="TYR165" s="558"/>
      <c r="TYS165" s="558"/>
      <c r="TYT165" s="558"/>
      <c r="TYU165" s="558"/>
      <c r="TYV165" s="558"/>
      <c r="TYW165" s="558"/>
      <c r="TYX165" s="558"/>
      <c r="TYY165" s="558"/>
      <c r="TYZ165" s="558"/>
      <c r="TZA165" s="558"/>
      <c r="TZB165" s="558"/>
      <c r="TZC165" s="558"/>
      <c r="TZD165" s="558"/>
      <c r="TZE165" s="558"/>
      <c r="TZF165" s="558"/>
      <c r="TZG165" s="558"/>
      <c r="TZH165" s="558"/>
      <c r="TZI165" s="558"/>
      <c r="TZJ165" s="558"/>
      <c r="TZK165" s="558"/>
      <c r="TZL165" s="558"/>
      <c r="TZM165" s="558"/>
      <c r="TZN165" s="558"/>
      <c r="TZO165" s="558"/>
      <c r="TZP165" s="558"/>
      <c r="TZQ165" s="558"/>
      <c r="TZR165" s="558"/>
      <c r="TZS165" s="558"/>
      <c r="TZT165" s="558"/>
      <c r="TZU165" s="558"/>
      <c r="TZV165" s="558"/>
      <c r="TZW165" s="558"/>
      <c r="TZX165" s="558"/>
      <c r="TZY165" s="558"/>
      <c r="TZZ165" s="558"/>
      <c r="UAA165" s="558"/>
      <c r="UAB165" s="558"/>
      <c r="UAC165" s="558"/>
      <c r="UAD165" s="558"/>
      <c r="UAE165" s="558"/>
      <c r="UAF165" s="558"/>
      <c r="UAG165" s="558"/>
      <c r="UAH165" s="558"/>
      <c r="UAI165" s="558"/>
      <c r="UAJ165" s="558"/>
      <c r="UAK165" s="558"/>
      <c r="UAL165" s="558"/>
      <c r="UAM165" s="558"/>
      <c r="UAN165" s="558"/>
      <c r="UAO165" s="558"/>
      <c r="UAP165" s="558"/>
      <c r="UAQ165" s="558"/>
      <c r="UAR165" s="558"/>
      <c r="UAS165" s="558"/>
      <c r="UAT165" s="558"/>
      <c r="UAU165" s="558"/>
      <c r="UAV165" s="558"/>
      <c r="UAW165" s="558"/>
      <c r="UAX165" s="558"/>
      <c r="UAY165" s="558"/>
      <c r="UAZ165" s="558"/>
      <c r="UBA165" s="558"/>
      <c r="UBB165" s="558"/>
      <c r="UBC165" s="558"/>
      <c r="UBD165" s="558"/>
      <c r="UBE165" s="558"/>
      <c r="UBF165" s="558"/>
      <c r="UBG165" s="558"/>
      <c r="UBH165" s="558"/>
      <c r="UBI165" s="558"/>
      <c r="UBJ165" s="558"/>
      <c r="UBK165" s="558"/>
      <c r="UBL165" s="558"/>
      <c r="UBM165" s="558"/>
      <c r="UBN165" s="558"/>
      <c r="UBO165" s="558"/>
      <c r="UBP165" s="558"/>
      <c r="UBQ165" s="558"/>
      <c r="UBR165" s="558"/>
      <c r="UBS165" s="558"/>
      <c r="UBT165" s="558"/>
      <c r="UBU165" s="558"/>
      <c r="UBV165" s="558"/>
      <c r="UBW165" s="558"/>
      <c r="UBX165" s="558"/>
      <c r="UBY165" s="558"/>
      <c r="UBZ165" s="558"/>
      <c r="UCA165" s="558"/>
      <c r="UCB165" s="558"/>
      <c r="UCC165" s="558"/>
      <c r="UCD165" s="558"/>
      <c r="UCE165" s="558"/>
      <c r="UCF165" s="558"/>
      <c r="UCG165" s="558"/>
      <c r="UCH165" s="558"/>
      <c r="UCI165" s="558"/>
      <c r="UCJ165" s="558"/>
      <c r="UCK165" s="558"/>
      <c r="UCL165" s="558"/>
      <c r="UCM165" s="558"/>
      <c r="UCN165" s="558"/>
      <c r="UCO165" s="558"/>
      <c r="UCP165" s="558"/>
      <c r="UCQ165" s="558"/>
      <c r="UCR165" s="558"/>
      <c r="UCS165" s="558"/>
      <c r="UCT165" s="558"/>
      <c r="UCU165" s="558"/>
      <c r="UCV165" s="558"/>
      <c r="UCW165" s="558"/>
      <c r="UCX165" s="558"/>
      <c r="UCY165" s="558"/>
      <c r="UCZ165" s="558"/>
      <c r="UDA165" s="558"/>
      <c r="UDB165" s="558"/>
      <c r="UDC165" s="558"/>
      <c r="UDD165" s="558"/>
      <c r="UDE165" s="558"/>
      <c r="UDF165" s="558"/>
      <c r="UDG165" s="558"/>
      <c r="UDH165" s="558"/>
      <c r="UDI165" s="558"/>
      <c r="UDJ165" s="558"/>
      <c r="UDK165" s="558"/>
      <c r="UDL165" s="558"/>
      <c r="UDM165" s="558"/>
      <c r="UDN165" s="558"/>
      <c r="UDO165" s="558"/>
      <c r="UDP165" s="558"/>
      <c r="UDQ165" s="558"/>
      <c r="UDR165" s="558"/>
      <c r="UDS165" s="558"/>
      <c r="UDT165" s="558"/>
      <c r="UDU165" s="558"/>
      <c r="UDV165" s="558"/>
      <c r="UDW165" s="558"/>
      <c r="UDX165" s="558"/>
      <c r="UDY165" s="558"/>
      <c r="UDZ165" s="558"/>
      <c r="UEA165" s="558"/>
      <c r="UEB165" s="558"/>
      <c r="UEC165" s="558"/>
      <c r="UED165" s="558"/>
      <c r="UEE165" s="558"/>
      <c r="UEF165" s="558"/>
      <c r="UEG165" s="558"/>
      <c r="UEH165" s="558"/>
      <c r="UEI165" s="558"/>
      <c r="UEJ165" s="558"/>
      <c r="UEK165" s="558"/>
      <c r="UEL165" s="558"/>
      <c r="UEM165" s="558"/>
      <c r="UEN165" s="558"/>
      <c r="UEO165" s="558"/>
      <c r="UEP165" s="558"/>
      <c r="UEQ165" s="558"/>
      <c r="UER165" s="558"/>
      <c r="UES165" s="558"/>
      <c r="UET165" s="558"/>
      <c r="UEU165" s="558"/>
      <c r="UEV165" s="558"/>
      <c r="UEW165" s="558"/>
      <c r="UEX165" s="558"/>
      <c r="UEY165" s="558"/>
      <c r="UEZ165" s="558"/>
      <c r="UFA165" s="558"/>
      <c r="UFB165" s="558"/>
      <c r="UFC165" s="558"/>
      <c r="UFD165" s="558"/>
      <c r="UFE165" s="558"/>
      <c r="UFF165" s="558"/>
      <c r="UFG165" s="558"/>
      <c r="UFH165" s="558"/>
      <c r="UFI165" s="558"/>
      <c r="UFJ165" s="558"/>
      <c r="UFK165" s="558"/>
      <c r="UFL165" s="558"/>
      <c r="UFM165" s="558"/>
      <c r="UFN165" s="558"/>
      <c r="UFO165" s="558"/>
      <c r="UFP165" s="558"/>
      <c r="UFQ165" s="558"/>
      <c r="UFR165" s="558"/>
      <c r="UFS165" s="558"/>
      <c r="UFT165" s="558"/>
      <c r="UFU165" s="558"/>
      <c r="UFV165" s="558"/>
      <c r="UFW165" s="558"/>
      <c r="UFX165" s="558"/>
      <c r="UFY165" s="558"/>
      <c r="UFZ165" s="558"/>
      <c r="UGA165" s="558"/>
      <c r="UGB165" s="558"/>
      <c r="UGC165" s="558"/>
      <c r="UGD165" s="558"/>
      <c r="UGE165" s="558"/>
      <c r="UGF165" s="558"/>
      <c r="UGG165" s="558"/>
      <c r="UGH165" s="558"/>
      <c r="UGI165" s="558"/>
      <c r="UGJ165" s="558"/>
      <c r="UGK165" s="558"/>
      <c r="UGL165" s="558"/>
      <c r="UGM165" s="558"/>
      <c r="UGN165" s="558"/>
      <c r="UGO165" s="558"/>
      <c r="UGP165" s="558"/>
      <c r="UGQ165" s="558"/>
      <c r="UGR165" s="558"/>
      <c r="UGS165" s="558"/>
      <c r="UGT165" s="558"/>
      <c r="UGU165" s="558"/>
      <c r="UGV165" s="558"/>
      <c r="UGW165" s="558"/>
      <c r="UGX165" s="558"/>
      <c r="UGY165" s="558"/>
      <c r="UGZ165" s="558"/>
      <c r="UHA165" s="558"/>
      <c r="UHB165" s="558"/>
      <c r="UHC165" s="558"/>
      <c r="UHD165" s="558"/>
      <c r="UHE165" s="558"/>
      <c r="UHF165" s="558"/>
      <c r="UHG165" s="558"/>
      <c r="UHH165" s="558"/>
      <c r="UHI165" s="558"/>
      <c r="UHJ165" s="558"/>
      <c r="UHK165" s="558"/>
      <c r="UHL165" s="558"/>
      <c r="UHM165" s="558"/>
      <c r="UHN165" s="558"/>
      <c r="UHO165" s="558"/>
      <c r="UHP165" s="558"/>
      <c r="UHQ165" s="558"/>
      <c r="UHR165" s="558"/>
      <c r="UHS165" s="558"/>
      <c r="UHT165" s="558"/>
      <c r="UHU165" s="558"/>
      <c r="UHV165" s="558"/>
      <c r="UHW165" s="558"/>
      <c r="UHX165" s="558"/>
      <c r="UHY165" s="558"/>
      <c r="UHZ165" s="558"/>
      <c r="UIA165" s="558"/>
      <c r="UIB165" s="558"/>
      <c r="UIC165" s="558"/>
      <c r="UID165" s="558"/>
      <c r="UIE165" s="558"/>
      <c r="UIF165" s="558"/>
      <c r="UIG165" s="558"/>
      <c r="UIH165" s="558"/>
      <c r="UII165" s="558"/>
      <c r="UIJ165" s="558"/>
      <c r="UIK165" s="558"/>
      <c r="UIL165" s="558"/>
      <c r="UIM165" s="558"/>
      <c r="UIN165" s="558"/>
      <c r="UIO165" s="558"/>
      <c r="UIP165" s="558"/>
      <c r="UIQ165" s="558"/>
      <c r="UIR165" s="558"/>
      <c r="UIS165" s="558"/>
      <c r="UIT165" s="558"/>
      <c r="UIU165" s="558"/>
      <c r="UIV165" s="558"/>
      <c r="UIW165" s="558"/>
      <c r="UIX165" s="558"/>
      <c r="UIY165" s="558"/>
      <c r="UIZ165" s="558"/>
      <c r="UJA165" s="558"/>
      <c r="UJB165" s="558"/>
      <c r="UJC165" s="558"/>
      <c r="UJD165" s="558"/>
      <c r="UJE165" s="558"/>
      <c r="UJF165" s="558"/>
      <c r="UJG165" s="558"/>
      <c r="UJH165" s="558"/>
      <c r="UJI165" s="558"/>
      <c r="UJJ165" s="558"/>
      <c r="UJK165" s="558"/>
      <c r="UJL165" s="558"/>
      <c r="UJM165" s="558"/>
      <c r="UJN165" s="558"/>
      <c r="UJO165" s="558"/>
      <c r="UJP165" s="558"/>
      <c r="UJQ165" s="558"/>
      <c r="UJR165" s="558"/>
      <c r="UJS165" s="558"/>
      <c r="UJT165" s="558"/>
      <c r="UJU165" s="558"/>
      <c r="UJV165" s="558"/>
      <c r="UJW165" s="558"/>
      <c r="UJX165" s="558"/>
      <c r="UJY165" s="558"/>
      <c r="UJZ165" s="558"/>
      <c r="UKA165" s="558"/>
      <c r="UKB165" s="558"/>
      <c r="UKC165" s="558"/>
      <c r="UKD165" s="558"/>
      <c r="UKE165" s="558"/>
      <c r="UKF165" s="558"/>
      <c r="UKG165" s="558"/>
      <c r="UKH165" s="558"/>
      <c r="UKI165" s="558"/>
      <c r="UKJ165" s="558"/>
      <c r="UKK165" s="558"/>
      <c r="UKL165" s="558"/>
      <c r="UKM165" s="558"/>
      <c r="UKN165" s="558"/>
      <c r="UKO165" s="558"/>
      <c r="UKP165" s="558"/>
      <c r="UKQ165" s="558"/>
      <c r="UKR165" s="558"/>
      <c r="UKS165" s="558"/>
      <c r="UKT165" s="558"/>
      <c r="UKU165" s="558"/>
      <c r="UKV165" s="558"/>
      <c r="UKW165" s="558"/>
      <c r="UKX165" s="558"/>
      <c r="UKY165" s="558"/>
      <c r="UKZ165" s="558"/>
      <c r="ULA165" s="558"/>
      <c r="ULB165" s="558"/>
      <c r="ULC165" s="558"/>
      <c r="ULD165" s="558"/>
      <c r="ULE165" s="558"/>
      <c r="ULF165" s="558"/>
      <c r="ULG165" s="558"/>
      <c r="ULH165" s="558"/>
      <c r="ULI165" s="558"/>
      <c r="ULJ165" s="558"/>
      <c r="ULK165" s="558"/>
      <c r="ULL165" s="558"/>
      <c r="ULM165" s="558"/>
      <c r="ULN165" s="558"/>
      <c r="ULO165" s="558"/>
      <c r="ULP165" s="558"/>
      <c r="ULQ165" s="558"/>
      <c r="ULR165" s="558"/>
      <c r="ULS165" s="558"/>
      <c r="ULT165" s="558"/>
      <c r="ULU165" s="558"/>
      <c r="ULV165" s="558"/>
      <c r="ULW165" s="558"/>
      <c r="ULX165" s="558"/>
      <c r="ULY165" s="558"/>
      <c r="ULZ165" s="558"/>
      <c r="UMA165" s="558"/>
      <c r="UMB165" s="558"/>
      <c r="UMC165" s="558"/>
      <c r="UMD165" s="558"/>
      <c r="UME165" s="558"/>
      <c r="UMF165" s="558"/>
      <c r="UMG165" s="558"/>
      <c r="UMH165" s="558"/>
      <c r="UMI165" s="558"/>
      <c r="UMJ165" s="558"/>
      <c r="UMK165" s="558"/>
      <c r="UML165" s="558"/>
      <c r="UMM165" s="558"/>
      <c r="UMN165" s="558"/>
      <c r="UMO165" s="558"/>
      <c r="UMP165" s="558"/>
      <c r="UMQ165" s="558"/>
      <c r="UMR165" s="558"/>
      <c r="UMS165" s="558"/>
      <c r="UMT165" s="558"/>
      <c r="UMU165" s="558"/>
      <c r="UMV165" s="558"/>
      <c r="UMW165" s="558"/>
      <c r="UMX165" s="558"/>
      <c r="UMY165" s="558"/>
      <c r="UMZ165" s="558"/>
      <c r="UNA165" s="558"/>
      <c r="UNB165" s="558"/>
      <c r="UNC165" s="558"/>
      <c r="UND165" s="558"/>
      <c r="UNE165" s="558"/>
      <c r="UNF165" s="558"/>
      <c r="UNG165" s="558"/>
      <c r="UNH165" s="558"/>
      <c r="UNI165" s="558"/>
      <c r="UNJ165" s="558"/>
      <c r="UNK165" s="558"/>
      <c r="UNL165" s="558"/>
      <c r="UNM165" s="558"/>
      <c r="UNN165" s="558"/>
      <c r="UNO165" s="558"/>
      <c r="UNP165" s="558"/>
      <c r="UNQ165" s="558"/>
      <c r="UNR165" s="558"/>
      <c r="UNS165" s="558"/>
      <c r="UNT165" s="558"/>
      <c r="UNU165" s="558"/>
      <c r="UNV165" s="558"/>
      <c r="UNW165" s="558"/>
      <c r="UNX165" s="558"/>
      <c r="UNY165" s="558"/>
      <c r="UNZ165" s="558"/>
      <c r="UOA165" s="558"/>
      <c r="UOB165" s="558"/>
      <c r="UOC165" s="558"/>
      <c r="UOD165" s="558"/>
      <c r="UOE165" s="558"/>
      <c r="UOF165" s="558"/>
      <c r="UOG165" s="558"/>
      <c r="UOH165" s="558"/>
      <c r="UOI165" s="558"/>
      <c r="UOJ165" s="558"/>
      <c r="UOK165" s="558"/>
      <c r="UOL165" s="558"/>
      <c r="UOM165" s="558"/>
      <c r="UON165" s="558"/>
      <c r="UOO165" s="558"/>
      <c r="UOP165" s="558"/>
      <c r="UOQ165" s="558"/>
      <c r="UOR165" s="558"/>
      <c r="UOS165" s="558"/>
      <c r="UOT165" s="558"/>
      <c r="UOU165" s="558"/>
      <c r="UOV165" s="558"/>
      <c r="UOW165" s="558"/>
      <c r="UOX165" s="558"/>
      <c r="UOY165" s="558"/>
      <c r="UOZ165" s="558"/>
      <c r="UPA165" s="558"/>
      <c r="UPB165" s="558"/>
      <c r="UPC165" s="558"/>
      <c r="UPD165" s="558"/>
      <c r="UPE165" s="558"/>
      <c r="UPF165" s="558"/>
      <c r="UPG165" s="558"/>
      <c r="UPH165" s="558"/>
      <c r="UPI165" s="558"/>
      <c r="UPJ165" s="558"/>
      <c r="UPK165" s="558"/>
      <c r="UPL165" s="558"/>
      <c r="UPM165" s="558"/>
      <c r="UPN165" s="558"/>
      <c r="UPO165" s="558"/>
      <c r="UPP165" s="558"/>
      <c r="UPQ165" s="558"/>
      <c r="UPR165" s="558"/>
      <c r="UPS165" s="558"/>
      <c r="UPT165" s="558"/>
      <c r="UPU165" s="558"/>
      <c r="UPV165" s="558"/>
      <c r="UPW165" s="558"/>
      <c r="UPX165" s="558"/>
      <c r="UPY165" s="558"/>
      <c r="UPZ165" s="558"/>
      <c r="UQA165" s="558"/>
      <c r="UQB165" s="558"/>
      <c r="UQC165" s="558"/>
      <c r="UQD165" s="558"/>
      <c r="UQE165" s="558"/>
      <c r="UQF165" s="558"/>
      <c r="UQG165" s="558"/>
      <c r="UQH165" s="558"/>
      <c r="UQI165" s="558"/>
      <c r="UQJ165" s="558"/>
      <c r="UQK165" s="558"/>
      <c r="UQL165" s="558"/>
      <c r="UQM165" s="558"/>
      <c r="UQN165" s="558"/>
      <c r="UQO165" s="558"/>
      <c r="UQP165" s="558"/>
      <c r="UQQ165" s="558"/>
      <c r="UQR165" s="558"/>
      <c r="UQS165" s="558"/>
      <c r="UQT165" s="558"/>
      <c r="UQU165" s="558"/>
      <c r="UQV165" s="558"/>
      <c r="UQW165" s="558"/>
      <c r="UQX165" s="558"/>
      <c r="UQY165" s="558"/>
      <c r="UQZ165" s="558"/>
      <c r="URA165" s="558"/>
      <c r="URB165" s="558"/>
      <c r="URC165" s="558"/>
      <c r="URD165" s="558"/>
      <c r="URE165" s="558"/>
      <c r="URF165" s="558"/>
      <c r="URG165" s="558"/>
      <c r="URH165" s="558"/>
      <c r="URI165" s="558"/>
      <c r="URJ165" s="558"/>
      <c r="URK165" s="558"/>
      <c r="URL165" s="558"/>
      <c r="URM165" s="558"/>
      <c r="URN165" s="558"/>
      <c r="URO165" s="558"/>
      <c r="URP165" s="558"/>
      <c r="URQ165" s="558"/>
      <c r="URR165" s="558"/>
      <c r="URS165" s="558"/>
      <c r="URT165" s="558"/>
      <c r="URU165" s="558"/>
      <c r="URV165" s="558"/>
      <c r="URW165" s="558"/>
      <c r="URX165" s="558"/>
      <c r="URY165" s="558"/>
      <c r="URZ165" s="558"/>
      <c r="USA165" s="558"/>
      <c r="USB165" s="558"/>
      <c r="USC165" s="558"/>
      <c r="USD165" s="558"/>
      <c r="USE165" s="558"/>
      <c r="USF165" s="558"/>
      <c r="USG165" s="558"/>
      <c r="USH165" s="558"/>
      <c r="USI165" s="558"/>
      <c r="USJ165" s="558"/>
      <c r="USK165" s="558"/>
      <c r="USL165" s="558"/>
      <c r="USM165" s="558"/>
      <c r="USN165" s="558"/>
      <c r="USO165" s="558"/>
      <c r="USP165" s="558"/>
      <c r="USQ165" s="558"/>
      <c r="USR165" s="558"/>
      <c r="USS165" s="558"/>
      <c r="UST165" s="558"/>
      <c r="USU165" s="558"/>
      <c r="USV165" s="558"/>
      <c r="USW165" s="558"/>
      <c r="USX165" s="558"/>
      <c r="USY165" s="558"/>
      <c r="USZ165" s="558"/>
      <c r="UTA165" s="558"/>
      <c r="UTB165" s="558"/>
      <c r="UTC165" s="558"/>
      <c r="UTD165" s="558"/>
      <c r="UTE165" s="558"/>
      <c r="UTF165" s="558"/>
      <c r="UTG165" s="558"/>
      <c r="UTH165" s="558"/>
      <c r="UTI165" s="558"/>
      <c r="UTJ165" s="558"/>
      <c r="UTK165" s="558"/>
      <c r="UTL165" s="558"/>
      <c r="UTM165" s="558"/>
      <c r="UTN165" s="558"/>
      <c r="UTO165" s="558"/>
      <c r="UTP165" s="558"/>
      <c r="UTQ165" s="558"/>
      <c r="UTR165" s="558"/>
      <c r="UTS165" s="558"/>
      <c r="UTT165" s="558"/>
      <c r="UTU165" s="558"/>
      <c r="UTV165" s="558"/>
      <c r="UTW165" s="558"/>
      <c r="UTX165" s="558"/>
      <c r="UTY165" s="558"/>
      <c r="UTZ165" s="558"/>
      <c r="UUA165" s="558"/>
      <c r="UUB165" s="558"/>
      <c r="UUC165" s="558"/>
      <c r="UUD165" s="558"/>
      <c r="UUE165" s="558"/>
      <c r="UUF165" s="558"/>
      <c r="UUG165" s="558"/>
      <c r="UUH165" s="558"/>
      <c r="UUI165" s="558"/>
      <c r="UUJ165" s="558"/>
      <c r="UUK165" s="558"/>
      <c r="UUL165" s="558"/>
      <c r="UUM165" s="558"/>
      <c r="UUN165" s="558"/>
      <c r="UUO165" s="558"/>
      <c r="UUP165" s="558"/>
      <c r="UUQ165" s="558"/>
      <c r="UUR165" s="558"/>
      <c r="UUS165" s="558"/>
      <c r="UUT165" s="558"/>
      <c r="UUU165" s="558"/>
      <c r="UUV165" s="558"/>
      <c r="UUW165" s="558"/>
      <c r="UUX165" s="558"/>
      <c r="UUY165" s="558"/>
      <c r="UUZ165" s="558"/>
      <c r="UVA165" s="558"/>
      <c r="UVB165" s="558"/>
      <c r="UVC165" s="558"/>
      <c r="UVD165" s="558"/>
      <c r="UVE165" s="558"/>
      <c r="UVF165" s="558"/>
      <c r="UVG165" s="558"/>
      <c r="UVH165" s="558"/>
      <c r="UVI165" s="558"/>
      <c r="UVJ165" s="558"/>
      <c r="UVK165" s="558"/>
      <c r="UVL165" s="558"/>
      <c r="UVM165" s="558"/>
      <c r="UVN165" s="558"/>
      <c r="UVO165" s="558"/>
      <c r="UVP165" s="558"/>
      <c r="UVQ165" s="558"/>
      <c r="UVR165" s="558"/>
      <c r="UVS165" s="558"/>
      <c r="UVT165" s="558"/>
      <c r="UVU165" s="558"/>
      <c r="UVV165" s="558"/>
      <c r="UVW165" s="558"/>
      <c r="UVX165" s="558"/>
      <c r="UVY165" s="558"/>
      <c r="UVZ165" s="558"/>
      <c r="UWA165" s="558"/>
      <c r="UWB165" s="558"/>
      <c r="UWC165" s="558"/>
      <c r="UWD165" s="558"/>
      <c r="UWE165" s="558"/>
      <c r="UWF165" s="558"/>
      <c r="UWG165" s="558"/>
      <c r="UWH165" s="558"/>
      <c r="UWI165" s="558"/>
      <c r="UWJ165" s="558"/>
      <c r="UWK165" s="558"/>
      <c r="UWL165" s="558"/>
      <c r="UWM165" s="558"/>
      <c r="UWN165" s="558"/>
      <c r="UWO165" s="558"/>
      <c r="UWP165" s="558"/>
      <c r="UWQ165" s="558"/>
      <c r="UWR165" s="558"/>
      <c r="UWS165" s="558"/>
      <c r="UWT165" s="558"/>
      <c r="UWU165" s="558"/>
      <c r="UWV165" s="558"/>
      <c r="UWW165" s="558"/>
      <c r="UWX165" s="558"/>
      <c r="UWY165" s="558"/>
      <c r="UWZ165" s="558"/>
      <c r="UXA165" s="558"/>
      <c r="UXB165" s="558"/>
      <c r="UXC165" s="558"/>
      <c r="UXD165" s="558"/>
      <c r="UXE165" s="558"/>
      <c r="UXF165" s="558"/>
      <c r="UXG165" s="558"/>
      <c r="UXH165" s="558"/>
      <c r="UXI165" s="558"/>
      <c r="UXJ165" s="558"/>
      <c r="UXK165" s="558"/>
      <c r="UXL165" s="558"/>
      <c r="UXM165" s="558"/>
      <c r="UXN165" s="558"/>
      <c r="UXO165" s="558"/>
      <c r="UXP165" s="558"/>
      <c r="UXQ165" s="558"/>
      <c r="UXR165" s="558"/>
      <c r="UXS165" s="558"/>
      <c r="UXT165" s="558"/>
      <c r="UXU165" s="558"/>
      <c r="UXV165" s="558"/>
      <c r="UXW165" s="558"/>
      <c r="UXX165" s="558"/>
      <c r="UXY165" s="558"/>
      <c r="UXZ165" s="558"/>
      <c r="UYA165" s="558"/>
      <c r="UYB165" s="558"/>
      <c r="UYC165" s="558"/>
      <c r="UYD165" s="558"/>
      <c r="UYE165" s="558"/>
      <c r="UYF165" s="558"/>
      <c r="UYG165" s="558"/>
      <c r="UYH165" s="558"/>
      <c r="UYI165" s="558"/>
      <c r="UYJ165" s="558"/>
      <c r="UYK165" s="558"/>
      <c r="UYL165" s="558"/>
      <c r="UYM165" s="558"/>
      <c r="UYN165" s="558"/>
      <c r="UYO165" s="558"/>
      <c r="UYP165" s="558"/>
      <c r="UYQ165" s="558"/>
      <c r="UYR165" s="558"/>
      <c r="UYS165" s="558"/>
      <c r="UYT165" s="558"/>
      <c r="UYU165" s="558"/>
      <c r="UYV165" s="558"/>
      <c r="UYW165" s="558"/>
      <c r="UYX165" s="558"/>
      <c r="UYY165" s="558"/>
      <c r="UYZ165" s="558"/>
      <c r="UZA165" s="558"/>
      <c r="UZB165" s="558"/>
      <c r="UZC165" s="558"/>
      <c r="UZD165" s="558"/>
      <c r="UZE165" s="558"/>
      <c r="UZF165" s="558"/>
      <c r="UZG165" s="558"/>
      <c r="UZH165" s="558"/>
      <c r="UZI165" s="558"/>
      <c r="UZJ165" s="558"/>
      <c r="UZK165" s="558"/>
      <c r="UZL165" s="558"/>
      <c r="UZM165" s="558"/>
      <c r="UZN165" s="558"/>
      <c r="UZO165" s="558"/>
      <c r="UZP165" s="558"/>
      <c r="UZQ165" s="558"/>
      <c r="UZR165" s="558"/>
      <c r="UZS165" s="558"/>
      <c r="UZT165" s="558"/>
      <c r="UZU165" s="558"/>
      <c r="UZV165" s="558"/>
      <c r="UZW165" s="558"/>
      <c r="UZX165" s="558"/>
      <c r="UZY165" s="558"/>
      <c r="UZZ165" s="558"/>
      <c r="VAA165" s="558"/>
      <c r="VAB165" s="558"/>
      <c r="VAC165" s="558"/>
      <c r="VAD165" s="558"/>
      <c r="VAE165" s="558"/>
      <c r="VAF165" s="558"/>
      <c r="VAG165" s="558"/>
      <c r="VAH165" s="558"/>
      <c r="VAI165" s="558"/>
      <c r="VAJ165" s="558"/>
      <c r="VAK165" s="558"/>
      <c r="VAL165" s="558"/>
      <c r="VAM165" s="558"/>
      <c r="VAN165" s="558"/>
      <c r="VAO165" s="558"/>
      <c r="VAP165" s="558"/>
      <c r="VAQ165" s="558"/>
      <c r="VAR165" s="558"/>
      <c r="VAS165" s="558"/>
      <c r="VAT165" s="558"/>
      <c r="VAU165" s="558"/>
      <c r="VAV165" s="558"/>
      <c r="VAW165" s="558"/>
      <c r="VAX165" s="558"/>
      <c r="VAY165" s="558"/>
      <c r="VAZ165" s="558"/>
      <c r="VBA165" s="558"/>
      <c r="VBB165" s="558"/>
      <c r="VBC165" s="558"/>
      <c r="VBD165" s="558"/>
      <c r="VBE165" s="558"/>
      <c r="VBF165" s="558"/>
      <c r="VBG165" s="558"/>
      <c r="VBH165" s="558"/>
      <c r="VBI165" s="558"/>
      <c r="VBJ165" s="558"/>
      <c r="VBK165" s="558"/>
      <c r="VBL165" s="558"/>
      <c r="VBM165" s="558"/>
      <c r="VBN165" s="558"/>
      <c r="VBO165" s="558"/>
      <c r="VBP165" s="558"/>
      <c r="VBQ165" s="558"/>
      <c r="VBR165" s="558"/>
      <c r="VBS165" s="558"/>
      <c r="VBT165" s="558"/>
      <c r="VBU165" s="558"/>
      <c r="VBV165" s="558"/>
      <c r="VBW165" s="558"/>
      <c r="VBX165" s="558"/>
      <c r="VBY165" s="558"/>
      <c r="VBZ165" s="558"/>
      <c r="VCA165" s="558"/>
      <c r="VCB165" s="558"/>
      <c r="VCC165" s="558"/>
      <c r="VCD165" s="558"/>
      <c r="VCE165" s="558"/>
      <c r="VCF165" s="558"/>
      <c r="VCG165" s="558"/>
      <c r="VCH165" s="558"/>
      <c r="VCI165" s="558"/>
      <c r="VCJ165" s="558"/>
      <c r="VCK165" s="558"/>
      <c r="VCL165" s="558"/>
      <c r="VCM165" s="558"/>
      <c r="VCN165" s="558"/>
      <c r="VCO165" s="558"/>
      <c r="VCP165" s="558"/>
      <c r="VCQ165" s="558"/>
      <c r="VCR165" s="558"/>
      <c r="VCS165" s="558"/>
      <c r="VCT165" s="558"/>
      <c r="VCU165" s="558"/>
      <c r="VCV165" s="558"/>
      <c r="VCW165" s="558"/>
      <c r="VCX165" s="558"/>
      <c r="VCY165" s="558"/>
      <c r="VCZ165" s="558"/>
      <c r="VDA165" s="558"/>
      <c r="VDB165" s="558"/>
      <c r="VDC165" s="558"/>
      <c r="VDD165" s="558"/>
      <c r="VDE165" s="558"/>
      <c r="VDF165" s="558"/>
      <c r="VDG165" s="558"/>
      <c r="VDH165" s="558"/>
      <c r="VDI165" s="558"/>
      <c r="VDJ165" s="558"/>
      <c r="VDK165" s="558"/>
      <c r="VDL165" s="558"/>
      <c r="VDM165" s="558"/>
      <c r="VDN165" s="558"/>
      <c r="VDO165" s="558"/>
      <c r="VDP165" s="558"/>
      <c r="VDQ165" s="558"/>
      <c r="VDR165" s="558"/>
      <c r="VDS165" s="558"/>
      <c r="VDT165" s="558"/>
      <c r="VDU165" s="558"/>
      <c r="VDV165" s="558"/>
      <c r="VDW165" s="558"/>
      <c r="VDX165" s="558"/>
      <c r="VDY165" s="558"/>
      <c r="VDZ165" s="558"/>
      <c r="VEA165" s="558"/>
      <c r="VEB165" s="558"/>
      <c r="VEC165" s="558"/>
      <c r="VED165" s="558"/>
      <c r="VEE165" s="558"/>
      <c r="VEF165" s="558"/>
      <c r="VEG165" s="558"/>
      <c r="VEH165" s="558"/>
      <c r="VEI165" s="558"/>
      <c r="VEJ165" s="558"/>
      <c r="VEK165" s="558"/>
      <c r="VEL165" s="558"/>
      <c r="VEM165" s="558"/>
      <c r="VEN165" s="558"/>
      <c r="VEO165" s="558"/>
      <c r="VEP165" s="558"/>
      <c r="VEQ165" s="558"/>
      <c r="VER165" s="558"/>
      <c r="VES165" s="558"/>
      <c r="VET165" s="558"/>
      <c r="VEU165" s="558"/>
      <c r="VEV165" s="558"/>
      <c r="VEW165" s="558"/>
      <c r="VEX165" s="558"/>
      <c r="VEY165" s="558"/>
      <c r="VEZ165" s="558"/>
      <c r="VFA165" s="558"/>
      <c r="VFB165" s="558"/>
      <c r="VFC165" s="558"/>
      <c r="VFD165" s="558"/>
      <c r="VFE165" s="558"/>
      <c r="VFF165" s="558"/>
      <c r="VFG165" s="558"/>
      <c r="VFH165" s="558"/>
      <c r="VFI165" s="558"/>
      <c r="VFJ165" s="558"/>
      <c r="VFK165" s="558"/>
      <c r="VFL165" s="558"/>
      <c r="VFM165" s="558"/>
      <c r="VFN165" s="558"/>
      <c r="VFO165" s="558"/>
      <c r="VFP165" s="558"/>
      <c r="VFQ165" s="558"/>
      <c r="VFR165" s="558"/>
      <c r="VFS165" s="558"/>
      <c r="VFT165" s="558"/>
      <c r="VFU165" s="558"/>
      <c r="VFV165" s="558"/>
      <c r="VFW165" s="558"/>
      <c r="VFX165" s="558"/>
      <c r="VFY165" s="558"/>
      <c r="VFZ165" s="558"/>
      <c r="VGA165" s="558"/>
      <c r="VGB165" s="558"/>
      <c r="VGC165" s="558"/>
      <c r="VGD165" s="558"/>
      <c r="VGE165" s="558"/>
      <c r="VGF165" s="558"/>
      <c r="VGG165" s="558"/>
      <c r="VGH165" s="558"/>
      <c r="VGI165" s="558"/>
      <c r="VGJ165" s="558"/>
      <c r="VGK165" s="558"/>
      <c r="VGL165" s="558"/>
      <c r="VGM165" s="558"/>
      <c r="VGN165" s="558"/>
      <c r="VGO165" s="558"/>
      <c r="VGP165" s="558"/>
      <c r="VGQ165" s="558"/>
      <c r="VGR165" s="558"/>
      <c r="VGS165" s="558"/>
      <c r="VGT165" s="558"/>
      <c r="VGU165" s="558"/>
      <c r="VGV165" s="558"/>
      <c r="VGW165" s="558"/>
      <c r="VGX165" s="558"/>
      <c r="VGY165" s="558"/>
      <c r="VGZ165" s="558"/>
      <c r="VHA165" s="558"/>
      <c r="VHB165" s="558"/>
      <c r="VHC165" s="558"/>
      <c r="VHD165" s="558"/>
      <c r="VHE165" s="558"/>
      <c r="VHF165" s="558"/>
      <c r="VHG165" s="558"/>
      <c r="VHH165" s="558"/>
      <c r="VHI165" s="558"/>
      <c r="VHJ165" s="558"/>
      <c r="VHK165" s="558"/>
      <c r="VHL165" s="558"/>
      <c r="VHM165" s="558"/>
      <c r="VHN165" s="558"/>
      <c r="VHO165" s="558"/>
      <c r="VHP165" s="558"/>
      <c r="VHQ165" s="558"/>
      <c r="VHR165" s="558"/>
      <c r="VHS165" s="558"/>
      <c r="VHT165" s="558"/>
      <c r="VHU165" s="558"/>
      <c r="VHV165" s="558"/>
      <c r="VHW165" s="558"/>
      <c r="VHX165" s="558"/>
      <c r="VHY165" s="558"/>
      <c r="VHZ165" s="558"/>
      <c r="VIA165" s="558"/>
      <c r="VIB165" s="558"/>
      <c r="VIC165" s="558"/>
      <c r="VID165" s="558"/>
      <c r="VIE165" s="558"/>
      <c r="VIF165" s="558"/>
      <c r="VIG165" s="558"/>
      <c r="VIH165" s="558"/>
      <c r="VII165" s="558"/>
      <c r="VIJ165" s="558"/>
      <c r="VIK165" s="558"/>
      <c r="VIL165" s="558"/>
      <c r="VIM165" s="558"/>
      <c r="VIN165" s="558"/>
      <c r="VIO165" s="558"/>
      <c r="VIP165" s="558"/>
      <c r="VIQ165" s="558"/>
      <c r="VIR165" s="558"/>
      <c r="VIS165" s="558"/>
      <c r="VIT165" s="558"/>
      <c r="VIU165" s="558"/>
      <c r="VIV165" s="558"/>
      <c r="VIW165" s="558"/>
      <c r="VIX165" s="558"/>
      <c r="VIY165" s="558"/>
      <c r="VIZ165" s="558"/>
      <c r="VJA165" s="558"/>
      <c r="VJB165" s="558"/>
      <c r="VJC165" s="558"/>
      <c r="VJD165" s="558"/>
      <c r="VJE165" s="558"/>
      <c r="VJF165" s="558"/>
      <c r="VJG165" s="558"/>
      <c r="VJH165" s="558"/>
      <c r="VJI165" s="558"/>
      <c r="VJJ165" s="558"/>
      <c r="VJK165" s="558"/>
      <c r="VJL165" s="558"/>
      <c r="VJM165" s="558"/>
      <c r="VJN165" s="558"/>
      <c r="VJO165" s="558"/>
      <c r="VJP165" s="558"/>
      <c r="VJQ165" s="558"/>
      <c r="VJR165" s="558"/>
      <c r="VJS165" s="558"/>
      <c r="VJT165" s="558"/>
      <c r="VJU165" s="558"/>
      <c r="VJV165" s="558"/>
      <c r="VJW165" s="558"/>
      <c r="VJX165" s="558"/>
      <c r="VJY165" s="558"/>
      <c r="VJZ165" s="558"/>
      <c r="VKA165" s="558"/>
      <c r="VKB165" s="558"/>
      <c r="VKC165" s="558"/>
      <c r="VKD165" s="558"/>
      <c r="VKE165" s="558"/>
      <c r="VKF165" s="558"/>
      <c r="VKG165" s="558"/>
      <c r="VKH165" s="558"/>
      <c r="VKI165" s="558"/>
      <c r="VKJ165" s="558"/>
      <c r="VKK165" s="558"/>
      <c r="VKL165" s="558"/>
      <c r="VKM165" s="558"/>
      <c r="VKN165" s="558"/>
      <c r="VKO165" s="558"/>
      <c r="VKP165" s="558"/>
      <c r="VKQ165" s="558"/>
      <c r="VKR165" s="558"/>
      <c r="VKS165" s="558"/>
      <c r="VKT165" s="558"/>
      <c r="VKU165" s="558"/>
      <c r="VKV165" s="558"/>
      <c r="VKW165" s="558"/>
      <c r="VKX165" s="558"/>
      <c r="VKY165" s="558"/>
      <c r="VKZ165" s="558"/>
      <c r="VLA165" s="558"/>
      <c r="VLB165" s="558"/>
      <c r="VLC165" s="558"/>
      <c r="VLD165" s="558"/>
      <c r="VLE165" s="558"/>
      <c r="VLF165" s="558"/>
      <c r="VLG165" s="558"/>
      <c r="VLH165" s="558"/>
      <c r="VLI165" s="558"/>
      <c r="VLJ165" s="558"/>
      <c r="VLK165" s="558"/>
      <c r="VLL165" s="558"/>
      <c r="VLM165" s="558"/>
      <c r="VLN165" s="558"/>
      <c r="VLO165" s="558"/>
      <c r="VLP165" s="558"/>
      <c r="VLQ165" s="558"/>
      <c r="VLR165" s="558"/>
      <c r="VLS165" s="558"/>
      <c r="VLT165" s="558"/>
      <c r="VLU165" s="558"/>
      <c r="VLV165" s="558"/>
      <c r="VLW165" s="558"/>
      <c r="VLX165" s="558"/>
      <c r="VLY165" s="558"/>
      <c r="VLZ165" s="558"/>
      <c r="VMA165" s="558"/>
      <c r="VMB165" s="558"/>
      <c r="VMC165" s="558"/>
      <c r="VMD165" s="558"/>
      <c r="VME165" s="558"/>
      <c r="VMF165" s="558"/>
      <c r="VMG165" s="558"/>
      <c r="VMH165" s="558"/>
      <c r="VMI165" s="558"/>
      <c r="VMJ165" s="558"/>
      <c r="VMK165" s="558"/>
      <c r="VML165" s="558"/>
      <c r="VMM165" s="558"/>
      <c r="VMN165" s="558"/>
      <c r="VMO165" s="558"/>
      <c r="VMP165" s="558"/>
      <c r="VMQ165" s="558"/>
      <c r="VMR165" s="558"/>
      <c r="VMS165" s="558"/>
      <c r="VMT165" s="558"/>
      <c r="VMU165" s="558"/>
      <c r="VMV165" s="558"/>
      <c r="VMW165" s="558"/>
      <c r="VMX165" s="558"/>
      <c r="VMY165" s="558"/>
      <c r="VMZ165" s="558"/>
      <c r="VNA165" s="558"/>
      <c r="VNB165" s="558"/>
      <c r="VNC165" s="558"/>
      <c r="VND165" s="558"/>
      <c r="VNE165" s="558"/>
      <c r="VNF165" s="558"/>
      <c r="VNG165" s="558"/>
      <c r="VNH165" s="558"/>
      <c r="VNI165" s="558"/>
      <c r="VNJ165" s="558"/>
      <c r="VNK165" s="558"/>
      <c r="VNL165" s="558"/>
      <c r="VNM165" s="558"/>
      <c r="VNN165" s="558"/>
      <c r="VNO165" s="558"/>
      <c r="VNP165" s="558"/>
      <c r="VNQ165" s="558"/>
      <c r="VNR165" s="558"/>
      <c r="VNS165" s="558"/>
      <c r="VNT165" s="558"/>
      <c r="VNU165" s="558"/>
      <c r="VNV165" s="558"/>
      <c r="VNW165" s="558"/>
      <c r="VNX165" s="558"/>
      <c r="VNY165" s="558"/>
      <c r="VNZ165" s="558"/>
      <c r="VOA165" s="558"/>
      <c r="VOB165" s="558"/>
      <c r="VOC165" s="558"/>
      <c r="VOD165" s="558"/>
      <c r="VOE165" s="558"/>
      <c r="VOF165" s="558"/>
      <c r="VOG165" s="558"/>
      <c r="VOH165" s="558"/>
      <c r="VOI165" s="558"/>
      <c r="VOJ165" s="558"/>
      <c r="VOK165" s="558"/>
      <c r="VOL165" s="558"/>
      <c r="VOM165" s="558"/>
      <c r="VON165" s="558"/>
      <c r="VOO165" s="558"/>
      <c r="VOP165" s="558"/>
      <c r="VOQ165" s="558"/>
      <c r="VOR165" s="558"/>
      <c r="VOS165" s="558"/>
      <c r="VOT165" s="558"/>
      <c r="VOU165" s="558"/>
      <c r="VOV165" s="558"/>
      <c r="VOW165" s="558"/>
      <c r="VOX165" s="558"/>
      <c r="VOY165" s="558"/>
      <c r="VOZ165" s="558"/>
      <c r="VPA165" s="558"/>
      <c r="VPB165" s="558"/>
      <c r="VPC165" s="558"/>
      <c r="VPD165" s="558"/>
      <c r="VPE165" s="558"/>
      <c r="VPF165" s="558"/>
      <c r="VPG165" s="558"/>
      <c r="VPH165" s="558"/>
      <c r="VPI165" s="558"/>
      <c r="VPJ165" s="558"/>
      <c r="VPK165" s="558"/>
      <c r="VPL165" s="558"/>
      <c r="VPM165" s="558"/>
      <c r="VPN165" s="558"/>
      <c r="VPO165" s="558"/>
      <c r="VPP165" s="558"/>
      <c r="VPQ165" s="558"/>
      <c r="VPR165" s="558"/>
      <c r="VPS165" s="558"/>
      <c r="VPT165" s="558"/>
      <c r="VPU165" s="558"/>
      <c r="VPV165" s="558"/>
      <c r="VPW165" s="558"/>
      <c r="VPX165" s="558"/>
      <c r="VPY165" s="558"/>
      <c r="VPZ165" s="558"/>
      <c r="VQA165" s="558"/>
      <c r="VQB165" s="558"/>
      <c r="VQC165" s="558"/>
      <c r="VQD165" s="558"/>
      <c r="VQE165" s="558"/>
      <c r="VQF165" s="558"/>
      <c r="VQG165" s="558"/>
      <c r="VQH165" s="558"/>
      <c r="VQI165" s="558"/>
      <c r="VQJ165" s="558"/>
      <c r="VQK165" s="558"/>
      <c r="VQL165" s="558"/>
      <c r="VQM165" s="558"/>
      <c r="VQN165" s="558"/>
      <c r="VQO165" s="558"/>
      <c r="VQP165" s="558"/>
      <c r="VQQ165" s="558"/>
      <c r="VQR165" s="558"/>
      <c r="VQS165" s="558"/>
      <c r="VQT165" s="558"/>
      <c r="VQU165" s="558"/>
      <c r="VQV165" s="558"/>
      <c r="VQW165" s="558"/>
      <c r="VQX165" s="558"/>
      <c r="VQY165" s="558"/>
      <c r="VQZ165" s="558"/>
      <c r="VRA165" s="558"/>
      <c r="VRB165" s="558"/>
      <c r="VRC165" s="558"/>
      <c r="VRD165" s="558"/>
      <c r="VRE165" s="558"/>
      <c r="VRF165" s="558"/>
      <c r="VRG165" s="558"/>
      <c r="VRH165" s="558"/>
      <c r="VRI165" s="558"/>
      <c r="VRJ165" s="558"/>
      <c r="VRK165" s="558"/>
      <c r="VRL165" s="558"/>
      <c r="VRM165" s="558"/>
      <c r="VRN165" s="558"/>
      <c r="VRO165" s="558"/>
      <c r="VRP165" s="558"/>
      <c r="VRQ165" s="558"/>
      <c r="VRR165" s="558"/>
      <c r="VRS165" s="558"/>
      <c r="VRT165" s="558"/>
      <c r="VRU165" s="558"/>
      <c r="VRV165" s="558"/>
      <c r="VRW165" s="558"/>
      <c r="VRX165" s="558"/>
      <c r="VRY165" s="558"/>
      <c r="VRZ165" s="558"/>
      <c r="VSA165" s="558"/>
      <c r="VSB165" s="558"/>
      <c r="VSC165" s="558"/>
      <c r="VSD165" s="558"/>
      <c r="VSE165" s="558"/>
      <c r="VSF165" s="558"/>
      <c r="VSG165" s="558"/>
      <c r="VSH165" s="558"/>
      <c r="VSI165" s="558"/>
      <c r="VSJ165" s="558"/>
      <c r="VSK165" s="558"/>
      <c r="VSL165" s="558"/>
      <c r="VSM165" s="558"/>
      <c r="VSN165" s="558"/>
      <c r="VSO165" s="558"/>
      <c r="VSP165" s="558"/>
      <c r="VSQ165" s="558"/>
      <c r="VSR165" s="558"/>
      <c r="VSS165" s="558"/>
      <c r="VST165" s="558"/>
      <c r="VSU165" s="558"/>
      <c r="VSV165" s="558"/>
      <c r="VSW165" s="558"/>
      <c r="VSX165" s="558"/>
      <c r="VSY165" s="558"/>
      <c r="VSZ165" s="558"/>
      <c r="VTA165" s="558"/>
      <c r="VTB165" s="558"/>
      <c r="VTC165" s="558"/>
      <c r="VTD165" s="558"/>
      <c r="VTE165" s="558"/>
      <c r="VTF165" s="558"/>
      <c r="VTG165" s="558"/>
      <c r="VTH165" s="558"/>
      <c r="VTI165" s="558"/>
      <c r="VTJ165" s="558"/>
      <c r="VTK165" s="558"/>
      <c r="VTL165" s="558"/>
      <c r="VTM165" s="558"/>
      <c r="VTN165" s="558"/>
      <c r="VTO165" s="558"/>
      <c r="VTP165" s="558"/>
      <c r="VTQ165" s="558"/>
      <c r="VTR165" s="558"/>
      <c r="VTS165" s="558"/>
      <c r="VTT165" s="558"/>
      <c r="VTU165" s="558"/>
      <c r="VTV165" s="558"/>
      <c r="VTW165" s="558"/>
      <c r="VTX165" s="558"/>
      <c r="VTY165" s="558"/>
      <c r="VTZ165" s="558"/>
      <c r="VUA165" s="558"/>
      <c r="VUB165" s="558"/>
      <c r="VUC165" s="558"/>
      <c r="VUD165" s="558"/>
      <c r="VUE165" s="558"/>
      <c r="VUF165" s="558"/>
      <c r="VUG165" s="558"/>
      <c r="VUH165" s="558"/>
      <c r="VUI165" s="558"/>
      <c r="VUJ165" s="558"/>
      <c r="VUK165" s="558"/>
      <c r="VUL165" s="558"/>
      <c r="VUM165" s="558"/>
      <c r="VUN165" s="558"/>
      <c r="VUO165" s="558"/>
      <c r="VUP165" s="558"/>
      <c r="VUQ165" s="558"/>
      <c r="VUR165" s="558"/>
      <c r="VUS165" s="558"/>
      <c r="VUT165" s="558"/>
      <c r="VUU165" s="558"/>
      <c r="VUV165" s="558"/>
      <c r="VUW165" s="558"/>
      <c r="VUX165" s="558"/>
      <c r="VUY165" s="558"/>
      <c r="VUZ165" s="558"/>
      <c r="VVA165" s="558"/>
      <c r="VVB165" s="558"/>
      <c r="VVC165" s="558"/>
      <c r="VVD165" s="558"/>
      <c r="VVE165" s="558"/>
      <c r="VVF165" s="558"/>
      <c r="VVG165" s="558"/>
      <c r="VVH165" s="558"/>
      <c r="VVI165" s="558"/>
      <c r="VVJ165" s="558"/>
      <c r="VVK165" s="558"/>
      <c r="VVL165" s="558"/>
      <c r="VVM165" s="558"/>
      <c r="VVN165" s="558"/>
      <c r="VVO165" s="558"/>
      <c r="VVP165" s="558"/>
      <c r="VVQ165" s="558"/>
      <c r="VVR165" s="558"/>
      <c r="VVS165" s="558"/>
      <c r="VVT165" s="558"/>
      <c r="VVU165" s="558"/>
      <c r="VVV165" s="558"/>
      <c r="VVW165" s="558"/>
      <c r="VVX165" s="558"/>
      <c r="VVY165" s="558"/>
      <c r="VVZ165" s="558"/>
      <c r="VWA165" s="558"/>
      <c r="VWB165" s="558"/>
      <c r="VWC165" s="558"/>
      <c r="VWD165" s="558"/>
      <c r="VWE165" s="558"/>
      <c r="VWF165" s="558"/>
      <c r="VWG165" s="558"/>
      <c r="VWH165" s="558"/>
      <c r="VWI165" s="558"/>
      <c r="VWJ165" s="558"/>
      <c r="VWK165" s="558"/>
      <c r="VWL165" s="558"/>
      <c r="VWM165" s="558"/>
      <c r="VWN165" s="558"/>
      <c r="VWO165" s="558"/>
      <c r="VWP165" s="558"/>
      <c r="VWQ165" s="558"/>
      <c r="VWR165" s="558"/>
      <c r="VWS165" s="558"/>
      <c r="VWT165" s="558"/>
      <c r="VWU165" s="558"/>
      <c r="VWV165" s="558"/>
      <c r="VWW165" s="558"/>
      <c r="VWX165" s="558"/>
      <c r="VWY165" s="558"/>
      <c r="VWZ165" s="558"/>
      <c r="VXA165" s="558"/>
      <c r="VXB165" s="558"/>
      <c r="VXC165" s="558"/>
      <c r="VXD165" s="558"/>
      <c r="VXE165" s="558"/>
      <c r="VXF165" s="558"/>
      <c r="VXG165" s="558"/>
      <c r="VXH165" s="558"/>
      <c r="VXI165" s="558"/>
      <c r="VXJ165" s="558"/>
      <c r="VXK165" s="558"/>
      <c r="VXL165" s="558"/>
      <c r="VXM165" s="558"/>
      <c r="VXN165" s="558"/>
      <c r="VXO165" s="558"/>
      <c r="VXP165" s="558"/>
      <c r="VXQ165" s="558"/>
      <c r="VXR165" s="558"/>
      <c r="VXS165" s="558"/>
      <c r="VXT165" s="558"/>
      <c r="VXU165" s="558"/>
      <c r="VXV165" s="558"/>
      <c r="VXW165" s="558"/>
      <c r="VXX165" s="558"/>
      <c r="VXY165" s="558"/>
      <c r="VXZ165" s="558"/>
      <c r="VYA165" s="558"/>
      <c r="VYB165" s="558"/>
      <c r="VYC165" s="558"/>
      <c r="VYD165" s="558"/>
      <c r="VYE165" s="558"/>
      <c r="VYF165" s="558"/>
      <c r="VYG165" s="558"/>
      <c r="VYH165" s="558"/>
      <c r="VYI165" s="558"/>
      <c r="VYJ165" s="558"/>
      <c r="VYK165" s="558"/>
      <c r="VYL165" s="558"/>
      <c r="VYM165" s="558"/>
      <c r="VYN165" s="558"/>
      <c r="VYO165" s="558"/>
      <c r="VYP165" s="558"/>
      <c r="VYQ165" s="558"/>
      <c r="VYR165" s="558"/>
      <c r="VYS165" s="558"/>
      <c r="VYT165" s="558"/>
      <c r="VYU165" s="558"/>
      <c r="VYV165" s="558"/>
      <c r="VYW165" s="558"/>
      <c r="VYX165" s="558"/>
      <c r="VYY165" s="558"/>
      <c r="VYZ165" s="558"/>
      <c r="VZA165" s="558"/>
      <c r="VZB165" s="558"/>
      <c r="VZC165" s="558"/>
      <c r="VZD165" s="558"/>
      <c r="VZE165" s="558"/>
      <c r="VZF165" s="558"/>
      <c r="VZG165" s="558"/>
      <c r="VZH165" s="558"/>
      <c r="VZI165" s="558"/>
      <c r="VZJ165" s="558"/>
      <c r="VZK165" s="558"/>
      <c r="VZL165" s="558"/>
      <c r="VZM165" s="558"/>
      <c r="VZN165" s="558"/>
      <c r="VZO165" s="558"/>
      <c r="VZP165" s="558"/>
      <c r="VZQ165" s="558"/>
      <c r="VZR165" s="558"/>
      <c r="VZS165" s="558"/>
      <c r="VZT165" s="558"/>
      <c r="VZU165" s="558"/>
      <c r="VZV165" s="558"/>
      <c r="VZW165" s="558"/>
      <c r="VZX165" s="558"/>
      <c r="VZY165" s="558"/>
      <c r="VZZ165" s="558"/>
      <c r="WAA165" s="558"/>
      <c r="WAB165" s="558"/>
      <c r="WAC165" s="558"/>
      <c r="WAD165" s="558"/>
      <c r="WAE165" s="558"/>
      <c r="WAF165" s="558"/>
      <c r="WAG165" s="558"/>
      <c r="WAH165" s="558"/>
      <c r="WAI165" s="558"/>
      <c r="WAJ165" s="558"/>
      <c r="WAK165" s="558"/>
      <c r="WAL165" s="558"/>
      <c r="WAM165" s="558"/>
      <c r="WAN165" s="558"/>
      <c r="WAO165" s="558"/>
      <c r="WAP165" s="558"/>
      <c r="WAQ165" s="558"/>
      <c r="WAR165" s="558"/>
      <c r="WAS165" s="558"/>
      <c r="WAT165" s="558"/>
      <c r="WAU165" s="558"/>
      <c r="WAV165" s="558"/>
      <c r="WAW165" s="558"/>
      <c r="WAX165" s="558"/>
      <c r="WAY165" s="558"/>
      <c r="WAZ165" s="558"/>
      <c r="WBA165" s="558"/>
      <c r="WBB165" s="558"/>
      <c r="WBC165" s="558"/>
      <c r="WBD165" s="558"/>
      <c r="WBE165" s="558"/>
      <c r="WBF165" s="558"/>
      <c r="WBG165" s="558"/>
      <c r="WBH165" s="558"/>
      <c r="WBI165" s="558"/>
      <c r="WBJ165" s="558"/>
      <c r="WBK165" s="558"/>
      <c r="WBL165" s="558"/>
      <c r="WBM165" s="558"/>
      <c r="WBN165" s="558"/>
      <c r="WBO165" s="558"/>
      <c r="WBP165" s="558"/>
      <c r="WBQ165" s="558"/>
      <c r="WBR165" s="558"/>
      <c r="WBS165" s="558"/>
      <c r="WBT165" s="558"/>
      <c r="WBU165" s="558"/>
      <c r="WBV165" s="558"/>
      <c r="WBW165" s="558"/>
      <c r="WBX165" s="558"/>
      <c r="WBY165" s="558"/>
      <c r="WBZ165" s="558"/>
      <c r="WCA165" s="558"/>
      <c r="WCB165" s="558"/>
      <c r="WCC165" s="558"/>
      <c r="WCD165" s="558"/>
      <c r="WCE165" s="558"/>
      <c r="WCF165" s="558"/>
      <c r="WCG165" s="558"/>
      <c r="WCH165" s="558"/>
      <c r="WCI165" s="558"/>
      <c r="WCJ165" s="558"/>
      <c r="WCK165" s="558"/>
      <c r="WCL165" s="558"/>
      <c r="WCM165" s="558"/>
      <c r="WCN165" s="558"/>
      <c r="WCO165" s="558"/>
      <c r="WCP165" s="558"/>
      <c r="WCQ165" s="558"/>
      <c r="WCR165" s="558"/>
      <c r="WCS165" s="558"/>
      <c r="WCT165" s="558"/>
      <c r="WCU165" s="558"/>
      <c r="WCV165" s="558"/>
      <c r="WCW165" s="558"/>
      <c r="WCX165" s="558"/>
      <c r="WCY165" s="558"/>
      <c r="WCZ165" s="558"/>
      <c r="WDA165" s="558"/>
      <c r="WDB165" s="558"/>
      <c r="WDC165" s="558"/>
      <c r="WDD165" s="558"/>
      <c r="WDE165" s="558"/>
      <c r="WDF165" s="558"/>
      <c r="WDG165" s="558"/>
      <c r="WDH165" s="558"/>
      <c r="WDI165" s="558"/>
      <c r="WDJ165" s="558"/>
      <c r="WDK165" s="558"/>
      <c r="WDL165" s="558"/>
      <c r="WDM165" s="558"/>
      <c r="WDN165" s="558"/>
      <c r="WDO165" s="558"/>
      <c r="WDP165" s="558"/>
      <c r="WDQ165" s="558"/>
      <c r="WDR165" s="558"/>
      <c r="WDS165" s="558"/>
      <c r="WDT165" s="558"/>
      <c r="WDU165" s="558"/>
      <c r="WDV165" s="558"/>
      <c r="WDW165" s="558"/>
      <c r="WDX165" s="558"/>
      <c r="WDY165" s="558"/>
      <c r="WDZ165" s="558"/>
      <c r="WEA165" s="558"/>
      <c r="WEB165" s="558"/>
      <c r="WEC165" s="558"/>
      <c r="WED165" s="558"/>
      <c r="WEE165" s="558"/>
      <c r="WEF165" s="558"/>
      <c r="WEG165" s="558"/>
      <c r="WEH165" s="558"/>
      <c r="WEI165" s="558"/>
      <c r="WEJ165" s="558"/>
      <c r="WEK165" s="558"/>
      <c r="WEL165" s="558"/>
      <c r="WEM165" s="558"/>
      <c r="WEN165" s="558"/>
      <c r="WEO165" s="558"/>
      <c r="WEP165" s="558"/>
      <c r="WEQ165" s="558"/>
      <c r="WER165" s="558"/>
      <c r="WES165" s="558"/>
      <c r="WET165" s="558"/>
      <c r="WEU165" s="558"/>
      <c r="WEV165" s="558"/>
      <c r="WEW165" s="558"/>
      <c r="WEX165" s="558"/>
      <c r="WEY165" s="558"/>
      <c r="WEZ165" s="558"/>
      <c r="WFA165" s="558"/>
      <c r="WFB165" s="558"/>
      <c r="WFC165" s="558"/>
      <c r="WFD165" s="558"/>
      <c r="WFE165" s="558"/>
      <c r="WFF165" s="558"/>
      <c r="WFG165" s="558"/>
      <c r="WFH165" s="558"/>
      <c r="WFI165" s="558"/>
      <c r="WFJ165" s="558"/>
      <c r="WFK165" s="558"/>
      <c r="WFL165" s="558"/>
      <c r="WFM165" s="558"/>
      <c r="WFN165" s="558"/>
      <c r="WFO165" s="558"/>
      <c r="WFP165" s="558"/>
      <c r="WFQ165" s="558"/>
      <c r="WFR165" s="558"/>
      <c r="WFS165" s="558"/>
      <c r="WFT165" s="558"/>
      <c r="WFU165" s="558"/>
      <c r="WFV165" s="558"/>
      <c r="WFW165" s="558"/>
      <c r="WFX165" s="558"/>
      <c r="WFY165" s="558"/>
      <c r="WFZ165" s="558"/>
      <c r="WGA165" s="558"/>
      <c r="WGB165" s="558"/>
      <c r="WGC165" s="558"/>
      <c r="WGD165" s="558"/>
      <c r="WGE165" s="558"/>
      <c r="WGF165" s="558"/>
      <c r="WGG165" s="558"/>
      <c r="WGH165" s="558"/>
      <c r="WGI165" s="558"/>
      <c r="WGJ165" s="558"/>
      <c r="WGK165" s="558"/>
      <c r="WGL165" s="558"/>
      <c r="WGM165" s="558"/>
      <c r="WGN165" s="558"/>
      <c r="WGO165" s="558"/>
      <c r="WGP165" s="558"/>
      <c r="WGQ165" s="558"/>
      <c r="WGR165" s="558"/>
      <c r="WGS165" s="558"/>
      <c r="WGT165" s="558"/>
      <c r="WGU165" s="558"/>
      <c r="WGV165" s="558"/>
      <c r="WGW165" s="558"/>
      <c r="WGX165" s="558"/>
      <c r="WGY165" s="558"/>
      <c r="WGZ165" s="558"/>
      <c r="WHA165" s="558"/>
      <c r="WHB165" s="558"/>
      <c r="WHC165" s="558"/>
      <c r="WHD165" s="558"/>
      <c r="WHE165" s="558"/>
      <c r="WHF165" s="558"/>
      <c r="WHG165" s="558"/>
      <c r="WHH165" s="558"/>
      <c r="WHI165" s="558"/>
      <c r="WHJ165" s="558"/>
      <c r="WHK165" s="558"/>
      <c r="WHL165" s="558"/>
      <c r="WHM165" s="558"/>
      <c r="WHN165" s="558"/>
      <c r="WHO165" s="558"/>
      <c r="WHP165" s="558"/>
      <c r="WHQ165" s="558"/>
      <c r="WHR165" s="558"/>
      <c r="WHS165" s="558"/>
      <c r="WHT165" s="558"/>
      <c r="WHU165" s="558"/>
      <c r="WHV165" s="558"/>
      <c r="WHW165" s="558"/>
      <c r="WHX165" s="558"/>
      <c r="WHY165" s="558"/>
      <c r="WHZ165" s="558"/>
      <c r="WIA165" s="558"/>
      <c r="WIB165" s="558"/>
      <c r="WIC165" s="558"/>
      <c r="WID165" s="558"/>
      <c r="WIE165" s="558"/>
      <c r="WIF165" s="558"/>
      <c r="WIG165" s="558"/>
      <c r="WIH165" s="558"/>
      <c r="WII165" s="558"/>
      <c r="WIJ165" s="558"/>
      <c r="WIK165" s="558"/>
      <c r="WIL165" s="558"/>
      <c r="WIM165" s="558"/>
      <c r="WIN165" s="558"/>
      <c r="WIO165" s="558"/>
      <c r="WIP165" s="558"/>
      <c r="WIQ165" s="558"/>
      <c r="WIR165" s="558"/>
      <c r="WIS165" s="558"/>
      <c r="WIT165" s="558"/>
      <c r="WIU165" s="558"/>
      <c r="WIV165" s="558"/>
      <c r="WIW165" s="558"/>
      <c r="WIX165" s="558"/>
      <c r="WIY165" s="558"/>
      <c r="WIZ165" s="558"/>
      <c r="WJA165" s="558"/>
      <c r="WJB165" s="558"/>
      <c r="WJC165" s="558"/>
      <c r="WJD165" s="558"/>
      <c r="WJE165" s="558"/>
      <c r="WJF165" s="558"/>
      <c r="WJG165" s="558"/>
      <c r="WJH165" s="558"/>
      <c r="WJI165" s="558"/>
      <c r="WJJ165" s="558"/>
      <c r="WJK165" s="558"/>
      <c r="WJL165" s="558"/>
      <c r="WJM165" s="558"/>
      <c r="WJN165" s="558"/>
      <c r="WJO165" s="558"/>
      <c r="WJP165" s="558"/>
      <c r="WJQ165" s="558"/>
      <c r="WJR165" s="558"/>
      <c r="WJS165" s="558"/>
      <c r="WJT165" s="558"/>
      <c r="WJU165" s="558"/>
      <c r="WJV165" s="558"/>
      <c r="WJW165" s="558"/>
      <c r="WJX165" s="558"/>
      <c r="WJY165" s="558"/>
      <c r="WJZ165" s="558"/>
      <c r="WKA165" s="558"/>
      <c r="WKB165" s="558"/>
      <c r="WKC165" s="558"/>
      <c r="WKD165" s="558"/>
      <c r="WKE165" s="558"/>
      <c r="WKF165" s="558"/>
      <c r="WKG165" s="558"/>
      <c r="WKH165" s="558"/>
      <c r="WKI165" s="558"/>
      <c r="WKJ165" s="558"/>
      <c r="WKK165" s="558"/>
      <c r="WKL165" s="558"/>
      <c r="WKM165" s="558"/>
      <c r="WKN165" s="558"/>
      <c r="WKO165" s="558"/>
      <c r="WKP165" s="558"/>
      <c r="WKQ165" s="558"/>
      <c r="WKR165" s="558"/>
      <c r="WKS165" s="558"/>
      <c r="WKT165" s="558"/>
      <c r="WKU165" s="558"/>
      <c r="WKV165" s="558"/>
      <c r="WKW165" s="558"/>
      <c r="WKX165" s="558"/>
      <c r="WKY165" s="558"/>
      <c r="WKZ165" s="558"/>
      <c r="WLA165" s="558"/>
      <c r="WLB165" s="558"/>
      <c r="WLC165" s="558"/>
      <c r="WLD165" s="558"/>
      <c r="WLE165" s="558"/>
      <c r="WLF165" s="558"/>
      <c r="WLG165" s="558"/>
      <c r="WLH165" s="558"/>
      <c r="WLI165" s="558"/>
      <c r="WLJ165" s="558"/>
      <c r="WLK165" s="558"/>
      <c r="WLL165" s="558"/>
      <c r="WLM165" s="558"/>
      <c r="WLN165" s="558"/>
      <c r="WLO165" s="558"/>
      <c r="WLP165" s="558"/>
      <c r="WLQ165" s="558"/>
      <c r="WLR165" s="558"/>
      <c r="WLS165" s="558"/>
      <c r="WLT165" s="558"/>
      <c r="WLU165" s="558"/>
      <c r="WLV165" s="558"/>
      <c r="WLW165" s="558"/>
      <c r="WLX165" s="558"/>
      <c r="WLY165" s="558"/>
      <c r="WLZ165" s="558"/>
      <c r="WMA165" s="558"/>
      <c r="WMB165" s="558"/>
      <c r="WMC165" s="558"/>
      <c r="WMD165" s="558"/>
      <c r="WME165" s="558"/>
      <c r="WMF165" s="558"/>
      <c r="WMG165" s="558"/>
      <c r="WMH165" s="558"/>
      <c r="WMI165" s="558"/>
      <c r="WMJ165" s="558"/>
      <c r="WMK165" s="558"/>
      <c r="WML165" s="558"/>
      <c r="WMM165" s="558"/>
      <c r="WMN165" s="558"/>
      <c r="WMO165" s="558"/>
      <c r="WMP165" s="558"/>
      <c r="WMQ165" s="558"/>
      <c r="WMR165" s="558"/>
      <c r="WMS165" s="558"/>
      <c r="WMT165" s="558"/>
      <c r="WMU165" s="558"/>
      <c r="WMV165" s="558"/>
      <c r="WMW165" s="558"/>
      <c r="WMX165" s="558"/>
      <c r="WMY165" s="558"/>
      <c r="WMZ165" s="558"/>
      <c r="WNA165" s="558"/>
      <c r="WNB165" s="558"/>
      <c r="WNC165" s="558"/>
      <c r="WND165" s="558"/>
      <c r="WNE165" s="558"/>
      <c r="WNF165" s="558"/>
      <c r="WNG165" s="558"/>
      <c r="WNH165" s="558"/>
      <c r="WNI165" s="558"/>
      <c r="WNJ165" s="558"/>
      <c r="WNK165" s="558"/>
      <c r="WNL165" s="558"/>
      <c r="WNM165" s="558"/>
      <c r="WNN165" s="558"/>
      <c r="WNO165" s="558"/>
      <c r="WNP165" s="558"/>
      <c r="WNQ165" s="558"/>
      <c r="WNR165" s="558"/>
      <c r="WNS165" s="558"/>
      <c r="WNT165" s="558"/>
      <c r="WNU165" s="558"/>
      <c r="WNV165" s="558"/>
      <c r="WNW165" s="558"/>
      <c r="WNX165" s="558"/>
      <c r="WNY165" s="558"/>
      <c r="WNZ165" s="558"/>
      <c r="WOA165" s="558"/>
      <c r="WOB165" s="558"/>
      <c r="WOC165" s="558"/>
      <c r="WOD165" s="558"/>
      <c r="WOE165" s="558"/>
      <c r="WOF165" s="558"/>
      <c r="WOG165" s="558"/>
      <c r="WOH165" s="558"/>
      <c r="WOI165" s="558"/>
      <c r="WOJ165" s="558"/>
      <c r="WOK165" s="558"/>
      <c r="WOL165" s="558"/>
      <c r="WOM165" s="558"/>
      <c r="WON165" s="558"/>
      <c r="WOO165" s="558"/>
      <c r="WOP165" s="558"/>
      <c r="WOQ165" s="558"/>
      <c r="WOR165" s="558"/>
      <c r="WOS165" s="558"/>
      <c r="WOT165" s="558"/>
      <c r="WOU165" s="558"/>
      <c r="WOV165" s="558"/>
      <c r="WOW165" s="558"/>
      <c r="WOX165" s="558"/>
      <c r="WOY165" s="558"/>
      <c r="WOZ165" s="558"/>
      <c r="WPA165" s="558"/>
      <c r="WPB165" s="558"/>
      <c r="WPC165" s="558"/>
      <c r="WPD165" s="558"/>
      <c r="WPE165" s="558"/>
      <c r="WPF165" s="558"/>
      <c r="WPG165" s="558"/>
      <c r="WPH165" s="558"/>
      <c r="WPI165" s="558"/>
      <c r="WPJ165" s="558"/>
      <c r="WPK165" s="558"/>
      <c r="WPL165" s="558"/>
      <c r="WPM165" s="558"/>
      <c r="WPN165" s="558"/>
      <c r="WPO165" s="558"/>
      <c r="WPP165" s="558"/>
      <c r="WPQ165" s="558"/>
      <c r="WPR165" s="558"/>
      <c r="WPS165" s="558"/>
      <c r="WPT165" s="558"/>
      <c r="WPU165" s="558"/>
      <c r="WPV165" s="558"/>
      <c r="WPW165" s="558"/>
      <c r="WPX165" s="558"/>
      <c r="WPY165" s="558"/>
      <c r="WPZ165" s="558"/>
      <c r="WQA165" s="558"/>
      <c r="WQB165" s="558"/>
      <c r="WQC165" s="558"/>
      <c r="WQD165" s="558"/>
      <c r="WQE165" s="558"/>
      <c r="WQF165" s="558"/>
      <c r="WQG165" s="558"/>
      <c r="WQH165" s="558"/>
      <c r="WQI165" s="558"/>
      <c r="WQJ165" s="558"/>
      <c r="WQK165" s="558"/>
      <c r="WQL165" s="558"/>
      <c r="WQM165" s="558"/>
      <c r="WQN165" s="558"/>
      <c r="WQO165" s="558"/>
      <c r="WQP165" s="558"/>
      <c r="WQQ165" s="558"/>
      <c r="WQR165" s="558"/>
      <c r="WQS165" s="558"/>
      <c r="WQT165" s="558"/>
      <c r="WQU165" s="558"/>
      <c r="WQV165" s="558"/>
      <c r="WQW165" s="558"/>
      <c r="WQX165" s="558"/>
      <c r="WQY165" s="558"/>
      <c r="WQZ165" s="558"/>
      <c r="WRA165" s="558"/>
      <c r="WRB165" s="558"/>
      <c r="WRC165" s="558"/>
      <c r="WRD165" s="558"/>
      <c r="WRE165" s="558"/>
      <c r="WRF165" s="558"/>
      <c r="WRG165" s="558"/>
      <c r="WRH165" s="558"/>
      <c r="WRI165" s="558"/>
      <c r="WRJ165" s="558"/>
      <c r="WRK165" s="558"/>
      <c r="WRL165" s="558"/>
      <c r="WRM165" s="558"/>
      <c r="WRN165" s="558"/>
      <c r="WRO165" s="558"/>
      <c r="WRP165" s="558"/>
      <c r="WRQ165" s="558"/>
      <c r="WRR165" s="558"/>
      <c r="WRS165" s="558"/>
      <c r="WRT165" s="558"/>
      <c r="WRU165" s="558"/>
      <c r="WRV165" s="558"/>
      <c r="WRW165" s="558"/>
      <c r="WRX165" s="558"/>
      <c r="WRY165" s="558"/>
      <c r="WRZ165" s="558"/>
      <c r="WSA165" s="558"/>
      <c r="WSB165" s="558"/>
      <c r="WSC165" s="558"/>
      <c r="WSD165" s="558"/>
      <c r="WSE165" s="558"/>
      <c r="WSF165" s="558"/>
      <c r="WSG165" s="558"/>
      <c r="WSH165" s="558"/>
      <c r="WSI165" s="558"/>
      <c r="WSJ165" s="558"/>
      <c r="WSK165" s="558"/>
      <c r="WSL165" s="558"/>
      <c r="WSM165" s="558"/>
      <c r="WSN165" s="558"/>
      <c r="WSO165" s="558"/>
      <c r="WSP165" s="558"/>
      <c r="WSQ165" s="558"/>
      <c r="WSR165" s="558"/>
      <c r="WSS165" s="558"/>
      <c r="WST165" s="558"/>
      <c r="WSU165" s="558"/>
      <c r="WSV165" s="558"/>
      <c r="WSW165" s="558"/>
      <c r="WSX165" s="558"/>
      <c r="WSY165" s="558"/>
      <c r="WSZ165" s="558"/>
      <c r="WTA165" s="558"/>
      <c r="WTB165" s="558"/>
      <c r="WTC165" s="558"/>
      <c r="WTD165" s="558"/>
      <c r="WTE165" s="558"/>
      <c r="WTF165" s="558"/>
      <c r="WTG165" s="558"/>
      <c r="WTH165" s="558"/>
      <c r="WTI165" s="558"/>
      <c r="WTJ165" s="558"/>
      <c r="WTK165" s="558"/>
      <c r="WTL165" s="558"/>
      <c r="WTM165" s="558"/>
      <c r="WTN165" s="558"/>
      <c r="WTO165" s="558"/>
      <c r="WTP165" s="558"/>
      <c r="WTQ165" s="558"/>
      <c r="WTR165" s="558"/>
      <c r="WTS165" s="558"/>
      <c r="WTT165" s="558"/>
      <c r="WTU165" s="558"/>
      <c r="WTV165" s="558"/>
      <c r="WTW165" s="558"/>
      <c r="WTX165" s="558"/>
      <c r="WTY165" s="558"/>
      <c r="WTZ165" s="558"/>
      <c r="WUA165" s="558"/>
      <c r="WUB165" s="558"/>
      <c r="WUC165" s="558"/>
      <c r="WUD165" s="558"/>
      <c r="WUE165" s="558"/>
      <c r="WUF165" s="558"/>
      <c r="WUG165" s="558"/>
      <c r="WUH165" s="558"/>
      <c r="WUI165" s="558"/>
      <c r="WUJ165" s="558"/>
      <c r="WUK165" s="558"/>
      <c r="WUL165" s="558"/>
      <c r="WUM165" s="558"/>
      <c r="WUN165" s="558"/>
      <c r="WUO165" s="558"/>
      <c r="WUP165" s="558"/>
      <c r="WUQ165" s="558"/>
      <c r="WUR165" s="558"/>
      <c r="WUS165" s="558"/>
      <c r="WUT165" s="558"/>
      <c r="WUU165" s="558"/>
      <c r="WUV165" s="558"/>
      <c r="WUW165" s="558"/>
      <c r="WUX165" s="558"/>
      <c r="WUY165" s="558"/>
      <c r="WUZ165" s="558"/>
      <c r="WVA165" s="558"/>
      <c r="WVB165" s="558"/>
      <c r="WVC165" s="558"/>
      <c r="WVD165" s="558"/>
      <c r="WVE165" s="558"/>
      <c r="WVF165" s="558"/>
      <c r="WVG165" s="558"/>
      <c r="WVH165" s="558"/>
      <c r="WVI165" s="558"/>
      <c r="WVJ165" s="558"/>
      <c r="WVK165" s="558"/>
      <c r="WVL165" s="558"/>
      <c r="WVM165" s="558"/>
      <c r="WVN165" s="558"/>
      <c r="WVO165" s="558"/>
      <c r="WVP165" s="558"/>
      <c r="WVQ165" s="558"/>
      <c r="WVR165" s="558"/>
      <c r="WVS165" s="558"/>
      <c r="WVT165" s="558"/>
      <c r="WVU165" s="558"/>
      <c r="WVV165" s="558"/>
      <c r="WVW165" s="558"/>
      <c r="WVX165" s="558"/>
      <c r="WVY165" s="558"/>
      <c r="WVZ165" s="558"/>
      <c r="WWA165" s="558"/>
      <c r="WWB165" s="558"/>
      <c r="WWC165" s="558"/>
      <c r="WWD165" s="558"/>
      <c r="WWE165" s="558"/>
      <c r="WWF165" s="558"/>
      <c r="WWG165" s="558"/>
      <c r="WWH165" s="558"/>
      <c r="WWI165" s="558"/>
      <c r="WWJ165" s="558"/>
      <c r="WWK165" s="558"/>
      <c r="WWL165" s="558"/>
      <c r="WWM165" s="558"/>
      <c r="WWN165" s="558"/>
      <c r="WWO165" s="558"/>
      <c r="WWP165" s="558"/>
      <c r="WWQ165" s="558"/>
      <c r="WWR165" s="558"/>
      <c r="WWS165" s="558"/>
      <c r="WWT165" s="558"/>
      <c r="WWU165" s="558"/>
      <c r="WWV165" s="558"/>
      <c r="WWW165" s="558"/>
      <c r="WWX165" s="558"/>
      <c r="WWY165" s="558"/>
      <c r="WWZ165" s="558"/>
      <c r="WXA165" s="558"/>
      <c r="WXB165" s="558"/>
      <c r="WXC165" s="558"/>
      <c r="WXD165" s="558"/>
      <c r="WXE165" s="558"/>
      <c r="WXF165" s="558"/>
      <c r="WXG165" s="558"/>
      <c r="WXH165" s="558"/>
      <c r="WXI165" s="558"/>
      <c r="WXJ165" s="558"/>
      <c r="WXK165" s="558"/>
      <c r="WXL165" s="558"/>
      <c r="WXM165" s="558"/>
      <c r="WXN165" s="558"/>
      <c r="WXO165" s="558"/>
      <c r="WXP165" s="558"/>
      <c r="WXQ165" s="558"/>
      <c r="WXR165" s="558"/>
      <c r="WXS165" s="558"/>
      <c r="WXT165" s="558"/>
      <c r="WXU165" s="558"/>
      <c r="WXV165" s="558"/>
      <c r="WXW165" s="558"/>
      <c r="WXX165" s="558"/>
      <c r="WXY165" s="558"/>
      <c r="WXZ165" s="558"/>
      <c r="WYA165" s="558"/>
      <c r="WYB165" s="558"/>
      <c r="WYC165" s="558"/>
      <c r="WYD165" s="558"/>
      <c r="WYE165" s="558"/>
      <c r="WYF165" s="558"/>
      <c r="WYG165" s="558"/>
      <c r="WYH165" s="558"/>
      <c r="WYI165" s="558"/>
      <c r="WYJ165" s="558"/>
      <c r="WYK165" s="558"/>
      <c r="WYL165" s="558"/>
      <c r="WYM165" s="558"/>
      <c r="WYN165" s="558"/>
      <c r="WYO165" s="558"/>
      <c r="WYP165" s="558"/>
      <c r="WYQ165" s="558"/>
      <c r="WYR165" s="558"/>
      <c r="WYS165" s="558"/>
      <c r="WYT165" s="558"/>
      <c r="WYU165" s="558"/>
      <c r="WYV165" s="558"/>
      <c r="WYW165" s="558"/>
      <c r="WYX165" s="558"/>
      <c r="WYY165" s="558"/>
      <c r="WYZ165" s="558"/>
      <c r="WZA165" s="558"/>
      <c r="WZB165" s="558"/>
      <c r="WZC165" s="558"/>
      <c r="WZD165" s="558"/>
      <c r="WZE165" s="558"/>
      <c r="WZF165" s="558"/>
      <c r="WZG165" s="558"/>
      <c r="WZH165" s="558"/>
      <c r="WZI165" s="558"/>
      <c r="WZJ165" s="558"/>
      <c r="WZK165" s="558"/>
      <c r="WZL165" s="558"/>
      <c r="WZM165" s="558"/>
      <c r="WZN165" s="558"/>
      <c r="WZO165" s="558"/>
      <c r="WZP165" s="558"/>
      <c r="WZQ165" s="558"/>
      <c r="WZR165" s="558"/>
      <c r="WZS165" s="558"/>
      <c r="WZT165" s="558"/>
      <c r="WZU165" s="558"/>
      <c r="WZV165" s="558"/>
      <c r="WZW165" s="558"/>
      <c r="WZX165" s="558"/>
      <c r="WZY165" s="558"/>
      <c r="WZZ165" s="558"/>
      <c r="XAA165" s="558"/>
      <c r="XAB165" s="558"/>
      <c r="XAC165" s="558"/>
      <c r="XAD165" s="558"/>
      <c r="XAE165" s="558"/>
      <c r="XAF165" s="558"/>
      <c r="XAG165" s="558"/>
      <c r="XAH165" s="558"/>
      <c r="XAI165" s="558"/>
      <c r="XAJ165" s="558"/>
      <c r="XAK165" s="558"/>
      <c r="XAL165" s="558"/>
      <c r="XAM165" s="558"/>
      <c r="XAN165" s="558"/>
      <c r="XAO165" s="558"/>
      <c r="XAP165" s="558"/>
      <c r="XAQ165" s="558"/>
      <c r="XAR165" s="558"/>
      <c r="XAS165" s="558"/>
      <c r="XAT165" s="558"/>
      <c r="XAU165" s="558"/>
      <c r="XAV165" s="558"/>
      <c r="XAW165" s="558"/>
      <c r="XAX165" s="558"/>
      <c r="XAY165" s="558"/>
      <c r="XAZ165" s="558"/>
      <c r="XBA165" s="558"/>
      <c r="XBB165" s="558"/>
      <c r="XBC165" s="558"/>
      <c r="XBD165" s="558"/>
      <c r="XBE165" s="558"/>
      <c r="XBF165" s="558"/>
      <c r="XBG165" s="558"/>
      <c r="XBH165" s="558"/>
      <c r="XBI165" s="558"/>
      <c r="XBJ165" s="558"/>
      <c r="XBK165" s="558"/>
      <c r="XBL165" s="558"/>
      <c r="XBM165" s="558"/>
      <c r="XBN165" s="558"/>
      <c r="XBO165" s="558"/>
      <c r="XBP165" s="558"/>
      <c r="XBQ165" s="558"/>
      <c r="XBR165" s="558"/>
      <c r="XBS165" s="558"/>
      <c r="XBT165" s="558"/>
      <c r="XBU165" s="558"/>
      <c r="XBV165" s="558"/>
      <c r="XBW165" s="558"/>
      <c r="XBX165" s="558"/>
      <c r="XBY165" s="558"/>
      <c r="XBZ165" s="558"/>
      <c r="XCA165" s="558"/>
      <c r="XCB165" s="558"/>
      <c r="XCC165" s="558"/>
      <c r="XCD165" s="558"/>
      <c r="XCE165" s="558"/>
      <c r="XCF165" s="558"/>
      <c r="XCG165" s="558"/>
      <c r="XCH165" s="558"/>
      <c r="XCI165" s="558"/>
      <c r="XCJ165" s="558"/>
      <c r="XCK165" s="558"/>
      <c r="XCL165" s="558"/>
      <c r="XCM165" s="558"/>
      <c r="XCN165" s="558"/>
      <c r="XCO165" s="558"/>
      <c r="XCP165" s="558"/>
      <c r="XCQ165" s="558"/>
      <c r="XCR165" s="558"/>
      <c r="XCS165" s="558"/>
      <c r="XCT165" s="558"/>
      <c r="XCU165" s="558"/>
      <c r="XCV165" s="558"/>
      <c r="XCW165" s="558"/>
      <c r="XCX165" s="558"/>
      <c r="XCY165" s="558"/>
      <c r="XCZ165" s="558"/>
      <c r="XDA165" s="558"/>
      <c r="XDB165" s="558"/>
      <c r="XDC165" s="558"/>
      <c r="XDD165" s="558"/>
      <c r="XDE165" s="558"/>
      <c r="XDF165" s="558"/>
      <c r="XDG165" s="558"/>
      <c r="XDH165" s="558"/>
      <c r="XDI165" s="558"/>
      <c r="XDJ165" s="558"/>
      <c r="XDK165" s="558"/>
      <c r="XDL165" s="558"/>
      <c r="XDM165" s="558"/>
      <c r="XDN165" s="558"/>
      <c r="XDO165" s="558"/>
      <c r="XDP165" s="558"/>
      <c r="XDQ165" s="558"/>
      <c r="XDR165" s="558"/>
      <c r="XDS165" s="558"/>
      <c r="XDT165" s="558"/>
      <c r="XDU165" s="558"/>
      <c r="XDV165" s="558"/>
      <c r="XDW165" s="558"/>
      <c r="XDX165" s="558"/>
      <c r="XDY165" s="558"/>
      <c r="XDZ165" s="558"/>
      <c r="XEA165" s="558"/>
      <c r="XEB165" s="558"/>
      <c r="XEC165" s="558"/>
      <c r="XED165" s="558"/>
      <c r="XEE165" s="558"/>
      <c r="XEF165" s="558"/>
      <c r="XEG165" s="558"/>
      <c r="XEH165" s="558"/>
      <c r="XEI165" s="558"/>
      <c r="XEJ165" s="558"/>
      <c r="XEK165" s="558"/>
      <c r="XEL165" s="558"/>
      <c r="XEM165" s="558"/>
      <c r="XEN165" s="558"/>
      <c r="XEO165" s="558"/>
      <c r="XEP165" s="558"/>
      <c r="XEQ165" s="558"/>
      <c r="XER165" s="558"/>
      <c r="XES165" s="558"/>
      <c r="XET165" s="558"/>
      <c r="XEU165" s="558"/>
      <c r="XEV165" s="558"/>
      <c r="XEW165" s="558"/>
      <c r="XEX165" s="558"/>
      <c r="XEY165" s="558"/>
      <c r="XEZ165" s="558"/>
      <c r="XFA165" s="558"/>
      <c r="XFB165" s="558"/>
      <c r="XFC165" s="558"/>
    </row>
    <row r="166" spans="1:16383" s="3073" customFormat="1">
      <c r="A166" s="3072" t="s">
        <v>2811</v>
      </c>
      <c r="B166" s="3072" t="s">
        <v>343</v>
      </c>
      <c r="C166" s="3072" t="s">
        <v>1763</v>
      </c>
      <c r="D166" s="3072">
        <v>33194.400000000001</v>
      </c>
      <c r="E166" s="3072">
        <v>107437</v>
      </c>
      <c r="F166" s="3072" t="s">
        <v>1766</v>
      </c>
      <c r="G166" s="3072" t="s">
        <v>1764</v>
      </c>
      <c r="H166" s="3072" t="s">
        <v>1765</v>
      </c>
      <c r="I166" s="3072" t="s">
        <v>2812</v>
      </c>
      <c r="J166" s="3072" t="s">
        <v>2812</v>
      </c>
      <c r="K166" s="3072">
        <v>571900</v>
      </c>
      <c r="L166" s="3072">
        <v>722000</v>
      </c>
      <c r="M166" s="3072">
        <v>67202.16</v>
      </c>
      <c r="N166" s="3072">
        <v>26.25</v>
      </c>
      <c r="O166" s="3072" t="s">
        <v>2813</v>
      </c>
      <c r="P166" s="3072" t="s">
        <v>1824</v>
      </c>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c r="AO166" s="558"/>
      <c r="AP166" s="558"/>
      <c r="AQ166" s="558"/>
      <c r="AR166" s="558"/>
      <c r="AS166" s="558"/>
      <c r="AT166" s="558"/>
      <c r="AU166" s="558"/>
      <c r="AV166" s="558"/>
      <c r="AW166" s="558"/>
      <c r="AX166" s="558"/>
      <c r="AY166" s="558"/>
      <c r="AZ166" s="558"/>
      <c r="BA166" s="558"/>
      <c r="BB166" s="558"/>
      <c r="BC166" s="558"/>
      <c r="BD166" s="558"/>
      <c r="BE166" s="558"/>
      <c r="BF166" s="558"/>
      <c r="BG166" s="558"/>
      <c r="BH166" s="558"/>
      <c r="BI166" s="558"/>
      <c r="BJ166" s="558"/>
      <c r="BK166" s="558"/>
      <c r="BL166" s="558"/>
      <c r="BM166" s="558"/>
      <c r="BN166" s="558"/>
      <c r="BO166" s="558"/>
      <c r="BP166" s="558"/>
      <c r="BQ166" s="558"/>
      <c r="BR166" s="558"/>
      <c r="BS166" s="558"/>
      <c r="BT166" s="558"/>
      <c r="BU166" s="558"/>
      <c r="BV166" s="558"/>
      <c r="BW166" s="558"/>
      <c r="BX166" s="558"/>
      <c r="BY166" s="558"/>
      <c r="BZ166" s="558"/>
      <c r="CA166" s="558"/>
      <c r="CB166" s="558"/>
      <c r="CC166" s="558"/>
      <c r="CD166" s="558"/>
      <c r="CE166" s="558"/>
      <c r="CF166" s="558"/>
      <c r="CG166" s="558"/>
      <c r="CH166" s="558"/>
      <c r="CI166" s="558"/>
      <c r="CJ166" s="558"/>
      <c r="CK166" s="558"/>
      <c r="CL166" s="558"/>
      <c r="CM166" s="558"/>
      <c r="CN166" s="558"/>
      <c r="CO166" s="558"/>
      <c r="CP166" s="558"/>
      <c r="CQ166" s="558"/>
      <c r="CR166" s="558"/>
      <c r="CS166" s="558"/>
      <c r="CT166" s="558"/>
      <c r="CU166" s="558"/>
      <c r="CV166" s="558"/>
      <c r="CW166" s="558"/>
      <c r="CX166" s="558"/>
      <c r="CY166" s="558"/>
      <c r="CZ166" s="558"/>
      <c r="DA166" s="558"/>
      <c r="DB166" s="558"/>
      <c r="DC166" s="558"/>
      <c r="DD166" s="558"/>
      <c r="DE166" s="558"/>
      <c r="DF166" s="558"/>
      <c r="DG166" s="558"/>
      <c r="DH166" s="558"/>
      <c r="DI166" s="558"/>
      <c r="DJ166" s="558"/>
      <c r="DK166" s="558"/>
      <c r="DL166" s="558"/>
      <c r="DM166" s="558"/>
      <c r="DN166" s="558"/>
      <c r="DO166" s="558"/>
      <c r="DP166" s="558"/>
      <c r="DQ166" s="558"/>
      <c r="DR166" s="558"/>
      <c r="DS166" s="558"/>
      <c r="DT166" s="558"/>
      <c r="DU166" s="558"/>
      <c r="DV166" s="558"/>
      <c r="DW166" s="558"/>
      <c r="DX166" s="558"/>
      <c r="DY166" s="558"/>
      <c r="DZ166" s="558"/>
      <c r="EA166" s="558"/>
      <c r="EB166" s="558"/>
      <c r="EC166" s="558"/>
      <c r="ED166" s="558"/>
      <c r="EE166" s="558"/>
      <c r="EF166" s="558"/>
      <c r="EG166" s="558"/>
      <c r="EH166" s="558"/>
      <c r="EI166" s="558"/>
      <c r="EJ166" s="558"/>
      <c r="EK166" s="558"/>
      <c r="EL166" s="558"/>
      <c r="EM166" s="558"/>
      <c r="EN166" s="558"/>
      <c r="EO166" s="558"/>
      <c r="EP166" s="558"/>
      <c r="EQ166" s="558"/>
      <c r="ER166" s="558"/>
      <c r="ES166" s="558"/>
      <c r="ET166" s="558"/>
      <c r="EU166" s="558"/>
      <c r="EV166" s="558"/>
      <c r="EW166" s="558"/>
      <c r="EX166" s="558"/>
      <c r="EY166" s="558"/>
      <c r="EZ166" s="558"/>
      <c r="FA166" s="558"/>
      <c r="FB166" s="558"/>
      <c r="FC166" s="558"/>
      <c r="FD166" s="558"/>
      <c r="FE166" s="558"/>
      <c r="FF166" s="558"/>
      <c r="FG166" s="558"/>
      <c r="FH166" s="558"/>
      <c r="FI166" s="558"/>
      <c r="FJ166" s="558"/>
      <c r="FK166" s="558"/>
      <c r="FL166" s="558"/>
      <c r="FM166" s="558"/>
      <c r="FN166" s="558"/>
      <c r="FO166" s="558"/>
      <c r="FP166" s="558"/>
      <c r="FQ166" s="558"/>
      <c r="FR166" s="558"/>
      <c r="FS166" s="558"/>
      <c r="FT166" s="558"/>
      <c r="FU166" s="558"/>
      <c r="FV166" s="558"/>
      <c r="FW166" s="558"/>
      <c r="FX166" s="558"/>
      <c r="FY166" s="558"/>
      <c r="FZ166" s="558"/>
      <c r="GA166" s="558"/>
      <c r="GB166" s="558"/>
      <c r="GC166" s="558"/>
      <c r="GD166" s="558"/>
      <c r="GE166" s="558"/>
      <c r="GF166" s="558"/>
      <c r="GG166" s="558"/>
      <c r="GH166" s="558"/>
      <c r="GI166" s="558"/>
      <c r="GJ166" s="558"/>
      <c r="GK166" s="558"/>
      <c r="GL166" s="558"/>
      <c r="GM166" s="558"/>
      <c r="GN166" s="558"/>
      <c r="GO166" s="558"/>
      <c r="GP166" s="558"/>
      <c r="GQ166" s="558"/>
      <c r="GR166" s="558"/>
      <c r="GS166" s="558"/>
      <c r="GT166" s="558"/>
      <c r="GU166" s="558"/>
      <c r="GV166" s="558"/>
      <c r="GW166" s="558"/>
      <c r="GX166" s="558"/>
      <c r="GY166" s="558"/>
      <c r="GZ166" s="558"/>
      <c r="HA166" s="558"/>
      <c r="HB166" s="558"/>
      <c r="HC166" s="558"/>
      <c r="HD166" s="558"/>
      <c r="HE166" s="558"/>
      <c r="HF166" s="558"/>
      <c r="HG166" s="558"/>
      <c r="HH166" s="558"/>
      <c r="HI166" s="558"/>
      <c r="HJ166" s="558"/>
      <c r="HK166" s="558"/>
      <c r="HL166" s="558"/>
      <c r="HM166" s="558"/>
      <c r="HN166" s="558"/>
      <c r="HO166" s="558"/>
      <c r="HP166" s="558"/>
      <c r="HQ166" s="558"/>
      <c r="HR166" s="558"/>
      <c r="HS166" s="558"/>
      <c r="HT166" s="558"/>
      <c r="HU166" s="558"/>
      <c r="HV166" s="558"/>
      <c r="HW166" s="558"/>
      <c r="HX166" s="558"/>
      <c r="HY166" s="558"/>
      <c r="HZ166" s="558"/>
      <c r="IA166" s="558"/>
      <c r="IB166" s="558"/>
      <c r="IC166" s="558"/>
      <c r="ID166" s="558"/>
      <c r="IE166" s="558"/>
      <c r="IF166" s="558"/>
      <c r="IG166" s="558"/>
      <c r="IH166" s="558"/>
      <c r="II166" s="558"/>
      <c r="IJ166" s="558"/>
      <c r="IK166" s="558"/>
      <c r="IL166" s="558"/>
      <c r="IM166" s="558"/>
      <c r="IN166" s="558"/>
      <c r="IO166" s="558"/>
      <c r="IP166" s="558"/>
      <c r="IQ166" s="558"/>
      <c r="IR166" s="558"/>
      <c r="IS166" s="558"/>
      <c r="IT166" s="558"/>
      <c r="IU166" s="558"/>
      <c r="IV166" s="558"/>
      <c r="IW166" s="558"/>
      <c r="IX166" s="558"/>
      <c r="IY166" s="558"/>
      <c r="IZ166" s="558"/>
      <c r="JA166" s="558"/>
      <c r="JB166" s="558"/>
      <c r="JC166" s="558"/>
      <c r="JD166" s="558"/>
      <c r="JE166" s="558"/>
      <c r="JF166" s="558"/>
      <c r="JG166" s="558"/>
      <c r="JH166" s="558"/>
      <c r="JI166" s="558"/>
      <c r="JJ166" s="558"/>
      <c r="JK166" s="558"/>
      <c r="JL166" s="558"/>
      <c r="JM166" s="558"/>
      <c r="JN166" s="558"/>
      <c r="JO166" s="558"/>
      <c r="JP166" s="558"/>
      <c r="JQ166" s="558"/>
      <c r="JR166" s="558"/>
      <c r="JS166" s="558"/>
      <c r="JT166" s="558"/>
      <c r="JU166" s="558"/>
      <c r="JV166" s="558"/>
      <c r="JW166" s="558"/>
      <c r="JX166" s="558"/>
      <c r="JY166" s="558"/>
      <c r="JZ166" s="558"/>
      <c r="KA166" s="558"/>
      <c r="KB166" s="558"/>
      <c r="KC166" s="558"/>
      <c r="KD166" s="558"/>
      <c r="KE166" s="558"/>
      <c r="KF166" s="558"/>
      <c r="KG166" s="558"/>
      <c r="KH166" s="558"/>
      <c r="KI166" s="558"/>
      <c r="KJ166" s="558"/>
      <c r="KK166" s="558"/>
      <c r="KL166" s="558"/>
      <c r="KM166" s="558"/>
      <c r="KN166" s="558"/>
      <c r="KO166" s="558"/>
      <c r="KP166" s="558"/>
      <c r="KQ166" s="558"/>
      <c r="KR166" s="558"/>
      <c r="KS166" s="558"/>
      <c r="KT166" s="558"/>
      <c r="KU166" s="558"/>
      <c r="KV166" s="558"/>
      <c r="KW166" s="558"/>
      <c r="KX166" s="558"/>
      <c r="KY166" s="558"/>
      <c r="KZ166" s="558"/>
      <c r="LA166" s="558"/>
      <c r="LB166" s="558"/>
      <c r="LC166" s="558"/>
      <c r="LD166" s="558"/>
      <c r="LE166" s="558"/>
      <c r="LF166" s="558"/>
      <c r="LG166" s="558"/>
      <c r="LH166" s="558"/>
      <c r="LI166" s="558"/>
      <c r="LJ166" s="558"/>
      <c r="LK166" s="558"/>
      <c r="LL166" s="558"/>
      <c r="LM166" s="558"/>
      <c r="LN166" s="558"/>
      <c r="LO166" s="558"/>
      <c r="LP166" s="558"/>
      <c r="LQ166" s="558"/>
      <c r="LR166" s="558"/>
      <c r="LS166" s="558"/>
      <c r="LT166" s="558"/>
      <c r="LU166" s="558"/>
      <c r="LV166" s="558"/>
      <c r="LW166" s="558"/>
      <c r="LX166" s="558"/>
      <c r="LY166" s="558"/>
      <c r="LZ166" s="558"/>
      <c r="MA166" s="558"/>
      <c r="MB166" s="558"/>
      <c r="MC166" s="558"/>
      <c r="MD166" s="558"/>
      <c r="ME166" s="558"/>
      <c r="MF166" s="558"/>
      <c r="MG166" s="558"/>
      <c r="MH166" s="558"/>
      <c r="MI166" s="558"/>
      <c r="MJ166" s="558"/>
      <c r="MK166" s="558"/>
      <c r="ML166" s="558"/>
      <c r="MM166" s="558"/>
      <c r="MN166" s="558"/>
      <c r="MO166" s="558"/>
      <c r="MP166" s="558"/>
      <c r="MQ166" s="558"/>
      <c r="MR166" s="558"/>
      <c r="MS166" s="558"/>
      <c r="MT166" s="558"/>
      <c r="MU166" s="558"/>
      <c r="MV166" s="558"/>
      <c r="MW166" s="558"/>
      <c r="MX166" s="558"/>
      <c r="MY166" s="558"/>
      <c r="MZ166" s="558"/>
      <c r="NA166" s="558"/>
      <c r="NB166" s="558"/>
      <c r="NC166" s="558"/>
      <c r="ND166" s="558"/>
      <c r="NE166" s="558"/>
      <c r="NF166" s="558"/>
      <c r="NG166" s="558"/>
      <c r="NH166" s="558"/>
      <c r="NI166" s="558"/>
      <c r="NJ166" s="558"/>
      <c r="NK166" s="558"/>
      <c r="NL166" s="558"/>
      <c r="NM166" s="558"/>
      <c r="NN166" s="558"/>
      <c r="NO166" s="558"/>
      <c r="NP166" s="558"/>
      <c r="NQ166" s="558"/>
      <c r="NR166" s="558"/>
      <c r="NS166" s="558"/>
      <c r="NT166" s="558"/>
      <c r="NU166" s="558"/>
      <c r="NV166" s="558"/>
      <c r="NW166" s="558"/>
      <c r="NX166" s="558"/>
      <c r="NY166" s="558"/>
      <c r="NZ166" s="558"/>
      <c r="OA166" s="558"/>
      <c r="OB166" s="558"/>
      <c r="OC166" s="558"/>
      <c r="OD166" s="558"/>
      <c r="OE166" s="558"/>
      <c r="OF166" s="558"/>
      <c r="OG166" s="558"/>
      <c r="OH166" s="558"/>
      <c r="OI166" s="558"/>
      <c r="OJ166" s="558"/>
      <c r="OK166" s="558"/>
      <c r="OL166" s="558"/>
      <c r="OM166" s="558"/>
      <c r="ON166" s="558"/>
      <c r="OO166" s="558"/>
      <c r="OP166" s="558"/>
      <c r="OQ166" s="558"/>
      <c r="OR166" s="558"/>
      <c r="OS166" s="558"/>
      <c r="OT166" s="558"/>
      <c r="OU166" s="558"/>
      <c r="OV166" s="558"/>
      <c r="OW166" s="558"/>
      <c r="OX166" s="558"/>
      <c r="OY166" s="558"/>
      <c r="OZ166" s="558"/>
      <c r="PA166" s="558"/>
      <c r="PB166" s="558"/>
      <c r="PC166" s="558"/>
      <c r="PD166" s="558"/>
      <c r="PE166" s="558"/>
      <c r="PF166" s="558"/>
      <c r="PG166" s="558"/>
      <c r="PH166" s="558"/>
      <c r="PI166" s="558"/>
      <c r="PJ166" s="558"/>
      <c r="PK166" s="558"/>
      <c r="PL166" s="558"/>
      <c r="PM166" s="558"/>
      <c r="PN166" s="558"/>
      <c r="PO166" s="558"/>
      <c r="PP166" s="558"/>
      <c r="PQ166" s="558"/>
      <c r="PR166" s="558"/>
      <c r="PS166" s="558"/>
      <c r="PT166" s="558"/>
      <c r="PU166" s="558"/>
      <c r="PV166" s="558"/>
      <c r="PW166" s="558"/>
      <c r="PX166" s="558"/>
      <c r="PY166" s="558"/>
      <c r="PZ166" s="558"/>
      <c r="QA166" s="558"/>
      <c r="QB166" s="558"/>
      <c r="QC166" s="558"/>
      <c r="QD166" s="558"/>
      <c r="QE166" s="558"/>
      <c r="QF166" s="558"/>
      <c r="QG166" s="558"/>
      <c r="QH166" s="558"/>
      <c r="QI166" s="558"/>
      <c r="QJ166" s="558"/>
      <c r="QK166" s="558"/>
      <c r="QL166" s="558"/>
      <c r="QM166" s="558"/>
      <c r="QN166" s="558"/>
      <c r="QO166" s="558"/>
      <c r="QP166" s="558"/>
      <c r="QQ166" s="558"/>
      <c r="QR166" s="558"/>
      <c r="QS166" s="558"/>
      <c r="QT166" s="558"/>
      <c r="QU166" s="558"/>
      <c r="QV166" s="558"/>
      <c r="QW166" s="558"/>
      <c r="QX166" s="558"/>
      <c r="QY166" s="558"/>
      <c r="QZ166" s="558"/>
      <c r="RA166" s="558"/>
      <c r="RB166" s="558"/>
      <c r="RC166" s="558"/>
      <c r="RD166" s="558"/>
      <c r="RE166" s="558"/>
      <c r="RF166" s="558"/>
      <c r="RG166" s="558"/>
      <c r="RH166" s="558"/>
      <c r="RI166" s="558"/>
      <c r="RJ166" s="558"/>
      <c r="RK166" s="558"/>
      <c r="RL166" s="558"/>
      <c r="RM166" s="558"/>
      <c r="RN166" s="558"/>
      <c r="RO166" s="558"/>
      <c r="RP166" s="558"/>
      <c r="RQ166" s="558"/>
      <c r="RR166" s="558"/>
      <c r="RS166" s="558"/>
      <c r="RT166" s="558"/>
      <c r="RU166" s="558"/>
      <c r="RV166" s="558"/>
      <c r="RW166" s="558"/>
      <c r="RX166" s="558"/>
      <c r="RY166" s="558"/>
      <c r="RZ166" s="558"/>
      <c r="SA166" s="558"/>
      <c r="SB166" s="558"/>
      <c r="SC166" s="558"/>
      <c r="SD166" s="558"/>
      <c r="SE166" s="558"/>
      <c r="SF166" s="558"/>
      <c r="SG166" s="558"/>
      <c r="SH166" s="558"/>
      <c r="SI166" s="558"/>
      <c r="SJ166" s="558"/>
      <c r="SK166" s="558"/>
      <c r="SL166" s="558"/>
      <c r="SM166" s="558"/>
      <c r="SN166" s="558"/>
      <c r="SO166" s="558"/>
      <c r="SP166" s="558"/>
      <c r="SQ166" s="558"/>
      <c r="SR166" s="558"/>
      <c r="SS166" s="558"/>
      <c r="ST166" s="558"/>
      <c r="SU166" s="558"/>
      <c r="SV166" s="558"/>
      <c r="SW166" s="558"/>
      <c r="SX166" s="558"/>
      <c r="SY166" s="558"/>
      <c r="SZ166" s="558"/>
      <c r="TA166" s="558"/>
      <c r="TB166" s="558"/>
      <c r="TC166" s="558"/>
      <c r="TD166" s="558"/>
      <c r="TE166" s="558"/>
      <c r="TF166" s="558"/>
      <c r="TG166" s="558"/>
      <c r="TH166" s="558"/>
      <c r="TI166" s="558"/>
      <c r="TJ166" s="558"/>
      <c r="TK166" s="558"/>
      <c r="TL166" s="558"/>
      <c r="TM166" s="558"/>
      <c r="TN166" s="558"/>
      <c r="TO166" s="558"/>
      <c r="TP166" s="558"/>
      <c r="TQ166" s="558"/>
      <c r="TR166" s="558"/>
      <c r="TS166" s="558"/>
      <c r="TT166" s="558"/>
      <c r="TU166" s="558"/>
      <c r="TV166" s="558"/>
      <c r="TW166" s="558"/>
      <c r="TX166" s="558"/>
      <c r="TY166" s="558"/>
      <c r="TZ166" s="558"/>
      <c r="UA166" s="558"/>
      <c r="UB166" s="558"/>
      <c r="UC166" s="558"/>
      <c r="UD166" s="558"/>
      <c r="UE166" s="558"/>
      <c r="UF166" s="558"/>
      <c r="UG166" s="558"/>
      <c r="UH166" s="558"/>
      <c r="UI166" s="558"/>
      <c r="UJ166" s="558"/>
      <c r="UK166" s="558"/>
      <c r="UL166" s="558"/>
      <c r="UM166" s="558"/>
      <c r="UN166" s="558"/>
      <c r="UO166" s="558"/>
      <c r="UP166" s="558"/>
      <c r="UQ166" s="558"/>
      <c r="UR166" s="558"/>
      <c r="US166" s="558"/>
      <c r="UT166" s="558"/>
      <c r="UU166" s="558"/>
      <c r="UV166" s="558"/>
      <c r="UW166" s="558"/>
      <c r="UX166" s="558"/>
      <c r="UY166" s="558"/>
      <c r="UZ166" s="558"/>
      <c r="VA166" s="558"/>
      <c r="VB166" s="558"/>
      <c r="VC166" s="558"/>
      <c r="VD166" s="558"/>
      <c r="VE166" s="558"/>
      <c r="VF166" s="558"/>
      <c r="VG166" s="558"/>
      <c r="VH166" s="558"/>
      <c r="VI166" s="558"/>
      <c r="VJ166" s="558"/>
      <c r="VK166" s="558"/>
      <c r="VL166" s="558"/>
      <c r="VM166" s="558"/>
      <c r="VN166" s="558"/>
      <c r="VO166" s="558"/>
      <c r="VP166" s="558"/>
      <c r="VQ166" s="558"/>
      <c r="VR166" s="558"/>
      <c r="VS166" s="558"/>
      <c r="VT166" s="558"/>
      <c r="VU166" s="558"/>
      <c r="VV166" s="558"/>
      <c r="VW166" s="558"/>
      <c r="VX166" s="558"/>
      <c r="VY166" s="558"/>
      <c r="VZ166" s="558"/>
      <c r="WA166" s="558"/>
      <c r="WB166" s="558"/>
      <c r="WC166" s="558"/>
      <c r="WD166" s="558"/>
      <c r="WE166" s="558"/>
      <c r="WF166" s="558"/>
      <c r="WG166" s="558"/>
      <c r="WH166" s="558"/>
      <c r="WI166" s="558"/>
      <c r="WJ166" s="558"/>
      <c r="WK166" s="558"/>
      <c r="WL166" s="558"/>
      <c r="WM166" s="558"/>
      <c r="WN166" s="558"/>
      <c r="WO166" s="558"/>
      <c r="WP166" s="558"/>
      <c r="WQ166" s="558"/>
      <c r="WR166" s="558"/>
      <c r="WS166" s="558"/>
      <c r="WT166" s="558"/>
      <c r="WU166" s="558"/>
      <c r="WV166" s="558"/>
      <c r="WW166" s="558"/>
      <c r="WX166" s="558"/>
      <c r="WY166" s="558"/>
      <c r="WZ166" s="558"/>
      <c r="XA166" s="558"/>
      <c r="XB166" s="558"/>
      <c r="XC166" s="558"/>
      <c r="XD166" s="558"/>
      <c r="XE166" s="558"/>
      <c r="XF166" s="558"/>
      <c r="XG166" s="558"/>
      <c r="XH166" s="558"/>
      <c r="XI166" s="558"/>
      <c r="XJ166" s="558"/>
      <c r="XK166" s="558"/>
      <c r="XL166" s="558"/>
      <c r="XM166" s="558"/>
      <c r="XN166" s="558"/>
      <c r="XO166" s="558"/>
      <c r="XP166" s="558"/>
      <c r="XQ166" s="558"/>
      <c r="XR166" s="558"/>
      <c r="XS166" s="558"/>
      <c r="XT166" s="558"/>
      <c r="XU166" s="558"/>
      <c r="XV166" s="558"/>
      <c r="XW166" s="558"/>
      <c r="XX166" s="558"/>
      <c r="XY166" s="558"/>
      <c r="XZ166" s="558"/>
      <c r="YA166" s="558"/>
      <c r="YB166" s="558"/>
      <c r="YC166" s="558"/>
      <c r="YD166" s="558"/>
      <c r="YE166" s="558"/>
      <c r="YF166" s="558"/>
      <c r="YG166" s="558"/>
      <c r="YH166" s="558"/>
      <c r="YI166" s="558"/>
      <c r="YJ166" s="558"/>
      <c r="YK166" s="558"/>
      <c r="YL166" s="558"/>
      <c r="YM166" s="558"/>
      <c r="YN166" s="558"/>
      <c r="YO166" s="558"/>
      <c r="YP166" s="558"/>
      <c r="YQ166" s="558"/>
      <c r="YR166" s="558"/>
      <c r="YS166" s="558"/>
      <c r="YT166" s="558"/>
      <c r="YU166" s="558"/>
      <c r="YV166" s="558"/>
      <c r="YW166" s="558"/>
      <c r="YX166" s="558"/>
      <c r="YY166" s="558"/>
      <c r="YZ166" s="558"/>
      <c r="ZA166" s="558"/>
      <c r="ZB166" s="558"/>
      <c r="ZC166" s="558"/>
      <c r="ZD166" s="558"/>
      <c r="ZE166" s="558"/>
      <c r="ZF166" s="558"/>
      <c r="ZG166" s="558"/>
      <c r="ZH166" s="558"/>
      <c r="ZI166" s="558"/>
      <c r="ZJ166" s="558"/>
      <c r="ZK166" s="558"/>
      <c r="ZL166" s="558"/>
      <c r="ZM166" s="558"/>
      <c r="ZN166" s="558"/>
      <c r="ZO166" s="558"/>
      <c r="ZP166" s="558"/>
      <c r="ZQ166" s="558"/>
      <c r="ZR166" s="558"/>
      <c r="ZS166" s="558"/>
      <c r="ZT166" s="558"/>
      <c r="ZU166" s="558"/>
      <c r="ZV166" s="558"/>
      <c r="ZW166" s="558"/>
      <c r="ZX166" s="558"/>
      <c r="ZY166" s="558"/>
      <c r="ZZ166" s="558"/>
      <c r="AAA166" s="558"/>
      <c r="AAB166" s="558"/>
      <c r="AAC166" s="558"/>
      <c r="AAD166" s="558"/>
      <c r="AAE166" s="558"/>
      <c r="AAF166" s="558"/>
      <c r="AAG166" s="558"/>
      <c r="AAH166" s="558"/>
      <c r="AAI166" s="558"/>
      <c r="AAJ166" s="558"/>
      <c r="AAK166" s="558"/>
      <c r="AAL166" s="558"/>
      <c r="AAM166" s="558"/>
      <c r="AAN166" s="558"/>
      <c r="AAO166" s="558"/>
      <c r="AAP166" s="558"/>
      <c r="AAQ166" s="558"/>
      <c r="AAR166" s="558"/>
      <c r="AAS166" s="558"/>
      <c r="AAT166" s="558"/>
      <c r="AAU166" s="558"/>
      <c r="AAV166" s="558"/>
      <c r="AAW166" s="558"/>
      <c r="AAX166" s="558"/>
      <c r="AAY166" s="558"/>
      <c r="AAZ166" s="558"/>
      <c r="ABA166" s="558"/>
      <c r="ABB166" s="558"/>
      <c r="ABC166" s="558"/>
      <c r="ABD166" s="558"/>
      <c r="ABE166" s="558"/>
      <c r="ABF166" s="558"/>
      <c r="ABG166" s="558"/>
      <c r="ABH166" s="558"/>
      <c r="ABI166" s="558"/>
      <c r="ABJ166" s="558"/>
      <c r="ABK166" s="558"/>
      <c r="ABL166" s="558"/>
      <c r="ABM166" s="558"/>
      <c r="ABN166" s="558"/>
      <c r="ABO166" s="558"/>
      <c r="ABP166" s="558"/>
      <c r="ABQ166" s="558"/>
      <c r="ABR166" s="558"/>
      <c r="ABS166" s="558"/>
      <c r="ABT166" s="558"/>
      <c r="ABU166" s="558"/>
      <c r="ABV166" s="558"/>
      <c r="ABW166" s="558"/>
      <c r="ABX166" s="558"/>
      <c r="ABY166" s="558"/>
      <c r="ABZ166" s="558"/>
      <c r="ACA166" s="558"/>
      <c r="ACB166" s="558"/>
      <c r="ACC166" s="558"/>
      <c r="ACD166" s="558"/>
      <c r="ACE166" s="558"/>
      <c r="ACF166" s="558"/>
      <c r="ACG166" s="558"/>
      <c r="ACH166" s="558"/>
      <c r="ACI166" s="558"/>
      <c r="ACJ166" s="558"/>
      <c r="ACK166" s="558"/>
      <c r="ACL166" s="558"/>
      <c r="ACM166" s="558"/>
      <c r="ACN166" s="558"/>
      <c r="ACO166" s="558"/>
      <c r="ACP166" s="558"/>
      <c r="ACQ166" s="558"/>
      <c r="ACR166" s="558"/>
      <c r="ACS166" s="558"/>
      <c r="ACT166" s="558"/>
      <c r="ACU166" s="558"/>
      <c r="ACV166" s="558"/>
      <c r="ACW166" s="558"/>
      <c r="ACX166" s="558"/>
      <c r="ACY166" s="558"/>
      <c r="ACZ166" s="558"/>
      <c r="ADA166" s="558"/>
      <c r="ADB166" s="558"/>
      <c r="ADC166" s="558"/>
      <c r="ADD166" s="558"/>
      <c r="ADE166" s="558"/>
      <c r="ADF166" s="558"/>
      <c r="ADG166" s="558"/>
      <c r="ADH166" s="558"/>
      <c r="ADI166" s="558"/>
      <c r="ADJ166" s="558"/>
      <c r="ADK166" s="558"/>
      <c r="ADL166" s="558"/>
      <c r="ADM166" s="558"/>
      <c r="ADN166" s="558"/>
      <c r="ADO166" s="558"/>
      <c r="ADP166" s="558"/>
      <c r="ADQ166" s="558"/>
      <c r="ADR166" s="558"/>
      <c r="ADS166" s="558"/>
      <c r="ADT166" s="558"/>
      <c r="ADU166" s="558"/>
      <c r="ADV166" s="558"/>
      <c r="ADW166" s="558"/>
      <c r="ADX166" s="558"/>
      <c r="ADY166" s="558"/>
      <c r="ADZ166" s="558"/>
      <c r="AEA166" s="558"/>
      <c r="AEB166" s="558"/>
      <c r="AEC166" s="558"/>
      <c r="AED166" s="558"/>
      <c r="AEE166" s="558"/>
      <c r="AEF166" s="558"/>
      <c r="AEG166" s="558"/>
      <c r="AEH166" s="558"/>
      <c r="AEI166" s="558"/>
      <c r="AEJ166" s="558"/>
      <c r="AEK166" s="558"/>
      <c r="AEL166" s="558"/>
      <c r="AEM166" s="558"/>
      <c r="AEN166" s="558"/>
      <c r="AEO166" s="558"/>
      <c r="AEP166" s="558"/>
      <c r="AEQ166" s="558"/>
      <c r="AER166" s="558"/>
      <c r="AES166" s="558"/>
      <c r="AET166" s="558"/>
      <c r="AEU166" s="558"/>
      <c r="AEV166" s="558"/>
      <c r="AEW166" s="558"/>
      <c r="AEX166" s="558"/>
      <c r="AEY166" s="558"/>
      <c r="AEZ166" s="558"/>
      <c r="AFA166" s="558"/>
      <c r="AFB166" s="558"/>
      <c r="AFC166" s="558"/>
      <c r="AFD166" s="558"/>
      <c r="AFE166" s="558"/>
      <c r="AFF166" s="558"/>
      <c r="AFG166" s="558"/>
      <c r="AFH166" s="558"/>
      <c r="AFI166" s="558"/>
      <c r="AFJ166" s="558"/>
      <c r="AFK166" s="558"/>
      <c r="AFL166" s="558"/>
      <c r="AFM166" s="558"/>
      <c r="AFN166" s="558"/>
      <c r="AFO166" s="558"/>
      <c r="AFP166" s="558"/>
      <c r="AFQ166" s="558"/>
      <c r="AFR166" s="558"/>
      <c r="AFS166" s="558"/>
      <c r="AFT166" s="558"/>
      <c r="AFU166" s="558"/>
      <c r="AFV166" s="558"/>
      <c r="AFW166" s="558"/>
      <c r="AFX166" s="558"/>
      <c r="AFY166" s="558"/>
      <c r="AFZ166" s="558"/>
      <c r="AGA166" s="558"/>
      <c r="AGB166" s="558"/>
      <c r="AGC166" s="558"/>
      <c r="AGD166" s="558"/>
      <c r="AGE166" s="558"/>
      <c r="AGF166" s="558"/>
      <c r="AGG166" s="558"/>
      <c r="AGH166" s="558"/>
      <c r="AGI166" s="558"/>
      <c r="AGJ166" s="558"/>
      <c r="AGK166" s="558"/>
      <c r="AGL166" s="558"/>
      <c r="AGM166" s="558"/>
      <c r="AGN166" s="558"/>
      <c r="AGO166" s="558"/>
      <c r="AGP166" s="558"/>
      <c r="AGQ166" s="558"/>
      <c r="AGR166" s="558"/>
      <c r="AGS166" s="558"/>
      <c r="AGT166" s="558"/>
      <c r="AGU166" s="558"/>
      <c r="AGV166" s="558"/>
      <c r="AGW166" s="558"/>
      <c r="AGX166" s="558"/>
      <c r="AGY166" s="558"/>
      <c r="AGZ166" s="558"/>
      <c r="AHA166" s="558"/>
      <c r="AHB166" s="558"/>
      <c r="AHC166" s="558"/>
      <c r="AHD166" s="558"/>
      <c r="AHE166" s="558"/>
      <c r="AHF166" s="558"/>
      <c r="AHG166" s="558"/>
      <c r="AHH166" s="558"/>
      <c r="AHI166" s="558"/>
      <c r="AHJ166" s="558"/>
      <c r="AHK166" s="558"/>
      <c r="AHL166" s="558"/>
      <c r="AHM166" s="558"/>
      <c r="AHN166" s="558"/>
      <c r="AHO166" s="558"/>
      <c r="AHP166" s="558"/>
      <c r="AHQ166" s="558"/>
      <c r="AHR166" s="558"/>
      <c r="AHS166" s="558"/>
      <c r="AHT166" s="558"/>
      <c r="AHU166" s="558"/>
      <c r="AHV166" s="558"/>
      <c r="AHW166" s="558"/>
      <c r="AHX166" s="558"/>
      <c r="AHY166" s="558"/>
      <c r="AHZ166" s="558"/>
      <c r="AIA166" s="558"/>
      <c r="AIB166" s="558"/>
      <c r="AIC166" s="558"/>
      <c r="AID166" s="558"/>
      <c r="AIE166" s="558"/>
      <c r="AIF166" s="558"/>
      <c r="AIG166" s="558"/>
      <c r="AIH166" s="558"/>
      <c r="AII166" s="558"/>
      <c r="AIJ166" s="558"/>
      <c r="AIK166" s="558"/>
      <c r="AIL166" s="558"/>
      <c r="AIM166" s="558"/>
      <c r="AIN166" s="558"/>
      <c r="AIO166" s="558"/>
      <c r="AIP166" s="558"/>
      <c r="AIQ166" s="558"/>
      <c r="AIR166" s="558"/>
      <c r="AIS166" s="558"/>
      <c r="AIT166" s="558"/>
      <c r="AIU166" s="558"/>
      <c r="AIV166" s="558"/>
      <c r="AIW166" s="558"/>
      <c r="AIX166" s="558"/>
      <c r="AIY166" s="558"/>
      <c r="AIZ166" s="558"/>
      <c r="AJA166" s="558"/>
      <c r="AJB166" s="558"/>
      <c r="AJC166" s="558"/>
      <c r="AJD166" s="558"/>
      <c r="AJE166" s="558"/>
      <c r="AJF166" s="558"/>
      <c r="AJG166" s="558"/>
      <c r="AJH166" s="558"/>
      <c r="AJI166" s="558"/>
      <c r="AJJ166" s="558"/>
      <c r="AJK166" s="558"/>
      <c r="AJL166" s="558"/>
      <c r="AJM166" s="558"/>
      <c r="AJN166" s="558"/>
      <c r="AJO166" s="558"/>
      <c r="AJP166" s="558"/>
      <c r="AJQ166" s="558"/>
      <c r="AJR166" s="558"/>
      <c r="AJS166" s="558"/>
      <c r="AJT166" s="558"/>
      <c r="AJU166" s="558"/>
      <c r="AJV166" s="558"/>
      <c r="AJW166" s="558"/>
      <c r="AJX166" s="558"/>
      <c r="AJY166" s="558"/>
      <c r="AJZ166" s="558"/>
      <c r="AKA166" s="558"/>
      <c r="AKB166" s="558"/>
      <c r="AKC166" s="558"/>
      <c r="AKD166" s="558"/>
      <c r="AKE166" s="558"/>
      <c r="AKF166" s="558"/>
      <c r="AKG166" s="558"/>
      <c r="AKH166" s="558"/>
      <c r="AKI166" s="558"/>
      <c r="AKJ166" s="558"/>
      <c r="AKK166" s="558"/>
      <c r="AKL166" s="558"/>
      <c r="AKM166" s="558"/>
      <c r="AKN166" s="558"/>
      <c r="AKO166" s="558"/>
      <c r="AKP166" s="558"/>
      <c r="AKQ166" s="558"/>
      <c r="AKR166" s="558"/>
      <c r="AKS166" s="558"/>
      <c r="AKT166" s="558"/>
      <c r="AKU166" s="558"/>
      <c r="AKV166" s="558"/>
      <c r="AKW166" s="558"/>
      <c r="AKX166" s="558"/>
      <c r="AKY166" s="558"/>
      <c r="AKZ166" s="558"/>
      <c r="ALA166" s="558"/>
      <c r="ALB166" s="558"/>
      <c r="ALC166" s="558"/>
      <c r="ALD166" s="558"/>
      <c r="ALE166" s="558"/>
      <c r="ALF166" s="558"/>
      <c r="ALG166" s="558"/>
      <c r="ALH166" s="558"/>
      <c r="ALI166" s="558"/>
      <c r="ALJ166" s="558"/>
      <c r="ALK166" s="558"/>
      <c r="ALL166" s="558"/>
      <c r="ALM166" s="558"/>
      <c r="ALN166" s="558"/>
      <c r="ALO166" s="558"/>
      <c r="ALP166" s="558"/>
      <c r="ALQ166" s="558"/>
      <c r="ALR166" s="558"/>
      <c r="ALS166" s="558"/>
      <c r="ALT166" s="558"/>
      <c r="ALU166" s="558"/>
      <c r="ALV166" s="558"/>
      <c r="ALW166" s="558"/>
      <c r="ALX166" s="558"/>
      <c r="ALY166" s="558"/>
      <c r="ALZ166" s="558"/>
      <c r="AMA166" s="558"/>
      <c r="AMB166" s="558"/>
      <c r="AMC166" s="558"/>
      <c r="AMD166" s="558"/>
      <c r="AME166" s="558"/>
      <c r="AMF166" s="558"/>
      <c r="AMG166" s="558"/>
      <c r="AMH166" s="558"/>
      <c r="AMI166" s="558"/>
      <c r="AMJ166" s="558"/>
      <c r="AMK166" s="558"/>
      <c r="AML166" s="558"/>
      <c r="AMM166" s="558"/>
      <c r="AMN166" s="558"/>
      <c r="AMO166" s="558"/>
      <c r="AMP166" s="558"/>
      <c r="AMQ166" s="558"/>
      <c r="AMR166" s="558"/>
      <c r="AMS166" s="558"/>
      <c r="AMT166" s="558"/>
      <c r="AMU166" s="558"/>
      <c r="AMV166" s="558"/>
      <c r="AMW166" s="558"/>
      <c r="AMX166" s="558"/>
      <c r="AMY166" s="558"/>
      <c r="AMZ166" s="558"/>
      <c r="ANA166" s="558"/>
      <c r="ANB166" s="558"/>
      <c r="ANC166" s="558"/>
      <c r="AND166" s="558"/>
      <c r="ANE166" s="558"/>
      <c r="ANF166" s="558"/>
      <c r="ANG166" s="558"/>
      <c r="ANH166" s="558"/>
      <c r="ANI166" s="558"/>
      <c r="ANJ166" s="558"/>
      <c r="ANK166" s="558"/>
      <c r="ANL166" s="558"/>
      <c r="ANM166" s="558"/>
      <c r="ANN166" s="558"/>
      <c r="ANO166" s="558"/>
      <c r="ANP166" s="558"/>
      <c r="ANQ166" s="558"/>
      <c r="ANR166" s="558"/>
      <c r="ANS166" s="558"/>
      <c r="ANT166" s="558"/>
      <c r="ANU166" s="558"/>
      <c r="ANV166" s="558"/>
      <c r="ANW166" s="558"/>
      <c r="ANX166" s="558"/>
      <c r="ANY166" s="558"/>
      <c r="ANZ166" s="558"/>
      <c r="AOA166" s="558"/>
      <c r="AOB166" s="558"/>
      <c r="AOC166" s="558"/>
      <c r="AOD166" s="558"/>
      <c r="AOE166" s="558"/>
      <c r="AOF166" s="558"/>
      <c r="AOG166" s="558"/>
      <c r="AOH166" s="558"/>
      <c r="AOI166" s="558"/>
      <c r="AOJ166" s="558"/>
      <c r="AOK166" s="558"/>
      <c r="AOL166" s="558"/>
      <c r="AOM166" s="558"/>
      <c r="AON166" s="558"/>
      <c r="AOO166" s="558"/>
      <c r="AOP166" s="558"/>
      <c r="AOQ166" s="558"/>
      <c r="AOR166" s="558"/>
      <c r="AOS166" s="558"/>
      <c r="AOT166" s="558"/>
      <c r="AOU166" s="558"/>
      <c r="AOV166" s="558"/>
      <c r="AOW166" s="558"/>
      <c r="AOX166" s="558"/>
      <c r="AOY166" s="558"/>
      <c r="AOZ166" s="558"/>
      <c r="APA166" s="558"/>
      <c r="APB166" s="558"/>
      <c r="APC166" s="558"/>
      <c r="APD166" s="558"/>
      <c r="APE166" s="558"/>
      <c r="APF166" s="558"/>
      <c r="APG166" s="558"/>
      <c r="APH166" s="558"/>
      <c r="API166" s="558"/>
      <c r="APJ166" s="558"/>
      <c r="APK166" s="558"/>
      <c r="APL166" s="558"/>
      <c r="APM166" s="558"/>
      <c r="APN166" s="558"/>
      <c r="APO166" s="558"/>
      <c r="APP166" s="558"/>
      <c r="APQ166" s="558"/>
      <c r="APR166" s="558"/>
      <c r="APS166" s="558"/>
      <c r="APT166" s="558"/>
      <c r="APU166" s="558"/>
      <c r="APV166" s="558"/>
      <c r="APW166" s="558"/>
      <c r="APX166" s="558"/>
      <c r="APY166" s="558"/>
      <c r="APZ166" s="558"/>
      <c r="AQA166" s="558"/>
      <c r="AQB166" s="558"/>
      <c r="AQC166" s="558"/>
      <c r="AQD166" s="558"/>
      <c r="AQE166" s="558"/>
      <c r="AQF166" s="558"/>
      <c r="AQG166" s="558"/>
      <c r="AQH166" s="558"/>
      <c r="AQI166" s="558"/>
      <c r="AQJ166" s="558"/>
      <c r="AQK166" s="558"/>
      <c r="AQL166" s="558"/>
      <c r="AQM166" s="558"/>
      <c r="AQN166" s="558"/>
      <c r="AQO166" s="558"/>
      <c r="AQP166" s="558"/>
      <c r="AQQ166" s="558"/>
      <c r="AQR166" s="558"/>
      <c r="AQS166" s="558"/>
      <c r="AQT166" s="558"/>
      <c r="AQU166" s="558"/>
      <c r="AQV166" s="558"/>
      <c r="AQW166" s="558"/>
      <c r="AQX166" s="558"/>
      <c r="AQY166" s="558"/>
      <c r="AQZ166" s="558"/>
      <c r="ARA166" s="558"/>
      <c r="ARB166" s="558"/>
      <c r="ARC166" s="558"/>
      <c r="ARD166" s="558"/>
      <c r="ARE166" s="558"/>
      <c r="ARF166" s="558"/>
      <c r="ARG166" s="558"/>
      <c r="ARH166" s="558"/>
      <c r="ARI166" s="558"/>
      <c r="ARJ166" s="558"/>
      <c r="ARK166" s="558"/>
      <c r="ARL166" s="558"/>
      <c r="ARM166" s="558"/>
      <c r="ARN166" s="558"/>
      <c r="ARO166" s="558"/>
      <c r="ARP166" s="558"/>
      <c r="ARQ166" s="558"/>
      <c r="ARR166" s="558"/>
      <c r="ARS166" s="558"/>
      <c r="ART166" s="558"/>
      <c r="ARU166" s="558"/>
      <c r="ARV166" s="558"/>
      <c r="ARW166" s="558"/>
      <c r="ARX166" s="558"/>
      <c r="ARY166" s="558"/>
      <c r="ARZ166" s="558"/>
      <c r="ASA166" s="558"/>
      <c r="ASB166" s="558"/>
      <c r="ASC166" s="558"/>
      <c r="ASD166" s="558"/>
      <c r="ASE166" s="558"/>
      <c r="ASF166" s="558"/>
      <c r="ASG166" s="558"/>
      <c r="ASH166" s="558"/>
      <c r="ASI166" s="558"/>
      <c r="ASJ166" s="558"/>
      <c r="ASK166" s="558"/>
      <c r="ASL166" s="558"/>
      <c r="ASM166" s="558"/>
      <c r="ASN166" s="558"/>
      <c r="ASO166" s="558"/>
      <c r="ASP166" s="558"/>
      <c r="ASQ166" s="558"/>
      <c r="ASR166" s="558"/>
      <c r="ASS166" s="558"/>
      <c r="AST166" s="558"/>
      <c r="ASU166" s="558"/>
      <c r="ASV166" s="558"/>
      <c r="ASW166" s="558"/>
      <c r="ASX166" s="558"/>
      <c r="ASY166" s="558"/>
      <c r="ASZ166" s="558"/>
      <c r="ATA166" s="558"/>
      <c r="ATB166" s="558"/>
      <c r="ATC166" s="558"/>
      <c r="ATD166" s="558"/>
      <c r="ATE166" s="558"/>
      <c r="ATF166" s="558"/>
      <c r="ATG166" s="558"/>
      <c r="ATH166" s="558"/>
      <c r="ATI166" s="558"/>
      <c r="ATJ166" s="558"/>
      <c r="ATK166" s="558"/>
      <c r="ATL166" s="558"/>
      <c r="ATM166" s="558"/>
      <c r="ATN166" s="558"/>
      <c r="ATO166" s="558"/>
      <c r="ATP166" s="558"/>
      <c r="ATQ166" s="558"/>
      <c r="ATR166" s="558"/>
      <c r="ATS166" s="558"/>
      <c r="ATT166" s="558"/>
      <c r="ATU166" s="558"/>
      <c r="ATV166" s="558"/>
      <c r="ATW166" s="558"/>
      <c r="ATX166" s="558"/>
      <c r="ATY166" s="558"/>
      <c r="ATZ166" s="558"/>
      <c r="AUA166" s="558"/>
      <c r="AUB166" s="558"/>
      <c r="AUC166" s="558"/>
      <c r="AUD166" s="558"/>
      <c r="AUE166" s="558"/>
      <c r="AUF166" s="558"/>
      <c r="AUG166" s="558"/>
      <c r="AUH166" s="558"/>
      <c r="AUI166" s="558"/>
      <c r="AUJ166" s="558"/>
      <c r="AUK166" s="558"/>
      <c r="AUL166" s="558"/>
      <c r="AUM166" s="558"/>
      <c r="AUN166" s="558"/>
      <c r="AUO166" s="558"/>
      <c r="AUP166" s="558"/>
      <c r="AUQ166" s="558"/>
      <c r="AUR166" s="558"/>
      <c r="AUS166" s="558"/>
      <c r="AUT166" s="558"/>
      <c r="AUU166" s="558"/>
      <c r="AUV166" s="558"/>
      <c r="AUW166" s="558"/>
      <c r="AUX166" s="558"/>
      <c r="AUY166" s="558"/>
      <c r="AUZ166" s="558"/>
      <c r="AVA166" s="558"/>
      <c r="AVB166" s="558"/>
      <c r="AVC166" s="558"/>
      <c r="AVD166" s="558"/>
      <c r="AVE166" s="558"/>
      <c r="AVF166" s="558"/>
      <c r="AVG166" s="558"/>
      <c r="AVH166" s="558"/>
      <c r="AVI166" s="558"/>
      <c r="AVJ166" s="558"/>
      <c r="AVK166" s="558"/>
      <c r="AVL166" s="558"/>
      <c r="AVM166" s="558"/>
      <c r="AVN166" s="558"/>
      <c r="AVO166" s="558"/>
      <c r="AVP166" s="558"/>
      <c r="AVQ166" s="558"/>
      <c r="AVR166" s="558"/>
      <c r="AVS166" s="558"/>
      <c r="AVT166" s="558"/>
      <c r="AVU166" s="558"/>
      <c r="AVV166" s="558"/>
      <c r="AVW166" s="558"/>
      <c r="AVX166" s="558"/>
      <c r="AVY166" s="558"/>
      <c r="AVZ166" s="558"/>
      <c r="AWA166" s="558"/>
      <c r="AWB166" s="558"/>
      <c r="AWC166" s="558"/>
      <c r="AWD166" s="558"/>
      <c r="AWE166" s="558"/>
      <c r="AWF166" s="558"/>
      <c r="AWG166" s="558"/>
      <c r="AWH166" s="558"/>
      <c r="AWI166" s="558"/>
      <c r="AWJ166" s="558"/>
      <c r="AWK166" s="558"/>
      <c r="AWL166" s="558"/>
      <c r="AWM166" s="558"/>
      <c r="AWN166" s="558"/>
      <c r="AWO166" s="558"/>
      <c r="AWP166" s="558"/>
      <c r="AWQ166" s="558"/>
      <c r="AWR166" s="558"/>
      <c r="AWS166" s="558"/>
      <c r="AWT166" s="558"/>
      <c r="AWU166" s="558"/>
      <c r="AWV166" s="558"/>
      <c r="AWW166" s="558"/>
      <c r="AWX166" s="558"/>
      <c r="AWY166" s="558"/>
      <c r="AWZ166" s="558"/>
      <c r="AXA166" s="558"/>
      <c r="AXB166" s="558"/>
      <c r="AXC166" s="558"/>
      <c r="AXD166" s="558"/>
      <c r="AXE166" s="558"/>
      <c r="AXF166" s="558"/>
      <c r="AXG166" s="558"/>
      <c r="AXH166" s="558"/>
      <c r="AXI166" s="558"/>
      <c r="AXJ166" s="558"/>
      <c r="AXK166" s="558"/>
      <c r="AXL166" s="558"/>
      <c r="AXM166" s="558"/>
      <c r="AXN166" s="558"/>
      <c r="AXO166" s="558"/>
      <c r="AXP166" s="558"/>
      <c r="AXQ166" s="558"/>
      <c r="AXR166" s="558"/>
      <c r="AXS166" s="558"/>
      <c r="AXT166" s="558"/>
      <c r="AXU166" s="558"/>
      <c r="AXV166" s="558"/>
      <c r="AXW166" s="558"/>
      <c r="AXX166" s="558"/>
      <c r="AXY166" s="558"/>
      <c r="AXZ166" s="558"/>
      <c r="AYA166" s="558"/>
      <c r="AYB166" s="558"/>
      <c r="AYC166" s="558"/>
      <c r="AYD166" s="558"/>
      <c r="AYE166" s="558"/>
      <c r="AYF166" s="558"/>
      <c r="AYG166" s="558"/>
      <c r="AYH166" s="558"/>
      <c r="AYI166" s="558"/>
      <c r="AYJ166" s="558"/>
      <c r="AYK166" s="558"/>
      <c r="AYL166" s="558"/>
      <c r="AYM166" s="558"/>
      <c r="AYN166" s="558"/>
      <c r="AYO166" s="558"/>
      <c r="AYP166" s="558"/>
      <c r="AYQ166" s="558"/>
      <c r="AYR166" s="558"/>
      <c r="AYS166" s="558"/>
      <c r="AYT166" s="558"/>
      <c r="AYU166" s="558"/>
      <c r="AYV166" s="558"/>
      <c r="AYW166" s="558"/>
      <c r="AYX166" s="558"/>
      <c r="AYY166" s="558"/>
      <c r="AYZ166" s="558"/>
      <c r="AZA166" s="558"/>
      <c r="AZB166" s="558"/>
      <c r="AZC166" s="558"/>
      <c r="AZD166" s="558"/>
      <c r="AZE166" s="558"/>
      <c r="AZF166" s="558"/>
      <c r="AZG166" s="558"/>
      <c r="AZH166" s="558"/>
      <c r="AZI166" s="558"/>
      <c r="AZJ166" s="558"/>
      <c r="AZK166" s="558"/>
      <c r="AZL166" s="558"/>
      <c r="AZM166" s="558"/>
      <c r="AZN166" s="558"/>
      <c r="AZO166" s="558"/>
      <c r="AZP166" s="558"/>
      <c r="AZQ166" s="558"/>
      <c r="AZR166" s="558"/>
      <c r="AZS166" s="558"/>
      <c r="AZT166" s="558"/>
      <c r="AZU166" s="558"/>
      <c r="AZV166" s="558"/>
      <c r="AZW166" s="558"/>
      <c r="AZX166" s="558"/>
      <c r="AZY166" s="558"/>
      <c r="AZZ166" s="558"/>
      <c r="BAA166" s="558"/>
      <c r="BAB166" s="558"/>
      <c r="BAC166" s="558"/>
      <c r="BAD166" s="558"/>
      <c r="BAE166" s="558"/>
      <c r="BAF166" s="558"/>
      <c r="BAG166" s="558"/>
      <c r="BAH166" s="558"/>
      <c r="BAI166" s="558"/>
      <c r="BAJ166" s="558"/>
      <c r="BAK166" s="558"/>
      <c r="BAL166" s="558"/>
      <c r="BAM166" s="558"/>
      <c r="BAN166" s="558"/>
      <c r="BAO166" s="558"/>
      <c r="BAP166" s="558"/>
      <c r="BAQ166" s="558"/>
      <c r="BAR166" s="558"/>
      <c r="BAS166" s="558"/>
      <c r="BAT166" s="558"/>
      <c r="BAU166" s="558"/>
      <c r="BAV166" s="558"/>
      <c r="BAW166" s="558"/>
      <c r="BAX166" s="558"/>
      <c r="BAY166" s="558"/>
      <c r="BAZ166" s="558"/>
      <c r="BBA166" s="558"/>
      <c r="BBB166" s="558"/>
      <c r="BBC166" s="558"/>
      <c r="BBD166" s="558"/>
      <c r="BBE166" s="558"/>
      <c r="BBF166" s="558"/>
      <c r="BBG166" s="558"/>
      <c r="BBH166" s="558"/>
      <c r="BBI166" s="558"/>
      <c r="BBJ166" s="558"/>
      <c r="BBK166" s="558"/>
      <c r="BBL166" s="558"/>
      <c r="BBM166" s="558"/>
      <c r="BBN166" s="558"/>
      <c r="BBO166" s="558"/>
      <c r="BBP166" s="558"/>
      <c r="BBQ166" s="558"/>
      <c r="BBR166" s="558"/>
      <c r="BBS166" s="558"/>
      <c r="BBT166" s="558"/>
      <c r="BBU166" s="558"/>
      <c r="BBV166" s="558"/>
      <c r="BBW166" s="558"/>
      <c r="BBX166" s="558"/>
      <c r="BBY166" s="558"/>
      <c r="BBZ166" s="558"/>
      <c r="BCA166" s="558"/>
      <c r="BCB166" s="558"/>
      <c r="BCC166" s="558"/>
      <c r="BCD166" s="558"/>
      <c r="BCE166" s="558"/>
      <c r="BCF166" s="558"/>
      <c r="BCG166" s="558"/>
      <c r="BCH166" s="558"/>
      <c r="BCI166" s="558"/>
      <c r="BCJ166" s="558"/>
      <c r="BCK166" s="558"/>
      <c r="BCL166" s="558"/>
      <c r="BCM166" s="558"/>
      <c r="BCN166" s="558"/>
      <c r="BCO166" s="558"/>
      <c r="BCP166" s="558"/>
      <c r="BCQ166" s="558"/>
      <c r="BCR166" s="558"/>
      <c r="BCS166" s="558"/>
      <c r="BCT166" s="558"/>
      <c r="BCU166" s="558"/>
      <c r="BCV166" s="558"/>
      <c r="BCW166" s="558"/>
      <c r="BCX166" s="558"/>
      <c r="BCY166" s="558"/>
      <c r="BCZ166" s="558"/>
      <c r="BDA166" s="558"/>
      <c r="BDB166" s="558"/>
      <c r="BDC166" s="558"/>
      <c r="BDD166" s="558"/>
      <c r="BDE166" s="558"/>
      <c r="BDF166" s="558"/>
      <c r="BDG166" s="558"/>
      <c r="BDH166" s="558"/>
      <c r="BDI166" s="558"/>
      <c r="BDJ166" s="558"/>
      <c r="BDK166" s="558"/>
      <c r="BDL166" s="558"/>
      <c r="BDM166" s="558"/>
      <c r="BDN166" s="558"/>
      <c r="BDO166" s="558"/>
      <c r="BDP166" s="558"/>
      <c r="BDQ166" s="558"/>
      <c r="BDR166" s="558"/>
      <c r="BDS166" s="558"/>
      <c r="BDT166" s="558"/>
      <c r="BDU166" s="558"/>
      <c r="BDV166" s="558"/>
      <c r="BDW166" s="558"/>
      <c r="BDX166" s="558"/>
      <c r="BDY166" s="558"/>
      <c r="BDZ166" s="558"/>
      <c r="BEA166" s="558"/>
      <c r="BEB166" s="558"/>
      <c r="BEC166" s="558"/>
      <c r="BED166" s="558"/>
      <c r="BEE166" s="558"/>
      <c r="BEF166" s="558"/>
      <c r="BEG166" s="558"/>
      <c r="BEH166" s="558"/>
      <c r="BEI166" s="558"/>
      <c r="BEJ166" s="558"/>
      <c r="BEK166" s="558"/>
      <c r="BEL166" s="558"/>
      <c r="BEM166" s="558"/>
      <c r="BEN166" s="558"/>
      <c r="BEO166" s="558"/>
      <c r="BEP166" s="558"/>
      <c r="BEQ166" s="558"/>
      <c r="BER166" s="558"/>
      <c r="BES166" s="558"/>
      <c r="BET166" s="558"/>
      <c r="BEU166" s="558"/>
      <c r="BEV166" s="558"/>
      <c r="BEW166" s="558"/>
      <c r="BEX166" s="558"/>
      <c r="BEY166" s="558"/>
      <c r="BEZ166" s="558"/>
      <c r="BFA166" s="558"/>
      <c r="BFB166" s="558"/>
      <c r="BFC166" s="558"/>
      <c r="BFD166" s="558"/>
      <c r="BFE166" s="558"/>
      <c r="BFF166" s="558"/>
      <c r="BFG166" s="558"/>
      <c r="BFH166" s="558"/>
      <c r="BFI166" s="558"/>
      <c r="BFJ166" s="558"/>
      <c r="BFK166" s="558"/>
      <c r="BFL166" s="558"/>
      <c r="BFM166" s="558"/>
      <c r="BFN166" s="558"/>
      <c r="BFO166" s="558"/>
      <c r="BFP166" s="558"/>
      <c r="BFQ166" s="558"/>
      <c r="BFR166" s="558"/>
      <c r="BFS166" s="558"/>
      <c r="BFT166" s="558"/>
      <c r="BFU166" s="558"/>
      <c r="BFV166" s="558"/>
      <c r="BFW166" s="558"/>
      <c r="BFX166" s="558"/>
      <c r="BFY166" s="558"/>
      <c r="BFZ166" s="558"/>
      <c r="BGA166" s="558"/>
      <c r="BGB166" s="558"/>
      <c r="BGC166" s="558"/>
      <c r="BGD166" s="558"/>
      <c r="BGE166" s="558"/>
      <c r="BGF166" s="558"/>
      <c r="BGG166" s="558"/>
      <c r="BGH166" s="558"/>
      <c r="BGI166" s="558"/>
      <c r="BGJ166" s="558"/>
      <c r="BGK166" s="558"/>
      <c r="BGL166" s="558"/>
      <c r="BGM166" s="558"/>
      <c r="BGN166" s="558"/>
      <c r="BGO166" s="558"/>
      <c r="BGP166" s="558"/>
      <c r="BGQ166" s="558"/>
      <c r="BGR166" s="558"/>
      <c r="BGS166" s="558"/>
      <c r="BGT166" s="558"/>
      <c r="BGU166" s="558"/>
      <c r="BGV166" s="558"/>
      <c r="BGW166" s="558"/>
      <c r="BGX166" s="558"/>
      <c r="BGY166" s="558"/>
      <c r="BGZ166" s="558"/>
      <c r="BHA166" s="558"/>
      <c r="BHB166" s="558"/>
      <c r="BHC166" s="558"/>
      <c r="BHD166" s="558"/>
      <c r="BHE166" s="558"/>
      <c r="BHF166" s="558"/>
      <c r="BHG166" s="558"/>
      <c r="BHH166" s="558"/>
      <c r="BHI166" s="558"/>
      <c r="BHJ166" s="558"/>
      <c r="BHK166" s="558"/>
      <c r="BHL166" s="558"/>
      <c r="BHM166" s="558"/>
      <c r="BHN166" s="558"/>
      <c r="BHO166" s="558"/>
      <c r="BHP166" s="558"/>
      <c r="BHQ166" s="558"/>
      <c r="BHR166" s="558"/>
      <c r="BHS166" s="558"/>
      <c r="BHT166" s="558"/>
      <c r="BHU166" s="558"/>
      <c r="BHV166" s="558"/>
      <c r="BHW166" s="558"/>
      <c r="BHX166" s="558"/>
      <c r="BHY166" s="558"/>
      <c r="BHZ166" s="558"/>
      <c r="BIA166" s="558"/>
      <c r="BIB166" s="558"/>
      <c r="BIC166" s="558"/>
      <c r="BID166" s="558"/>
      <c r="BIE166" s="558"/>
      <c r="BIF166" s="558"/>
      <c r="BIG166" s="558"/>
      <c r="BIH166" s="558"/>
      <c r="BII166" s="558"/>
      <c r="BIJ166" s="558"/>
      <c r="BIK166" s="558"/>
      <c r="BIL166" s="558"/>
      <c r="BIM166" s="558"/>
      <c r="BIN166" s="558"/>
      <c r="BIO166" s="558"/>
      <c r="BIP166" s="558"/>
      <c r="BIQ166" s="558"/>
      <c r="BIR166" s="558"/>
      <c r="BIS166" s="558"/>
      <c r="BIT166" s="558"/>
      <c r="BIU166" s="558"/>
      <c r="BIV166" s="558"/>
      <c r="BIW166" s="558"/>
      <c r="BIX166" s="558"/>
      <c r="BIY166" s="558"/>
      <c r="BIZ166" s="558"/>
      <c r="BJA166" s="558"/>
      <c r="BJB166" s="558"/>
      <c r="BJC166" s="558"/>
      <c r="BJD166" s="558"/>
      <c r="BJE166" s="558"/>
      <c r="BJF166" s="558"/>
      <c r="BJG166" s="558"/>
      <c r="BJH166" s="558"/>
      <c r="BJI166" s="558"/>
      <c r="BJJ166" s="558"/>
      <c r="BJK166" s="558"/>
      <c r="BJL166" s="558"/>
      <c r="BJM166" s="558"/>
      <c r="BJN166" s="558"/>
      <c r="BJO166" s="558"/>
      <c r="BJP166" s="558"/>
      <c r="BJQ166" s="558"/>
      <c r="BJR166" s="558"/>
      <c r="BJS166" s="558"/>
      <c r="BJT166" s="558"/>
      <c r="BJU166" s="558"/>
      <c r="BJV166" s="558"/>
      <c r="BJW166" s="558"/>
      <c r="BJX166" s="558"/>
      <c r="BJY166" s="558"/>
      <c r="BJZ166" s="558"/>
      <c r="BKA166" s="558"/>
      <c r="BKB166" s="558"/>
      <c r="BKC166" s="558"/>
      <c r="BKD166" s="558"/>
      <c r="BKE166" s="558"/>
      <c r="BKF166" s="558"/>
      <c r="BKG166" s="558"/>
      <c r="BKH166" s="558"/>
      <c r="BKI166" s="558"/>
      <c r="BKJ166" s="558"/>
      <c r="BKK166" s="558"/>
      <c r="BKL166" s="558"/>
      <c r="BKM166" s="558"/>
      <c r="BKN166" s="558"/>
      <c r="BKO166" s="558"/>
      <c r="BKP166" s="558"/>
      <c r="BKQ166" s="558"/>
      <c r="BKR166" s="558"/>
      <c r="BKS166" s="558"/>
      <c r="BKT166" s="558"/>
      <c r="BKU166" s="558"/>
      <c r="BKV166" s="558"/>
      <c r="BKW166" s="558"/>
      <c r="BKX166" s="558"/>
      <c r="BKY166" s="558"/>
      <c r="BKZ166" s="558"/>
      <c r="BLA166" s="558"/>
      <c r="BLB166" s="558"/>
      <c r="BLC166" s="558"/>
      <c r="BLD166" s="558"/>
      <c r="BLE166" s="558"/>
      <c r="BLF166" s="558"/>
      <c r="BLG166" s="558"/>
      <c r="BLH166" s="558"/>
      <c r="BLI166" s="558"/>
      <c r="BLJ166" s="558"/>
      <c r="BLK166" s="558"/>
      <c r="BLL166" s="558"/>
      <c r="BLM166" s="558"/>
      <c r="BLN166" s="558"/>
      <c r="BLO166" s="558"/>
      <c r="BLP166" s="558"/>
      <c r="BLQ166" s="558"/>
      <c r="BLR166" s="558"/>
      <c r="BLS166" s="558"/>
      <c r="BLT166" s="558"/>
      <c r="BLU166" s="558"/>
      <c r="BLV166" s="558"/>
      <c r="BLW166" s="558"/>
      <c r="BLX166" s="558"/>
      <c r="BLY166" s="558"/>
      <c r="BLZ166" s="558"/>
      <c r="BMA166" s="558"/>
      <c r="BMB166" s="558"/>
      <c r="BMC166" s="558"/>
      <c r="BMD166" s="558"/>
      <c r="BME166" s="558"/>
      <c r="BMF166" s="558"/>
      <c r="BMG166" s="558"/>
      <c r="BMH166" s="558"/>
      <c r="BMI166" s="558"/>
      <c r="BMJ166" s="558"/>
      <c r="BMK166" s="558"/>
      <c r="BML166" s="558"/>
      <c r="BMM166" s="558"/>
      <c r="BMN166" s="558"/>
      <c r="BMO166" s="558"/>
      <c r="BMP166" s="558"/>
      <c r="BMQ166" s="558"/>
      <c r="BMR166" s="558"/>
      <c r="BMS166" s="558"/>
      <c r="BMT166" s="558"/>
      <c r="BMU166" s="558"/>
      <c r="BMV166" s="558"/>
      <c r="BMW166" s="558"/>
      <c r="BMX166" s="558"/>
      <c r="BMY166" s="558"/>
      <c r="BMZ166" s="558"/>
      <c r="BNA166" s="558"/>
      <c r="BNB166" s="558"/>
      <c r="BNC166" s="558"/>
      <c r="BND166" s="558"/>
      <c r="BNE166" s="558"/>
      <c r="BNF166" s="558"/>
      <c r="BNG166" s="558"/>
      <c r="BNH166" s="558"/>
      <c r="BNI166" s="558"/>
      <c r="BNJ166" s="558"/>
      <c r="BNK166" s="558"/>
      <c r="BNL166" s="558"/>
      <c r="BNM166" s="558"/>
      <c r="BNN166" s="558"/>
      <c r="BNO166" s="558"/>
      <c r="BNP166" s="558"/>
      <c r="BNQ166" s="558"/>
      <c r="BNR166" s="558"/>
      <c r="BNS166" s="558"/>
      <c r="BNT166" s="558"/>
      <c r="BNU166" s="558"/>
      <c r="BNV166" s="558"/>
      <c r="BNW166" s="558"/>
      <c r="BNX166" s="558"/>
      <c r="BNY166" s="558"/>
      <c r="BNZ166" s="558"/>
      <c r="BOA166" s="558"/>
      <c r="BOB166" s="558"/>
      <c r="BOC166" s="558"/>
      <c r="BOD166" s="558"/>
      <c r="BOE166" s="558"/>
      <c r="BOF166" s="558"/>
      <c r="BOG166" s="558"/>
      <c r="BOH166" s="558"/>
      <c r="BOI166" s="558"/>
      <c r="BOJ166" s="558"/>
      <c r="BOK166" s="558"/>
      <c r="BOL166" s="558"/>
      <c r="BOM166" s="558"/>
      <c r="BON166" s="558"/>
      <c r="BOO166" s="558"/>
      <c r="BOP166" s="558"/>
      <c r="BOQ166" s="558"/>
      <c r="BOR166" s="558"/>
      <c r="BOS166" s="558"/>
      <c r="BOT166" s="558"/>
      <c r="BOU166" s="558"/>
      <c r="BOV166" s="558"/>
      <c r="BOW166" s="558"/>
      <c r="BOX166" s="558"/>
      <c r="BOY166" s="558"/>
      <c r="BOZ166" s="558"/>
      <c r="BPA166" s="558"/>
      <c r="BPB166" s="558"/>
      <c r="BPC166" s="558"/>
      <c r="BPD166" s="558"/>
      <c r="BPE166" s="558"/>
      <c r="BPF166" s="558"/>
      <c r="BPG166" s="558"/>
      <c r="BPH166" s="558"/>
      <c r="BPI166" s="558"/>
      <c r="BPJ166" s="558"/>
      <c r="BPK166" s="558"/>
      <c r="BPL166" s="558"/>
      <c r="BPM166" s="558"/>
      <c r="BPN166" s="558"/>
      <c r="BPO166" s="558"/>
      <c r="BPP166" s="558"/>
      <c r="BPQ166" s="558"/>
      <c r="BPR166" s="558"/>
      <c r="BPS166" s="558"/>
      <c r="BPT166" s="558"/>
      <c r="BPU166" s="558"/>
      <c r="BPV166" s="558"/>
      <c r="BPW166" s="558"/>
      <c r="BPX166" s="558"/>
      <c r="BPY166" s="558"/>
      <c r="BPZ166" s="558"/>
      <c r="BQA166" s="558"/>
      <c r="BQB166" s="558"/>
      <c r="BQC166" s="558"/>
      <c r="BQD166" s="558"/>
      <c r="BQE166" s="558"/>
      <c r="BQF166" s="558"/>
      <c r="BQG166" s="558"/>
      <c r="BQH166" s="558"/>
      <c r="BQI166" s="558"/>
      <c r="BQJ166" s="558"/>
      <c r="BQK166" s="558"/>
      <c r="BQL166" s="558"/>
      <c r="BQM166" s="558"/>
      <c r="BQN166" s="558"/>
      <c r="BQO166" s="558"/>
      <c r="BQP166" s="558"/>
      <c r="BQQ166" s="558"/>
      <c r="BQR166" s="558"/>
      <c r="BQS166" s="558"/>
      <c r="BQT166" s="558"/>
      <c r="BQU166" s="558"/>
      <c r="BQV166" s="558"/>
      <c r="BQW166" s="558"/>
      <c r="BQX166" s="558"/>
      <c r="BQY166" s="558"/>
      <c r="BQZ166" s="558"/>
      <c r="BRA166" s="558"/>
      <c r="BRB166" s="558"/>
      <c r="BRC166" s="558"/>
      <c r="BRD166" s="558"/>
      <c r="BRE166" s="558"/>
      <c r="BRF166" s="558"/>
      <c r="BRG166" s="558"/>
      <c r="BRH166" s="558"/>
      <c r="BRI166" s="558"/>
      <c r="BRJ166" s="558"/>
      <c r="BRK166" s="558"/>
      <c r="BRL166" s="558"/>
      <c r="BRM166" s="558"/>
      <c r="BRN166" s="558"/>
      <c r="BRO166" s="558"/>
      <c r="BRP166" s="558"/>
      <c r="BRQ166" s="558"/>
      <c r="BRR166" s="558"/>
      <c r="BRS166" s="558"/>
      <c r="BRT166" s="558"/>
      <c r="BRU166" s="558"/>
      <c r="BRV166" s="558"/>
      <c r="BRW166" s="558"/>
      <c r="BRX166" s="558"/>
      <c r="BRY166" s="558"/>
      <c r="BRZ166" s="558"/>
      <c r="BSA166" s="558"/>
      <c r="BSB166" s="558"/>
      <c r="BSC166" s="558"/>
      <c r="BSD166" s="558"/>
      <c r="BSE166" s="558"/>
      <c r="BSF166" s="558"/>
      <c r="BSG166" s="558"/>
      <c r="BSH166" s="558"/>
      <c r="BSI166" s="558"/>
      <c r="BSJ166" s="558"/>
      <c r="BSK166" s="558"/>
      <c r="BSL166" s="558"/>
      <c r="BSM166" s="558"/>
      <c r="BSN166" s="558"/>
      <c r="BSO166" s="558"/>
      <c r="BSP166" s="558"/>
      <c r="BSQ166" s="558"/>
      <c r="BSR166" s="558"/>
      <c r="BSS166" s="558"/>
      <c r="BST166" s="558"/>
      <c r="BSU166" s="558"/>
      <c r="BSV166" s="558"/>
      <c r="BSW166" s="558"/>
      <c r="BSX166" s="558"/>
      <c r="BSY166" s="558"/>
      <c r="BSZ166" s="558"/>
      <c r="BTA166" s="558"/>
      <c r="BTB166" s="558"/>
      <c r="BTC166" s="558"/>
      <c r="BTD166" s="558"/>
      <c r="BTE166" s="558"/>
      <c r="BTF166" s="558"/>
      <c r="BTG166" s="558"/>
      <c r="BTH166" s="558"/>
      <c r="BTI166" s="558"/>
      <c r="BTJ166" s="558"/>
      <c r="BTK166" s="558"/>
      <c r="BTL166" s="558"/>
      <c r="BTM166" s="558"/>
      <c r="BTN166" s="558"/>
      <c r="BTO166" s="558"/>
      <c r="BTP166" s="558"/>
      <c r="BTQ166" s="558"/>
      <c r="BTR166" s="558"/>
      <c r="BTS166" s="558"/>
      <c r="BTT166" s="558"/>
      <c r="BTU166" s="558"/>
      <c r="BTV166" s="558"/>
      <c r="BTW166" s="558"/>
      <c r="BTX166" s="558"/>
      <c r="BTY166" s="558"/>
      <c r="BTZ166" s="558"/>
      <c r="BUA166" s="558"/>
      <c r="BUB166" s="558"/>
      <c r="BUC166" s="558"/>
      <c r="BUD166" s="558"/>
      <c r="BUE166" s="558"/>
      <c r="BUF166" s="558"/>
      <c r="BUG166" s="558"/>
      <c r="BUH166" s="558"/>
      <c r="BUI166" s="558"/>
      <c r="BUJ166" s="558"/>
      <c r="BUK166" s="558"/>
      <c r="BUL166" s="558"/>
      <c r="BUM166" s="558"/>
      <c r="BUN166" s="558"/>
      <c r="BUO166" s="558"/>
      <c r="BUP166" s="558"/>
      <c r="BUQ166" s="558"/>
      <c r="BUR166" s="558"/>
      <c r="BUS166" s="558"/>
      <c r="BUT166" s="558"/>
      <c r="BUU166" s="558"/>
      <c r="BUV166" s="558"/>
      <c r="BUW166" s="558"/>
      <c r="BUX166" s="558"/>
      <c r="BUY166" s="558"/>
      <c r="BUZ166" s="558"/>
      <c r="BVA166" s="558"/>
      <c r="BVB166" s="558"/>
      <c r="BVC166" s="558"/>
      <c r="BVD166" s="558"/>
      <c r="BVE166" s="558"/>
      <c r="BVF166" s="558"/>
      <c r="BVG166" s="558"/>
      <c r="BVH166" s="558"/>
      <c r="BVI166" s="558"/>
      <c r="BVJ166" s="558"/>
      <c r="BVK166" s="558"/>
      <c r="BVL166" s="558"/>
      <c r="BVM166" s="558"/>
      <c r="BVN166" s="558"/>
      <c r="BVO166" s="558"/>
      <c r="BVP166" s="558"/>
      <c r="BVQ166" s="558"/>
      <c r="BVR166" s="558"/>
      <c r="BVS166" s="558"/>
      <c r="BVT166" s="558"/>
      <c r="BVU166" s="558"/>
      <c r="BVV166" s="558"/>
      <c r="BVW166" s="558"/>
      <c r="BVX166" s="558"/>
      <c r="BVY166" s="558"/>
      <c r="BVZ166" s="558"/>
      <c r="BWA166" s="558"/>
      <c r="BWB166" s="558"/>
      <c r="BWC166" s="558"/>
      <c r="BWD166" s="558"/>
      <c r="BWE166" s="558"/>
      <c r="BWF166" s="558"/>
      <c r="BWG166" s="558"/>
      <c r="BWH166" s="558"/>
      <c r="BWI166" s="558"/>
      <c r="BWJ166" s="558"/>
      <c r="BWK166" s="558"/>
      <c r="BWL166" s="558"/>
      <c r="BWM166" s="558"/>
      <c r="BWN166" s="558"/>
      <c r="BWO166" s="558"/>
      <c r="BWP166" s="558"/>
      <c r="BWQ166" s="558"/>
      <c r="BWR166" s="558"/>
      <c r="BWS166" s="558"/>
      <c r="BWT166" s="558"/>
      <c r="BWU166" s="558"/>
      <c r="BWV166" s="558"/>
      <c r="BWW166" s="558"/>
      <c r="BWX166" s="558"/>
      <c r="BWY166" s="558"/>
      <c r="BWZ166" s="558"/>
      <c r="BXA166" s="558"/>
      <c r="BXB166" s="558"/>
      <c r="BXC166" s="558"/>
      <c r="BXD166" s="558"/>
      <c r="BXE166" s="558"/>
      <c r="BXF166" s="558"/>
      <c r="BXG166" s="558"/>
      <c r="BXH166" s="558"/>
      <c r="BXI166" s="558"/>
      <c r="BXJ166" s="558"/>
      <c r="BXK166" s="558"/>
      <c r="BXL166" s="558"/>
      <c r="BXM166" s="558"/>
      <c r="BXN166" s="558"/>
      <c r="BXO166" s="558"/>
      <c r="BXP166" s="558"/>
      <c r="BXQ166" s="558"/>
      <c r="BXR166" s="558"/>
      <c r="BXS166" s="558"/>
      <c r="BXT166" s="558"/>
      <c r="BXU166" s="558"/>
      <c r="BXV166" s="558"/>
      <c r="BXW166" s="558"/>
      <c r="BXX166" s="558"/>
      <c r="BXY166" s="558"/>
      <c r="BXZ166" s="558"/>
      <c r="BYA166" s="558"/>
      <c r="BYB166" s="558"/>
      <c r="BYC166" s="558"/>
      <c r="BYD166" s="558"/>
      <c r="BYE166" s="558"/>
      <c r="BYF166" s="558"/>
      <c r="BYG166" s="558"/>
      <c r="BYH166" s="558"/>
      <c r="BYI166" s="558"/>
      <c r="BYJ166" s="558"/>
      <c r="BYK166" s="558"/>
      <c r="BYL166" s="558"/>
      <c r="BYM166" s="558"/>
      <c r="BYN166" s="558"/>
      <c r="BYO166" s="558"/>
      <c r="BYP166" s="558"/>
      <c r="BYQ166" s="558"/>
      <c r="BYR166" s="558"/>
      <c r="BYS166" s="558"/>
      <c r="BYT166" s="558"/>
      <c r="BYU166" s="558"/>
      <c r="BYV166" s="558"/>
      <c r="BYW166" s="558"/>
      <c r="BYX166" s="558"/>
      <c r="BYY166" s="558"/>
      <c r="BYZ166" s="558"/>
      <c r="BZA166" s="558"/>
      <c r="BZB166" s="558"/>
      <c r="BZC166" s="558"/>
      <c r="BZD166" s="558"/>
      <c r="BZE166" s="558"/>
      <c r="BZF166" s="558"/>
      <c r="BZG166" s="558"/>
      <c r="BZH166" s="558"/>
      <c r="BZI166" s="558"/>
      <c r="BZJ166" s="558"/>
      <c r="BZK166" s="558"/>
      <c r="BZL166" s="558"/>
      <c r="BZM166" s="558"/>
      <c r="BZN166" s="558"/>
      <c r="BZO166" s="558"/>
      <c r="BZP166" s="558"/>
      <c r="BZQ166" s="558"/>
      <c r="BZR166" s="558"/>
      <c r="BZS166" s="558"/>
      <c r="BZT166" s="558"/>
      <c r="BZU166" s="558"/>
      <c r="BZV166" s="558"/>
      <c r="BZW166" s="558"/>
      <c r="BZX166" s="558"/>
      <c r="BZY166" s="558"/>
      <c r="BZZ166" s="558"/>
      <c r="CAA166" s="558"/>
      <c r="CAB166" s="558"/>
      <c r="CAC166" s="558"/>
      <c r="CAD166" s="558"/>
      <c r="CAE166" s="558"/>
      <c r="CAF166" s="558"/>
      <c r="CAG166" s="558"/>
      <c r="CAH166" s="558"/>
      <c r="CAI166" s="558"/>
      <c r="CAJ166" s="558"/>
      <c r="CAK166" s="558"/>
      <c r="CAL166" s="558"/>
      <c r="CAM166" s="558"/>
      <c r="CAN166" s="558"/>
      <c r="CAO166" s="558"/>
      <c r="CAP166" s="558"/>
      <c r="CAQ166" s="558"/>
      <c r="CAR166" s="558"/>
      <c r="CAS166" s="558"/>
      <c r="CAT166" s="558"/>
      <c r="CAU166" s="558"/>
      <c r="CAV166" s="558"/>
      <c r="CAW166" s="558"/>
      <c r="CAX166" s="558"/>
      <c r="CAY166" s="558"/>
      <c r="CAZ166" s="558"/>
      <c r="CBA166" s="558"/>
      <c r="CBB166" s="558"/>
      <c r="CBC166" s="558"/>
      <c r="CBD166" s="558"/>
      <c r="CBE166" s="558"/>
      <c r="CBF166" s="558"/>
      <c r="CBG166" s="558"/>
      <c r="CBH166" s="558"/>
      <c r="CBI166" s="558"/>
      <c r="CBJ166" s="558"/>
      <c r="CBK166" s="558"/>
      <c r="CBL166" s="558"/>
      <c r="CBM166" s="558"/>
      <c r="CBN166" s="558"/>
      <c r="CBO166" s="558"/>
      <c r="CBP166" s="558"/>
      <c r="CBQ166" s="558"/>
      <c r="CBR166" s="558"/>
      <c r="CBS166" s="558"/>
      <c r="CBT166" s="558"/>
      <c r="CBU166" s="558"/>
      <c r="CBV166" s="558"/>
      <c r="CBW166" s="558"/>
      <c r="CBX166" s="558"/>
      <c r="CBY166" s="558"/>
      <c r="CBZ166" s="558"/>
      <c r="CCA166" s="558"/>
      <c r="CCB166" s="558"/>
      <c r="CCC166" s="558"/>
      <c r="CCD166" s="558"/>
      <c r="CCE166" s="558"/>
      <c r="CCF166" s="558"/>
      <c r="CCG166" s="558"/>
      <c r="CCH166" s="558"/>
      <c r="CCI166" s="558"/>
      <c r="CCJ166" s="558"/>
      <c r="CCK166" s="558"/>
      <c r="CCL166" s="558"/>
      <c r="CCM166" s="558"/>
      <c r="CCN166" s="558"/>
      <c r="CCO166" s="558"/>
      <c r="CCP166" s="558"/>
      <c r="CCQ166" s="558"/>
      <c r="CCR166" s="558"/>
      <c r="CCS166" s="558"/>
      <c r="CCT166" s="558"/>
      <c r="CCU166" s="558"/>
      <c r="CCV166" s="558"/>
      <c r="CCW166" s="558"/>
      <c r="CCX166" s="558"/>
      <c r="CCY166" s="558"/>
      <c r="CCZ166" s="558"/>
      <c r="CDA166" s="558"/>
      <c r="CDB166" s="558"/>
      <c r="CDC166" s="558"/>
      <c r="CDD166" s="558"/>
      <c r="CDE166" s="558"/>
      <c r="CDF166" s="558"/>
      <c r="CDG166" s="558"/>
      <c r="CDH166" s="558"/>
      <c r="CDI166" s="558"/>
      <c r="CDJ166" s="558"/>
      <c r="CDK166" s="558"/>
      <c r="CDL166" s="558"/>
      <c r="CDM166" s="558"/>
      <c r="CDN166" s="558"/>
      <c r="CDO166" s="558"/>
      <c r="CDP166" s="558"/>
      <c r="CDQ166" s="558"/>
      <c r="CDR166" s="558"/>
      <c r="CDS166" s="558"/>
      <c r="CDT166" s="558"/>
      <c r="CDU166" s="558"/>
      <c r="CDV166" s="558"/>
      <c r="CDW166" s="558"/>
      <c r="CDX166" s="558"/>
      <c r="CDY166" s="558"/>
      <c r="CDZ166" s="558"/>
      <c r="CEA166" s="558"/>
      <c r="CEB166" s="558"/>
      <c r="CEC166" s="558"/>
      <c r="CED166" s="558"/>
      <c r="CEE166" s="558"/>
      <c r="CEF166" s="558"/>
      <c r="CEG166" s="558"/>
      <c r="CEH166" s="558"/>
      <c r="CEI166" s="558"/>
      <c r="CEJ166" s="558"/>
      <c r="CEK166" s="558"/>
      <c r="CEL166" s="558"/>
      <c r="CEM166" s="558"/>
      <c r="CEN166" s="558"/>
      <c r="CEO166" s="558"/>
      <c r="CEP166" s="558"/>
      <c r="CEQ166" s="558"/>
      <c r="CER166" s="558"/>
      <c r="CES166" s="558"/>
      <c r="CET166" s="558"/>
      <c r="CEU166" s="558"/>
      <c r="CEV166" s="558"/>
      <c r="CEW166" s="558"/>
      <c r="CEX166" s="558"/>
      <c r="CEY166" s="558"/>
      <c r="CEZ166" s="558"/>
      <c r="CFA166" s="558"/>
      <c r="CFB166" s="558"/>
      <c r="CFC166" s="558"/>
      <c r="CFD166" s="558"/>
      <c r="CFE166" s="558"/>
      <c r="CFF166" s="558"/>
      <c r="CFG166" s="558"/>
      <c r="CFH166" s="558"/>
      <c r="CFI166" s="558"/>
      <c r="CFJ166" s="558"/>
      <c r="CFK166" s="558"/>
      <c r="CFL166" s="558"/>
      <c r="CFM166" s="558"/>
      <c r="CFN166" s="558"/>
      <c r="CFO166" s="558"/>
      <c r="CFP166" s="558"/>
      <c r="CFQ166" s="558"/>
      <c r="CFR166" s="558"/>
      <c r="CFS166" s="558"/>
      <c r="CFT166" s="558"/>
      <c r="CFU166" s="558"/>
      <c r="CFV166" s="558"/>
      <c r="CFW166" s="558"/>
      <c r="CFX166" s="558"/>
      <c r="CFY166" s="558"/>
      <c r="CFZ166" s="558"/>
      <c r="CGA166" s="558"/>
      <c r="CGB166" s="558"/>
      <c r="CGC166" s="558"/>
      <c r="CGD166" s="558"/>
      <c r="CGE166" s="558"/>
      <c r="CGF166" s="558"/>
      <c r="CGG166" s="558"/>
      <c r="CGH166" s="558"/>
      <c r="CGI166" s="558"/>
      <c r="CGJ166" s="558"/>
      <c r="CGK166" s="558"/>
      <c r="CGL166" s="558"/>
      <c r="CGM166" s="558"/>
      <c r="CGN166" s="558"/>
      <c r="CGO166" s="558"/>
      <c r="CGP166" s="558"/>
      <c r="CGQ166" s="558"/>
      <c r="CGR166" s="558"/>
      <c r="CGS166" s="558"/>
      <c r="CGT166" s="558"/>
      <c r="CGU166" s="558"/>
      <c r="CGV166" s="558"/>
      <c r="CGW166" s="558"/>
      <c r="CGX166" s="558"/>
      <c r="CGY166" s="558"/>
      <c r="CGZ166" s="558"/>
      <c r="CHA166" s="558"/>
      <c r="CHB166" s="558"/>
      <c r="CHC166" s="558"/>
      <c r="CHD166" s="558"/>
      <c r="CHE166" s="558"/>
      <c r="CHF166" s="558"/>
      <c r="CHG166" s="558"/>
      <c r="CHH166" s="558"/>
      <c r="CHI166" s="558"/>
      <c r="CHJ166" s="558"/>
      <c r="CHK166" s="558"/>
      <c r="CHL166" s="558"/>
      <c r="CHM166" s="558"/>
      <c r="CHN166" s="558"/>
      <c r="CHO166" s="558"/>
      <c r="CHP166" s="558"/>
      <c r="CHQ166" s="558"/>
      <c r="CHR166" s="558"/>
      <c r="CHS166" s="558"/>
      <c r="CHT166" s="558"/>
      <c r="CHU166" s="558"/>
      <c r="CHV166" s="558"/>
      <c r="CHW166" s="558"/>
      <c r="CHX166" s="558"/>
      <c r="CHY166" s="558"/>
      <c r="CHZ166" s="558"/>
      <c r="CIA166" s="558"/>
      <c r="CIB166" s="558"/>
      <c r="CIC166" s="558"/>
      <c r="CID166" s="558"/>
      <c r="CIE166" s="558"/>
      <c r="CIF166" s="558"/>
      <c r="CIG166" s="558"/>
      <c r="CIH166" s="558"/>
      <c r="CII166" s="558"/>
      <c r="CIJ166" s="558"/>
      <c r="CIK166" s="558"/>
      <c r="CIL166" s="558"/>
      <c r="CIM166" s="558"/>
      <c r="CIN166" s="558"/>
      <c r="CIO166" s="558"/>
      <c r="CIP166" s="558"/>
      <c r="CIQ166" s="558"/>
      <c r="CIR166" s="558"/>
      <c r="CIS166" s="558"/>
      <c r="CIT166" s="558"/>
      <c r="CIU166" s="558"/>
      <c r="CIV166" s="558"/>
      <c r="CIW166" s="558"/>
      <c r="CIX166" s="558"/>
      <c r="CIY166" s="558"/>
      <c r="CIZ166" s="558"/>
      <c r="CJA166" s="558"/>
      <c r="CJB166" s="558"/>
      <c r="CJC166" s="558"/>
      <c r="CJD166" s="558"/>
      <c r="CJE166" s="558"/>
      <c r="CJF166" s="558"/>
      <c r="CJG166" s="558"/>
      <c r="CJH166" s="558"/>
      <c r="CJI166" s="558"/>
      <c r="CJJ166" s="558"/>
      <c r="CJK166" s="558"/>
      <c r="CJL166" s="558"/>
      <c r="CJM166" s="558"/>
      <c r="CJN166" s="558"/>
      <c r="CJO166" s="558"/>
      <c r="CJP166" s="558"/>
      <c r="CJQ166" s="558"/>
      <c r="CJR166" s="558"/>
      <c r="CJS166" s="558"/>
      <c r="CJT166" s="558"/>
      <c r="CJU166" s="558"/>
      <c r="CJV166" s="558"/>
      <c r="CJW166" s="558"/>
      <c r="CJX166" s="558"/>
      <c r="CJY166" s="558"/>
      <c r="CJZ166" s="558"/>
      <c r="CKA166" s="558"/>
      <c r="CKB166" s="558"/>
      <c r="CKC166" s="558"/>
      <c r="CKD166" s="558"/>
      <c r="CKE166" s="558"/>
      <c r="CKF166" s="558"/>
      <c r="CKG166" s="558"/>
      <c r="CKH166" s="558"/>
      <c r="CKI166" s="558"/>
      <c r="CKJ166" s="558"/>
      <c r="CKK166" s="558"/>
      <c r="CKL166" s="558"/>
      <c r="CKM166" s="558"/>
      <c r="CKN166" s="558"/>
      <c r="CKO166" s="558"/>
      <c r="CKP166" s="558"/>
      <c r="CKQ166" s="558"/>
      <c r="CKR166" s="558"/>
      <c r="CKS166" s="558"/>
      <c r="CKT166" s="558"/>
      <c r="CKU166" s="558"/>
      <c r="CKV166" s="558"/>
      <c r="CKW166" s="558"/>
      <c r="CKX166" s="558"/>
      <c r="CKY166" s="558"/>
      <c r="CKZ166" s="558"/>
      <c r="CLA166" s="558"/>
      <c r="CLB166" s="558"/>
      <c r="CLC166" s="558"/>
      <c r="CLD166" s="558"/>
      <c r="CLE166" s="558"/>
      <c r="CLF166" s="558"/>
      <c r="CLG166" s="558"/>
      <c r="CLH166" s="558"/>
      <c r="CLI166" s="558"/>
      <c r="CLJ166" s="558"/>
      <c r="CLK166" s="558"/>
      <c r="CLL166" s="558"/>
      <c r="CLM166" s="558"/>
      <c r="CLN166" s="558"/>
      <c r="CLO166" s="558"/>
      <c r="CLP166" s="558"/>
      <c r="CLQ166" s="558"/>
      <c r="CLR166" s="558"/>
      <c r="CLS166" s="558"/>
      <c r="CLT166" s="558"/>
      <c r="CLU166" s="558"/>
      <c r="CLV166" s="558"/>
      <c r="CLW166" s="558"/>
      <c r="CLX166" s="558"/>
      <c r="CLY166" s="558"/>
      <c r="CLZ166" s="558"/>
      <c r="CMA166" s="558"/>
      <c r="CMB166" s="558"/>
      <c r="CMC166" s="558"/>
      <c r="CMD166" s="558"/>
      <c r="CME166" s="558"/>
      <c r="CMF166" s="558"/>
      <c r="CMG166" s="558"/>
      <c r="CMH166" s="558"/>
      <c r="CMI166" s="558"/>
      <c r="CMJ166" s="558"/>
      <c r="CMK166" s="558"/>
      <c r="CML166" s="558"/>
      <c r="CMM166" s="558"/>
      <c r="CMN166" s="558"/>
      <c r="CMO166" s="558"/>
      <c r="CMP166" s="558"/>
      <c r="CMQ166" s="558"/>
      <c r="CMR166" s="558"/>
      <c r="CMS166" s="558"/>
      <c r="CMT166" s="558"/>
      <c r="CMU166" s="558"/>
      <c r="CMV166" s="558"/>
      <c r="CMW166" s="558"/>
      <c r="CMX166" s="558"/>
      <c r="CMY166" s="558"/>
      <c r="CMZ166" s="558"/>
      <c r="CNA166" s="558"/>
      <c r="CNB166" s="558"/>
      <c r="CNC166" s="558"/>
      <c r="CND166" s="558"/>
      <c r="CNE166" s="558"/>
      <c r="CNF166" s="558"/>
      <c r="CNG166" s="558"/>
      <c r="CNH166" s="558"/>
      <c r="CNI166" s="558"/>
      <c r="CNJ166" s="558"/>
      <c r="CNK166" s="558"/>
      <c r="CNL166" s="558"/>
      <c r="CNM166" s="558"/>
      <c r="CNN166" s="558"/>
      <c r="CNO166" s="558"/>
      <c r="CNP166" s="558"/>
      <c r="CNQ166" s="558"/>
      <c r="CNR166" s="558"/>
      <c r="CNS166" s="558"/>
      <c r="CNT166" s="558"/>
      <c r="CNU166" s="558"/>
      <c r="CNV166" s="558"/>
      <c r="CNW166" s="558"/>
      <c r="CNX166" s="558"/>
      <c r="CNY166" s="558"/>
      <c r="CNZ166" s="558"/>
      <c r="COA166" s="558"/>
      <c r="COB166" s="558"/>
      <c r="COC166" s="558"/>
      <c r="COD166" s="558"/>
      <c r="COE166" s="558"/>
      <c r="COF166" s="558"/>
      <c r="COG166" s="558"/>
      <c r="COH166" s="558"/>
      <c r="COI166" s="558"/>
      <c r="COJ166" s="558"/>
      <c r="COK166" s="558"/>
      <c r="COL166" s="558"/>
      <c r="COM166" s="558"/>
      <c r="CON166" s="558"/>
      <c r="COO166" s="558"/>
      <c r="COP166" s="558"/>
      <c r="COQ166" s="558"/>
      <c r="COR166" s="558"/>
      <c r="COS166" s="558"/>
      <c r="COT166" s="558"/>
      <c r="COU166" s="558"/>
      <c r="COV166" s="558"/>
      <c r="COW166" s="558"/>
      <c r="COX166" s="558"/>
      <c r="COY166" s="558"/>
      <c r="COZ166" s="558"/>
      <c r="CPA166" s="558"/>
      <c r="CPB166" s="558"/>
      <c r="CPC166" s="558"/>
      <c r="CPD166" s="558"/>
      <c r="CPE166" s="558"/>
      <c r="CPF166" s="558"/>
      <c r="CPG166" s="558"/>
      <c r="CPH166" s="558"/>
      <c r="CPI166" s="558"/>
      <c r="CPJ166" s="558"/>
      <c r="CPK166" s="558"/>
      <c r="CPL166" s="558"/>
      <c r="CPM166" s="558"/>
      <c r="CPN166" s="558"/>
      <c r="CPO166" s="558"/>
      <c r="CPP166" s="558"/>
      <c r="CPQ166" s="558"/>
      <c r="CPR166" s="558"/>
      <c r="CPS166" s="558"/>
      <c r="CPT166" s="558"/>
      <c r="CPU166" s="558"/>
      <c r="CPV166" s="558"/>
      <c r="CPW166" s="558"/>
      <c r="CPX166" s="558"/>
      <c r="CPY166" s="558"/>
      <c r="CPZ166" s="558"/>
      <c r="CQA166" s="558"/>
      <c r="CQB166" s="558"/>
      <c r="CQC166" s="558"/>
      <c r="CQD166" s="558"/>
      <c r="CQE166" s="558"/>
      <c r="CQF166" s="558"/>
      <c r="CQG166" s="558"/>
      <c r="CQH166" s="558"/>
      <c r="CQI166" s="558"/>
      <c r="CQJ166" s="558"/>
      <c r="CQK166" s="558"/>
      <c r="CQL166" s="558"/>
      <c r="CQM166" s="558"/>
      <c r="CQN166" s="558"/>
      <c r="CQO166" s="558"/>
      <c r="CQP166" s="558"/>
      <c r="CQQ166" s="558"/>
      <c r="CQR166" s="558"/>
      <c r="CQS166" s="558"/>
      <c r="CQT166" s="558"/>
      <c r="CQU166" s="558"/>
      <c r="CQV166" s="558"/>
      <c r="CQW166" s="558"/>
      <c r="CQX166" s="558"/>
      <c r="CQY166" s="558"/>
      <c r="CQZ166" s="558"/>
      <c r="CRA166" s="558"/>
      <c r="CRB166" s="558"/>
      <c r="CRC166" s="558"/>
      <c r="CRD166" s="558"/>
      <c r="CRE166" s="558"/>
      <c r="CRF166" s="558"/>
      <c r="CRG166" s="558"/>
      <c r="CRH166" s="558"/>
      <c r="CRI166" s="558"/>
      <c r="CRJ166" s="558"/>
      <c r="CRK166" s="558"/>
      <c r="CRL166" s="558"/>
      <c r="CRM166" s="558"/>
      <c r="CRN166" s="558"/>
      <c r="CRO166" s="558"/>
      <c r="CRP166" s="558"/>
      <c r="CRQ166" s="558"/>
      <c r="CRR166" s="558"/>
      <c r="CRS166" s="558"/>
      <c r="CRT166" s="558"/>
      <c r="CRU166" s="558"/>
      <c r="CRV166" s="558"/>
      <c r="CRW166" s="558"/>
      <c r="CRX166" s="558"/>
      <c r="CRY166" s="558"/>
      <c r="CRZ166" s="558"/>
      <c r="CSA166" s="558"/>
      <c r="CSB166" s="558"/>
      <c r="CSC166" s="558"/>
      <c r="CSD166" s="558"/>
      <c r="CSE166" s="558"/>
      <c r="CSF166" s="558"/>
      <c r="CSG166" s="558"/>
      <c r="CSH166" s="558"/>
      <c r="CSI166" s="558"/>
      <c r="CSJ166" s="558"/>
      <c r="CSK166" s="558"/>
      <c r="CSL166" s="558"/>
      <c r="CSM166" s="558"/>
      <c r="CSN166" s="558"/>
      <c r="CSO166" s="558"/>
      <c r="CSP166" s="558"/>
      <c r="CSQ166" s="558"/>
      <c r="CSR166" s="558"/>
      <c r="CSS166" s="558"/>
      <c r="CST166" s="558"/>
      <c r="CSU166" s="558"/>
      <c r="CSV166" s="558"/>
      <c r="CSW166" s="558"/>
      <c r="CSX166" s="558"/>
      <c r="CSY166" s="558"/>
      <c r="CSZ166" s="558"/>
      <c r="CTA166" s="558"/>
      <c r="CTB166" s="558"/>
      <c r="CTC166" s="558"/>
      <c r="CTD166" s="558"/>
      <c r="CTE166" s="558"/>
      <c r="CTF166" s="558"/>
      <c r="CTG166" s="558"/>
      <c r="CTH166" s="558"/>
      <c r="CTI166" s="558"/>
      <c r="CTJ166" s="558"/>
      <c r="CTK166" s="558"/>
      <c r="CTL166" s="558"/>
      <c r="CTM166" s="558"/>
      <c r="CTN166" s="558"/>
      <c r="CTO166" s="558"/>
      <c r="CTP166" s="558"/>
      <c r="CTQ166" s="558"/>
      <c r="CTR166" s="558"/>
      <c r="CTS166" s="558"/>
      <c r="CTT166" s="558"/>
      <c r="CTU166" s="558"/>
      <c r="CTV166" s="558"/>
      <c r="CTW166" s="558"/>
      <c r="CTX166" s="558"/>
      <c r="CTY166" s="558"/>
      <c r="CTZ166" s="558"/>
      <c r="CUA166" s="558"/>
      <c r="CUB166" s="558"/>
      <c r="CUC166" s="558"/>
      <c r="CUD166" s="558"/>
      <c r="CUE166" s="558"/>
      <c r="CUF166" s="558"/>
      <c r="CUG166" s="558"/>
      <c r="CUH166" s="558"/>
      <c r="CUI166" s="558"/>
      <c r="CUJ166" s="558"/>
      <c r="CUK166" s="558"/>
      <c r="CUL166" s="558"/>
      <c r="CUM166" s="558"/>
      <c r="CUN166" s="558"/>
      <c r="CUO166" s="558"/>
      <c r="CUP166" s="558"/>
      <c r="CUQ166" s="558"/>
      <c r="CUR166" s="558"/>
      <c r="CUS166" s="558"/>
      <c r="CUT166" s="558"/>
      <c r="CUU166" s="558"/>
      <c r="CUV166" s="558"/>
      <c r="CUW166" s="558"/>
      <c r="CUX166" s="558"/>
      <c r="CUY166" s="558"/>
      <c r="CUZ166" s="558"/>
      <c r="CVA166" s="558"/>
      <c r="CVB166" s="558"/>
      <c r="CVC166" s="558"/>
      <c r="CVD166" s="558"/>
      <c r="CVE166" s="558"/>
      <c r="CVF166" s="558"/>
      <c r="CVG166" s="558"/>
      <c r="CVH166" s="558"/>
      <c r="CVI166" s="558"/>
      <c r="CVJ166" s="558"/>
      <c r="CVK166" s="558"/>
      <c r="CVL166" s="558"/>
      <c r="CVM166" s="558"/>
      <c r="CVN166" s="558"/>
      <c r="CVO166" s="558"/>
      <c r="CVP166" s="558"/>
      <c r="CVQ166" s="558"/>
      <c r="CVR166" s="558"/>
      <c r="CVS166" s="558"/>
      <c r="CVT166" s="558"/>
      <c r="CVU166" s="558"/>
      <c r="CVV166" s="558"/>
      <c r="CVW166" s="558"/>
      <c r="CVX166" s="558"/>
      <c r="CVY166" s="558"/>
      <c r="CVZ166" s="558"/>
      <c r="CWA166" s="558"/>
      <c r="CWB166" s="558"/>
      <c r="CWC166" s="558"/>
      <c r="CWD166" s="558"/>
      <c r="CWE166" s="558"/>
      <c r="CWF166" s="558"/>
      <c r="CWG166" s="558"/>
      <c r="CWH166" s="558"/>
      <c r="CWI166" s="558"/>
      <c r="CWJ166" s="558"/>
      <c r="CWK166" s="558"/>
      <c r="CWL166" s="558"/>
      <c r="CWM166" s="558"/>
      <c r="CWN166" s="558"/>
      <c r="CWO166" s="558"/>
      <c r="CWP166" s="558"/>
      <c r="CWQ166" s="558"/>
      <c r="CWR166" s="558"/>
      <c r="CWS166" s="558"/>
      <c r="CWT166" s="558"/>
      <c r="CWU166" s="558"/>
      <c r="CWV166" s="558"/>
      <c r="CWW166" s="558"/>
      <c r="CWX166" s="558"/>
      <c r="CWY166" s="558"/>
      <c r="CWZ166" s="558"/>
      <c r="CXA166" s="558"/>
      <c r="CXB166" s="558"/>
      <c r="CXC166" s="558"/>
      <c r="CXD166" s="558"/>
      <c r="CXE166" s="558"/>
      <c r="CXF166" s="558"/>
      <c r="CXG166" s="558"/>
      <c r="CXH166" s="558"/>
      <c r="CXI166" s="558"/>
      <c r="CXJ166" s="558"/>
      <c r="CXK166" s="558"/>
      <c r="CXL166" s="558"/>
      <c r="CXM166" s="558"/>
      <c r="CXN166" s="558"/>
      <c r="CXO166" s="558"/>
      <c r="CXP166" s="558"/>
      <c r="CXQ166" s="558"/>
      <c r="CXR166" s="558"/>
      <c r="CXS166" s="558"/>
      <c r="CXT166" s="558"/>
      <c r="CXU166" s="558"/>
      <c r="CXV166" s="558"/>
      <c r="CXW166" s="558"/>
      <c r="CXX166" s="558"/>
      <c r="CXY166" s="558"/>
      <c r="CXZ166" s="558"/>
      <c r="CYA166" s="558"/>
      <c r="CYB166" s="558"/>
      <c r="CYC166" s="558"/>
      <c r="CYD166" s="558"/>
      <c r="CYE166" s="558"/>
      <c r="CYF166" s="558"/>
      <c r="CYG166" s="558"/>
      <c r="CYH166" s="558"/>
      <c r="CYI166" s="558"/>
      <c r="CYJ166" s="558"/>
      <c r="CYK166" s="558"/>
      <c r="CYL166" s="558"/>
      <c r="CYM166" s="558"/>
      <c r="CYN166" s="558"/>
      <c r="CYO166" s="558"/>
      <c r="CYP166" s="558"/>
      <c r="CYQ166" s="558"/>
      <c r="CYR166" s="558"/>
      <c r="CYS166" s="558"/>
      <c r="CYT166" s="558"/>
      <c r="CYU166" s="558"/>
      <c r="CYV166" s="558"/>
      <c r="CYW166" s="558"/>
      <c r="CYX166" s="558"/>
      <c r="CYY166" s="558"/>
      <c r="CYZ166" s="558"/>
      <c r="CZA166" s="558"/>
      <c r="CZB166" s="558"/>
      <c r="CZC166" s="558"/>
      <c r="CZD166" s="558"/>
      <c r="CZE166" s="558"/>
      <c r="CZF166" s="558"/>
      <c r="CZG166" s="558"/>
      <c r="CZH166" s="558"/>
      <c r="CZI166" s="558"/>
      <c r="CZJ166" s="558"/>
      <c r="CZK166" s="558"/>
      <c r="CZL166" s="558"/>
      <c r="CZM166" s="558"/>
      <c r="CZN166" s="558"/>
      <c r="CZO166" s="558"/>
      <c r="CZP166" s="558"/>
      <c r="CZQ166" s="558"/>
      <c r="CZR166" s="558"/>
      <c r="CZS166" s="558"/>
      <c r="CZT166" s="558"/>
      <c r="CZU166" s="558"/>
      <c r="CZV166" s="558"/>
      <c r="CZW166" s="558"/>
      <c r="CZX166" s="558"/>
      <c r="CZY166" s="558"/>
      <c r="CZZ166" s="558"/>
      <c r="DAA166" s="558"/>
      <c r="DAB166" s="558"/>
      <c r="DAC166" s="558"/>
      <c r="DAD166" s="558"/>
      <c r="DAE166" s="558"/>
      <c r="DAF166" s="558"/>
      <c r="DAG166" s="558"/>
      <c r="DAH166" s="558"/>
      <c r="DAI166" s="558"/>
      <c r="DAJ166" s="558"/>
      <c r="DAK166" s="558"/>
      <c r="DAL166" s="558"/>
      <c r="DAM166" s="558"/>
      <c r="DAN166" s="558"/>
      <c r="DAO166" s="558"/>
      <c r="DAP166" s="558"/>
      <c r="DAQ166" s="558"/>
      <c r="DAR166" s="558"/>
      <c r="DAS166" s="558"/>
      <c r="DAT166" s="558"/>
      <c r="DAU166" s="558"/>
      <c r="DAV166" s="558"/>
      <c r="DAW166" s="558"/>
      <c r="DAX166" s="558"/>
      <c r="DAY166" s="558"/>
      <c r="DAZ166" s="558"/>
      <c r="DBA166" s="558"/>
      <c r="DBB166" s="558"/>
      <c r="DBC166" s="558"/>
      <c r="DBD166" s="558"/>
      <c r="DBE166" s="558"/>
      <c r="DBF166" s="558"/>
      <c r="DBG166" s="558"/>
      <c r="DBH166" s="558"/>
      <c r="DBI166" s="558"/>
      <c r="DBJ166" s="558"/>
      <c r="DBK166" s="558"/>
      <c r="DBL166" s="558"/>
      <c r="DBM166" s="558"/>
      <c r="DBN166" s="558"/>
      <c r="DBO166" s="558"/>
      <c r="DBP166" s="558"/>
      <c r="DBQ166" s="558"/>
      <c r="DBR166" s="558"/>
      <c r="DBS166" s="558"/>
      <c r="DBT166" s="558"/>
      <c r="DBU166" s="558"/>
      <c r="DBV166" s="558"/>
      <c r="DBW166" s="558"/>
      <c r="DBX166" s="558"/>
      <c r="DBY166" s="558"/>
      <c r="DBZ166" s="558"/>
      <c r="DCA166" s="558"/>
      <c r="DCB166" s="558"/>
      <c r="DCC166" s="558"/>
      <c r="DCD166" s="558"/>
      <c r="DCE166" s="558"/>
      <c r="DCF166" s="558"/>
      <c r="DCG166" s="558"/>
      <c r="DCH166" s="558"/>
      <c r="DCI166" s="558"/>
      <c r="DCJ166" s="558"/>
      <c r="DCK166" s="558"/>
      <c r="DCL166" s="558"/>
      <c r="DCM166" s="558"/>
      <c r="DCN166" s="558"/>
      <c r="DCO166" s="558"/>
      <c r="DCP166" s="558"/>
      <c r="DCQ166" s="558"/>
      <c r="DCR166" s="558"/>
      <c r="DCS166" s="558"/>
      <c r="DCT166" s="558"/>
      <c r="DCU166" s="558"/>
      <c r="DCV166" s="558"/>
      <c r="DCW166" s="558"/>
      <c r="DCX166" s="558"/>
      <c r="DCY166" s="558"/>
      <c r="DCZ166" s="558"/>
      <c r="DDA166" s="558"/>
      <c r="DDB166" s="558"/>
      <c r="DDC166" s="558"/>
      <c r="DDD166" s="558"/>
      <c r="DDE166" s="558"/>
      <c r="DDF166" s="558"/>
      <c r="DDG166" s="558"/>
      <c r="DDH166" s="558"/>
      <c r="DDI166" s="558"/>
      <c r="DDJ166" s="558"/>
      <c r="DDK166" s="558"/>
      <c r="DDL166" s="558"/>
      <c r="DDM166" s="558"/>
      <c r="DDN166" s="558"/>
      <c r="DDO166" s="558"/>
      <c r="DDP166" s="558"/>
      <c r="DDQ166" s="558"/>
      <c r="DDR166" s="558"/>
      <c r="DDS166" s="558"/>
      <c r="DDT166" s="558"/>
      <c r="DDU166" s="558"/>
      <c r="DDV166" s="558"/>
      <c r="DDW166" s="558"/>
      <c r="DDX166" s="558"/>
      <c r="DDY166" s="558"/>
      <c r="DDZ166" s="558"/>
      <c r="DEA166" s="558"/>
      <c r="DEB166" s="558"/>
      <c r="DEC166" s="558"/>
      <c r="DED166" s="558"/>
      <c r="DEE166" s="558"/>
      <c r="DEF166" s="558"/>
      <c r="DEG166" s="558"/>
      <c r="DEH166" s="558"/>
      <c r="DEI166" s="558"/>
      <c r="DEJ166" s="558"/>
      <c r="DEK166" s="558"/>
      <c r="DEL166" s="558"/>
      <c r="DEM166" s="558"/>
      <c r="DEN166" s="558"/>
      <c r="DEO166" s="558"/>
      <c r="DEP166" s="558"/>
      <c r="DEQ166" s="558"/>
      <c r="DER166" s="558"/>
      <c r="DES166" s="558"/>
      <c r="DET166" s="558"/>
      <c r="DEU166" s="558"/>
      <c r="DEV166" s="558"/>
      <c r="DEW166" s="558"/>
      <c r="DEX166" s="558"/>
      <c r="DEY166" s="558"/>
      <c r="DEZ166" s="558"/>
      <c r="DFA166" s="558"/>
      <c r="DFB166" s="558"/>
      <c r="DFC166" s="558"/>
      <c r="DFD166" s="558"/>
      <c r="DFE166" s="558"/>
      <c r="DFF166" s="558"/>
      <c r="DFG166" s="558"/>
      <c r="DFH166" s="558"/>
      <c r="DFI166" s="558"/>
      <c r="DFJ166" s="558"/>
      <c r="DFK166" s="558"/>
      <c r="DFL166" s="558"/>
      <c r="DFM166" s="558"/>
      <c r="DFN166" s="558"/>
      <c r="DFO166" s="558"/>
      <c r="DFP166" s="558"/>
      <c r="DFQ166" s="558"/>
      <c r="DFR166" s="558"/>
      <c r="DFS166" s="558"/>
      <c r="DFT166" s="558"/>
      <c r="DFU166" s="558"/>
      <c r="DFV166" s="558"/>
      <c r="DFW166" s="558"/>
      <c r="DFX166" s="558"/>
      <c r="DFY166" s="558"/>
      <c r="DFZ166" s="558"/>
      <c r="DGA166" s="558"/>
      <c r="DGB166" s="558"/>
      <c r="DGC166" s="558"/>
      <c r="DGD166" s="558"/>
      <c r="DGE166" s="558"/>
      <c r="DGF166" s="558"/>
      <c r="DGG166" s="558"/>
      <c r="DGH166" s="558"/>
      <c r="DGI166" s="558"/>
      <c r="DGJ166" s="558"/>
      <c r="DGK166" s="558"/>
      <c r="DGL166" s="558"/>
      <c r="DGM166" s="558"/>
      <c r="DGN166" s="558"/>
      <c r="DGO166" s="558"/>
      <c r="DGP166" s="558"/>
      <c r="DGQ166" s="558"/>
      <c r="DGR166" s="558"/>
      <c r="DGS166" s="558"/>
      <c r="DGT166" s="558"/>
      <c r="DGU166" s="558"/>
      <c r="DGV166" s="558"/>
      <c r="DGW166" s="558"/>
      <c r="DGX166" s="558"/>
      <c r="DGY166" s="558"/>
      <c r="DGZ166" s="558"/>
      <c r="DHA166" s="558"/>
      <c r="DHB166" s="558"/>
      <c r="DHC166" s="558"/>
      <c r="DHD166" s="558"/>
      <c r="DHE166" s="558"/>
      <c r="DHF166" s="558"/>
      <c r="DHG166" s="558"/>
      <c r="DHH166" s="558"/>
      <c r="DHI166" s="558"/>
      <c r="DHJ166" s="558"/>
      <c r="DHK166" s="558"/>
      <c r="DHL166" s="558"/>
      <c r="DHM166" s="558"/>
      <c r="DHN166" s="558"/>
      <c r="DHO166" s="558"/>
      <c r="DHP166" s="558"/>
      <c r="DHQ166" s="558"/>
      <c r="DHR166" s="558"/>
      <c r="DHS166" s="558"/>
      <c r="DHT166" s="558"/>
      <c r="DHU166" s="558"/>
      <c r="DHV166" s="558"/>
      <c r="DHW166" s="558"/>
      <c r="DHX166" s="558"/>
      <c r="DHY166" s="558"/>
      <c r="DHZ166" s="558"/>
      <c r="DIA166" s="558"/>
      <c r="DIB166" s="558"/>
      <c r="DIC166" s="558"/>
      <c r="DID166" s="558"/>
      <c r="DIE166" s="558"/>
      <c r="DIF166" s="558"/>
      <c r="DIG166" s="558"/>
      <c r="DIH166" s="558"/>
      <c r="DII166" s="558"/>
      <c r="DIJ166" s="558"/>
      <c r="DIK166" s="558"/>
      <c r="DIL166" s="558"/>
      <c r="DIM166" s="558"/>
      <c r="DIN166" s="558"/>
      <c r="DIO166" s="558"/>
      <c r="DIP166" s="558"/>
      <c r="DIQ166" s="558"/>
      <c r="DIR166" s="558"/>
      <c r="DIS166" s="558"/>
      <c r="DIT166" s="558"/>
      <c r="DIU166" s="558"/>
      <c r="DIV166" s="558"/>
      <c r="DIW166" s="558"/>
      <c r="DIX166" s="558"/>
      <c r="DIY166" s="558"/>
      <c r="DIZ166" s="558"/>
      <c r="DJA166" s="558"/>
      <c r="DJB166" s="558"/>
      <c r="DJC166" s="558"/>
      <c r="DJD166" s="558"/>
      <c r="DJE166" s="558"/>
      <c r="DJF166" s="558"/>
      <c r="DJG166" s="558"/>
      <c r="DJH166" s="558"/>
      <c r="DJI166" s="558"/>
      <c r="DJJ166" s="558"/>
      <c r="DJK166" s="558"/>
      <c r="DJL166" s="558"/>
      <c r="DJM166" s="558"/>
      <c r="DJN166" s="558"/>
      <c r="DJO166" s="558"/>
      <c r="DJP166" s="558"/>
      <c r="DJQ166" s="558"/>
      <c r="DJR166" s="558"/>
      <c r="DJS166" s="558"/>
      <c r="DJT166" s="558"/>
      <c r="DJU166" s="558"/>
      <c r="DJV166" s="558"/>
      <c r="DJW166" s="558"/>
      <c r="DJX166" s="558"/>
      <c r="DJY166" s="558"/>
      <c r="DJZ166" s="558"/>
      <c r="DKA166" s="558"/>
      <c r="DKB166" s="558"/>
      <c r="DKC166" s="558"/>
      <c r="DKD166" s="558"/>
      <c r="DKE166" s="558"/>
      <c r="DKF166" s="558"/>
      <c r="DKG166" s="558"/>
      <c r="DKH166" s="558"/>
      <c r="DKI166" s="558"/>
      <c r="DKJ166" s="558"/>
      <c r="DKK166" s="558"/>
      <c r="DKL166" s="558"/>
      <c r="DKM166" s="558"/>
      <c r="DKN166" s="558"/>
      <c r="DKO166" s="558"/>
      <c r="DKP166" s="558"/>
      <c r="DKQ166" s="558"/>
      <c r="DKR166" s="558"/>
      <c r="DKS166" s="558"/>
      <c r="DKT166" s="558"/>
      <c r="DKU166" s="558"/>
      <c r="DKV166" s="558"/>
      <c r="DKW166" s="558"/>
      <c r="DKX166" s="558"/>
      <c r="DKY166" s="558"/>
      <c r="DKZ166" s="558"/>
      <c r="DLA166" s="558"/>
      <c r="DLB166" s="558"/>
      <c r="DLC166" s="558"/>
      <c r="DLD166" s="558"/>
      <c r="DLE166" s="558"/>
      <c r="DLF166" s="558"/>
      <c r="DLG166" s="558"/>
      <c r="DLH166" s="558"/>
      <c r="DLI166" s="558"/>
      <c r="DLJ166" s="558"/>
      <c r="DLK166" s="558"/>
      <c r="DLL166" s="558"/>
      <c r="DLM166" s="558"/>
      <c r="DLN166" s="558"/>
      <c r="DLO166" s="558"/>
      <c r="DLP166" s="558"/>
      <c r="DLQ166" s="558"/>
      <c r="DLR166" s="558"/>
      <c r="DLS166" s="558"/>
      <c r="DLT166" s="558"/>
      <c r="DLU166" s="558"/>
      <c r="DLV166" s="558"/>
      <c r="DLW166" s="558"/>
      <c r="DLX166" s="558"/>
      <c r="DLY166" s="558"/>
      <c r="DLZ166" s="558"/>
      <c r="DMA166" s="558"/>
      <c r="DMB166" s="558"/>
      <c r="DMC166" s="558"/>
      <c r="DMD166" s="558"/>
      <c r="DME166" s="558"/>
      <c r="DMF166" s="558"/>
      <c r="DMG166" s="558"/>
      <c r="DMH166" s="558"/>
      <c r="DMI166" s="558"/>
      <c r="DMJ166" s="558"/>
      <c r="DMK166" s="558"/>
      <c r="DML166" s="558"/>
      <c r="DMM166" s="558"/>
      <c r="DMN166" s="558"/>
      <c r="DMO166" s="558"/>
      <c r="DMP166" s="558"/>
      <c r="DMQ166" s="558"/>
      <c r="DMR166" s="558"/>
      <c r="DMS166" s="558"/>
      <c r="DMT166" s="558"/>
      <c r="DMU166" s="558"/>
      <c r="DMV166" s="558"/>
      <c r="DMW166" s="558"/>
      <c r="DMX166" s="558"/>
      <c r="DMY166" s="558"/>
      <c r="DMZ166" s="558"/>
      <c r="DNA166" s="558"/>
      <c r="DNB166" s="558"/>
      <c r="DNC166" s="558"/>
      <c r="DND166" s="558"/>
      <c r="DNE166" s="558"/>
      <c r="DNF166" s="558"/>
      <c r="DNG166" s="558"/>
      <c r="DNH166" s="558"/>
      <c r="DNI166" s="558"/>
      <c r="DNJ166" s="558"/>
      <c r="DNK166" s="558"/>
      <c r="DNL166" s="558"/>
      <c r="DNM166" s="558"/>
      <c r="DNN166" s="558"/>
      <c r="DNO166" s="558"/>
      <c r="DNP166" s="558"/>
      <c r="DNQ166" s="558"/>
      <c r="DNR166" s="558"/>
      <c r="DNS166" s="558"/>
      <c r="DNT166" s="558"/>
      <c r="DNU166" s="558"/>
      <c r="DNV166" s="558"/>
      <c r="DNW166" s="558"/>
      <c r="DNX166" s="558"/>
      <c r="DNY166" s="558"/>
      <c r="DNZ166" s="558"/>
      <c r="DOA166" s="558"/>
      <c r="DOB166" s="558"/>
      <c r="DOC166" s="558"/>
      <c r="DOD166" s="558"/>
      <c r="DOE166" s="558"/>
      <c r="DOF166" s="558"/>
      <c r="DOG166" s="558"/>
      <c r="DOH166" s="558"/>
      <c r="DOI166" s="558"/>
      <c r="DOJ166" s="558"/>
      <c r="DOK166" s="558"/>
      <c r="DOL166" s="558"/>
      <c r="DOM166" s="558"/>
      <c r="DON166" s="558"/>
      <c r="DOO166" s="558"/>
      <c r="DOP166" s="558"/>
      <c r="DOQ166" s="558"/>
      <c r="DOR166" s="558"/>
      <c r="DOS166" s="558"/>
      <c r="DOT166" s="558"/>
      <c r="DOU166" s="558"/>
      <c r="DOV166" s="558"/>
      <c r="DOW166" s="558"/>
      <c r="DOX166" s="558"/>
      <c r="DOY166" s="558"/>
      <c r="DOZ166" s="558"/>
      <c r="DPA166" s="558"/>
      <c r="DPB166" s="558"/>
      <c r="DPC166" s="558"/>
      <c r="DPD166" s="558"/>
      <c r="DPE166" s="558"/>
      <c r="DPF166" s="558"/>
      <c r="DPG166" s="558"/>
      <c r="DPH166" s="558"/>
      <c r="DPI166" s="558"/>
      <c r="DPJ166" s="558"/>
      <c r="DPK166" s="558"/>
      <c r="DPL166" s="558"/>
      <c r="DPM166" s="558"/>
      <c r="DPN166" s="558"/>
      <c r="DPO166" s="558"/>
      <c r="DPP166" s="558"/>
      <c r="DPQ166" s="558"/>
      <c r="DPR166" s="558"/>
      <c r="DPS166" s="558"/>
      <c r="DPT166" s="558"/>
      <c r="DPU166" s="558"/>
      <c r="DPV166" s="558"/>
      <c r="DPW166" s="558"/>
      <c r="DPX166" s="558"/>
      <c r="DPY166" s="558"/>
      <c r="DPZ166" s="558"/>
      <c r="DQA166" s="558"/>
      <c r="DQB166" s="558"/>
      <c r="DQC166" s="558"/>
      <c r="DQD166" s="558"/>
      <c r="DQE166" s="558"/>
      <c r="DQF166" s="558"/>
      <c r="DQG166" s="558"/>
      <c r="DQH166" s="558"/>
      <c r="DQI166" s="558"/>
      <c r="DQJ166" s="558"/>
      <c r="DQK166" s="558"/>
      <c r="DQL166" s="558"/>
      <c r="DQM166" s="558"/>
      <c r="DQN166" s="558"/>
      <c r="DQO166" s="558"/>
      <c r="DQP166" s="558"/>
      <c r="DQQ166" s="558"/>
      <c r="DQR166" s="558"/>
      <c r="DQS166" s="558"/>
      <c r="DQT166" s="558"/>
      <c r="DQU166" s="558"/>
      <c r="DQV166" s="558"/>
      <c r="DQW166" s="558"/>
      <c r="DQX166" s="558"/>
      <c r="DQY166" s="558"/>
      <c r="DQZ166" s="558"/>
      <c r="DRA166" s="558"/>
      <c r="DRB166" s="558"/>
      <c r="DRC166" s="558"/>
      <c r="DRD166" s="558"/>
      <c r="DRE166" s="558"/>
      <c r="DRF166" s="558"/>
      <c r="DRG166" s="558"/>
      <c r="DRH166" s="558"/>
      <c r="DRI166" s="558"/>
      <c r="DRJ166" s="558"/>
      <c r="DRK166" s="558"/>
      <c r="DRL166" s="558"/>
      <c r="DRM166" s="558"/>
      <c r="DRN166" s="558"/>
      <c r="DRO166" s="558"/>
      <c r="DRP166" s="558"/>
      <c r="DRQ166" s="558"/>
      <c r="DRR166" s="558"/>
      <c r="DRS166" s="558"/>
      <c r="DRT166" s="558"/>
      <c r="DRU166" s="558"/>
      <c r="DRV166" s="558"/>
      <c r="DRW166" s="558"/>
      <c r="DRX166" s="558"/>
      <c r="DRY166" s="558"/>
      <c r="DRZ166" s="558"/>
      <c r="DSA166" s="558"/>
      <c r="DSB166" s="558"/>
      <c r="DSC166" s="558"/>
      <c r="DSD166" s="558"/>
      <c r="DSE166" s="558"/>
      <c r="DSF166" s="558"/>
      <c r="DSG166" s="558"/>
      <c r="DSH166" s="558"/>
      <c r="DSI166" s="558"/>
      <c r="DSJ166" s="558"/>
      <c r="DSK166" s="558"/>
      <c r="DSL166" s="558"/>
      <c r="DSM166" s="558"/>
      <c r="DSN166" s="558"/>
      <c r="DSO166" s="558"/>
      <c r="DSP166" s="558"/>
      <c r="DSQ166" s="558"/>
      <c r="DSR166" s="558"/>
      <c r="DSS166" s="558"/>
      <c r="DST166" s="558"/>
      <c r="DSU166" s="558"/>
      <c r="DSV166" s="558"/>
      <c r="DSW166" s="558"/>
      <c r="DSX166" s="558"/>
      <c r="DSY166" s="558"/>
      <c r="DSZ166" s="558"/>
      <c r="DTA166" s="558"/>
      <c r="DTB166" s="558"/>
      <c r="DTC166" s="558"/>
      <c r="DTD166" s="558"/>
      <c r="DTE166" s="558"/>
      <c r="DTF166" s="558"/>
      <c r="DTG166" s="558"/>
      <c r="DTH166" s="558"/>
      <c r="DTI166" s="558"/>
      <c r="DTJ166" s="558"/>
      <c r="DTK166" s="558"/>
      <c r="DTL166" s="558"/>
      <c r="DTM166" s="558"/>
      <c r="DTN166" s="558"/>
      <c r="DTO166" s="558"/>
      <c r="DTP166" s="558"/>
      <c r="DTQ166" s="558"/>
      <c r="DTR166" s="558"/>
      <c r="DTS166" s="558"/>
      <c r="DTT166" s="558"/>
      <c r="DTU166" s="558"/>
      <c r="DTV166" s="558"/>
      <c r="DTW166" s="558"/>
      <c r="DTX166" s="558"/>
      <c r="DTY166" s="558"/>
      <c r="DTZ166" s="558"/>
      <c r="DUA166" s="558"/>
      <c r="DUB166" s="558"/>
      <c r="DUC166" s="558"/>
      <c r="DUD166" s="558"/>
      <c r="DUE166" s="558"/>
      <c r="DUF166" s="558"/>
      <c r="DUG166" s="558"/>
      <c r="DUH166" s="558"/>
      <c r="DUI166" s="558"/>
      <c r="DUJ166" s="558"/>
      <c r="DUK166" s="558"/>
      <c r="DUL166" s="558"/>
      <c r="DUM166" s="558"/>
      <c r="DUN166" s="558"/>
      <c r="DUO166" s="558"/>
      <c r="DUP166" s="558"/>
      <c r="DUQ166" s="558"/>
      <c r="DUR166" s="558"/>
      <c r="DUS166" s="558"/>
      <c r="DUT166" s="558"/>
      <c r="DUU166" s="558"/>
      <c r="DUV166" s="558"/>
      <c r="DUW166" s="558"/>
      <c r="DUX166" s="558"/>
      <c r="DUY166" s="558"/>
      <c r="DUZ166" s="558"/>
      <c r="DVA166" s="558"/>
      <c r="DVB166" s="558"/>
      <c r="DVC166" s="558"/>
      <c r="DVD166" s="558"/>
      <c r="DVE166" s="558"/>
      <c r="DVF166" s="558"/>
      <c r="DVG166" s="558"/>
      <c r="DVH166" s="558"/>
      <c r="DVI166" s="558"/>
      <c r="DVJ166" s="558"/>
      <c r="DVK166" s="558"/>
      <c r="DVL166" s="558"/>
      <c r="DVM166" s="558"/>
      <c r="DVN166" s="558"/>
      <c r="DVO166" s="558"/>
      <c r="DVP166" s="558"/>
      <c r="DVQ166" s="558"/>
      <c r="DVR166" s="558"/>
      <c r="DVS166" s="558"/>
      <c r="DVT166" s="558"/>
      <c r="DVU166" s="558"/>
      <c r="DVV166" s="558"/>
      <c r="DVW166" s="558"/>
      <c r="DVX166" s="558"/>
      <c r="DVY166" s="558"/>
      <c r="DVZ166" s="558"/>
      <c r="DWA166" s="558"/>
      <c r="DWB166" s="558"/>
      <c r="DWC166" s="558"/>
      <c r="DWD166" s="558"/>
      <c r="DWE166" s="558"/>
      <c r="DWF166" s="558"/>
      <c r="DWG166" s="558"/>
      <c r="DWH166" s="558"/>
      <c r="DWI166" s="558"/>
      <c r="DWJ166" s="558"/>
      <c r="DWK166" s="558"/>
      <c r="DWL166" s="558"/>
      <c r="DWM166" s="558"/>
      <c r="DWN166" s="558"/>
      <c r="DWO166" s="558"/>
      <c r="DWP166" s="558"/>
      <c r="DWQ166" s="558"/>
      <c r="DWR166" s="558"/>
      <c r="DWS166" s="558"/>
      <c r="DWT166" s="558"/>
      <c r="DWU166" s="558"/>
      <c r="DWV166" s="558"/>
      <c r="DWW166" s="558"/>
      <c r="DWX166" s="558"/>
      <c r="DWY166" s="558"/>
      <c r="DWZ166" s="558"/>
      <c r="DXA166" s="558"/>
      <c r="DXB166" s="558"/>
      <c r="DXC166" s="558"/>
      <c r="DXD166" s="558"/>
      <c r="DXE166" s="558"/>
      <c r="DXF166" s="558"/>
      <c r="DXG166" s="558"/>
      <c r="DXH166" s="558"/>
      <c r="DXI166" s="558"/>
      <c r="DXJ166" s="558"/>
      <c r="DXK166" s="558"/>
      <c r="DXL166" s="558"/>
      <c r="DXM166" s="558"/>
      <c r="DXN166" s="558"/>
      <c r="DXO166" s="558"/>
      <c r="DXP166" s="558"/>
      <c r="DXQ166" s="558"/>
      <c r="DXR166" s="558"/>
      <c r="DXS166" s="558"/>
      <c r="DXT166" s="558"/>
      <c r="DXU166" s="558"/>
      <c r="DXV166" s="558"/>
      <c r="DXW166" s="558"/>
      <c r="DXX166" s="558"/>
      <c r="DXY166" s="558"/>
      <c r="DXZ166" s="558"/>
      <c r="DYA166" s="558"/>
      <c r="DYB166" s="558"/>
      <c r="DYC166" s="558"/>
      <c r="DYD166" s="558"/>
      <c r="DYE166" s="558"/>
      <c r="DYF166" s="558"/>
      <c r="DYG166" s="558"/>
      <c r="DYH166" s="558"/>
      <c r="DYI166" s="558"/>
      <c r="DYJ166" s="558"/>
      <c r="DYK166" s="558"/>
      <c r="DYL166" s="558"/>
      <c r="DYM166" s="558"/>
      <c r="DYN166" s="558"/>
      <c r="DYO166" s="558"/>
      <c r="DYP166" s="558"/>
      <c r="DYQ166" s="558"/>
      <c r="DYR166" s="558"/>
      <c r="DYS166" s="558"/>
      <c r="DYT166" s="558"/>
      <c r="DYU166" s="558"/>
      <c r="DYV166" s="558"/>
      <c r="DYW166" s="558"/>
      <c r="DYX166" s="558"/>
      <c r="DYY166" s="558"/>
      <c r="DYZ166" s="558"/>
      <c r="DZA166" s="558"/>
      <c r="DZB166" s="558"/>
      <c r="DZC166" s="558"/>
      <c r="DZD166" s="558"/>
      <c r="DZE166" s="558"/>
      <c r="DZF166" s="558"/>
      <c r="DZG166" s="558"/>
      <c r="DZH166" s="558"/>
      <c r="DZI166" s="558"/>
      <c r="DZJ166" s="558"/>
      <c r="DZK166" s="558"/>
      <c r="DZL166" s="558"/>
      <c r="DZM166" s="558"/>
      <c r="DZN166" s="558"/>
      <c r="DZO166" s="558"/>
      <c r="DZP166" s="558"/>
      <c r="DZQ166" s="558"/>
      <c r="DZR166" s="558"/>
      <c r="DZS166" s="558"/>
      <c r="DZT166" s="558"/>
      <c r="DZU166" s="558"/>
      <c r="DZV166" s="558"/>
      <c r="DZW166" s="558"/>
      <c r="DZX166" s="558"/>
      <c r="DZY166" s="558"/>
      <c r="DZZ166" s="558"/>
      <c r="EAA166" s="558"/>
      <c r="EAB166" s="558"/>
      <c r="EAC166" s="558"/>
      <c r="EAD166" s="558"/>
      <c r="EAE166" s="558"/>
      <c r="EAF166" s="558"/>
      <c r="EAG166" s="558"/>
      <c r="EAH166" s="558"/>
      <c r="EAI166" s="558"/>
      <c r="EAJ166" s="558"/>
      <c r="EAK166" s="558"/>
      <c r="EAL166" s="558"/>
      <c r="EAM166" s="558"/>
      <c r="EAN166" s="558"/>
      <c r="EAO166" s="558"/>
      <c r="EAP166" s="558"/>
      <c r="EAQ166" s="558"/>
      <c r="EAR166" s="558"/>
      <c r="EAS166" s="558"/>
      <c r="EAT166" s="558"/>
      <c r="EAU166" s="558"/>
      <c r="EAV166" s="558"/>
      <c r="EAW166" s="558"/>
      <c r="EAX166" s="558"/>
      <c r="EAY166" s="558"/>
      <c r="EAZ166" s="558"/>
      <c r="EBA166" s="558"/>
      <c r="EBB166" s="558"/>
      <c r="EBC166" s="558"/>
      <c r="EBD166" s="558"/>
      <c r="EBE166" s="558"/>
      <c r="EBF166" s="558"/>
      <c r="EBG166" s="558"/>
      <c r="EBH166" s="558"/>
      <c r="EBI166" s="558"/>
      <c r="EBJ166" s="558"/>
      <c r="EBK166" s="558"/>
      <c r="EBL166" s="558"/>
      <c r="EBM166" s="558"/>
      <c r="EBN166" s="558"/>
      <c r="EBO166" s="558"/>
      <c r="EBP166" s="558"/>
      <c r="EBQ166" s="558"/>
      <c r="EBR166" s="558"/>
      <c r="EBS166" s="558"/>
      <c r="EBT166" s="558"/>
      <c r="EBU166" s="558"/>
      <c r="EBV166" s="558"/>
      <c r="EBW166" s="558"/>
      <c r="EBX166" s="558"/>
      <c r="EBY166" s="558"/>
      <c r="EBZ166" s="558"/>
      <c r="ECA166" s="558"/>
      <c r="ECB166" s="558"/>
      <c r="ECC166" s="558"/>
      <c r="ECD166" s="558"/>
      <c r="ECE166" s="558"/>
      <c r="ECF166" s="558"/>
      <c r="ECG166" s="558"/>
      <c r="ECH166" s="558"/>
      <c r="ECI166" s="558"/>
      <c r="ECJ166" s="558"/>
      <c r="ECK166" s="558"/>
      <c r="ECL166" s="558"/>
      <c r="ECM166" s="558"/>
      <c r="ECN166" s="558"/>
      <c r="ECO166" s="558"/>
      <c r="ECP166" s="558"/>
      <c r="ECQ166" s="558"/>
      <c r="ECR166" s="558"/>
      <c r="ECS166" s="558"/>
      <c r="ECT166" s="558"/>
      <c r="ECU166" s="558"/>
      <c r="ECV166" s="558"/>
      <c r="ECW166" s="558"/>
      <c r="ECX166" s="558"/>
      <c r="ECY166" s="558"/>
      <c r="ECZ166" s="558"/>
      <c r="EDA166" s="558"/>
      <c r="EDB166" s="558"/>
      <c r="EDC166" s="558"/>
      <c r="EDD166" s="558"/>
      <c r="EDE166" s="558"/>
      <c r="EDF166" s="558"/>
      <c r="EDG166" s="558"/>
      <c r="EDH166" s="558"/>
      <c r="EDI166" s="558"/>
      <c r="EDJ166" s="558"/>
      <c r="EDK166" s="558"/>
      <c r="EDL166" s="558"/>
      <c r="EDM166" s="558"/>
      <c r="EDN166" s="558"/>
      <c r="EDO166" s="558"/>
      <c r="EDP166" s="558"/>
      <c r="EDQ166" s="558"/>
      <c r="EDR166" s="558"/>
      <c r="EDS166" s="558"/>
      <c r="EDT166" s="558"/>
      <c r="EDU166" s="558"/>
      <c r="EDV166" s="558"/>
      <c r="EDW166" s="558"/>
      <c r="EDX166" s="558"/>
      <c r="EDY166" s="558"/>
      <c r="EDZ166" s="558"/>
      <c r="EEA166" s="558"/>
      <c r="EEB166" s="558"/>
      <c r="EEC166" s="558"/>
      <c r="EED166" s="558"/>
      <c r="EEE166" s="558"/>
      <c r="EEF166" s="558"/>
      <c r="EEG166" s="558"/>
      <c r="EEH166" s="558"/>
      <c r="EEI166" s="558"/>
      <c r="EEJ166" s="558"/>
      <c r="EEK166" s="558"/>
      <c r="EEL166" s="558"/>
      <c r="EEM166" s="558"/>
      <c r="EEN166" s="558"/>
      <c r="EEO166" s="558"/>
      <c r="EEP166" s="558"/>
      <c r="EEQ166" s="558"/>
      <c r="EER166" s="558"/>
      <c r="EES166" s="558"/>
      <c r="EET166" s="558"/>
      <c r="EEU166" s="558"/>
      <c r="EEV166" s="558"/>
      <c r="EEW166" s="558"/>
      <c r="EEX166" s="558"/>
      <c r="EEY166" s="558"/>
      <c r="EEZ166" s="558"/>
      <c r="EFA166" s="558"/>
      <c r="EFB166" s="558"/>
      <c r="EFC166" s="558"/>
      <c r="EFD166" s="558"/>
      <c r="EFE166" s="558"/>
      <c r="EFF166" s="558"/>
      <c r="EFG166" s="558"/>
      <c r="EFH166" s="558"/>
      <c r="EFI166" s="558"/>
      <c r="EFJ166" s="558"/>
      <c r="EFK166" s="558"/>
      <c r="EFL166" s="558"/>
      <c r="EFM166" s="558"/>
      <c r="EFN166" s="558"/>
      <c r="EFO166" s="558"/>
      <c r="EFP166" s="558"/>
      <c r="EFQ166" s="558"/>
      <c r="EFR166" s="558"/>
      <c r="EFS166" s="558"/>
      <c r="EFT166" s="558"/>
      <c r="EFU166" s="558"/>
      <c r="EFV166" s="558"/>
      <c r="EFW166" s="558"/>
      <c r="EFX166" s="558"/>
      <c r="EFY166" s="558"/>
      <c r="EFZ166" s="558"/>
      <c r="EGA166" s="558"/>
      <c r="EGB166" s="558"/>
      <c r="EGC166" s="558"/>
      <c r="EGD166" s="558"/>
      <c r="EGE166" s="558"/>
      <c r="EGF166" s="558"/>
      <c r="EGG166" s="558"/>
      <c r="EGH166" s="558"/>
      <c r="EGI166" s="558"/>
      <c r="EGJ166" s="558"/>
      <c r="EGK166" s="558"/>
      <c r="EGL166" s="558"/>
      <c r="EGM166" s="558"/>
      <c r="EGN166" s="558"/>
      <c r="EGO166" s="558"/>
      <c r="EGP166" s="558"/>
      <c r="EGQ166" s="558"/>
      <c r="EGR166" s="558"/>
      <c r="EGS166" s="558"/>
      <c r="EGT166" s="558"/>
      <c r="EGU166" s="558"/>
      <c r="EGV166" s="558"/>
      <c r="EGW166" s="558"/>
      <c r="EGX166" s="558"/>
      <c r="EGY166" s="558"/>
      <c r="EGZ166" s="558"/>
      <c r="EHA166" s="558"/>
      <c r="EHB166" s="558"/>
      <c r="EHC166" s="558"/>
      <c r="EHD166" s="558"/>
      <c r="EHE166" s="558"/>
      <c r="EHF166" s="558"/>
      <c r="EHG166" s="558"/>
      <c r="EHH166" s="558"/>
      <c r="EHI166" s="558"/>
      <c r="EHJ166" s="558"/>
      <c r="EHK166" s="558"/>
      <c r="EHL166" s="558"/>
      <c r="EHM166" s="558"/>
      <c r="EHN166" s="558"/>
      <c r="EHO166" s="558"/>
      <c r="EHP166" s="558"/>
      <c r="EHQ166" s="558"/>
      <c r="EHR166" s="558"/>
      <c r="EHS166" s="558"/>
      <c r="EHT166" s="558"/>
      <c r="EHU166" s="558"/>
      <c r="EHV166" s="558"/>
      <c r="EHW166" s="558"/>
      <c r="EHX166" s="558"/>
      <c r="EHY166" s="558"/>
      <c r="EHZ166" s="558"/>
      <c r="EIA166" s="558"/>
      <c r="EIB166" s="558"/>
      <c r="EIC166" s="558"/>
      <c r="EID166" s="558"/>
      <c r="EIE166" s="558"/>
      <c r="EIF166" s="558"/>
      <c r="EIG166" s="558"/>
      <c r="EIH166" s="558"/>
      <c r="EII166" s="558"/>
      <c r="EIJ166" s="558"/>
      <c r="EIK166" s="558"/>
      <c r="EIL166" s="558"/>
      <c r="EIM166" s="558"/>
      <c r="EIN166" s="558"/>
      <c r="EIO166" s="558"/>
      <c r="EIP166" s="558"/>
      <c r="EIQ166" s="558"/>
      <c r="EIR166" s="558"/>
      <c r="EIS166" s="558"/>
      <c r="EIT166" s="558"/>
      <c r="EIU166" s="558"/>
      <c r="EIV166" s="558"/>
      <c r="EIW166" s="558"/>
      <c r="EIX166" s="558"/>
      <c r="EIY166" s="558"/>
      <c r="EIZ166" s="558"/>
      <c r="EJA166" s="558"/>
      <c r="EJB166" s="558"/>
      <c r="EJC166" s="558"/>
      <c r="EJD166" s="558"/>
      <c r="EJE166" s="558"/>
      <c r="EJF166" s="558"/>
      <c r="EJG166" s="558"/>
      <c r="EJH166" s="558"/>
      <c r="EJI166" s="558"/>
      <c r="EJJ166" s="558"/>
      <c r="EJK166" s="558"/>
      <c r="EJL166" s="558"/>
      <c r="EJM166" s="558"/>
      <c r="EJN166" s="558"/>
      <c r="EJO166" s="558"/>
      <c r="EJP166" s="558"/>
      <c r="EJQ166" s="558"/>
      <c r="EJR166" s="558"/>
      <c r="EJS166" s="558"/>
      <c r="EJT166" s="558"/>
      <c r="EJU166" s="558"/>
      <c r="EJV166" s="558"/>
      <c r="EJW166" s="558"/>
      <c r="EJX166" s="558"/>
      <c r="EJY166" s="558"/>
      <c r="EJZ166" s="558"/>
      <c r="EKA166" s="558"/>
      <c r="EKB166" s="558"/>
      <c r="EKC166" s="558"/>
      <c r="EKD166" s="558"/>
      <c r="EKE166" s="558"/>
      <c r="EKF166" s="558"/>
      <c r="EKG166" s="558"/>
      <c r="EKH166" s="558"/>
      <c r="EKI166" s="558"/>
      <c r="EKJ166" s="558"/>
      <c r="EKK166" s="558"/>
      <c r="EKL166" s="558"/>
      <c r="EKM166" s="558"/>
      <c r="EKN166" s="558"/>
      <c r="EKO166" s="558"/>
      <c r="EKP166" s="558"/>
      <c r="EKQ166" s="558"/>
      <c r="EKR166" s="558"/>
      <c r="EKS166" s="558"/>
      <c r="EKT166" s="558"/>
      <c r="EKU166" s="558"/>
      <c r="EKV166" s="558"/>
      <c r="EKW166" s="558"/>
      <c r="EKX166" s="558"/>
      <c r="EKY166" s="558"/>
      <c r="EKZ166" s="558"/>
      <c r="ELA166" s="558"/>
      <c r="ELB166" s="558"/>
      <c r="ELC166" s="558"/>
      <c r="ELD166" s="558"/>
      <c r="ELE166" s="558"/>
      <c r="ELF166" s="558"/>
      <c r="ELG166" s="558"/>
      <c r="ELH166" s="558"/>
      <c r="ELI166" s="558"/>
      <c r="ELJ166" s="558"/>
      <c r="ELK166" s="558"/>
      <c r="ELL166" s="558"/>
      <c r="ELM166" s="558"/>
      <c r="ELN166" s="558"/>
      <c r="ELO166" s="558"/>
      <c r="ELP166" s="558"/>
      <c r="ELQ166" s="558"/>
      <c r="ELR166" s="558"/>
      <c r="ELS166" s="558"/>
      <c r="ELT166" s="558"/>
      <c r="ELU166" s="558"/>
      <c r="ELV166" s="558"/>
      <c r="ELW166" s="558"/>
      <c r="ELX166" s="558"/>
      <c r="ELY166" s="558"/>
      <c r="ELZ166" s="558"/>
      <c r="EMA166" s="558"/>
      <c r="EMB166" s="558"/>
      <c r="EMC166" s="558"/>
      <c r="EMD166" s="558"/>
      <c r="EME166" s="558"/>
      <c r="EMF166" s="558"/>
      <c r="EMG166" s="558"/>
      <c r="EMH166" s="558"/>
      <c r="EMI166" s="558"/>
      <c r="EMJ166" s="558"/>
      <c r="EMK166" s="558"/>
      <c r="EML166" s="558"/>
      <c r="EMM166" s="558"/>
      <c r="EMN166" s="558"/>
      <c r="EMO166" s="558"/>
      <c r="EMP166" s="558"/>
      <c r="EMQ166" s="558"/>
      <c r="EMR166" s="558"/>
      <c r="EMS166" s="558"/>
      <c r="EMT166" s="558"/>
      <c r="EMU166" s="558"/>
      <c r="EMV166" s="558"/>
      <c r="EMW166" s="558"/>
      <c r="EMX166" s="558"/>
      <c r="EMY166" s="558"/>
      <c r="EMZ166" s="558"/>
      <c r="ENA166" s="558"/>
      <c r="ENB166" s="558"/>
      <c r="ENC166" s="558"/>
      <c r="END166" s="558"/>
      <c r="ENE166" s="558"/>
      <c r="ENF166" s="558"/>
      <c r="ENG166" s="558"/>
      <c r="ENH166" s="558"/>
      <c r="ENI166" s="558"/>
      <c r="ENJ166" s="558"/>
      <c r="ENK166" s="558"/>
      <c r="ENL166" s="558"/>
      <c r="ENM166" s="558"/>
      <c r="ENN166" s="558"/>
      <c r="ENO166" s="558"/>
      <c r="ENP166" s="558"/>
      <c r="ENQ166" s="558"/>
      <c r="ENR166" s="558"/>
      <c r="ENS166" s="558"/>
      <c r="ENT166" s="558"/>
      <c r="ENU166" s="558"/>
      <c r="ENV166" s="558"/>
      <c r="ENW166" s="558"/>
      <c r="ENX166" s="558"/>
      <c r="ENY166" s="558"/>
      <c r="ENZ166" s="558"/>
      <c r="EOA166" s="558"/>
      <c r="EOB166" s="558"/>
      <c r="EOC166" s="558"/>
      <c r="EOD166" s="558"/>
      <c r="EOE166" s="558"/>
      <c r="EOF166" s="558"/>
      <c r="EOG166" s="558"/>
      <c r="EOH166" s="558"/>
      <c r="EOI166" s="558"/>
      <c r="EOJ166" s="558"/>
      <c r="EOK166" s="558"/>
      <c r="EOL166" s="558"/>
      <c r="EOM166" s="558"/>
      <c r="EON166" s="558"/>
      <c r="EOO166" s="558"/>
      <c r="EOP166" s="558"/>
      <c r="EOQ166" s="558"/>
      <c r="EOR166" s="558"/>
      <c r="EOS166" s="558"/>
      <c r="EOT166" s="558"/>
      <c r="EOU166" s="558"/>
      <c r="EOV166" s="558"/>
      <c r="EOW166" s="558"/>
      <c r="EOX166" s="558"/>
      <c r="EOY166" s="558"/>
      <c r="EOZ166" s="558"/>
      <c r="EPA166" s="558"/>
      <c r="EPB166" s="558"/>
      <c r="EPC166" s="558"/>
      <c r="EPD166" s="558"/>
      <c r="EPE166" s="558"/>
      <c r="EPF166" s="558"/>
      <c r="EPG166" s="558"/>
      <c r="EPH166" s="558"/>
      <c r="EPI166" s="558"/>
      <c r="EPJ166" s="558"/>
      <c r="EPK166" s="558"/>
      <c r="EPL166" s="558"/>
      <c r="EPM166" s="558"/>
      <c r="EPN166" s="558"/>
      <c r="EPO166" s="558"/>
      <c r="EPP166" s="558"/>
      <c r="EPQ166" s="558"/>
      <c r="EPR166" s="558"/>
      <c r="EPS166" s="558"/>
      <c r="EPT166" s="558"/>
      <c r="EPU166" s="558"/>
      <c r="EPV166" s="558"/>
      <c r="EPW166" s="558"/>
      <c r="EPX166" s="558"/>
      <c r="EPY166" s="558"/>
      <c r="EPZ166" s="558"/>
      <c r="EQA166" s="558"/>
      <c r="EQB166" s="558"/>
      <c r="EQC166" s="558"/>
      <c r="EQD166" s="558"/>
      <c r="EQE166" s="558"/>
      <c r="EQF166" s="558"/>
      <c r="EQG166" s="558"/>
      <c r="EQH166" s="558"/>
      <c r="EQI166" s="558"/>
      <c r="EQJ166" s="558"/>
      <c r="EQK166" s="558"/>
      <c r="EQL166" s="558"/>
      <c r="EQM166" s="558"/>
      <c r="EQN166" s="558"/>
      <c r="EQO166" s="558"/>
      <c r="EQP166" s="558"/>
      <c r="EQQ166" s="558"/>
      <c r="EQR166" s="558"/>
      <c r="EQS166" s="558"/>
      <c r="EQT166" s="558"/>
      <c r="EQU166" s="558"/>
      <c r="EQV166" s="558"/>
      <c r="EQW166" s="558"/>
      <c r="EQX166" s="558"/>
      <c r="EQY166" s="558"/>
      <c r="EQZ166" s="558"/>
      <c r="ERA166" s="558"/>
      <c r="ERB166" s="558"/>
      <c r="ERC166" s="558"/>
      <c r="ERD166" s="558"/>
      <c r="ERE166" s="558"/>
      <c r="ERF166" s="558"/>
      <c r="ERG166" s="558"/>
      <c r="ERH166" s="558"/>
      <c r="ERI166" s="558"/>
      <c r="ERJ166" s="558"/>
      <c r="ERK166" s="558"/>
      <c r="ERL166" s="558"/>
      <c r="ERM166" s="558"/>
      <c r="ERN166" s="558"/>
      <c r="ERO166" s="558"/>
      <c r="ERP166" s="558"/>
      <c r="ERQ166" s="558"/>
      <c r="ERR166" s="558"/>
      <c r="ERS166" s="558"/>
      <c r="ERT166" s="558"/>
      <c r="ERU166" s="558"/>
      <c r="ERV166" s="558"/>
      <c r="ERW166" s="558"/>
      <c r="ERX166" s="558"/>
      <c r="ERY166" s="558"/>
      <c r="ERZ166" s="558"/>
      <c r="ESA166" s="558"/>
      <c r="ESB166" s="558"/>
      <c r="ESC166" s="558"/>
      <c r="ESD166" s="558"/>
      <c r="ESE166" s="558"/>
      <c r="ESF166" s="558"/>
      <c r="ESG166" s="558"/>
      <c r="ESH166" s="558"/>
      <c r="ESI166" s="558"/>
      <c r="ESJ166" s="558"/>
      <c r="ESK166" s="558"/>
      <c r="ESL166" s="558"/>
      <c r="ESM166" s="558"/>
      <c r="ESN166" s="558"/>
      <c r="ESO166" s="558"/>
      <c r="ESP166" s="558"/>
      <c r="ESQ166" s="558"/>
      <c r="ESR166" s="558"/>
      <c r="ESS166" s="558"/>
      <c r="EST166" s="558"/>
      <c r="ESU166" s="558"/>
      <c r="ESV166" s="558"/>
      <c r="ESW166" s="558"/>
      <c r="ESX166" s="558"/>
      <c r="ESY166" s="558"/>
      <c r="ESZ166" s="558"/>
      <c r="ETA166" s="558"/>
      <c r="ETB166" s="558"/>
      <c r="ETC166" s="558"/>
      <c r="ETD166" s="558"/>
      <c r="ETE166" s="558"/>
      <c r="ETF166" s="558"/>
      <c r="ETG166" s="558"/>
      <c r="ETH166" s="558"/>
      <c r="ETI166" s="558"/>
      <c r="ETJ166" s="558"/>
      <c r="ETK166" s="558"/>
      <c r="ETL166" s="558"/>
      <c r="ETM166" s="558"/>
      <c r="ETN166" s="558"/>
      <c r="ETO166" s="558"/>
      <c r="ETP166" s="558"/>
      <c r="ETQ166" s="558"/>
      <c r="ETR166" s="558"/>
      <c r="ETS166" s="558"/>
      <c r="ETT166" s="558"/>
      <c r="ETU166" s="558"/>
      <c r="ETV166" s="558"/>
      <c r="ETW166" s="558"/>
      <c r="ETX166" s="558"/>
      <c r="ETY166" s="558"/>
      <c r="ETZ166" s="558"/>
      <c r="EUA166" s="558"/>
      <c r="EUB166" s="558"/>
      <c r="EUC166" s="558"/>
      <c r="EUD166" s="558"/>
      <c r="EUE166" s="558"/>
      <c r="EUF166" s="558"/>
      <c r="EUG166" s="558"/>
      <c r="EUH166" s="558"/>
      <c r="EUI166" s="558"/>
      <c r="EUJ166" s="558"/>
      <c r="EUK166" s="558"/>
      <c r="EUL166" s="558"/>
      <c r="EUM166" s="558"/>
      <c r="EUN166" s="558"/>
      <c r="EUO166" s="558"/>
      <c r="EUP166" s="558"/>
      <c r="EUQ166" s="558"/>
      <c r="EUR166" s="558"/>
      <c r="EUS166" s="558"/>
      <c r="EUT166" s="558"/>
      <c r="EUU166" s="558"/>
      <c r="EUV166" s="558"/>
      <c r="EUW166" s="558"/>
      <c r="EUX166" s="558"/>
      <c r="EUY166" s="558"/>
      <c r="EUZ166" s="558"/>
      <c r="EVA166" s="558"/>
      <c r="EVB166" s="558"/>
      <c r="EVC166" s="558"/>
      <c r="EVD166" s="558"/>
      <c r="EVE166" s="558"/>
      <c r="EVF166" s="558"/>
      <c r="EVG166" s="558"/>
      <c r="EVH166" s="558"/>
      <c r="EVI166" s="558"/>
      <c r="EVJ166" s="558"/>
      <c r="EVK166" s="558"/>
      <c r="EVL166" s="558"/>
      <c r="EVM166" s="558"/>
      <c r="EVN166" s="558"/>
      <c r="EVO166" s="558"/>
      <c r="EVP166" s="558"/>
      <c r="EVQ166" s="558"/>
      <c r="EVR166" s="558"/>
      <c r="EVS166" s="558"/>
      <c r="EVT166" s="558"/>
      <c r="EVU166" s="558"/>
      <c r="EVV166" s="558"/>
      <c r="EVW166" s="558"/>
      <c r="EVX166" s="558"/>
      <c r="EVY166" s="558"/>
      <c r="EVZ166" s="558"/>
      <c r="EWA166" s="558"/>
      <c r="EWB166" s="558"/>
      <c r="EWC166" s="558"/>
      <c r="EWD166" s="558"/>
      <c r="EWE166" s="558"/>
      <c r="EWF166" s="558"/>
      <c r="EWG166" s="558"/>
      <c r="EWH166" s="558"/>
      <c r="EWI166" s="558"/>
      <c r="EWJ166" s="558"/>
      <c r="EWK166" s="558"/>
      <c r="EWL166" s="558"/>
      <c r="EWM166" s="558"/>
      <c r="EWN166" s="558"/>
      <c r="EWO166" s="558"/>
      <c r="EWP166" s="558"/>
      <c r="EWQ166" s="558"/>
      <c r="EWR166" s="558"/>
      <c r="EWS166" s="558"/>
      <c r="EWT166" s="558"/>
      <c r="EWU166" s="558"/>
      <c r="EWV166" s="558"/>
      <c r="EWW166" s="558"/>
      <c r="EWX166" s="558"/>
      <c r="EWY166" s="558"/>
      <c r="EWZ166" s="558"/>
      <c r="EXA166" s="558"/>
      <c r="EXB166" s="558"/>
      <c r="EXC166" s="558"/>
      <c r="EXD166" s="558"/>
      <c r="EXE166" s="558"/>
      <c r="EXF166" s="558"/>
      <c r="EXG166" s="558"/>
      <c r="EXH166" s="558"/>
      <c r="EXI166" s="558"/>
      <c r="EXJ166" s="558"/>
      <c r="EXK166" s="558"/>
      <c r="EXL166" s="558"/>
      <c r="EXM166" s="558"/>
      <c r="EXN166" s="558"/>
      <c r="EXO166" s="558"/>
      <c r="EXP166" s="558"/>
      <c r="EXQ166" s="558"/>
      <c r="EXR166" s="558"/>
      <c r="EXS166" s="558"/>
      <c r="EXT166" s="558"/>
      <c r="EXU166" s="558"/>
      <c r="EXV166" s="558"/>
      <c r="EXW166" s="558"/>
      <c r="EXX166" s="558"/>
      <c r="EXY166" s="558"/>
      <c r="EXZ166" s="558"/>
      <c r="EYA166" s="558"/>
      <c r="EYB166" s="558"/>
      <c r="EYC166" s="558"/>
      <c r="EYD166" s="558"/>
      <c r="EYE166" s="558"/>
      <c r="EYF166" s="558"/>
      <c r="EYG166" s="558"/>
      <c r="EYH166" s="558"/>
      <c r="EYI166" s="558"/>
      <c r="EYJ166" s="558"/>
      <c r="EYK166" s="558"/>
      <c r="EYL166" s="558"/>
      <c r="EYM166" s="558"/>
      <c r="EYN166" s="558"/>
      <c r="EYO166" s="558"/>
      <c r="EYP166" s="558"/>
      <c r="EYQ166" s="558"/>
      <c r="EYR166" s="558"/>
      <c r="EYS166" s="558"/>
      <c r="EYT166" s="558"/>
      <c r="EYU166" s="558"/>
      <c r="EYV166" s="558"/>
      <c r="EYW166" s="558"/>
      <c r="EYX166" s="558"/>
      <c r="EYY166" s="558"/>
      <c r="EYZ166" s="558"/>
      <c r="EZA166" s="558"/>
      <c r="EZB166" s="558"/>
      <c r="EZC166" s="558"/>
      <c r="EZD166" s="558"/>
      <c r="EZE166" s="558"/>
      <c r="EZF166" s="558"/>
      <c r="EZG166" s="558"/>
      <c r="EZH166" s="558"/>
      <c r="EZI166" s="558"/>
      <c r="EZJ166" s="558"/>
      <c r="EZK166" s="558"/>
      <c r="EZL166" s="558"/>
      <c r="EZM166" s="558"/>
      <c r="EZN166" s="558"/>
      <c r="EZO166" s="558"/>
      <c r="EZP166" s="558"/>
      <c r="EZQ166" s="558"/>
      <c r="EZR166" s="558"/>
      <c r="EZS166" s="558"/>
      <c r="EZT166" s="558"/>
      <c r="EZU166" s="558"/>
      <c r="EZV166" s="558"/>
      <c r="EZW166" s="558"/>
      <c r="EZX166" s="558"/>
      <c r="EZY166" s="558"/>
      <c r="EZZ166" s="558"/>
      <c r="FAA166" s="558"/>
      <c r="FAB166" s="558"/>
      <c r="FAC166" s="558"/>
      <c r="FAD166" s="558"/>
      <c r="FAE166" s="558"/>
      <c r="FAF166" s="558"/>
      <c r="FAG166" s="558"/>
      <c r="FAH166" s="558"/>
      <c r="FAI166" s="558"/>
      <c r="FAJ166" s="558"/>
      <c r="FAK166" s="558"/>
      <c r="FAL166" s="558"/>
      <c r="FAM166" s="558"/>
      <c r="FAN166" s="558"/>
      <c r="FAO166" s="558"/>
      <c r="FAP166" s="558"/>
      <c r="FAQ166" s="558"/>
      <c r="FAR166" s="558"/>
      <c r="FAS166" s="558"/>
      <c r="FAT166" s="558"/>
      <c r="FAU166" s="558"/>
      <c r="FAV166" s="558"/>
      <c r="FAW166" s="558"/>
      <c r="FAX166" s="558"/>
      <c r="FAY166" s="558"/>
      <c r="FAZ166" s="558"/>
      <c r="FBA166" s="558"/>
      <c r="FBB166" s="558"/>
      <c r="FBC166" s="558"/>
      <c r="FBD166" s="558"/>
      <c r="FBE166" s="558"/>
      <c r="FBF166" s="558"/>
      <c r="FBG166" s="558"/>
      <c r="FBH166" s="558"/>
      <c r="FBI166" s="558"/>
      <c r="FBJ166" s="558"/>
      <c r="FBK166" s="558"/>
      <c r="FBL166" s="558"/>
      <c r="FBM166" s="558"/>
      <c r="FBN166" s="558"/>
      <c r="FBO166" s="558"/>
      <c r="FBP166" s="558"/>
      <c r="FBQ166" s="558"/>
      <c r="FBR166" s="558"/>
      <c r="FBS166" s="558"/>
      <c r="FBT166" s="558"/>
      <c r="FBU166" s="558"/>
      <c r="FBV166" s="558"/>
      <c r="FBW166" s="558"/>
      <c r="FBX166" s="558"/>
      <c r="FBY166" s="558"/>
      <c r="FBZ166" s="558"/>
      <c r="FCA166" s="558"/>
      <c r="FCB166" s="558"/>
      <c r="FCC166" s="558"/>
      <c r="FCD166" s="558"/>
      <c r="FCE166" s="558"/>
      <c r="FCF166" s="558"/>
      <c r="FCG166" s="558"/>
      <c r="FCH166" s="558"/>
      <c r="FCI166" s="558"/>
      <c r="FCJ166" s="558"/>
      <c r="FCK166" s="558"/>
      <c r="FCL166" s="558"/>
      <c r="FCM166" s="558"/>
      <c r="FCN166" s="558"/>
      <c r="FCO166" s="558"/>
      <c r="FCP166" s="558"/>
      <c r="FCQ166" s="558"/>
      <c r="FCR166" s="558"/>
      <c r="FCS166" s="558"/>
      <c r="FCT166" s="558"/>
      <c r="FCU166" s="558"/>
      <c r="FCV166" s="558"/>
      <c r="FCW166" s="558"/>
      <c r="FCX166" s="558"/>
      <c r="FCY166" s="558"/>
      <c r="FCZ166" s="558"/>
      <c r="FDA166" s="558"/>
      <c r="FDB166" s="558"/>
      <c r="FDC166" s="558"/>
      <c r="FDD166" s="558"/>
      <c r="FDE166" s="558"/>
      <c r="FDF166" s="558"/>
      <c r="FDG166" s="558"/>
      <c r="FDH166" s="558"/>
      <c r="FDI166" s="558"/>
      <c r="FDJ166" s="558"/>
      <c r="FDK166" s="558"/>
      <c r="FDL166" s="558"/>
      <c r="FDM166" s="558"/>
      <c r="FDN166" s="558"/>
      <c r="FDO166" s="558"/>
      <c r="FDP166" s="558"/>
      <c r="FDQ166" s="558"/>
      <c r="FDR166" s="558"/>
      <c r="FDS166" s="558"/>
      <c r="FDT166" s="558"/>
      <c r="FDU166" s="558"/>
      <c r="FDV166" s="558"/>
      <c r="FDW166" s="558"/>
      <c r="FDX166" s="558"/>
      <c r="FDY166" s="558"/>
      <c r="FDZ166" s="558"/>
      <c r="FEA166" s="558"/>
      <c r="FEB166" s="558"/>
      <c r="FEC166" s="558"/>
      <c r="FED166" s="558"/>
      <c r="FEE166" s="558"/>
      <c r="FEF166" s="558"/>
      <c r="FEG166" s="558"/>
      <c r="FEH166" s="558"/>
      <c r="FEI166" s="558"/>
      <c r="FEJ166" s="558"/>
      <c r="FEK166" s="558"/>
      <c r="FEL166" s="558"/>
      <c r="FEM166" s="558"/>
      <c r="FEN166" s="558"/>
      <c r="FEO166" s="558"/>
      <c r="FEP166" s="558"/>
      <c r="FEQ166" s="558"/>
      <c r="FER166" s="558"/>
      <c r="FES166" s="558"/>
      <c r="FET166" s="558"/>
      <c r="FEU166" s="558"/>
      <c r="FEV166" s="558"/>
      <c r="FEW166" s="558"/>
      <c r="FEX166" s="558"/>
      <c r="FEY166" s="558"/>
      <c r="FEZ166" s="558"/>
      <c r="FFA166" s="558"/>
      <c r="FFB166" s="558"/>
      <c r="FFC166" s="558"/>
      <c r="FFD166" s="558"/>
      <c r="FFE166" s="558"/>
      <c r="FFF166" s="558"/>
      <c r="FFG166" s="558"/>
      <c r="FFH166" s="558"/>
      <c r="FFI166" s="558"/>
      <c r="FFJ166" s="558"/>
      <c r="FFK166" s="558"/>
      <c r="FFL166" s="558"/>
      <c r="FFM166" s="558"/>
      <c r="FFN166" s="558"/>
      <c r="FFO166" s="558"/>
      <c r="FFP166" s="558"/>
      <c r="FFQ166" s="558"/>
      <c r="FFR166" s="558"/>
      <c r="FFS166" s="558"/>
      <c r="FFT166" s="558"/>
      <c r="FFU166" s="558"/>
      <c r="FFV166" s="558"/>
      <c r="FFW166" s="558"/>
      <c r="FFX166" s="558"/>
      <c r="FFY166" s="558"/>
      <c r="FFZ166" s="558"/>
      <c r="FGA166" s="558"/>
      <c r="FGB166" s="558"/>
      <c r="FGC166" s="558"/>
      <c r="FGD166" s="558"/>
      <c r="FGE166" s="558"/>
      <c r="FGF166" s="558"/>
      <c r="FGG166" s="558"/>
      <c r="FGH166" s="558"/>
      <c r="FGI166" s="558"/>
      <c r="FGJ166" s="558"/>
      <c r="FGK166" s="558"/>
      <c r="FGL166" s="558"/>
      <c r="FGM166" s="558"/>
      <c r="FGN166" s="558"/>
      <c r="FGO166" s="558"/>
      <c r="FGP166" s="558"/>
      <c r="FGQ166" s="558"/>
      <c r="FGR166" s="558"/>
      <c r="FGS166" s="558"/>
      <c r="FGT166" s="558"/>
      <c r="FGU166" s="558"/>
      <c r="FGV166" s="558"/>
      <c r="FGW166" s="558"/>
      <c r="FGX166" s="558"/>
      <c r="FGY166" s="558"/>
      <c r="FGZ166" s="558"/>
      <c r="FHA166" s="558"/>
      <c r="FHB166" s="558"/>
      <c r="FHC166" s="558"/>
      <c r="FHD166" s="558"/>
      <c r="FHE166" s="558"/>
      <c r="FHF166" s="558"/>
      <c r="FHG166" s="558"/>
      <c r="FHH166" s="558"/>
      <c r="FHI166" s="558"/>
      <c r="FHJ166" s="558"/>
      <c r="FHK166" s="558"/>
      <c r="FHL166" s="558"/>
      <c r="FHM166" s="558"/>
      <c r="FHN166" s="558"/>
      <c r="FHO166" s="558"/>
      <c r="FHP166" s="558"/>
      <c r="FHQ166" s="558"/>
      <c r="FHR166" s="558"/>
      <c r="FHS166" s="558"/>
      <c r="FHT166" s="558"/>
      <c r="FHU166" s="558"/>
      <c r="FHV166" s="558"/>
      <c r="FHW166" s="558"/>
      <c r="FHX166" s="558"/>
      <c r="FHY166" s="558"/>
      <c r="FHZ166" s="558"/>
      <c r="FIA166" s="558"/>
      <c r="FIB166" s="558"/>
      <c r="FIC166" s="558"/>
      <c r="FID166" s="558"/>
      <c r="FIE166" s="558"/>
      <c r="FIF166" s="558"/>
      <c r="FIG166" s="558"/>
      <c r="FIH166" s="558"/>
      <c r="FII166" s="558"/>
      <c r="FIJ166" s="558"/>
      <c r="FIK166" s="558"/>
      <c r="FIL166" s="558"/>
      <c r="FIM166" s="558"/>
      <c r="FIN166" s="558"/>
      <c r="FIO166" s="558"/>
      <c r="FIP166" s="558"/>
      <c r="FIQ166" s="558"/>
      <c r="FIR166" s="558"/>
      <c r="FIS166" s="558"/>
      <c r="FIT166" s="558"/>
      <c r="FIU166" s="558"/>
      <c r="FIV166" s="558"/>
      <c r="FIW166" s="558"/>
      <c r="FIX166" s="558"/>
      <c r="FIY166" s="558"/>
      <c r="FIZ166" s="558"/>
      <c r="FJA166" s="558"/>
      <c r="FJB166" s="558"/>
      <c r="FJC166" s="558"/>
      <c r="FJD166" s="558"/>
      <c r="FJE166" s="558"/>
      <c r="FJF166" s="558"/>
      <c r="FJG166" s="558"/>
      <c r="FJH166" s="558"/>
      <c r="FJI166" s="558"/>
      <c r="FJJ166" s="558"/>
      <c r="FJK166" s="558"/>
      <c r="FJL166" s="558"/>
      <c r="FJM166" s="558"/>
      <c r="FJN166" s="558"/>
      <c r="FJO166" s="558"/>
      <c r="FJP166" s="558"/>
      <c r="FJQ166" s="558"/>
      <c r="FJR166" s="558"/>
      <c r="FJS166" s="558"/>
      <c r="FJT166" s="558"/>
      <c r="FJU166" s="558"/>
      <c r="FJV166" s="558"/>
      <c r="FJW166" s="558"/>
      <c r="FJX166" s="558"/>
      <c r="FJY166" s="558"/>
      <c r="FJZ166" s="558"/>
      <c r="FKA166" s="558"/>
      <c r="FKB166" s="558"/>
      <c r="FKC166" s="558"/>
      <c r="FKD166" s="558"/>
      <c r="FKE166" s="558"/>
      <c r="FKF166" s="558"/>
      <c r="FKG166" s="558"/>
      <c r="FKH166" s="558"/>
      <c r="FKI166" s="558"/>
      <c r="FKJ166" s="558"/>
      <c r="FKK166" s="558"/>
      <c r="FKL166" s="558"/>
      <c r="FKM166" s="558"/>
      <c r="FKN166" s="558"/>
      <c r="FKO166" s="558"/>
      <c r="FKP166" s="558"/>
      <c r="FKQ166" s="558"/>
      <c r="FKR166" s="558"/>
      <c r="FKS166" s="558"/>
      <c r="FKT166" s="558"/>
      <c r="FKU166" s="558"/>
      <c r="FKV166" s="558"/>
      <c r="FKW166" s="558"/>
      <c r="FKX166" s="558"/>
      <c r="FKY166" s="558"/>
      <c r="FKZ166" s="558"/>
      <c r="FLA166" s="558"/>
      <c r="FLB166" s="558"/>
      <c r="FLC166" s="558"/>
      <c r="FLD166" s="558"/>
      <c r="FLE166" s="558"/>
      <c r="FLF166" s="558"/>
      <c r="FLG166" s="558"/>
      <c r="FLH166" s="558"/>
      <c r="FLI166" s="558"/>
      <c r="FLJ166" s="558"/>
      <c r="FLK166" s="558"/>
      <c r="FLL166" s="558"/>
      <c r="FLM166" s="558"/>
      <c r="FLN166" s="558"/>
      <c r="FLO166" s="558"/>
      <c r="FLP166" s="558"/>
      <c r="FLQ166" s="558"/>
      <c r="FLR166" s="558"/>
      <c r="FLS166" s="558"/>
      <c r="FLT166" s="558"/>
      <c r="FLU166" s="558"/>
      <c r="FLV166" s="558"/>
      <c r="FLW166" s="558"/>
      <c r="FLX166" s="558"/>
      <c r="FLY166" s="558"/>
      <c r="FLZ166" s="558"/>
      <c r="FMA166" s="558"/>
      <c r="FMB166" s="558"/>
      <c r="FMC166" s="558"/>
      <c r="FMD166" s="558"/>
      <c r="FME166" s="558"/>
      <c r="FMF166" s="558"/>
      <c r="FMG166" s="558"/>
      <c r="FMH166" s="558"/>
      <c r="FMI166" s="558"/>
      <c r="FMJ166" s="558"/>
      <c r="FMK166" s="558"/>
      <c r="FML166" s="558"/>
      <c r="FMM166" s="558"/>
      <c r="FMN166" s="558"/>
      <c r="FMO166" s="558"/>
      <c r="FMP166" s="558"/>
      <c r="FMQ166" s="558"/>
      <c r="FMR166" s="558"/>
      <c r="FMS166" s="558"/>
      <c r="FMT166" s="558"/>
      <c r="FMU166" s="558"/>
      <c r="FMV166" s="558"/>
      <c r="FMW166" s="558"/>
      <c r="FMX166" s="558"/>
      <c r="FMY166" s="558"/>
      <c r="FMZ166" s="558"/>
      <c r="FNA166" s="558"/>
      <c r="FNB166" s="558"/>
      <c r="FNC166" s="558"/>
      <c r="FND166" s="558"/>
      <c r="FNE166" s="558"/>
      <c r="FNF166" s="558"/>
      <c r="FNG166" s="558"/>
      <c r="FNH166" s="558"/>
      <c r="FNI166" s="558"/>
      <c r="FNJ166" s="558"/>
      <c r="FNK166" s="558"/>
      <c r="FNL166" s="558"/>
      <c r="FNM166" s="558"/>
      <c r="FNN166" s="558"/>
      <c r="FNO166" s="558"/>
      <c r="FNP166" s="558"/>
      <c r="FNQ166" s="558"/>
      <c r="FNR166" s="558"/>
      <c r="FNS166" s="558"/>
      <c r="FNT166" s="558"/>
      <c r="FNU166" s="558"/>
      <c r="FNV166" s="558"/>
      <c r="FNW166" s="558"/>
      <c r="FNX166" s="558"/>
      <c r="FNY166" s="558"/>
      <c r="FNZ166" s="558"/>
      <c r="FOA166" s="558"/>
      <c r="FOB166" s="558"/>
      <c r="FOC166" s="558"/>
      <c r="FOD166" s="558"/>
      <c r="FOE166" s="558"/>
      <c r="FOF166" s="558"/>
      <c r="FOG166" s="558"/>
      <c r="FOH166" s="558"/>
      <c r="FOI166" s="558"/>
      <c r="FOJ166" s="558"/>
      <c r="FOK166" s="558"/>
      <c r="FOL166" s="558"/>
      <c r="FOM166" s="558"/>
      <c r="FON166" s="558"/>
      <c r="FOO166" s="558"/>
      <c r="FOP166" s="558"/>
      <c r="FOQ166" s="558"/>
      <c r="FOR166" s="558"/>
      <c r="FOS166" s="558"/>
      <c r="FOT166" s="558"/>
      <c r="FOU166" s="558"/>
      <c r="FOV166" s="558"/>
      <c r="FOW166" s="558"/>
      <c r="FOX166" s="558"/>
      <c r="FOY166" s="558"/>
      <c r="FOZ166" s="558"/>
      <c r="FPA166" s="558"/>
      <c r="FPB166" s="558"/>
      <c r="FPC166" s="558"/>
      <c r="FPD166" s="558"/>
      <c r="FPE166" s="558"/>
      <c r="FPF166" s="558"/>
      <c r="FPG166" s="558"/>
      <c r="FPH166" s="558"/>
      <c r="FPI166" s="558"/>
      <c r="FPJ166" s="558"/>
      <c r="FPK166" s="558"/>
      <c r="FPL166" s="558"/>
      <c r="FPM166" s="558"/>
      <c r="FPN166" s="558"/>
      <c r="FPO166" s="558"/>
      <c r="FPP166" s="558"/>
      <c r="FPQ166" s="558"/>
      <c r="FPR166" s="558"/>
      <c r="FPS166" s="558"/>
      <c r="FPT166" s="558"/>
      <c r="FPU166" s="558"/>
      <c r="FPV166" s="558"/>
      <c r="FPW166" s="558"/>
      <c r="FPX166" s="558"/>
      <c r="FPY166" s="558"/>
      <c r="FPZ166" s="558"/>
      <c r="FQA166" s="558"/>
      <c r="FQB166" s="558"/>
      <c r="FQC166" s="558"/>
      <c r="FQD166" s="558"/>
      <c r="FQE166" s="558"/>
      <c r="FQF166" s="558"/>
      <c r="FQG166" s="558"/>
      <c r="FQH166" s="558"/>
      <c r="FQI166" s="558"/>
      <c r="FQJ166" s="558"/>
      <c r="FQK166" s="558"/>
      <c r="FQL166" s="558"/>
      <c r="FQM166" s="558"/>
      <c r="FQN166" s="558"/>
      <c r="FQO166" s="558"/>
      <c r="FQP166" s="558"/>
      <c r="FQQ166" s="558"/>
      <c r="FQR166" s="558"/>
      <c r="FQS166" s="558"/>
      <c r="FQT166" s="558"/>
      <c r="FQU166" s="558"/>
      <c r="FQV166" s="558"/>
      <c r="FQW166" s="558"/>
      <c r="FQX166" s="558"/>
      <c r="FQY166" s="558"/>
      <c r="FQZ166" s="558"/>
      <c r="FRA166" s="558"/>
      <c r="FRB166" s="558"/>
      <c r="FRC166" s="558"/>
      <c r="FRD166" s="558"/>
      <c r="FRE166" s="558"/>
      <c r="FRF166" s="558"/>
      <c r="FRG166" s="558"/>
      <c r="FRH166" s="558"/>
      <c r="FRI166" s="558"/>
      <c r="FRJ166" s="558"/>
      <c r="FRK166" s="558"/>
      <c r="FRL166" s="558"/>
      <c r="FRM166" s="558"/>
      <c r="FRN166" s="558"/>
      <c r="FRO166" s="558"/>
      <c r="FRP166" s="558"/>
      <c r="FRQ166" s="558"/>
      <c r="FRR166" s="558"/>
      <c r="FRS166" s="558"/>
      <c r="FRT166" s="558"/>
      <c r="FRU166" s="558"/>
      <c r="FRV166" s="558"/>
      <c r="FRW166" s="558"/>
      <c r="FRX166" s="558"/>
      <c r="FRY166" s="558"/>
      <c r="FRZ166" s="558"/>
      <c r="FSA166" s="558"/>
      <c r="FSB166" s="558"/>
      <c r="FSC166" s="558"/>
      <c r="FSD166" s="558"/>
      <c r="FSE166" s="558"/>
      <c r="FSF166" s="558"/>
      <c r="FSG166" s="558"/>
      <c r="FSH166" s="558"/>
      <c r="FSI166" s="558"/>
      <c r="FSJ166" s="558"/>
      <c r="FSK166" s="558"/>
      <c r="FSL166" s="558"/>
      <c r="FSM166" s="558"/>
      <c r="FSN166" s="558"/>
      <c r="FSO166" s="558"/>
      <c r="FSP166" s="558"/>
      <c r="FSQ166" s="558"/>
      <c r="FSR166" s="558"/>
      <c r="FSS166" s="558"/>
      <c r="FST166" s="558"/>
      <c r="FSU166" s="558"/>
      <c r="FSV166" s="558"/>
      <c r="FSW166" s="558"/>
      <c r="FSX166" s="558"/>
      <c r="FSY166" s="558"/>
      <c r="FSZ166" s="558"/>
      <c r="FTA166" s="558"/>
      <c r="FTB166" s="558"/>
      <c r="FTC166" s="558"/>
      <c r="FTD166" s="558"/>
      <c r="FTE166" s="558"/>
      <c r="FTF166" s="558"/>
      <c r="FTG166" s="558"/>
      <c r="FTH166" s="558"/>
      <c r="FTI166" s="558"/>
      <c r="FTJ166" s="558"/>
      <c r="FTK166" s="558"/>
      <c r="FTL166" s="558"/>
      <c r="FTM166" s="558"/>
      <c r="FTN166" s="558"/>
      <c r="FTO166" s="558"/>
      <c r="FTP166" s="558"/>
      <c r="FTQ166" s="558"/>
      <c r="FTR166" s="558"/>
      <c r="FTS166" s="558"/>
      <c r="FTT166" s="558"/>
      <c r="FTU166" s="558"/>
      <c r="FTV166" s="558"/>
      <c r="FTW166" s="558"/>
      <c r="FTX166" s="558"/>
      <c r="FTY166" s="558"/>
      <c r="FTZ166" s="558"/>
      <c r="FUA166" s="558"/>
      <c r="FUB166" s="558"/>
      <c r="FUC166" s="558"/>
      <c r="FUD166" s="558"/>
      <c r="FUE166" s="558"/>
      <c r="FUF166" s="558"/>
      <c r="FUG166" s="558"/>
      <c r="FUH166" s="558"/>
      <c r="FUI166" s="558"/>
      <c r="FUJ166" s="558"/>
      <c r="FUK166" s="558"/>
      <c r="FUL166" s="558"/>
      <c r="FUM166" s="558"/>
      <c r="FUN166" s="558"/>
      <c r="FUO166" s="558"/>
      <c r="FUP166" s="558"/>
      <c r="FUQ166" s="558"/>
      <c r="FUR166" s="558"/>
      <c r="FUS166" s="558"/>
      <c r="FUT166" s="558"/>
      <c r="FUU166" s="558"/>
      <c r="FUV166" s="558"/>
      <c r="FUW166" s="558"/>
      <c r="FUX166" s="558"/>
      <c r="FUY166" s="558"/>
      <c r="FUZ166" s="558"/>
      <c r="FVA166" s="558"/>
      <c r="FVB166" s="558"/>
      <c r="FVC166" s="558"/>
      <c r="FVD166" s="558"/>
      <c r="FVE166" s="558"/>
      <c r="FVF166" s="558"/>
      <c r="FVG166" s="558"/>
      <c r="FVH166" s="558"/>
      <c r="FVI166" s="558"/>
      <c r="FVJ166" s="558"/>
      <c r="FVK166" s="558"/>
      <c r="FVL166" s="558"/>
      <c r="FVM166" s="558"/>
      <c r="FVN166" s="558"/>
      <c r="FVO166" s="558"/>
      <c r="FVP166" s="558"/>
      <c r="FVQ166" s="558"/>
      <c r="FVR166" s="558"/>
      <c r="FVS166" s="558"/>
      <c r="FVT166" s="558"/>
      <c r="FVU166" s="558"/>
      <c r="FVV166" s="558"/>
      <c r="FVW166" s="558"/>
      <c r="FVX166" s="558"/>
      <c r="FVY166" s="558"/>
      <c r="FVZ166" s="558"/>
      <c r="FWA166" s="558"/>
      <c r="FWB166" s="558"/>
      <c r="FWC166" s="558"/>
      <c r="FWD166" s="558"/>
      <c r="FWE166" s="558"/>
      <c r="FWF166" s="558"/>
      <c r="FWG166" s="558"/>
      <c r="FWH166" s="558"/>
      <c r="FWI166" s="558"/>
      <c r="FWJ166" s="558"/>
      <c r="FWK166" s="558"/>
      <c r="FWL166" s="558"/>
      <c r="FWM166" s="558"/>
      <c r="FWN166" s="558"/>
      <c r="FWO166" s="558"/>
      <c r="FWP166" s="558"/>
      <c r="FWQ166" s="558"/>
      <c r="FWR166" s="558"/>
      <c r="FWS166" s="558"/>
      <c r="FWT166" s="558"/>
      <c r="FWU166" s="558"/>
      <c r="FWV166" s="558"/>
      <c r="FWW166" s="558"/>
      <c r="FWX166" s="558"/>
      <c r="FWY166" s="558"/>
      <c r="FWZ166" s="558"/>
      <c r="FXA166" s="558"/>
      <c r="FXB166" s="558"/>
      <c r="FXC166" s="558"/>
      <c r="FXD166" s="558"/>
      <c r="FXE166" s="558"/>
      <c r="FXF166" s="558"/>
      <c r="FXG166" s="558"/>
      <c r="FXH166" s="558"/>
      <c r="FXI166" s="558"/>
      <c r="FXJ166" s="558"/>
      <c r="FXK166" s="558"/>
      <c r="FXL166" s="558"/>
      <c r="FXM166" s="558"/>
      <c r="FXN166" s="558"/>
      <c r="FXO166" s="558"/>
      <c r="FXP166" s="558"/>
      <c r="FXQ166" s="558"/>
      <c r="FXR166" s="558"/>
      <c r="FXS166" s="558"/>
      <c r="FXT166" s="558"/>
      <c r="FXU166" s="558"/>
      <c r="FXV166" s="558"/>
      <c r="FXW166" s="558"/>
      <c r="FXX166" s="558"/>
      <c r="FXY166" s="558"/>
      <c r="FXZ166" s="558"/>
      <c r="FYA166" s="558"/>
      <c r="FYB166" s="558"/>
      <c r="FYC166" s="558"/>
      <c r="FYD166" s="558"/>
      <c r="FYE166" s="558"/>
      <c r="FYF166" s="558"/>
      <c r="FYG166" s="558"/>
      <c r="FYH166" s="558"/>
      <c r="FYI166" s="558"/>
      <c r="FYJ166" s="558"/>
      <c r="FYK166" s="558"/>
      <c r="FYL166" s="558"/>
      <c r="FYM166" s="558"/>
      <c r="FYN166" s="558"/>
      <c r="FYO166" s="558"/>
      <c r="FYP166" s="558"/>
      <c r="FYQ166" s="558"/>
      <c r="FYR166" s="558"/>
      <c r="FYS166" s="558"/>
      <c r="FYT166" s="558"/>
      <c r="FYU166" s="558"/>
      <c r="FYV166" s="558"/>
      <c r="FYW166" s="558"/>
      <c r="FYX166" s="558"/>
      <c r="FYY166" s="558"/>
      <c r="FYZ166" s="558"/>
      <c r="FZA166" s="558"/>
      <c r="FZB166" s="558"/>
      <c r="FZC166" s="558"/>
      <c r="FZD166" s="558"/>
      <c r="FZE166" s="558"/>
      <c r="FZF166" s="558"/>
      <c r="FZG166" s="558"/>
      <c r="FZH166" s="558"/>
      <c r="FZI166" s="558"/>
      <c r="FZJ166" s="558"/>
      <c r="FZK166" s="558"/>
      <c r="FZL166" s="558"/>
      <c r="FZM166" s="558"/>
      <c r="FZN166" s="558"/>
      <c r="FZO166" s="558"/>
      <c r="FZP166" s="558"/>
      <c r="FZQ166" s="558"/>
      <c r="FZR166" s="558"/>
      <c r="FZS166" s="558"/>
      <c r="FZT166" s="558"/>
      <c r="FZU166" s="558"/>
      <c r="FZV166" s="558"/>
      <c r="FZW166" s="558"/>
      <c r="FZX166" s="558"/>
      <c r="FZY166" s="558"/>
      <c r="FZZ166" s="558"/>
      <c r="GAA166" s="558"/>
      <c r="GAB166" s="558"/>
      <c r="GAC166" s="558"/>
      <c r="GAD166" s="558"/>
      <c r="GAE166" s="558"/>
      <c r="GAF166" s="558"/>
      <c r="GAG166" s="558"/>
      <c r="GAH166" s="558"/>
      <c r="GAI166" s="558"/>
      <c r="GAJ166" s="558"/>
      <c r="GAK166" s="558"/>
      <c r="GAL166" s="558"/>
      <c r="GAM166" s="558"/>
      <c r="GAN166" s="558"/>
      <c r="GAO166" s="558"/>
      <c r="GAP166" s="558"/>
      <c r="GAQ166" s="558"/>
      <c r="GAR166" s="558"/>
      <c r="GAS166" s="558"/>
      <c r="GAT166" s="558"/>
      <c r="GAU166" s="558"/>
      <c r="GAV166" s="558"/>
      <c r="GAW166" s="558"/>
      <c r="GAX166" s="558"/>
      <c r="GAY166" s="558"/>
      <c r="GAZ166" s="558"/>
      <c r="GBA166" s="558"/>
      <c r="GBB166" s="558"/>
      <c r="GBC166" s="558"/>
      <c r="GBD166" s="558"/>
      <c r="GBE166" s="558"/>
      <c r="GBF166" s="558"/>
      <c r="GBG166" s="558"/>
      <c r="GBH166" s="558"/>
      <c r="GBI166" s="558"/>
      <c r="GBJ166" s="558"/>
      <c r="GBK166" s="558"/>
      <c r="GBL166" s="558"/>
      <c r="GBM166" s="558"/>
      <c r="GBN166" s="558"/>
      <c r="GBO166" s="558"/>
      <c r="GBP166" s="558"/>
      <c r="GBQ166" s="558"/>
      <c r="GBR166" s="558"/>
      <c r="GBS166" s="558"/>
      <c r="GBT166" s="558"/>
      <c r="GBU166" s="558"/>
      <c r="GBV166" s="558"/>
      <c r="GBW166" s="558"/>
      <c r="GBX166" s="558"/>
      <c r="GBY166" s="558"/>
      <c r="GBZ166" s="558"/>
      <c r="GCA166" s="558"/>
      <c r="GCB166" s="558"/>
      <c r="GCC166" s="558"/>
      <c r="GCD166" s="558"/>
      <c r="GCE166" s="558"/>
      <c r="GCF166" s="558"/>
      <c r="GCG166" s="558"/>
      <c r="GCH166" s="558"/>
      <c r="GCI166" s="558"/>
      <c r="GCJ166" s="558"/>
      <c r="GCK166" s="558"/>
      <c r="GCL166" s="558"/>
      <c r="GCM166" s="558"/>
      <c r="GCN166" s="558"/>
      <c r="GCO166" s="558"/>
      <c r="GCP166" s="558"/>
      <c r="GCQ166" s="558"/>
      <c r="GCR166" s="558"/>
      <c r="GCS166" s="558"/>
      <c r="GCT166" s="558"/>
      <c r="GCU166" s="558"/>
      <c r="GCV166" s="558"/>
      <c r="GCW166" s="558"/>
      <c r="GCX166" s="558"/>
      <c r="GCY166" s="558"/>
      <c r="GCZ166" s="558"/>
      <c r="GDA166" s="558"/>
      <c r="GDB166" s="558"/>
      <c r="GDC166" s="558"/>
      <c r="GDD166" s="558"/>
      <c r="GDE166" s="558"/>
      <c r="GDF166" s="558"/>
      <c r="GDG166" s="558"/>
      <c r="GDH166" s="558"/>
      <c r="GDI166" s="558"/>
      <c r="GDJ166" s="558"/>
      <c r="GDK166" s="558"/>
      <c r="GDL166" s="558"/>
      <c r="GDM166" s="558"/>
      <c r="GDN166" s="558"/>
      <c r="GDO166" s="558"/>
      <c r="GDP166" s="558"/>
      <c r="GDQ166" s="558"/>
      <c r="GDR166" s="558"/>
      <c r="GDS166" s="558"/>
      <c r="GDT166" s="558"/>
      <c r="GDU166" s="558"/>
      <c r="GDV166" s="558"/>
      <c r="GDW166" s="558"/>
      <c r="GDX166" s="558"/>
      <c r="GDY166" s="558"/>
      <c r="GDZ166" s="558"/>
      <c r="GEA166" s="558"/>
      <c r="GEB166" s="558"/>
      <c r="GEC166" s="558"/>
      <c r="GED166" s="558"/>
      <c r="GEE166" s="558"/>
      <c r="GEF166" s="558"/>
      <c r="GEG166" s="558"/>
      <c r="GEH166" s="558"/>
      <c r="GEI166" s="558"/>
      <c r="GEJ166" s="558"/>
      <c r="GEK166" s="558"/>
      <c r="GEL166" s="558"/>
      <c r="GEM166" s="558"/>
      <c r="GEN166" s="558"/>
      <c r="GEO166" s="558"/>
      <c r="GEP166" s="558"/>
      <c r="GEQ166" s="558"/>
      <c r="GER166" s="558"/>
      <c r="GES166" s="558"/>
      <c r="GET166" s="558"/>
      <c r="GEU166" s="558"/>
      <c r="GEV166" s="558"/>
      <c r="GEW166" s="558"/>
      <c r="GEX166" s="558"/>
      <c r="GEY166" s="558"/>
      <c r="GEZ166" s="558"/>
      <c r="GFA166" s="558"/>
      <c r="GFB166" s="558"/>
      <c r="GFC166" s="558"/>
      <c r="GFD166" s="558"/>
      <c r="GFE166" s="558"/>
      <c r="GFF166" s="558"/>
      <c r="GFG166" s="558"/>
      <c r="GFH166" s="558"/>
      <c r="GFI166" s="558"/>
      <c r="GFJ166" s="558"/>
      <c r="GFK166" s="558"/>
      <c r="GFL166" s="558"/>
      <c r="GFM166" s="558"/>
      <c r="GFN166" s="558"/>
      <c r="GFO166" s="558"/>
      <c r="GFP166" s="558"/>
      <c r="GFQ166" s="558"/>
      <c r="GFR166" s="558"/>
      <c r="GFS166" s="558"/>
      <c r="GFT166" s="558"/>
      <c r="GFU166" s="558"/>
      <c r="GFV166" s="558"/>
      <c r="GFW166" s="558"/>
      <c r="GFX166" s="558"/>
      <c r="GFY166" s="558"/>
      <c r="GFZ166" s="558"/>
      <c r="GGA166" s="558"/>
      <c r="GGB166" s="558"/>
      <c r="GGC166" s="558"/>
      <c r="GGD166" s="558"/>
      <c r="GGE166" s="558"/>
      <c r="GGF166" s="558"/>
      <c r="GGG166" s="558"/>
      <c r="GGH166" s="558"/>
      <c r="GGI166" s="558"/>
      <c r="GGJ166" s="558"/>
      <c r="GGK166" s="558"/>
      <c r="GGL166" s="558"/>
      <c r="GGM166" s="558"/>
      <c r="GGN166" s="558"/>
      <c r="GGO166" s="558"/>
      <c r="GGP166" s="558"/>
      <c r="GGQ166" s="558"/>
      <c r="GGR166" s="558"/>
      <c r="GGS166" s="558"/>
      <c r="GGT166" s="558"/>
      <c r="GGU166" s="558"/>
      <c r="GGV166" s="558"/>
      <c r="GGW166" s="558"/>
      <c r="GGX166" s="558"/>
      <c r="GGY166" s="558"/>
      <c r="GGZ166" s="558"/>
      <c r="GHA166" s="558"/>
      <c r="GHB166" s="558"/>
      <c r="GHC166" s="558"/>
      <c r="GHD166" s="558"/>
      <c r="GHE166" s="558"/>
      <c r="GHF166" s="558"/>
      <c r="GHG166" s="558"/>
      <c r="GHH166" s="558"/>
      <c r="GHI166" s="558"/>
      <c r="GHJ166" s="558"/>
      <c r="GHK166" s="558"/>
      <c r="GHL166" s="558"/>
      <c r="GHM166" s="558"/>
      <c r="GHN166" s="558"/>
      <c r="GHO166" s="558"/>
      <c r="GHP166" s="558"/>
      <c r="GHQ166" s="558"/>
      <c r="GHR166" s="558"/>
      <c r="GHS166" s="558"/>
      <c r="GHT166" s="558"/>
      <c r="GHU166" s="558"/>
      <c r="GHV166" s="558"/>
      <c r="GHW166" s="558"/>
      <c r="GHX166" s="558"/>
      <c r="GHY166" s="558"/>
      <c r="GHZ166" s="558"/>
      <c r="GIA166" s="558"/>
      <c r="GIB166" s="558"/>
      <c r="GIC166" s="558"/>
      <c r="GID166" s="558"/>
      <c r="GIE166" s="558"/>
      <c r="GIF166" s="558"/>
      <c r="GIG166" s="558"/>
      <c r="GIH166" s="558"/>
      <c r="GII166" s="558"/>
      <c r="GIJ166" s="558"/>
      <c r="GIK166" s="558"/>
      <c r="GIL166" s="558"/>
      <c r="GIM166" s="558"/>
      <c r="GIN166" s="558"/>
      <c r="GIO166" s="558"/>
      <c r="GIP166" s="558"/>
      <c r="GIQ166" s="558"/>
      <c r="GIR166" s="558"/>
      <c r="GIS166" s="558"/>
      <c r="GIT166" s="558"/>
      <c r="GIU166" s="558"/>
      <c r="GIV166" s="558"/>
      <c r="GIW166" s="558"/>
      <c r="GIX166" s="558"/>
      <c r="GIY166" s="558"/>
      <c r="GIZ166" s="558"/>
      <c r="GJA166" s="558"/>
      <c r="GJB166" s="558"/>
      <c r="GJC166" s="558"/>
      <c r="GJD166" s="558"/>
      <c r="GJE166" s="558"/>
      <c r="GJF166" s="558"/>
      <c r="GJG166" s="558"/>
      <c r="GJH166" s="558"/>
      <c r="GJI166" s="558"/>
      <c r="GJJ166" s="558"/>
      <c r="GJK166" s="558"/>
      <c r="GJL166" s="558"/>
      <c r="GJM166" s="558"/>
      <c r="GJN166" s="558"/>
      <c r="GJO166" s="558"/>
      <c r="GJP166" s="558"/>
      <c r="GJQ166" s="558"/>
      <c r="GJR166" s="558"/>
      <c r="GJS166" s="558"/>
      <c r="GJT166" s="558"/>
      <c r="GJU166" s="558"/>
      <c r="GJV166" s="558"/>
      <c r="GJW166" s="558"/>
      <c r="GJX166" s="558"/>
      <c r="GJY166" s="558"/>
      <c r="GJZ166" s="558"/>
      <c r="GKA166" s="558"/>
      <c r="GKB166" s="558"/>
      <c r="GKC166" s="558"/>
      <c r="GKD166" s="558"/>
      <c r="GKE166" s="558"/>
      <c r="GKF166" s="558"/>
      <c r="GKG166" s="558"/>
      <c r="GKH166" s="558"/>
      <c r="GKI166" s="558"/>
      <c r="GKJ166" s="558"/>
      <c r="GKK166" s="558"/>
      <c r="GKL166" s="558"/>
      <c r="GKM166" s="558"/>
      <c r="GKN166" s="558"/>
      <c r="GKO166" s="558"/>
      <c r="GKP166" s="558"/>
      <c r="GKQ166" s="558"/>
      <c r="GKR166" s="558"/>
      <c r="GKS166" s="558"/>
      <c r="GKT166" s="558"/>
      <c r="GKU166" s="558"/>
      <c r="GKV166" s="558"/>
      <c r="GKW166" s="558"/>
      <c r="GKX166" s="558"/>
      <c r="GKY166" s="558"/>
      <c r="GKZ166" s="558"/>
      <c r="GLA166" s="558"/>
      <c r="GLB166" s="558"/>
      <c r="GLC166" s="558"/>
      <c r="GLD166" s="558"/>
      <c r="GLE166" s="558"/>
      <c r="GLF166" s="558"/>
      <c r="GLG166" s="558"/>
      <c r="GLH166" s="558"/>
      <c r="GLI166" s="558"/>
      <c r="GLJ166" s="558"/>
      <c r="GLK166" s="558"/>
      <c r="GLL166" s="558"/>
      <c r="GLM166" s="558"/>
      <c r="GLN166" s="558"/>
      <c r="GLO166" s="558"/>
      <c r="GLP166" s="558"/>
      <c r="GLQ166" s="558"/>
      <c r="GLR166" s="558"/>
      <c r="GLS166" s="558"/>
      <c r="GLT166" s="558"/>
      <c r="GLU166" s="558"/>
      <c r="GLV166" s="558"/>
      <c r="GLW166" s="558"/>
      <c r="GLX166" s="558"/>
      <c r="GLY166" s="558"/>
      <c r="GLZ166" s="558"/>
      <c r="GMA166" s="558"/>
      <c r="GMB166" s="558"/>
      <c r="GMC166" s="558"/>
      <c r="GMD166" s="558"/>
      <c r="GME166" s="558"/>
      <c r="GMF166" s="558"/>
      <c r="GMG166" s="558"/>
      <c r="GMH166" s="558"/>
      <c r="GMI166" s="558"/>
      <c r="GMJ166" s="558"/>
      <c r="GMK166" s="558"/>
      <c r="GML166" s="558"/>
      <c r="GMM166" s="558"/>
      <c r="GMN166" s="558"/>
      <c r="GMO166" s="558"/>
      <c r="GMP166" s="558"/>
      <c r="GMQ166" s="558"/>
      <c r="GMR166" s="558"/>
      <c r="GMS166" s="558"/>
      <c r="GMT166" s="558"/>
      <c r="GMU166" s="558"/>
      <c r="GMV166" s="558"/>
      <c r="GMW166" s="558"/>
      <c r="GMX166" s="558"/>
      <c r="GMY166" s="558"/>
      <c r="GMZ166" s="558"/>
      <c r="GNA166" s="558"/>
      <c r="GNB166" s="558"/>
      <c r="GNC166" s="558"/>
      <c r="GND166" s="558"/>
      <c r="GNE166" s="558"/>
      <c r="GNF166" s="558"/>
      <c r="GNG166" s="558"/>
      <c r="GNH166" s="558"/>
      <c r="GNI166" s="558"/>
      <c r="GNJ166" s="558"/>
      <c r="GNK166" s="558"/>
      <c r="GNL166" s="558"/>
      <c r="GNM166" s="558"/>
      <c r="GNN166" s="558"/>
      <c r="GNO166" s="558"/>
      <c r="GNP166" s="558"/>
      <c r="GNQ166" s="558"/>
      <c r="GNR166" s="558"/>
      <c r="GNS166" s="558"/>
      <c r="GNT166" s="558"/>
      <c r="GNU166" s="558"/>
      <c r="GNV166" s="558"/>
      <c r="GNW166" s="558"/>
      <c r="GNX166" s="558"/>
      <c r="GNY166" s="558"/>
      <c r="GNZ166" s="558"/>
      <c r="GOA166" s="558"/>
      <c r="GOB166" s="558"/>
      <c r="GOC166" s="558"/>
      <c r="GOD166" s="558"/>
      <c r="GOE166" s="558"/>
      <c r="GOF166" s="558"/>
      <c r="GOG166" s="558"/>
      <c r="GOH166" s="558"/>
      <c r="GOI166" s="558"/>
      <c r="GOJ166" s="558"/>
      <c r="GOK166" s="558"/>
      <c r="GOL166" s="558"/>
      <c r="GOM166" s="558"/>
      <c r="GON166" s="558"/>
      <c r="GOO166" s="558"/>
      <c r="GOP166" s="558"/>
      <c r="GOQ166" s="558"/>
      <c r="GOR166" s="558"/>
      <c r="GOS166" s="558"/>
      <c r="GOT166" s="558"/>
      <c r="GOU166" s="558"/>
      <c r="GOV166" s="558"/>
      <c r="GOW166" s="558"/>
      <c r="GOX166" s="558"/>
      <c r="GOY166" s="558"/>
      <c r="GOZ166" s="558"/>
      <c r="GPA166" s="558"/>
      <c r="GPB166" s="558"/>
      <c r="GPC166" s="558"/>
      <c r="GPD166" s="558"/>
      <c r="GPE166" s="558"/>
      <c r="GPF166" s="558"/>
      <c r="GPG166" s="558"/>
      <c r="GPH166" s="558"/>
      <c r="GPI166" s="558"/>
      <c r="GPJ166" s="558"/>
      <c r="GPK166" s="558"/>
      <c r="GPL166" s="558"/>
      <c r="GPM166" s="558"/>
      <c r="GPN166" s="558"/>
      <c r="GPO166" s="558"/>
      <c r="GPP166" s="558"/>
      <c r="GPQ166" s="558"/>
      <c r="GPR166" s="558"/>
      <c r="GPS166" s="558"/>
      <c r="GPT166" s="558"/>
      <c r="GPU166" s="558"/>
      <c r="GPV166" s="558"/>
      <c r="GPW166" s="558"/>
      <c r="GPX166" s="558"/>
      <c r="GPY166" s="558"/>
      <c r="GPZ166" s="558"/>
      <c r="GQA166" s="558"/>
      <c r="GQB166" s="558"/>
      <c r="GQC166" s="558"/>
      <c r="GQD166" s="558"/>
      <c r="GQE166" s="558"/>
      <c r="GQF166" s="558"/>
      <c r="GQG166" s="558"/>
      <c r="GQH166" s="558"/>
      <c r="GQI166" s="558"/>
      <c r="GQJ166" s="558"/>
      <c r="GQK166" s="558"/>
      <c r="GQL166" s="558"/>
      <c r="GQM166" s="558"/>
      <c r="GQN166" s="558"/>
      <c r="GQO166" s="558"/>
      <c r="GQP166" s="558"/>
      <c r="GQQ166" s="558"/>
      <c r="GQR166" s="558"/>
      <c r="GQS166" s="558"/>
      <c r="GQT166" s="558"/>
      <c r="GQU166" s="558"/>
      <c r="GQV166" s="558"/>
      <c r="GQW166" s="558"/>
      <c r="GQX166" s="558"/>
      <c r="GQY166" s="558"/>
      <c r="GQZ166" s="558"/>
      <c r="GRA166" s="558"/>
      <c r="GRB166" s="558"/>
      <c r="GRC166" s="558"/>
      <c r="GRD166" s="558"/>
      <c r="GRE166" s="558"/>
      <c r="GRF166" s="558"/>
      <c r="GRG166" s="558"/>
      <c r="GRH166" s="558"/>
      <c r="GRI166" s="558"/>
      <c r="GRJ166" s="558"/>
      <c r="GRK166" s="558"/>
      <c r="GRL166" s="558"/>
      <c r="GRM166" s="558"/>
      <c r="GRN166" s="558"/>
      <c r="GRO166" s="558"/>
      <c r="GRP166" s="558"/>
      <c r="GRQ166" s="558"/>
      <c r="GRR166" s="558"/>
      <c r="GRS166" s="558"/>
      <c r="GRT166" s="558"/>
      <c r="GRU166" s="558"/>
      <c r="GRV166" s="558"/>
      <c r="GRW166" s="558"/>
      <c r="GRX166" s="558"/>
      <c r="GRY166" s="558"/>
      <c r="GRZ166" s="558"/>
      <c r="GSA166" s="558"/>
      <c r="GSB166" s="558"/>
      <c r="GSC166" s="558"/>
      <c r="GSD166" s="558"/>
      <c r="GSE166" s="558"/>
      <c r="GSF166" s="558"/>
      <c r="GSG166" s="558"/>
      <c r="GSH166" s="558"/>
      <c r="GSI166" s="558"/>
      <c r="GSJ166" s="558"/>
      <c r="GSK166" s="558"/>
      <c r="GSL166" s="558"/>
      <c r="GSM166" s="558"/>
      <c r="GSN166" s="558"/>
      <c r="GSO166" s="558"/>
      <c r="GSP166" s="558"/>
      <c r="GSQ166" s="558"/>
      <c r="GSR166" s="558"/>
      <c r="GSS166" s="558"/>
      <c r="GST166" s="558"/>
      <c r="GSU166" s="558"/>
      <c r="GSV166" s="558"/>
      <c r="GSW166" s="558"/>
      <c r="GSX166" s="558"/>
      <c r="GSY166" s="558"/>
      <c r="GSZ166" s="558"/>
      <c r="GTA166" s="558"/>
      <c r="GTB166" s="558"/>
      <c r="GTC166" s="558"/>
      <c r="GTD166" s="558"/>
      <c r="GTE166" s="558"/>
      <c r="GTF166" s="558"/>
      <c r="GTG166" s="558"/>
      <c r="GTH166" s="558"/>
      <c r="GTI166" s="558"/>
      <c r="GTJ166" s="558"/>
      <c r="GTK166" s="558"/>
      <c r="GTL166" s="558"/>
      <c r="GTM166" s="558"/>
      <c r="GTN166" s="558"/>
      <c r="GTO166" s="558"/>
      <c r="GTP166" s="558"/>
      <c r="GTQ166" s="558"/>
      <c r="GTR166" s="558"/>
      <c r="GTS166" s="558"/>
      <c r="GTT166" s="558"/>
      <c r="GTU166" s="558"/>
      <c r="GTV166" s="558"/>
      <c r="GTW166" s="558"/>
      <c r="GTX166" s="558"/>
      <c r="GTY166" s="558"/>
      <c r="GTZ166" s="558"/>
      <c r="GUA166" s="558"/>
      <c r="GUB166" s="558"/>
      <c r="GUC166" s="558"/>
      <c r="GUD166" s="558"/>
      <c r="GUE166" s="558"/>
      <c r="GUF166" s="558"/>
      <c r="GUG166" s="558"/>
      <c r="GUH166" s="558"/>
      <c r="GUI166" s="558"/>
      <c r="GUJ166" s="558"/>
      <c r="GUK166" s="558"/>
      <c r="GUL166" s="558"/>
      <c r="GUM166" s="558"/>
      <c r="GUN166" s="558"/>
      <c r="GUO166" s="558"/>
      <c r="GUP166" s="558"/>
      <c r="GUQ166" s="558"/>
      <c r="GUR166" s="558"/>
      <c r="GUS166" s="558"/>
      <c r="GUT166" s="558"/>
      <c r="GUU166" s="558"/>
      <c r="GUV166" s="558"/>
      <c r="GUW166" s="558"/>
      <c r="GUX166" s="558"/>
      <c r="GUY166" s="558"/>
      <c r="GUZ166" s="558"/>
      <c r="GVA166" s="558"/>
      <c r="GVB166" s="558"/>
      <c r="GVC166" s="558"/>
      <c r="GVD166" s="558"/>
      <c r="GVE166" s="558"/>
      <c r="GVF166" s="558"/>
      <c r="GVG166" s="558"/>
      <c r="GVH166" s="558"/>
      <c r="GVI166" s="558"/>
      <c r="GVJ166" s="558"/>
      <c r="GVK166" s="558"/>
      <c r="GVL166" s="558"/>
      <c r="GVM166" s="558"/>
      <c r="GVN166" s="558"/>
      <c r="GVO166" s="558"/>
      <c r="GVP166" s="558"/>
      <c r="GVQ166" s="558"/>
      <c r="GVR166" s="558"/>
      <c r="GVS166" s="558"/>
      <c r="GVT166" s="558"/>
      <c r="GVU166" s="558"/>
      <c r="GVV166" s="558"/>
      <c r="GVW166" s="558"/>
      <c r="GVX166" s="558"/>
      <c r="GVY166" s="558"/>
      <c r="GVZ166" s="558"/>
      <c r="GWA166" s="558"/>
      <c r="GWB166" s="558"/>
      <c r="GWC166" s="558"/>
      <c r="GWD166" s="558"/>
      <c r="GWE166" s="558"/>
      <c r="GWF166" s="558"/>
      <c r="GWG166" s="558"/>
      <c r="GWH166" s="558"/>
      <c r="GWI166" s="558"/>
      <c r="GWJ166" s="558"/>
      <c r="GWK166" s="558"/>
      <c r="GWL166" s="558"/>
      <c r="GWM166" s="558"/>
      <c r="GWN166" s="558"/>
      <c r="GWO166" s="558"/>
      <c r="GWP166" s="558"/>
      <c r="GWQ166" s="558"/>
      <c r="GWR166" s="558"/>
      <c r="GWS166" s="558"/>
      <c r="GWT166" s="558"/>
      <c r="GWU166" s="558"/>
      <c r="GWV166" s="558"/>
      <c r="GWW166" s="558"/>
      <c r="GWX166" s="558"/>
      <c r="GWY166" s="558"/>
      <c r="GWZ166" s="558"/>
      <c r="GXA166" s="558"/>
      <c r="GXB166" s="558"/>
      <c r="GXC166" s="558"/>
      <c r="GXD166" s="558"/>
      <c r="GXE166" s="558"/>
      <c r="GXF166" s="558"/>
      <c r="GXG166" s="558"/>
      <c r="GXH166" s="558"/>
      <c r="GXI166" s="558"/>
      <c r="GXJ166" s="558"/>
      <c r="GXK166" s="558"/>
      <c r="GXL166" s="558"/>
      <c r="GXM166" s="558"/>
      <c r="GXN166" s="558"/>
      <c r="GXO166" s="558"/>
      <c r="GXP166" s="558"/>
      <c r="GXQ166" s="558"/>
      <c r="GXR166" s="558"/>
      <c r="GXS166" s="558"/>
      <c r="GXT166" s="558"/>
      <c r="GXU166" s="558"/>
      <c r="GXV166" s="558"/>
      <c r="GXW166" s="558"/>
      <c r="GXX166" s="558"/>
      <c r="GXY166" s="558"/>
      <c r="GXZ166" s="558"/>
      <c r="GYA166" s="558"/>
      <c r="GYB166" s="558"/>
      <c r="GYC166" s="558"/>
      <c r="GYD166" s="558"/>
      <c r="GYE166" s="558"/>
      <c r="GYF166" s="558"/>
      <c r="GYG166" s="558"/>
      <c r="GYH166" s="558"/>
      <c r="GYI166" s="558"/>
      <c r="GYJ166" s="558"/>
      <c r="GYK166" s="558"/>
      <c r="GYL166" s="558"/>
      <c r="GYM166" s="558"/>
      <c r="GYN166" s="558"/>
      <c r="GYO166" s="558"/>
      <c r="GYP166" s="558"/>
      <c r="GYQ166" s="558"/>
      <c r="GYR166" s="558"/>
      <c r="GYS166" s="558"/>
      <c r="GYT166" s="558"/>
      <c r="GYU166" s="558"/>
      <c r="GYV166" s="558"/>
      <c r="GYW166" s="558"/>
      <c r="GYX166" s="558"/>
      <c r="GYY166" s="558"/>
      <c r="GYZ166" s="558"/>
      <c r="GZA166" s="558"/>
      <c r="GZB166" s="558"/>
      <c r="GZC166" s="558"/>
      <c r="GZD166" s="558"/>
      <c r="GZE166" s="558"/>
      <c r="GZF166" s="558"/>
      <c r="GZG166" s="558"/>
      <c r="GZH166" s="558"/>
      <c r="GZI166" s="558"/>
      <c r="GZJ166" s="558"/>
      <c r="GZK166" s="558"/>
      <c r="GZL166" s="558"/>
      <c r="GZM166" s="558"/>
      <c r="GZN166" s="558"/>
      <c r="GZO166" s="558"/>
      <c r="GZP166" s="558"/>
      <c r="GZQ166" s="558"/>
      <c r="GZR166" s="558"/>
      <c r="GZS166" s="558"/>
      <c r="GZT166" s="558"/>
      <c r="GZU166" s="558"/>
      <c r="GZV166" s="558"/>
      <c r="GZW166" s="558"/>
      <c r="GZX166" s="558"/>
      <c r="GZY166" s="558"/>
      <c r="GZZ166" s="558"/>
      <c r="HAA166" s="558"/>
      <c r="HAB166" s="558"/>
      <c r="HAC166" s="558"/>
      <c r="HAD166" s="558"/>
      <c r="HAE166" s="558"/>
      <c r="HAF166" s="558"/>
      <c r="HAG166" s="558"/>
      <c r="HAH166" s="558"/>
      <c r="HAI166" s="558"/>
      <c r="HAJ166" s="558"/>
      <c r="HAK166" s="558"/>
      <c r="HAL166" s="558"/>
      <c r="HAM166" s="558"/>
      <c r="HAN166" s="558"/>
      <c r="HAO166" s="558"/>
      <c r="HAP166" s="558"/>
      <c r="HAQ166" s="558"/>
      <c r="HAR166" s="558"/>
      <c r="HAS166" s="558"/>
      <c r="HAT166" s="558"/>
      <c r="HAU166" s="558"/>
      <c r="HAV166" s="558"/>
      <c r="HAW166" s="558"/>
      <c r="HAX166" s="558"/>
      <c r="HAY166" s="558"/>
      <c r="HAZ166" s="558"/>
      <c r="HBA166" s="558"/>
      <c r="HBB166" s="558"/>
      <c r="HBC166" s="558"/>
      <c r="HBD166" s="558"/>
      <c r="HBE166" s="558"/>
      <c r="HBF166" s="558"/>
      <c r="HBG166" s="558"/>
      <c r="HBH166" s="558"/>
      <c r="HBI166" s="558"/>
      <c r="HBJ166" s="558"/>
      <c r="HBK166" s="558"/>
      <c r="HBL166" s="558"/>
      <c r="HBM166" s="558"/>
      <c r="HBN166" s="558"/>
      <c r="HBO166" s="558"/>
      <c r="HBP166" s="558"/>
      <c r="HBQ166" s="558"/>
      <c r="HBR166" s="558"/>
      <c r="HBS166" s="558"/>
      <c r="HBT166" s="558"/>
      <c r="HBU166" s="558"/>
      <c r="HBV166" s="558"/>
      <c r="HBW166" s="558"/>
      <c r="HBX166" s="558"/>
      <c r="HBY166" s="558"/>
      <c r="HBZ166" s="558"/>
      <c r="HCA166" s="558"/>
      <c r="HCB166" s="558"/>
      <c r="HCC166" s="558"/>
      <c r="HCD166" s="558"/>
      <c r="HCE166" s="558"/>
      <c r="HCF166" s="558"/>
      <c r="HCG166" s="558"/>
      <c r="HCH166" s="558"/>
      <c r="HCI166" s="558"/>
      <c r="HCJ166" s="558"/>
      <c r="HCK166" s="558"/>
      <c r="HCL166" s="558"/>
      <c r="HCM166" s="558"/>
      <c r="HCN166" s="558"/>
      <c r="HCO166" s="558"/>
      <c r="HCP166" s="558"/>
      <c r="HCQ166" s="558"/>
      <c r="HCR166" s="558"/>
      <c r="HCS166" s="558"/>
      <c r="HCT166" s="558"/>
      <c r="HCU166" s="558"/>
      <c r="HCV166" s="558"/>
      <c r="HCW166" s="558"/>
      <c r="HCX166" s="558"/>
      <c r="HCY166" s="558"/>
      <c r="HCZ166" s="558"/>
      <c r="HDA166" s="558"/>
      <c r="HDB166" s="558"/>
      <c r="HDC166" s="558"/>
      <c r="HDD166" s="558"/>
      <c r="HDE166" s="558"/>
      <c r="HDF166" s="558"/>
      <c r="HDG166" s="558"/>
      <c r="HDH166" s="558"/>
      <c r="HDI166" s="558"/>
      <c r="HDJ166" s="558"/>
      <c r="HDK166" s="558"/>
      <c r="HDL166" s="558"/>
      <c r="HDM166" s="558"/>
      <c r="HDN166" s="558"/>
      <c r="HDO166" s="558"/>
      <c r="HDP166" s="558"/>
      <c r="HDQ166" s="558"/>
      <c r="HDR166" s="558"/>
      <c r="HDS166" s="558"/>
      <c r="HDT166" s="558"/>
      <c r="HDU166" s="558"/>
      <c r="HDV166" s="558"/>
      <c r="HDW166" s="558"/>
      <c r="HDX166" s="558"/>
      <c r="HDY166" s="558"/>
      <c r="HDZ166" s="558"/>
      <c r="HEA166" s="558"/>
      <c r="HEB166" s="558"/>
      <c r="HEC166" s="558"/>
      <c r="HED166" s="558"/>
      <c r="HEE166" s="558"/>
      <c r="HEF166" s="558"/>
      <c r="HEG166" s="558"/>
      <c r="HEH166" s="558"/>
      <c r="HEI166" s="558"/>
      <c r="HEJ166" s="558"/>
      <c r="HEK166" s="558"/>
      <c r="HEL166" s="558"/>
      <c r="HEM166" s="558"/>
      <c r="HEN166" s="558"/>
      <c r="HEO166" s="558"/>
      <c r="HEP166" s="558"/>
      <c r="HEQ166" s="558"/>
      <c r="HER166" s="558"/>
      <c r="HES166" s="558"/>
      <c r="HET166" s="558"/>
      <c r="HEU166" s="558"/>
      <c r="HEV166" s="558"/>
      <c r="HEW166" s="558"/>
      <c r="HEX166" s="558"/>
      <c r="HEY166" s="558"/>
      <c r="HEZ166" s="558"/>
      <c r="HFA166" s="558"/>
      <c r="HFB166" s="558"/>
      <c r="HFC166" s="558"/>
      <c r="HFD166" s="558"/>
      <c r="HFE166" s="558"/>
      <c r="HFF166" s="558"/>
      <c r="HFG166" s="558"/>
      <c r="HFH166" s="558"/>
      <c r="HFI166" s="558"/>
      <c r="HFJ166" s="558"/>
      <c r="HFK166" s="558"/>
      <c r="HFL166" s="558"/>
      <c r="HFM166" s="558"/>
      <c r="HFN166" s="558"/>
      <c r="HFO166" s="558"/>
      <c r="HFP166" s="558"/>
      <c r="HFQ166" s="558"/>
      <c r="HFR166" s="558"/>
      <c r="HFS166" s="558"/>
      <c r="HFT166" s="558"/>
      <c r="HFU166" s="558"/>
      <c r="HFV166" s="558"/>
      <c r="HFW166" s="558"/>
      <c r="HFX166" s="558"/>
      <c r="HFY166" s="558"/>
      <c r="HFZ166" s="558"/>
      <c r="HGA166" s="558"/>
      <c r="HGB166" s="558"/>
      <c r="HGC166" s="558"/>
      <c r="HGD166" s="558"/>
      <c r="HGE166" s="558"/>
      <c r="HGF166" s="558"/>
      <c r="HGG166" s="558"/>
      <c r="HGH166" s="558"/>
      <c r="HGI166" s="558"/>
      <c r="HGJ166" s="558"/>
      <c r="HGK166" s="558"/>
      <c r="HGL166" s="558"/>
      <c r="HGM166" s="558"/>
      <c r="HGN166" s="558"/>
      <c r="HGO166" s="558"/>
      <c r="HGP166" s="558"/>
      <c r="HGQ166" s="558"/>
      <c r="HGR166" s="558"/>
      <c r="HGS166" s="558"/>
      <c r="HGT166" s="558"/>
      <c r="HGU166" s="558"/>
      <c r="HGV166" s="558"/>
      <c r="HGW166" s="558"/>
      <c r="HGX166" s="558"/>
      <c r="HGY166" s="558"/>
      <c r="HGZ166" s="558"/>
      <c r="HHA166" s="558"/>
      <c r="HHB166" s="558"/>
      <c r="HHC166" s="558"/>
      <c r="HHD166" s="558"/>
      <c r="HHE166" s="558"/>
      <c r="HHF166" s="558"/>
      <c r="HHG166" s="558"/>
      <c r="HHH166" s="558"/>
      <c r="HHI166" s="558"/>
      <c r="HHJ166" s="558"/>
      <c r="HHK166" s="558"/>
      <c r="HHL166" s="558"/>
      <c r="HHM166" s="558"/>
      <c r="HHN166" s="558"/>
      <c r="HHO166" s="558"/>
      <c r="HHP166" s="558"/>
      <c r="HHQ166" s="558"/>
      <c r="HHR166" s="558"/>
      <c r="HHS166" s="558"/>
      <c r="HHT166" s="558"/>
      <c r="HHU166" s="558"/>
      <c r="HHV166" s="558"/>
      <c r="HHW166" s="558"/>
      <c r="HHX166" s="558"/>
      <c r="HHY166" s="558"/>
      <c r="HHZ166" s="558"/>
      <c r="HIA166" s="558"/>
      <c r="HIB166" s="558"/>
      <c r="HIC166" s="558"/>
      <c r="HID166" s="558"/>
      <c r="HIE166" s="558"/>
      <c r="HIF166" s="558"/>
      <c r="HIG166" s="558"/>
      <c r="HIH166" s="558"/>
      <c r="HII166" s="558"/>
      <c r="HIJ166" s="558"/>
      <c r="HIK166" s="558"/>
      <c r="HIL166" s="558"/>
      <c r="HIM166" s="558"/>
      <c r="HIN166" s="558"/>
      <c r="HIO166" s="558"/>
      <c r="HIP166" s="558"/>
      <c r="HIQ166" s="558"/>
      <c r="HIR166" s="558"/>
      <c r="HIS166" s="558"/>
      <c r="HIT166" s="558"/>
      <c r="HIU166" s="558"/>
      <c r="HIV166" s="558"/>
      <c r="HIW166" s="558"/>
      <c r="HIX166" s="558"/>
      <c r="HIY166" s="558"/>
      <c r="HIZ166" s="558"/>
      <c r="HJA166" s="558"/>
      <c r="HJB166" s="558"/>
      <c r="HJC166" s="558"/>
      <c r="HJD166" s="558"/>
      <c r="HJE166" s="558"/>
      <c r="HJF166" s="558"/>
      <c r="HJG166" s="558"/>
      <c r="HJH166" s="558"/>
      <c r="HJI166" s="558"/>
      <c r="HJJ166" s="558"/>
      <c r="HJK166" s="558"/>
      <c r="HJL166" s="558"/>
      <c r="HJM166" s="558"/>
      <c r="HJN166" s="558"/>
      <c r="HJO166" s="558"/>
      <c r="HJP166" s="558"/>
      <c r="HJQ166" s="558"/>
      <c r="HJR166" s="558"/>
      <c r="HJS166" s="558"/>
      <c r="HJT166" s="558"/>
      <c r="HJU166" s="558"/>
      <c r="HJV166" s="558"/>
      <c r="HJW166" s="558"/>
      <c r="HJX166" s="558"/>
      <c r="HJY166" s="558"/>
      <c r="HJZ166" s="558"/>
      <c r="HKA166" s="558"/>
      <c r="HKB166" s="558"/>
      <c r="HKC166" s="558"/>
      <c r="HKD166" s="558"/>
      <c r="HKE166" s="558"/>
      <c r="HKF166" s="558"/>
      <c r="HKG166" s="558"/>
      <c r="HKH166" s="558"/>
      <c r="HKI166" s="558"/>
      <c r="HKJ166" s="558"/>
      <c r="HKK166" s="558"/>
      <c r="HKL166" s="558"/>
      <c r="HKM166" s="558"/>
      <c r="HKN166" s="558"/>
      <c r="HKO166" s="558"/>
      <c r="HKP166" s="558"/>
      <c r="HKQ166" s="558"/>
      <c r="HKR166" s="558"/>
      <c r="HKS166" s="558"/>
      <c r="HKT166" s="558"/>
      <c r="HKU166" s="558"/>
      <c r="HKV166" s="558"/>
      <c r="HKW166" s="558"/>
      <c r="HKX166" s="558"/>
      <c r="HKY166" s="558"/>
      <c r="HKZ166" s="558"/>
      <c r="HLA166" s="558"/>
      <c r="HLB166" s="558"/>
      <c r="HLC166" s="558"/>
      <c r="HLD166" s="558"/>
      <c r="HLE166" s="558"/>
      <c r="HLF166" s="558"/>
      <c r="HLG166" s="558"/>
      <c r="HLH166" s="558"/>
      <c r="HLI166" s="558"/>
      <c r="HLJ166" s="558"/>
      <c r="HLK166" s="558"/>
      <c r="HLL166" s="558"/>
      <c r="HLM166" s="558"/>
      <c r="HLN166" s="558"/>
      <c r="HLO166" s="558"/>
      <c r="HLP166" s="558"/>
      <c r="HLQ166" s="558"/>
      <c r="HLR166" s="558"/>
      <c r="HLS166" s="558"/>
      <c r="HLT166" s="558"/>
      <c r="HLU166" s="558"/>
      <c r="HLV166" s="558"/>
      <c r="HLW166" s="558"/>
      <c r="HLX166" s="558"/>
      <c r="HLY166" s="558"/>
      <c r="HLZ166" s="558"/>
      <c r="HMA166" s="558"/>
      <c r="HMB166" s="558"/>
      <c r="HMC166" s="558"/>
      <c r="HMD166" s="558"/>
      <c r="HME166" s="558"/>
      <c r="HMF166" s="558"/>
      <c r="HMG166" s="558"/>
      <c r="HMH166" s="558"/>
      <c r="HMI166" s="558"/>
      <c r="HMJ166" s="558"/>
      <c r="HMK166" s="558"/>
      <c r="HML166" s="558"/>
      <c r="HMM166" s="558"/>
      <c r="HMN166" s="558"/>
      <c r="HMO166" s="558"/>
      <c r="HMP166" s="558"/>
      <c r="HMQ166" s="558"/>
      <c r="HMR166" s="558"/>
      <c r="HMS166" s="558"/>
      <c r="HMT166" s="558"/>
      <c r="HMU166" s="558"/>
      <c r="HMV166" s="558"/>
      <c r="HMW166" s="558"/>
      <c r="HMX166" s="558"/>
      <c r="HMY166" s="558"/>
      <c r="HMZ166" s="558"/>
      <c r="HNA166" s="558"/>
      <c r="HNB166" s="558"/>
      <c r="HNC166" s="558"/>
      <c r="HND166" s="558"/>
      <c r="HNE166" s="558"/>
      <c r="HNF166" s="558"/>
      <c r="HNG166" s="558"/>
      <c r="HNH166" s="558"/>
      <c r="HNI166" s="558"/>
      <c r="HNJ166" s="558"/>
      <c r="HNK166" s="558"/>
      <c r="HNL166" s="558"/>
      <c r="HNM166" s="558"/>
      <c r="HNN166" s="558"/>
      <c r="HNO166" s="558"/>
      <c r="HNP166" s="558"/>
      <c r="HNQ166" s="558"/>
      <c r="HNR166" s="558"/>
      <c r="HNS166" s="558"/>
      <c r="HNT166" s="558"/>
      <c r="HNU166" s="558"/>
      <c r="HNV166" s="558"/>
      <c r="HNW166" s="558"/>
      <c r="HNX166" s="558"/>
      <c r="HNY166" s="558"/>
      <c r="HNZ166" s="558"/>
      <c r="HOA166" s="558"/>
      <c r="HOB166" s="558"/>
      <c r="HOC166" s="558"/>
      <c r="HOD166" s="558"/>
      <c r="HOE166" s="558"/>
      <c r="HOF166" s="558"/>
      <c r="HOG166" s="558"/>
      <c r="HOH166" s="558"/>
      <c r="HOI166" s="558"/>
      <c r="HOJ166" s="558"/>
      <c r="HOK166" s="558"/>
      <c r="HOL166" s="558"/>
      <c r="HOM166" s="558"/>
      <c r="HON166" s="558"/>
      <c r="HOO166" s="558"/>
      <c r="HOP166" s="558"/>
      <c r="HOQ166" s="558"/>
      <c r="HOR166" s="558"/>
      <c r="HOS166" s="558"/>
      <c r="HOT166" s="558"/>
      <c r="HOU166" s="558"/>
      <c r="HOV166" s="558"/>
      <c r="HOW166" s="558"/>
      <c r="HOX166" s="558"/>
      <c r="HOY166" s="558"/>
      <c r="HOZ166" s="558"/>
      <c r="HPA166" s="558"/>
      <c r="HPB166" s="558"/>
      <c r="HPC166" s="558"/>
      <c r="HPD166" s="558"/>
      <c r="HPE166" s="558"/>
      <c r="HPF166" s="558"/>
      <c r="HPG166" s="558"/>
      <c r="HPH166" s="558"/>
      <c r="HPI166" s="558"/>
      <c r="HPJ166" s="558"/>
      <c r="HPK166" s="558"/>
      <c r="HPL166" s="558"/>
      <c r="HPM166" s="558"/>
      <c r="HPN166" s="558"/>
      <c r="HPO166" s="558"/>
      <c r="HPP166" s="558"/>
      <c r="HPQ166" s="558"/>
      <c r="HPR166" s="558"/>
      <c r="HPS166" s="558"/>
      <c r="HPT166" s="558"/>
      <c r="HPU166" s="558"/>
      <c r="HPV166" s="558"/>
      <c r="HPW166" s="558"/>
      <c r="HPX166" s="558"/>
      <c r="HPY166" s="558"/>
      <c r="HPZ166" s="558"/>
      <c r="HQA166" s="558"/>
      <c r="HQB166" s="558"/>
      <c r="HQC166" s="558"/>
      <c r="HQD166" s="558"/>
      <c r="HQE166" s="558"/>
      <c r="HQF166" s="558"/>
      <c r="HQG166" s="558"/>
      <c r="HQH166" s="558"/>
      <c r="HQI166" s="558"/>
      <c r="HQJ166" s="558"/>
      <c r="HQK166" s="558"/>
      <c r="HQL166" s="558"/>
      <c r="HQM166" s="558"/>
      <c r="HQN166" s="558"/>
      <c r="HQO166" s="558"/>
      <c r="HQP166" s="558"/>
      <c r="HQQ166" s="558"/>
      <c r="HQR166" s="558"/>
      <c r="HQS166" s="558"/>
      <c r="HQT166" s="558"/>
      <c r="HQU166" s="558"/>
      <c r="HQV166" s="558"/>
      <c r="HQW166" s="558"/>
      <c r="HQX166" s="558"/>
      <c r="HQY166" s="558"/>
      <c r="HQZ166" s="558"/>
      <c r="HRA166" s="558"/>
      <c r="HRB166" s="558"/>
      <c r="HRC166" s="558"/>
      <c r="HRD166" s="558"/>
      <c r="HRE166" s="558"/>
      <c r="HRF166" s="558"/>
      <c r="HRG166" s="558"/>
      <c r="HRH166" s="558"/>
      <c r="HRI166" s="558"/>
      <c r="HRJ166" s="558"/>
      <c r="HRK166" s="558"/>
      <c r="HRL166" s="558"/>
      <c r="HRM166" s="558"/>
      <c r="HRN166" s="558"/>
      <c r="HRO166" s="558"/>
      <c r="HRP166" s="558"/>
      <c r="HRQ166" s="558"/>
      <c r="HRR166" s="558"/>
      <c r="HRS166" s="558"/>
      <c r="HRT166" s="558"/>
      <c r="HRU166" s="558"/>
      <c r="HRV166" s="558"/>
      <c r="HRW166" s="558"/>
      <c r="HRX166" s="558"/>
      <c r="HRY166" s="558"/>
      <c r="HRZ166" s="558"/>
      <c r="HSA166" s="558"/>
      <c r="HSB166" s="558"/>
      <c r="HSC166" s="558"/>
      <c r="HSD166" s="558"/>
      <c r="HSE166" s="558"/>
      <c r="HSF166" s="558"/>
      <c r="HSG166" s="558"/>
      <c r="HSH166" s="558"/>
      <c r="HSI166" s="558"/>
      <c r="HSJ166" s="558"/>
      <c r="HSK166" s="558"/>
      <c r="HSL166" s="558"/>
      <c r="HSM166" s="558"/>
      <c r="HSN166" s="558"/>
      <c r="HSO166" s="558"/>
      <c r="HSP166" s="558"/>
      <c r="HSQ166" s="558"/>
      <c r="HSR166" s="558"/>
      <c r="HSS166" s="558"/>
      <c r="HST166" s="558"/>
      <c r="HSU166" s="558"/>
      <c r="HSV166" s="558"/>
      <c r="HSW166" s="558"/>
      <c r="HSX166" s="558"/>
      <c r="HSY166" s="558"/>
      <c r="HSZ166" s="558"/>
      <c r="HTA166" s="558"/>
      <c r="HTB166" s="558"/>
      <c r="HTC166" s="558"/>
      <c r="HTD166" s="558"/>
      <c r="HTE166" s="558"/>
      <c r="HTF166" s="558"/>
      <c r="HTG166" s="558"/>
      <c r="HTH166" s="558"/>
      <c r="HTI166" s="558"/>
      <c r="HTJ166" s="558"/>
      <c r="HTK166" s="558"/>
      <c r="HTL166" s="558"/>
      <c r="HTM166" s="558"/>
      <c r="HTN166" s="558"/>
      <c r="HTO166" s="558"/>
      <c r="HTP166" s="558"/>
      <c r="HTQ166" s="558"/>
      <c r="HTR166" s="558"/>
      <c r="HTS166" s="558"/>
      <c r="HTT166" s="558"/>
      <c r="HTU166" s="558"/>
      <c r="HTV166" s="558"/>
      <c r="HTW166" s="558"/>
      <c r="HTX166" s="558"/>
      <c r="HTY166" s="558"/>
      <c r="HTZ166" s="558"/>
      <c r="HUA166" s="558"/>
      <c r="HUB166" s="558"/>
      <c r="HUC166" s="558"/>
      <c r="HUD166" s="558"/>
      <c r="HUE166" s="558"/>
      <c r="HUF166" s="558"/>
      <c r="HUG166" s="558"/>
      <c r="HUH166" s="558"/>
      <c r="HUI166" s="558"/>
      <c r="HUJ166" s="558"/>
      <c r="HUK166" s="558"/>
      <c r="HUL166" s="558"/>
      <c r="HUM166" s="558"/>
      <c r="HUN166" s="558"/>
      <c r="HUO166" s="558"/>
      <c r="HUP166" s="558"/>
      <c r="HUQ166" s="558"/>
      <c r="HUR166" s="558"/>
      <c r="HUS166" s="558"/>
      <c r="HUT166" s="558"/>
      <c r="HUU166" s="558"/>
      <c r="HUV166" s="558"/>
      <c r="HUW166" s="558"/>
      <c r="HUX166" s="558"/>
      <c r="HUY166" s="558"/>
      <c r="HUZ166" s="558"/>
      <c r="HVA166" s="558"/>
      <c r="HVB166" s="558"/>
      <c r="HVC166" s="558"/>
      <c r="HVD166" s="558"/>
      <c r="HVE166" s="558"/>
      <c r="HVF166" s="558"/>
      <c r="HVG166" s="558"/>
      <c r="HVH166" s="558"/>
      <c r="HVI166" s="558"/>
      <c r="HVJ166" s="558"/>
      <c r="HVK166" s="558"/>
      <c r="HVL166" s="558"/>
      <c r="HVM166" s="558"/>
      <c r="HVN166" s="558"/>
      <c r="HVO166" s="558"/>
      <c r="HVP166" s="558"/>
      <c r="HVQ166" s="558"/>
      <c r="HVR166" s="558"/>
      <c r="HVS166" s="558"/>
      <c r="HVT166" s="558"/>
      <c r="HVU166" s="558"/>
      <c r="HVV166" s="558"/>
      <c r="HVW166" s="558"/>
      <c r="HVX166" s="558"/>
      <c r="HVY166" s="558"/>
      <c r="HVZ166" s="558"/>
      <c r="HWA166" s="558"/>
      <c r="HWB166" s="558"/>
      <c r="HWC166" s="558"/>
      <c r="HWD166" s="558"/>
      <c r="HWE166" s="558"/>
      <c r="HWF166" s="558"/>
      <c r="HWG166" s="558"/>
      <c r="HWH166" s="558"/>
      <c r="HWI166" s="558"/>
      <c r="HWJ166" s="558"/>
      <c r="HWK166" s="558"/>
      <c r="HWL166" s="558"/>
      <c r="HWM166" s="558"/>
      <c r="HWN166" s="558"/>
      <c r="HWO166" s="558"/>
      <c r="HWP166" s="558"/>
      <c r="HWQ166" s="558"/>
      <c r="HWR166" s="558"/>
      <c r="HWS166" s="558"/>
      <c r="HWT166" s="558"/>
      <c r="HWU166" s="558"/>
      <c r="HWV166" s="558"/>
      <c r="HWW166" s="558"/>
      <c r="HWX166" s="558"/>
      <c r="HWY166" s="558"/>
      <c r="HWZ166" s="558"/>
      <c r="HXA166" s="558"/>
      <c r="HXB166" s="558"/>
      <c r="HXC166" s="558"/>
      <c r="HXD166" s="558"/>
      <c r="HXE166" s="558"/>
      <c r="HXF166" s="558"/>
      <c r="HXG166" s="558"/>
      <c r="HXH166" s="558"/>
      <c r="HXI166" s="558"/>
      <c r="HXJ166" s="558"/>
      <c r="HXK166" s="558"/>
      <c r="HXL166" s="558"/>
      <c r="HXM166" s="558"/>
      <c r="HXN166" s="558"/>
      <c r="HXO166" s="558"/>
      <c r="HXP166" s="558"/>
      <c r="HXQ166" s="558"/>
      <c r="HXR166" s="558"/>
      <c r="HXS166" s="558"/>
      <c r="HXT166" s="558"/>
      <c r="HXU166" s="558"/>
      <c r="HXV166" s="558"/>
      <c r="HXW166" s="558"/>
      <c r="HXX166" s="558"/>
      <c r="HXY166" s="558"/>
      <c r="HXZ166" s="558"/>
      <c r="HYA166" s="558"/>
      <c r="HYB166" s="558"/>
      <c r="HYC166" s="558"/>
      <c r="HYD166" s="558"/>
      <c r="HYE166" s="558"/>
      <c r="HYF166" s="558"/>
      <c r="HYG166" s="558"/>
      <c r="HYH166" s="558"/>
      <c r="HYI166" s="558"/>
      <c r="HYJ166" s="558"/>
      <c r="HYK166" s="558"/>
      <c r="HYL166" s="558"/>
      <c r="HYM166" s="558"/>
      <c r="HYN166" s="558"/>
      <c r="HYO166" s="558"/>
      <c r="HYP166" s="558"/>
      <c r="HYQ166" s="558"/>
      <c r="HYR166" s="558"/>
      <c r="HYS166" s="558"/>
      <c r="HYT166" s="558"/>
      <c r="HYU166" s="558"/>
      <c r="HYV166" s="558"/>
      <c r="HYW166" s="558"/>
      <c r="HYX166" s="558"/>
      <c r="HYY166" s="558"/>
      <c r="HYZ166" s="558"/>
      <c r="HZA166" s="558"/>
      <c r="HZB166" s="558"/>
      <c r="HZC166" s="558"/>
      <c r="HZD166" s="558"/>
      <c r="HZE166" s="558"/>
      <c r="HZF166" s="558"/>
      <c r="HZG166" s="558"/>
      <c r="HZH166" s="558"/>
      <c r="HZI166" s="558"/>
      <c r="HZJ166" s="558"/>
      <c r="HZK166" s="558"/>
      <c r="HZL166" s="558"/>
      <c r="HZM166" s="558"/>
      <c r="HZN166" s="558"/>
      <c r="HZO166" s="558"/>
      <c r="HZP166" s="558"/>
      <c r="HZQ166" s="558"/>
      <c r="HZR166" s="558"/>
      <c r="HZS166" s="558"/>
      <c r="HZT166" s="558"/>
      <c r="HZU166" s="558"/>
      <c r="HZV166" s="558"/>
      <c r="HZW166" s="558"/>
      <c r="HZX166" s="558"/>
      <c r="HZY166" s="558"/>
      <c r="HZZ166" s="558"/>
      <c r="IAA166" s="558"/>
      <c r="IAB166" s="558"/>
      <c r="IAC166" s="558"/>
      <c r="IAD166" s="558"/>
      <c r="IAE166" s="558"/>
      <c r="IAF166" s="558"/>
      <c r="IAG166" s="558"/>
      <c r="IAH166" s="558"/>
      <c r="IAI166" s="558"/>
      <c r="IAJ166" s="558"/>
      <c r="IAK166" s="558"/>
      <c r="IAL166" s="558"/>
      <c r="IAM166" s="558"/>
      <c r="IAN166" s="558"/>
      <c r="IAO166" s="558"/>
      <c r="IAP166" s="558"/>
      <c r="IAQ166" s="558"/>
      <c r="IAR166" s="558"/>
      <c r="IAS166" s="558"/>
      <c r="IAT166" s="558"/>
      <c r="IAU166" s="558"/>
      <c r="IAV166" s="558"/>
      <c r="IAW166" s="558"/>
      <c r="IAX166" s="558"/>
      <c r="IAY166" s="558"/>
      <c r="IAZ166" s="558"/>
      <c r="IBA166" s="558"/>
      <c r="IBB166" s="558"/>
      <c r="IBC166" s="558"/>
      <c r="IBD166" s="558"/>
      <c r="IBE166" s="558"/>
      <c r="IBF166" s="558"/>
      <c r="IBG166" s="558"/>
      <c r="IBH166" s="558"/>
      <c r="IBI166" s="558"/>
      <c r="IBJ166" s="558"/>
      <c r="IBK166" s="558"/>
      <c r="IBL166" s="558"/>
      <c r="IBM166" s="558"/>
      <c r="IBN166" s="558"/>
      <c r="IBO166" s="558"/>
      <c r="IBP166" s="558"/>
      <c r="IBQ166" s="558"/>
      <c r="IBR166" s="558"/>
      <c r="IBS166" s="558"/>
      <c r="IBT166" s="558"/>
      <c r="IBU166" s="558"/>
      <c r="IBV166" s="558"/>
      <c r="IBW166" s="558"/>
      <c r="IBX166" s="558"/>
      <c r="IBY166" s="558"/>
      <c r="IBZ166" s="558"/>
      <c r="ICA166" s="558"/>
      <c r="ICB166" s="558"/>
      <c r="ICC166" s="558"/>
      <c r="ICD166" s="558"/>
      <c r="ICE166" s="558"/>
      <c r="ICF166" s="558"/>
      <c r="ICG166" s="558"/>
      <c r="ICH166" s="558"/>
      <c r="ICI166" s="558"/>
      <c r="ICJ166" s="558"/>
      <c r="ICK166" s="558"/>
      <c r="ICL166" s="558"/>
      <c r="ICM166" s="558"/>
      <c r="ICN166" s="558"/>
      <c r="ICO166" s="558"/>
      <c r="ICP166" s="558"/>
      <c r="ICQ166" s="558"/>
      <c r="ICR166" s="558"/>
      <c r="ICS166" s="558"/>
      <c r="ICT166" s="558"/>
      <c r="ICU166" s="558"/>
      <c r="ICV166" s="558"/>
      <c r="ICW166" s="558"/>
      <c r="ICX166" s="558"/>
      <c r="ICY166" s="558"/>
      <c r="ICZ166" s="558"/>
      <c r="IDA166" s="558"/>
      <c r="IDB166" s="558"/>
      <c r="IDC166" s="558"/>
      <c r="IDD166" s="558"/>
      <c r="IDE166" s="558"/>
      <c r="IDF166" s="558"/>
      <c r="IDG166" s="558"/>
      <c r="IDH166" s="558"/>
      <c r="IDI166" s="558"/>
      <c r="IDJ166" s="558"/>
      <c r="IDK166" s="558"/>
      <c r="IDL166" s="558"/>
      <c r="IDM166" s="558"/>
      <c r="IDN166" s="558"/>
      <c r="IDO166" s="558"/>
      <c r="IDP166" s="558"/>
      <c r="IDQ166" s="558"/>
      <c r="IDR166" s="558"/>
      <c r="IDS166" s="558"/>
      <c r="IDT166" s="558"/>
      <c r="IDU166" s="558"/>
      <c r="IDV166" s="558"/>
      <c r="IDW166" s="558"/>
      <c r="IDX166" s="558"/>
      <c r="IDY166" s="558"/>
      <c r="IDZ166" s="558"/>
      <c r="IEA166" s="558"/>
      <c r="IEB166" s="558"/>
      <c r="IEC166" s="558"/>
      <c r="IED166" s="558"/>
      <c r="IEE166" s="558"/>
      <c r="IEF166" s="558"/>
      <c r="IEG166" s="558"/>
      <c r="IEH166" s="558"/>
      <c r="IEI166" s="558"/>
      <c r="IEJ166" s="558"/>
      <c r="IEK166" s="558"/>
      <c r="IEL166" s="558"/>
      <c r="IEM166" s="558"/>
      <c r="IEN166" s="558"/>
      <c r="IEO166" s="558"/>
      <c r="IEP166" s="558"/>
      <c r="IEQ166" s="558"/>
      <c r="IER166" s="558"/>
      <c r="IES166" s="558"/>
      <c r="IET166" s="558"/>
      <c r="IEU166" s="558"/>
      <c r="IEV166" s="558"/>
      <c r="IEW166" s="558"/>
      <c r="IEX166" s="558"/>
      <c r="IEY166" s="558"/>
      <c r="IEZ166" s="558"/>
      <c r="IFA166" s="558"/>
      <c r="IFB166" s="558"/>
      <c r="IFC166" s="558"/>
      <c r="IFD166" s="558"/>
      <c r="IFE166" s="558"/>
      <c r="IFF166" s="558"/>
      <c r="IFG166" s="558"/>
      <c r="IFH166" s="558"/>
      <c r="IFI166" s="558"/>
      <c r="IFJ166" s="558"/>
      <c r="IFK166" s="558"/>
      <c r="IFL166" s="558"/>
      <c r="IFM166" s="558"/>
      <c r="IFN166" s="558"/>
      <c r="IFO166" s="558"/>
      <c r="IFP166" s="558"/>
      <c r="IFQ166" s="558"/>
      <c r="IFR166" s="558"/>
      <c r="IFS166" s="558"/>
      <c r="IFT166" s="558"/>
      <c r="IFU166" s="558"/>
      <c r="IFV166" s="558"/>
      <c r="IFW166" s="558"/>
      <c r="IFX166" s="558"/>
      <c r="IFY166" s="558"/>
      <c r="IFZ166" s="558"/>
      <c r="IGA166" s="558"/>
      <c r="IGB166" s="558"/>
      <c r="IGC166" s="558"/>
      <c r="IGD166" s="558"/>
      <c r="IGE166" s="558"/>
      <c r="IGF166" s="558"/>
      <c r="IGG166" s="558"/>
      <c r="IGH166" s="558"/>
      <c r="IGI166" s="558"/>
      <c r="IGJ166" s="558"/>
      <c r="IGK166" s="558"/>
      <c r="IGL166" s="558"/>
      <c r="IGM166" s="558"/>
      <c r="IGN166" s="558"/>
      <c r="IGO166" s="558"/>
      <c r="IGP166" s="558"/>
      <c r="IGQ166" s="558"/>
      <c r="IGR166" s="558"/>
      <c r="IGS166" s="558"/>
      <c r="IGT166" s="558"/>
      <c r="IGU166" s="558"/>
      <c r="IGV166" s="558"/>
      <c r="IGW166" s="558"/>
      <c r="IGX166" s="558"/>
      <c r="IGY166" s="558"/>
      <c r="IGZ166" s="558"/>
      <c r="IHA166" s="558"/>
      <c r="IHB166" s="558"/>
      <c r="IHC166" s="558"/>
      <c r="IHD166" s="558"/>
      <c r="IHE166" s="558"/>
      <c r="IHF166" s="558"/>
      <c r="IHG166" s="558"/>
      <c r="IHH166" s="558"/>
      <c r="IHI166" s="558"/>
      <c r="IHJ166" s="558"/>
      <c r="IHK166" s="558"/>
      <c r="IHL166" s="558"/>
      <c r="IHM166" s="558"/>
      <c r="IHN166" s="558"/>
      <c r="IHO166" s="558"/>
      <c r="IHP166" s="558"/>
      <c r="IHQ166" s="558"/>
      <c r="IHR166" s="558"/>
      <c r="IHS166" s="558"/>
      <c r="IHT166" s="558"/>
      <c r="IHU166" s="558"/>
      <c r="IHV166" s="558"/>
      <c r="IHW166" s="558"/>
      <c r="IHX166" s="558"/>
      <c r="IHY166" s="558"/>
      <c r="IHZ166" s="558"/>
      <c r="IIA166" s="558"/>
      <c r="IIB166" s="558"/>
      <c r="IIC166" s="558"/>
      <c r="IID166" s="558"/>
      <c r="IIE166" s="558"/>
      <c r="IIF166" s="558"/>
      <c r="IIG166" s="558"/>
      <c r="IIH166" s="558"/>
      <c r="III166" s="558"/>
      <c r="IIJ166" s="558"/>
      <c r="IIK166" s="558"/>
      <c r="IIL166" s="558"/>
      <c r="IIM166" s="558"/>
      <c r="IIN166" s="558"/>
      <c r="IIO166" s="558"/>
      <c r="IIP166" s="558"/>
      <c r="IIQ166" s="558"/>
      <c r="IIR166" s="558"/>
      <c r="IIS166" s="558"/>
      <c r="IIT166" s="558"/>
      <c r="IIU166" s="558"/>
      <c r="IIV166" s="558"/>
      <c r="IIW166" s="558"/>
      <c r="IIX166" s="558"/>
      <c r="IIY166" s="558"/>
      <c r="IIZ166" s="558"/>
      <c r="IJA166" s="558"/>
      <c r="IJB166" s="558"/>
      <c r="IJC166" s="558"/>
      <c r="IJD166" s="558"/>
      <c r="IJE166" s="558"/>
      <c r="IJF166" s="558"/>
      <c r="IJG166" s="558"/>
      <c r="IJH166" s="558"/>
      <c r="IJI166" s="558"/>
      <c r="IJJ166" s="558"/>
      <c r="IJK166" s="558"/>
      <c r="IJL166" s="558"/>
      <c r="IJM166" s="558"/>
      <c r="IJN166" s="558"/>
      <c r="IJO166" s="558"/>
      <c r="IJP166" s="558"/>
      <c r="IJQ166" s="558"/>
      <c r="IJR166" s="558"/>
      <c r="IJS166" s="558"/>
      <c r="IJT166" s="558"/>
      <c r="IJU166" s="558"/>
      <c r="IJV166" s="558"/>
      <c r="IJW166" s="558"/>
      <c r="IJX166" s="558"/>
      <c r="IJY166" s="558"/>
      <c r="IJZ166" s="558"/>
      <c r="IKA166" s="558"/>
      <c r="IKB166" s="558"/>
      <c r="IKC166" s="558"/>
      <c r="IKD166" s="558"/>
      <c r="IKE166" s="558"/>
      <c r="IKF166" s="558"/>
      <c r="IKG166" s="558"/>
      <c r="IKH166" s="558"/>
      <c r="IKI166" s="558"/>
      <c r="IKJ166" s="558"/>
      <c r="IKK166" s="558"/>
      <c r="IKL166" s="558"/>
      <c r="IKM166" s="558"/>
      <c r="IKN166" s="558"/>
      <c r="IKO166" s="558"/>
      <c r="IKP166" s="558"/>
      <c r="IKQ166" s="558"/>
      <c r="IKR166" s="558"/>
      <c r="IKS166" s="558"/>
      <c r="IKT166" s="558"/>
      <c r="IKU166" s="558"/>
      <c r="IKV166" s="558"/>
      <c r="IKW166" s="558"/>
      <c r="IKX166" s="558"/>
      <c r="IKY166" s="558"/>
      <c r="IKZ166" s="558"/>
      <c r="ILA166" s="558"/>
      <c r="ILB166" s="558"/>
      <c r="ILC166" s="558"/>
      <c r="ILD166" s="558"/>
      <c r="ILE166" s="558"/>
      <c r="ILF166" s="558"/>
      <c r="ILG166" s="558"/>
      <c r="ILH166" s="558"/>
      <c r="ILI166" s="558"/>
      <c r="ILJ166" s="558"/>
      <c r="ILK166" s="558"/>
      <c r="ILL166" s="558"/>
      <c r="ILM166" s="558"/>
      <c r="ILN166" s="558"/>
      <c r="ILO166" s="558"/>
      <c r="ILP166" s="558"/>
      <c r="ILQ166" s="558"/>
      <c r="ILR166" s="558"/>
      <c r="ILS166" s="558"/>
      <c r="ILT166" s="558"/>
      <c r="ILU166" s="558"/>
      <c r="ILV166" s="558"/>
      <c r="ILW166" s="558"/>
      <c r="ILX166" s="558"/>
      <c r="ILY166" s="558"/>
      <c r="ILZ166" s="558"/>
      <c r="IMA166" s="558"/>
      <c r="IMB166" s="558"/>
      <c r="IMC166" s="558"/>
      <c r="IMD166" s="558"/>
      <c r="IME166" s="558"/>
      <c r="IMF166" s="558"/>
      <c r="IMG166" s="558"/>
      <c r="IMH166" s="558"/>
      <c r="IMI166" s="558"/>
      <c r="IMJ166" s="558"/>
      <c r="IMK166" s="558"/>
      <c r="IML166" s="558"/>
      <c r="IMM166" s="558"/>
      <c r="IMN166" s="558"/>
      <c r="IMO166" s="558"/>
      <c r="IMP166" s="558"/>
      <c r="IMQ166" s="558"/>
      <c r="IMR166" s="558"/>
      <c r="IMS166" s="558"/>
      <c r="IMT166" s="558"/>
      <c r="IMU166" s="558"/>
      <c r="IMV166" s="558"/>
      <c r="IMW166" s="558"/>
      <c r="IMX166" s="558"/>
      <c r="IMY166" s="558"/>
      <c r="IMZ166" s="558"/>
      <c r="INA166" s="558"/>
      <c r="INB166" s="558"/>
      <c r="INC166" s="558"/>
      <c r="IND166" s="558"/>
      <c r="INE166" s="558"/>
      <c r="INF166" s="558"/>
      <c r="ING166" s="558"/>
      <c r="INH166" s="558"/>
      <c r="INI166" s="558"/>
      <c r="INJ166" s="558"/>
      <c r="INK166" s="558"/>
      <c r="INL166" s="558"/>
      <c r="INM166" s="558"/>
      <c r="INN166" s="558"/>
      <c r="INO166" s="558"/>
      <c r="INP166" s="558"/>
      <c r="INQ166" s="558"/>
      <c r="INR166" s="558"/>
      <c r="INS166" s="558"/>
      <c r="INT166" s="558"/>
      <c r="INU166" s="558"/>
      <c r="INV166" s="558"/>
      <c r="INW166" s="558"/>
      <c r="INX166" s="558"/>
      <c r="INY166" s="558"/>
      <c r="INZ166" s="558"/>
      <c r="IOA166" s="558"/>
      <c r="IOB166" s="558"/>
      <c r="IOC166" s="558"/>
      <c r="IOD166" s="558"/>
      <c r="IOE166" s="558"/>
      <c r="IOF166" s="558"/>
      <c r="IOG166" s="558"/>
      <c r="IOH166" s="558"/>
      <c r="IOI166" s="558"/>
      <c r="IOJ166" s="558"/>
      <c r="IOK166" s="558"/>
      <c r="IOL166" s="558"/>
      <c r="IOM166" s="558"/>
      <c r="ION166" s="558"/>
      <c r="IOO166" s="558"/>
      <c r="IOP166" s="558"/>
      <c r="IOQ166" s="558"/>
      <c r="IOR166" s="558"/>
      <c r="IOS166" s="558"/>
      <c r="IOT166" s="558"/>
      <c r="IOU166" s="558"/>
      <c r="IOV166" s="558"/>
      <c r="IOW166" s="558"/>
      <c r="IOX166" s="558"/>
      <c r="IOY166" s="558"/>
      <c r="IOZ166" s="558"/>
      <c r="IPA166" s="558"/>
      <c r="IPB166" s="558"/>
      <c r="IPC166" s="558"/>
      <c r="IPD166" s="558"/>
      <c r="IPE166" s="558"/>
      <c r="IPF166" s="558"/>
      <c r="IPG166" s="558"/>
      <c r="IPH166" s="558"/>
      <c r="IPI166" s="558"/>
      <c r="IPJ166" s="558"/>
      <c r="IPK166" s="558"/>
      <c r="IPL166" s="558"/>
      <c r="IPM166" s="558"/>
      <c r="IPN166" s="558"/>
      <c r="IPO166" s="558"/>
      <c r="IPP166" s="558"/>
      <c r="IPQ166" s="558"/>
      <c r="IPR166" s="558"/>
      <c r="IPS166" s="558"/>
      <c r="IPT166" s="558"/>
      <c r="IPU166" s="558"/>
      <c r="IPV166" s="558"/>
      <c r="IPW166" s="558"/>
      <c r="IPX166" s="558"/>
      <c r="IPY166" s="558"/>
      <c r="IPZ166" s="558"/>
      <c r="IQA166" s="558"/>
      <c r="IQB166" s="558"/>
      <c r="IQC166" s="558"/>
      <c r="IQD166" s="558"/>
      <c r="IQE166" s="558"/>
      <c r="IQF166" s="558"/>
      <c r="IQG166" s="558"/>
      <c r="IQH166" s="558"/>
      <c r="IQI166" s="558"/>
      <c r="IQJ166" s="558"/>
      <c r="IQK166" s="558"/>
      <c r="IQL166" s="558"/>
      <c r="IQM166" s="558"/>
      <c r="IQN166" s="558"/>
      <c r="IQO166" s="558"/>
      <c r="IQP166" s="558"/>
      <c r="IQQ166" s="558"/>
      <c r="IQR166" s="558"/>
      <c r="IQS166" s="558"/>
      <c r="IQT166" s="558"/>
      <c r="IQU166" s="558"/>
      <c r="IQV166" s="558"/>
      <c r="IQW166" s="558"/>
      <c r="IQX166" s="558"/>
      <c r="IQY166" s="558"/>
      <c r="IQZ166" s="558"/>
      <c r="IRA166" s="558"/>
      <c r="IRB166" s="558"/>
      <c r="IRC166" s="558"/>
      <c r="IRD166" s="558"/>
      <c r="IRE166" s="558"/>
      <c r="IRF166" s="558"/>
      <c r="IRG166" s="558"/>
      <c r="IRH166" s="558"/>
      <c r="IRI166" s="558"/>
      <c r="IRJ166" s="558"/>
      <c r="IRK166" s="558"/>
      <c r="IRL166" s="558"/>
      <c r="IRM166" s="558"/>
      <c r="IRN166" s="558"/>
      <c r="IRO166" s="558"/>
      <c r="IRP166" s="558"/>
      <c r="IRQ166" s="558"/>
      <c r="IRR166" s="558"/>
      <c r="IRS166" s="558"/>
      <c r="IRT166" s="558"/>
      <c r="IRU166" s="558"/>
      <c r="IRV166" s="558"/>
      <c r="IRW166" s="558"/>
      <c r="IRX166" s="558"/>
      <c r="IRY166" s="558"/>
      <c r="IRZ166" s="558"/>
      <c r="ISA166" s="558"/>
      <c r="ISB166" s="558"/>
      <c r="ISC166" s="558"/>
      <c r="ISD166" s="558"/>
      <c r="ISE166" s="558"/>
      <c r="ISF166" s="558"/>
      <c r="ISG166" s="558"/>
      <c r="ISH166" s="558"/>
      <c r="ISI166" s="558"/>
      <c r="ISJ166" s="558"/>
      <c r="ISK166" s="558"/>
      <c r="ISL166" s="558"/>
      <c r="ISM166" s="558"/>
      <c r="ISN166" s="558"/>
      <c r="ISO166" s="558"/>
      <c r="ISP166" s="558"/>
      <c r="ISQ166" s="558"/>
      <c r="ISR166" s="558"/>
      <c r="ISS166" s="558"/>
      <c r="IST166" s="558"/>
      <c r="ISU166" s="558"/>
      <c r="ISV166" s="558"/>
      <c r="ISW166" s="558"/>
      <c r="ISX166" s="558"/>
      <c r="ISY166" s="558"/>
      <c r="ISZ166" s="558"/>
      <c r="ITA166" s="558"/>
      <c r="ITB166" s="558"/>
      <c r="ITC166" s="558"/>
      <c r="ITD166" s="558"/>
      <c r="ITE166" s="558"/>
      <c r="ITF166" s="558"/>
      <c r="ITG166" s="558"/>
      <c r="ITH166" s="558"/>
      <c r="ITI166" s="558"/>
      <c r="ITJ166" s="558"/>
      <c r="ITK166" s="558"/>
      <c r="ITL166" s="558"/>
      <c r="ITM166" s="558"/>
      <c r="ITN166" s="558"/>
      <c r="ITO166" s="558"/>
      <c r="ITP166" s="558"/>
      <c r="ITQ166" s="558"/>
      <c r="ITR166" s="558"/>
      <c r="ITS166" s="558"/>
      <c r="ITT166" s="558"/>
      <c r="ITU166" s="558"/>
      <c r="ITV166" s="558"/>
      <c r="ITW166" s="558"/>
      <c r="ITX166" s="558"/>
      <c r="ITY166" s="558"/>
      <c r="ITZ166" s="558"/>
      <c r="IUA166" s="558"/>
      <c r="IUB166" s="558"/>
      <c r="IUC166" s="558"/>
      <c r="IUD166" s="558"/>
      <c r="IUE166" s="558"/>
      <c r="IUF166" s="558"/>
      <c r="IUG166" s="558"/>
      <c r="IUH166" s="558"/>
      <c r="IUI166" s="558"/>
      <c r="IUJ166" s="558"/>
      <c r="IUK166" s="558"/>
      <c r="IUL166" s="558"/>
      <c r="IUM166" s="558"/>
      <c r="IUN166" s="558"/>
      <c r="IUO166" s="558"/>
      <c r="IUP166" s="558"/>
      <c r="IUQ166" s="558"/>
      <c r="IUR166" s="558"/>
      <c r="IUS166" s="558"/>
      <c r="IUT166" s="558"/>
      <c r="IUU166" s="558"/>
      <c r="IUV166" s="558"/>
      <c r="IUW166" s="558"/>
      <c r="IUX166" s="558"/>
      <c r="IUY166" s="558"/>
      <c r="IUZ166" s="558"/>
      <c r="IVA166" s="558"/>
      <c r="IVB166" s="558"/>
      <c r="IVC166" s="558"/>
      <c r="IVD166" s="558"/>
      <c r="IVE166" s="558"/>
      <c r="IVF166" s="558"/>
      <c r="IVG166" s="558"/>
      <c r="IVH166" s="558"/>
      <c r="IVI166" s="558"/>
      <c r="IVJ166" s="558"/>
      <c r="IVK166" s="558"/>
      <c r="IVL166" s="558"/>
      <c r="IVM166" s="558"/>
      <c r="IVN166" s="558"/>
      <c r="IVO166" s="558"/>
      <c r="IVP166" s="558"/>
      <c r="IVQ166" s="558"/>
      <c r="IVR166" s="558"/>
      <c r="IVS166" s="558"/>
      <c r="IVT166" s="558"/>
      <c r="IVU166" s="558"/>
      <c r="IVV166" s="558"/>
      <c r="IVW166" s="558"/>
      <c r="IVX166" s="558"/>
      <c r="IVY166" s="558"/>
      <c r="IVZ166" s="558"/>
      <c r="IWA166" s="558"/>
      <c r="IWB166" s="558"/>
      <c r="IWC166" s="558"/>
      <c r="IWD166" s="558"/>
      <c r="IWE166" s="558"/>
      <c r="IWF166" s="558"/>
      <c r="IWG166" s="558"/>
      <c r="IWH166" s="558"/>
      <c r="IWI166" s="558"/>
      <c r="IWJ166" s="558"/>
      <c r="IWK166" s="558"/>
      <c r="IWL166" s="558"/>
      <c r="IWM166" s="558"/>
      <c r="IWN166" s="558"/>
      <c r="IWO166" s="558"/>
      <c r="IWP166" s="558"/>
      <c r="IWQ166" s="558"/>
      <c r="IWR166" s="558"/>
      <c r="IWS166" s="558"/>
      <c r="IWT166" s="558"/>
      <c r="IWU166" s="558"/>
      <c r="IWV166" s="558"/>
      <c r="IWW166" s="558"/>
      <c r="IWX166" s="558"/>
      <c r="IWY166" s="558"/>
      <c r="IWZ166" s="558"/>
      <c r="IXA166" s="558"/>
      <c r="IXB166" s="558"/>
      <c r="IXC166" s="558"/>
      <c r="IXD166" s="558"/>
      <c r="IXE166" s="558"/>
      <c r="IXF166" s="558"/>
      <c r="IXG166" s="558"/>
      <c r="IXH166" s="558"/>
      <c r="IXI166" s="558"/>
      <c r="IXJ166" s="558"/>
      <c r="IXK166" s="558"/>
      <c r="IXL166" s="558"/>
      <c r="IXM166" s="558"/>
      <c r="IXN166" s="558"/>
      <c r="IXO166" s="558"/>
      <c r="IXP166" s="558"/>
      <c r="IXQ166" s="558"/>
      <c r="IXR166" s="558"/>
      <c r="IXS166" s="558"/>
      <c r="IXT166" s="558"/>
      <c r="IXU166" s="558"/>
      <c r="IXV166" s="558"/>
      <c r="IXW166" s="558"/>
      <c r="IXX166" s="558"/>
      <c r="IXY166" s="558"/>
      <c r="IXZ166" s="558"/>
      <c r="IYA166" s="558"/>
      <c r="IYB166" s="558"/>
      <c r="IYC166" s="558"/>
      <c r="IYD166" s="558"/>
      <c r="IYE166" s="558"/>
      <c r="IYF166" s="558"/>
      <c r="IYG166" s="558"/>
      <c r="IYH166" s="558"/>
      <c r="IYI166" s="558"/>
      <c r="IYJ166" s="558"/>
      <c r="IYK166" s="558"/>
      <c r="IYL166" s="558"/>
      <c r="IYM166" s="558"/>
      <c r="IYN166" s="558"/>
      <c r="IYO166" s="558"/>
      <c r="IYP166" s="558"/>
      <c r="IYQ166" s="558"/>
      <c r="IYR166" s="558"/>
      <c r="IYS166" s="558"/>
      <c r="IYT166" s="558"/>
      <c r="IYU166" s="558"/>
      <c r="IYV166" s="558"/>
      <c r="IYW166" s="558"/>
      <c r="IYX166" s="558"/>
      <c r="IYY166" s="558"/>
      <c r="IYZ166" s="558"/>
      <c r="IZA166" s="558"/>
      <c r="IZB166" s="558"/>
      <c r="IZC166" s="558"/>
      <c r="IZD166" s="558"/>
      <c r="IZE166" s="558"/>
      <c r="IZF166" s="558"/>
      <c r="IZG166" s="558"/>
      <c r="IZH166" s="558"/>
      <c r="IZI166" s="558"/>
      <c r="IZJ166" s="558"/>
      <c r="IZK166" s="558"/>
      <c r="IZL166" s="558"/>
      <c r="IZM166" s="558"/>
      <c r="IZN166" s="558"/>
      <c r="IZO166" s="558"/>
      <c r="IZP166" s="558"/>
      <c r="IZQ166" s="558"/>
      <c r="IZR166" s="558"/>
      <c r="IZS166" s="558"/>
      <c r="IZT166" s="558"/>
      <c r="IZU166" s="558"/>
      <c r="IZV166" s="558"/>
      <c r="IZW166" s="558"/>
      <c r="IZX166" s="558"/>
      <c r="IZY166" s="558"/>
      <c r="IZZ166" s="558"/>
      <c r="JAA166" s="558"/>
      <c r="JAB166" s="558"/>
      <c r="JAC166" s="558"/>
      <c r="JAD166" s="558"/>
      <c r="JAE166" s="558"/>
      <c r="JAF166" s="558"/>
      <c r="JAG166" s="558"/>
      <c r="JAH166" s="558"/>
      <c r="JAI166" s="558"/>
      <c r="JAJ166" s="558"/>
      <c r="JAK166" s="558"/>
      <c r="JAL166" s="558"/>
      <c r="JAM166" s="558"/>
      <c r="JAN166" s="558"/>
      <c r="JAO166" s="558"/>
      <c r="JAP166" s="558"/>
      <c r="JAQ166" s="558"/>
      <c r="JAR166" s="558"/>
      <c r="JAS166" s="558"/>
      <c r="JAT166" s="558"/>
      <c r="JAU166" s="558"/>
      <c r="JAV166" s="558"/>
      <c r="JAW166" s="558"/>
      <c r="JAX166" s="558"/>
      <c r="JAY166" s="558"/>
      <c r="JAZ166" s="558"/>
      <c r="JBA166" s="558"/>
      <c r="JBB166" s="558"/>
      <c r="JBC166" s="558"/>
      <c r="JBD166" s="558"/>
      <c r="JBE166" s="558"/>
      <c r="JBF166" s="558"/>
      <c r="JBG166" s="558"/>
      <c r="JBH166" s="558"/>
      <c r="JBI166" s="558"/>
      <c r="JBJ166" s="558"/>
      <c r="JBK166" s="558"/>
      <c r="JBL166" s="558"/>
      <c r="JBM166" s="558"/>
      <c r="JBN166" s="558"/>
      <c r="JBO166" s="558"/>
      <c r="JBP166" s="558"/>
      <c r="JBQ166" s="558"/>
      <c r="JBR166" s="558"/>
      <c r="JBS166" s="558"/>
      <c r="JBT166" s="558"/>
      <c r="JBU166" s="558"/>
      <c r="JBV166" s="558"/>
      <c r="JBW166" s="558"/>
      <c r="JBX166" s="558"/>
      <c r="JBY166" s="558"/>
      <c r="JBZ166" s="558"/>
      <c r="JCA166" s="558"/>
      <c r="JCB166" s="558"/>
      <c r="JCC166" s="558"/>
      <c r="JCD166" s="558"/>
      <c r="JCE166" s="558"/>
      <c r="JCF166" s="558"/>
      <c r="JCG166" s="558"/>
      <c r="JCH166" s="558"/>
      <c r="JCI166" s="558"/>
      <c r="JCJ166" s="558"/>
      <c r="JCK166" s="558"/>
      <c r="JCL166" s="558"/>
      <c r="JCM166" s="558"/>
      <c r="JCN166" s="558"/>
      <c r="JCO166" s="558"/>
      <c r="JCP166" s="558"/>
      <c r="JCQ166" s="558"/>
      <c r="JCR166" s="558"/>
      <c r="JCS166" s="558"/>
      <c r="JCT166" s="558"/>
      <c r="JCU166" s="558"/>
      <c r="JCV166" s="558"/>
      <c r="JCW166" s="558"/>
      <c r="JCX166" s="558"/>
      <c r="JCY166" s="558"/>
      <c r="JCZ166" s="558"/>
      <c r="JDA166" s="558"/>
      <c r="JDB166" s="558"/>
      <c r="JDC166" s="558"/>
      <c r="JDD166" s="558"/>
      <c r="JDE166" s="558"/>
      <c r="JDF166" s="558"/>
      <c r="JDG166" s="558"/>
      <c r="JDH166" s="558"/>
      <c r="JDI166" s="558"/>
      <c r="JDJ166" s="558"/>
      <c r="JDK166" s="558"/>
      <c r="JDL166" s="558"/>
      <c r="JDM166" s="558"/>
      <c r="JDN166" s="558"/>
      <c r="JDO166" s="558"/>
      <c r="JDP166" s="558"/>
      <c r="JDQ166" s="558"/>
      <c r="JDR166" s="558"/>
      <c r="JDS166" s="558"/>
      <c r="JDT166" s="558"/>
      <c r="JDU166" s="558"/>
      <c r="JDV166" s="558"/>
      <c r="JDW166" s="558"/>
      <c r="JDX166" s="558"/>
      <c r="JDY166" s="558"/>
      <c r="JDZ166" s="558"/>
      <c r="JEA166" s="558"/>
      <c r="JEB166" s="558"/>
      <c r="JEC166" s="558"/>
      <c r="JED166" s="558"/>
      <c r="JEE166" s="558"/>
      <c r="JEF166" s="558"/>
      <c r="JEG166" s="558"/>
      <c r="JEH166" s="558"/>
      <c r="JEI166" s="558"/>
      <c r="JEJ166" s="558"/>
      <c r="JEK166" s="558"/>
      <c r="JEL166" s="558"/>
      <c r="JEM166" s="558"/>
      <c r="JEN166" s="558"/>
      <c r="JEO166" s="558"/>
      <c r="JEP166" s="558"/>
      <c r="JEQ166" s="558"/>
      <c r="JER166" s="558"/>
      <c r="JES166" s="558"/>
      <c r="JET166" s="558"/>
      <c r="JEU166" s="558"/>
      <c r="JEV166" s="558"/>
      <c r="JEW166" s="558"/>
      <c r="JEX166" s="558"/>
      <c r="JEY166" s="558"/>
      <c r="JEZ166" s="558"/>
      <c r="JFA166" s="558"/>
      <c r="JFB166" s="558"/>
      <c r="JFC166" s="558"/>
      <c r="JFD166" s="558"/>
      <c r="JFE166" s="558"/>
      <c r="JFF166" s="558"/>
      <c r="JFG166" s="558"/>
      <c r="JFH166" s="558"/>
      <c r="JFI166" s="558"/>
      <c r="JFJ166" s="558"/>
      <c r="JFK166" s="558"/>
      <c r="JFL166" s="558"/>
      <c r="JFM166" s="558"/>
      <c r="JFN166" s="558"/>
      <c r="JFO166" s="558"/>
      <c r="JFP166" s="558"/>
      <c r="JFQ166" s="558"/>
      <c r="JFR166" s="558"/>
      <c r="JFS166" s="558"/>
      <c r="JFT166" s="558"/>
      <c r="JFU166" s="558"/>
      <c r="JFV166" s="558"/>
      <c r="JFW166" s="558"/>
      <c r="JFX166" s="558"/>
      <c r="JFY166" s="558"/>
      <c r="JFZ166" s="558"/>
      <c r="JGA166" s="558"/>
      <c r="JGB166" s="558"/>
      <c r="JGC166" s="558"/>
      <c r="JGD166" s="558"/>
      <c r="JGE166" s="558"/>
      <c r="JGF166" s="558"/>
      <c r="JGG166" s="558"/>
      <c r="JGH166" s="558"/>
      <c r="JGI166" s="558"/>
      <c r="JGJ166" s="558"/>
      <c r="JGK166" s="558"/>
      <c r="JGL166" s="558"/>
      <c r="JGM166" s="558"/>
      <c r="JGN166" s="558"/>
      <c r="JGO166" s="558"/>
      <c r="JGP166" s="558"/>
      <c r="JGQ166" s="558"/>
      <c r="JGR166" s="558"/>
      <c r="JGS166" s="558"/>
      <c r="JGT166" s="558"/>
      <c r="JGU166" s="558"/>
      <c r="JGV166" s="558"/>
      <c r="JGW166" s="558"/>
      <c r="JGX166" s="558"/>
      <c r="JGY166" s="558"/>
      <c r="JGZ166" s="558"/>
      <c r="JHA166" s="558"/>
      <c r="JHB166" s="558"/>
      <c r="JHC166" s="558"/>
      <c r="JHD166" s="558"/>
      <c r="JHE166" s="558"/>
      <c r="JHF166" s="558"/>
      <c r="JHG166" s="558"/>
      <c r="JHH166" s="558"/>
      <c r="JHI166" s="558"/>
      <c r="JHJ166" s="558"/>
      <c r="JHK166" s="558"/>
      <c r="JHL166" s="558"/>
      <c r="JHM166" s="558"/>
      <c r="JHN166" s="558"/>
      <c r="JHO166" s="558"/>
      <c r="JHP166" s="558"/>
      <c r="JHQ166" s="558"/>
      <c r="JHR166" s="558"/>
      <c r="JHS166" s="558"/>
      <c r="JHT166" s="558"/>
      <c r="JHU166" s="558"/>
      <c r="JHV166" s="558"/>
      <c r="JHW166" s="558"/>
      <c r="JHX166" s="558"/>
      <c r="JHY166" s="558"/>
      <c r="JHZ166" s="558"/>
      <c r="JIA166" s="558"/>
      <c r="JIB166" s="558"/>
      <c r="JIC166" s="558"/>
      <c r="JID166" s="558"/>
      <c r="JIE166" s="558"/>
      <c r="JIF166" s="558"/>
      <c r="JIG166" s="558"/>
      <c r="JIH166" s="558"/>
      <c r="JII166" s="558"/>
      <c r="JIJ166" s="558"/>
      <c r="JIK166" s="558"/>
      <c r="JIL166" s="558"/>
      <c r="JIM166" s="558"/>
      <c r="JIN166" s="558"/>
      <c r="JIO166" s="558"/>
      <c r="JIP166" s="558"/>
      <c r="JIQ166" s="558"/>
      <c r="JIR166" s="558"/>
      <c r="JIS166" s="558"/>
      <c r="JIT166" s="558"/>
      <c r="JIU166" s="558"/>
      <c r="JIV166" s="558"/>
      <c r="JIW166" s="558"/>
      <c r="JIX166" s="558"/>
      <c r="JIY166" s="558"/>
      <c r="JIZ166" s="558"/>
      <c r="JJA166" s="558"/>
      <c r="JJB166" s="558"/>
      <c r="JJC166" s="558"/>
      <c r="JJD166" s="558"/>
      <c r="JJE166" s="558"/>
      <c r="JJF166" s="558"/>
      <c r="JJG166" s="558"/>
      <c r="JJH166" s="558"/>
      <c r="JJI166" s="558"/>
      <c r="JJJ166" s="558"/>
      <c r="JJK166" s="558"/>
      <c r="JJL166" s="558"/>
      <c r="JJM166" s="558"/>
      <c r="JJN166" s="558"/>
      <c r="JJO166" s="558"/>
      <c r="JJP166" s="558"/>
      <c r="JJQ166" s="558"/>
      <c r="JJR166" s="558"/>
      <c r="JJS166" s="558"/>
      <c r="JJT166" s="558"/>
      <c r="JJU166" s="558"/>
      <c r="JJV166" s="558"/>
      <c r="JJW166" s="558"/>
      <c r="JJX166" s="558"/>
      <c r="JJY166" s="558"/>
      <c r="JJZ166" s="558"/>
      <c r="JKA166" s="558"/>
      <c r="JKB166" s="558"/>
      <c r="JKC166" s="558"/>
      <c r="JKD166" s="558"/>
      <c r="JKE166" s="558"/>
      <c r="JKF166" s="558"/>
      <c r="JKG166" s="558"/>
      <c r="JKH166" s="558"/>
      <c r="JKI166" s="558"/>
      <c r="JKJ166" s="558"/>
      <c r="JKK166" s="558"/>
      <c r="JKL166" s="558"/>
      <c r="JKM166" s="558"/>
      <c r="JKN166" s="558"/>
      <c r="JKO166" s="558"/>
      <c r="JKP166" s="558"/>
      <c r="JKQ166" s="558"/>
      <c r="JKR166" s="558"/>
      <c r="JKS166" s="558"/>
      <c r="JKT166" s="558"/>
      <c r="JKU166" s="558"/>
      <c r="JKV166" s="558"/>
      <c r="JKW166" s="558"/>
      <c r="JKX166" s="558"/>
      <c r="JKY166" s="558"/>
      <c r="JKZ166" s="558"/>
      <c r="JLA166" s="558"/>
      <c r="JLB166" s="558"/>
      <c r="JLC166" s="558"/>
      <c r="JLD166" s="558"/>
      <c r="JLE166" s="558"/>
      <c r="JLF166" s="558"/>
      <c r="JLG166" s="558"/>
      <c r="JLH166" s="558"/>
      <c r="JLI166" s="558"/>
      <c r="JLJ166" s="558"/>
      <c r="JLK166" s="558"/>
      <c r="JLL166" s="558"/>
      <c r="JLM166" s="558"/>
      <c r="JLN166" s="558"/>
      <c r="JLO166" s="558"/>
      <c r="JLP166" s="558"/>
      <c r="JLQ166" s="558"/>
      <c r="JLR166" s="558"/>
      <c r="JLS166" s="558"/>
      <c r="JLT166" s="558"/>
      <c r="JLU166" s="558"/>
      <c r="JLV166" s="558"/>
      <c r="JLW166" s="558"/>
      <c r="JLX166" s="558"/>
      <c r="JLY166" s="558"/>
      <c r="JLZ166" s="558"/>
      <c r="JMA166" s="558"/>
      <c r="JMB166" s="558"/>
      <c r="JMC166" s="558"/>
      <c r="JMD166" s="558"/>
      <c r="JME166" s="558"/>
      <c r="JMF166" s="558"/>
      <c r="JMG166" s="558"/>
      <c r="JMH166" s="558"/>
      <c r="JMI166" s="558"/>
      <c r="JMJ166" s="558"/>
      <c r="JMK166" s="558"/>
      <c r="JML166" s="558"/>
      <c r="JMM166" s="558"/>
      <c r="JMN166" s="558"/>
      <c r="JMO166" s="558"/>
      <c r="JMP166" s="558"/>
      <c r="JMQ166" s="558"/>
      <c r="JMR166" s="558"/>
      <c r="JMS166" s="558"/>
      <c r="JMT166" s="558"/>
      <c r="JMU166" s="558"/>
      <c r="JMV166" s="558"/>
      <c r="JMW166" s="558"/>
      <c r="JMX166" s="558"/>
      <c r="JMY166" s="558"/>
      <c r="JMZ166" s="558"/>
      <c r="JNA166" s="558"/>
      <c r="JNB166" s="558"/>
      <c r="JNC166" s="558"/>
      <c r="JND166" s="558"/>
      <c r="JNE166" s="558"/>
      <c r="JNF166" s="558"/>
      <c r="JNG166" s="558"/>
      <c r="JNH166" s="558"/>
      <c r="JNI166" s="558"/>
      <c r="JNJ166" s="558"/>
      <c r="JNK166" s="558"/>
      <c r="JNL166" s="558"/>
      <c r="JNM166" s="558"/>
      <c r="JNN166" s="558"/>
      <c r="JNO166" s="558"/>
      <c r="JNP166" s="558"/>
      <c r="JNQ166" s="558"/>
      <c r="JNR166" s="558"/>
      <c r="JNS166" s="558"/>
      <c r="JNT166" s="558"/>
      <c r="JNU166" s="558"/>
      <c r="JNV166" s="558"/>
      <c r="JNW166" s="558"/>
      <c r="JNX166" s="558"/>
      <c r="JNY166" s="558"/>
      <c r="JNZ166" s="558"/>
      <c r="JOA166" s="558"/>
      <c r="JOB166" s="558"/>
      <c r="JOC166" s="558"/>
      <c r="JOD166" s="558"/>
      <c r="JOE166" s="558"/>
      <c r="JOF166" s="558"/>
      <c r="JOG166" s="558"/>
      <c r="JOH166" s="558"/>
      <c r="JOI166" s="558"/>
      <c r="JOJ166" s="558"/>
      <c r="JOK166" s="558"/>
      <c r="JOL166" s="558"/>
      <c r="JOM166" s="558"/>
      <c r="JON166" s="558"/>
      <c r="JOO166" s="558"/>
      <c r="JOP166" s="558"/>
      <c r="JOQ166" s="558"/>
      <c r="JOR166" s="558"/>
      <c r="JOS166" s="558"/>
      <c r="JOT166" s="558"/>
      <c r="JOU166" s="558"/>
      <c r="JOV166" s="558"/>
      <c r="JOW166" s="558"/>
      <c r="JOX166" s="558"/>
      <c r="JOY166" s="558"/>
      <c r="JOZ166" s="558"/>
      <c r="JPA166" s="558"/>
      <c r="JPB166" s="558"/>
      <c r="JPC166" s="558"/>
      <c r="JPD166" s="558"/>
      <c r="JPE166" s="558"/>
      <c r="JPF166" s="558"/>
      <c r="JPG166" s="558"/>
      <c r="JPH166" s="558"/>
      <c r="JPI166" s="558"/>
      <c r="JPJ166" s="558"/>
      <c r="JPK166" s="558"/>
      <c r="JPL166" s="558"/>
      <c r="JPM166" s="558"/>
      <c r="JPN166" s="558"/>
      <c r="JPO166" s="558"/>
      <c r="JPP166" s="558"/>
      <c r="JPQ166" s="558"/>
      <c r="JPR166" s="558"/>
      <c r="JPS166" s="558"/>
      <c r="JPT166" s="558"/>
      <c r="JPU166" s="558"/>
      <c r="JPV166" s="558"/>
      <c r="JPW166" s="558"/>
      <c r="JPX166" s="558"/>
      <c r="JPY166" s="558"/>
      <c r="JPZ166" s="558"/>
      <c r="JQA166" s="558"/>
      <c r="JQB166" s="558"/>
      <c r="JQC166" s="558"/>
      <c r="JQD166" s="558"/>
      <c r="JQE166" s="558"/>
      <c r="JQF166" s="558"/>
      <c r="JQG166" s="558"/>
      <c r="JQH166" s="558"/>
      <c r="JQI166" s="558"/>
      <c r="JQJ166" s="558"/>
      <c r="JQK166" s="558"/>
      <c r="JQL166" s="558"/>
      <c r="JQM166" s="558"/>
      <c r="JQN166" s="558"/>
      <c r="JQO166" s="558"/>
      <c r="JQP166" s="558"/>
      <c r="JQQ166" s="558"/>
      <c r="JQR166" s="558"/>
      <c r="JQS166" s="558"/>
      <c r="JQT166" s="558"/>
      <c r="JQU166" s="558"/>
      <c r="JQV166" s="558"/>
      <c r="JQW166" s="558"/>
      <c r="JQX166" s="558"/>
      <c r="JQY166" s="558"/>
      <c r="JQZ166" s="558"/>
      <c r="JRA166" s="558"/>
      <c r="JRB166" s="558"/>
      <c r="JRC166" s="558"/>
      <c r="JRD166" s="558"/>
      <c r="JRE166" s="558"/>
      <c r="JRF166" s="558"/>
      <c r="JRG166" s="558"/>
      <c r="JRH166" s="558"/>
      <c r="JRI166" s="558"/>
      <c r="JRJ166" s="558"/>
      <c r="JRK166" s="558"/>
      <c r="JRL166" s="558"/>
      <c r="JRM166" s="558"/>
      <c r="JRN166" s="558"/>
      <c r="JRO166" s="558"/>
      <c r="JRP166" s="558"/>
      <c r="JRQ166" s="558"/>
      <c r="JRR166" s="558"/>
      <c r="JRS166" s="558"/>
      <c r="JRT166" s="558"/>
      <c r="JRU166" s="558"/>
      <c r="JRV166" s="558"/>
      <c r="JRW166" s="558"/>
      <c r="JRX166" s="558"/>
      <c r="JRY166" s="558"/>
      <c r="JRZ166" s="558"/>
      <c r="JSA166" s="558"/>
      <c r="JSB166" s="558"/>
      <c r="JSC166" s="558"/>
      <c r="JSD166" s="558"/>
      <c r="JSE166" s="558"/>
      <c r="JSF166" s="558"/>
      <c r="JSG166" s="558"/>
      <c r="JSH166" s="558"/>
      <c r="JSI166" s="558"/>
      <c r="JSJ166" s="558"/>
      <c r="JSK166" s="558"/>
      <c r="JSL166" s="558"/>
      <c r="JSM166" s="558"/>
      <c r="JSN166" s="558"/>
      <c r="JSO166" s="558"/>
      <c r="JSP166" s="558"/>
      <c r="JSQ166" s="558"/>
      <c r="JSR166" s="558"/>
      <c r="JSS166" s="558"/>
      <c r="JST166" s="558"/>
      <c r="JSU166" s="558"/>
      <c r="JSV166" s="558"/>
      <c r="JSW166" s="558"/>
      <c r="JSX166" s="558"/>
      <c r="JSY166" s="558"/>
      <c r="JSZ166" s="558"/>
      <c r="JTA166" s="558"/>
      <c r="JTB166" s="558"/>
      <c r="JTC166" s="558"/>
      <c r="JTD166" s="558"/>
      <c r="JTE166" s="558"/>
      <c r="JTF166" s="558"/>
      <c r="JTG166" s="558"/>
      <c r="JTH166" s="558"/>
      <c r="JTI166" s="558"/>
      <c r="JTJ166" s="558"/>
      <c r="JTK166" s="558"/>
      <c r="JTL166" s="558"/>
      <c r="JTM166" s="558"/>
      <c r="JTN166" s="558"/>
      <c r="JTO166" s="558"/>
      <c r="JTP166" s="558"/>
      <c r="JTQ166" s="558"/>
      <c r="JTR166" s="558"/>
      <c r="JTS166" s="558"/>
      <c r="JTT166" s="558"/>
      <c r="JTU166" s="558"/>
      <c r="JTV166" s="558"/>
      <c r="JTW166" s="558"/>
      <c r="JTX166" s="558"/>
      <c r="JTY166" s="558"/>
      <c r="JTZ166" s="558"/>
      <c r="JUA166" s="558"/>
      <c r="JUB166" s="558"/>
      <c r="JUC166" s="558"/>
      <c r="JUD166" s="558"/>
      <c r="JUE166" s="558"/>
      <c r="JUF166" s="558"/>
      <c r="JUG166" s="558"/>
      <c r="JUH166" s="558"/>
      <c r="JUI166" s="558"/>
      <c r="JUJ166" s="558"/>
      <c r="JUK166" s="558"/>
      <c r="JUL166" s="558"/>
      <c r="JUM166" s="558"/>
      <c r="JUN166" s="558"/>
      <c r="JUO166" s="558"/>
      <c r="JUP166" s="558"/>
      <c r="JUQ166" s="558"/>
      <c r="JUR166" s="558"/>
      <c r="JUS166" s="558"/>
      <c r="JUT166" s="558"/>
      <c r="JUU166" s="558"/>
      <c r="JUV166" s="558"/>
      <c r="JUW166" s="558"/>
      <c r="JUX166" s="558"/>
      <c r="JUY166" s="558"/>
      <c r="JUZ166" s="558"/>
      <c r="JVA166" s="558"/>
      <c r="JVB166" s="558"/>
      <c r="JVC166" s="558"/>
      <c r="JVD166" s="558"/>
      <c r="JVE166" s="558"/>
      <c r="JVF166" s="558"/>
      <c r="JVG166" s="558"/>
      <c r="JVH166" s="558"/>
      <c r="JVI166" s="558"/>
      <c r="JVJ166" s="558"/>
      <c r="JVK166" s="558"/>
      <c r="JVL166" s="558"/>
      <c r="JVM166" s="558"/>
      <c r="JVN166" s="558"/>
      <c r="JVO166" s="558"/>
      <c r="JVP166" s="558"/>
      <c r="JVQ166" s="558"/>
      <c r="JVR166" s="558"/>
      <c r="JVS166" s="558"/>
      <c r="JVT166" s="558"/>
      <c r="JVU166" s="558"/>
      <c r="JVV166" s="558"/>
      <c r="JVW166" s="558"/>
      <c r="JVX166" s="558"/>
      <c r="JVY166" s="558"/>
      <c r="JVZ166" s="558"/>
      <c r="JWA166" s="558"/>
      <c r="JWB166" s="558"/>
      <c r="JWC166" s="558"/>
      <c r="JWD166" s="558"/>
      <c r="JWE166" s="558"/>
      <c r="JWF166" s="558"/>
      <c r="JWG166" s="558"/>
      <c r="JWH166" s="558"/>
      <c r="JWI166" s="558"/>
      <c r="JWJ166" s="558"/>
      <c r="JWK166" s="558"/>
      <c r="JWL166" s="558"/>
      <c r="JWM166" s="558"/>
      <c r="JWN166" s="558"/>
      <c r="JWO166" s="558"/>
      <c r="JWP166" s="558"/>
      <c r="JWQ166" s="558"/>
      <c r="JWR166" s="558"/>
      <c r="JWS166" s="558"/>
      <c r="JWT166" s="558"/>
      <c r="JWU166" s="558"/>
      <c r="JWV166" s="558"/>
      <c r="JWW166" s="558"/>
      <c r="JWX166" s="558"/>
      <c r="JWY166" s="558"/>
      <c r="JWZ166" s="558"/>
      <c r="JXA166" s="558"/>
      <c r="JXB166" s="558"/>
      <c r="JXC166" s="558"/>
      <c r="JXD166" s="558"/>
      <c r="JXE166" s="558"/>
      <c r="JXF166" s="558"/>
      <c r="JXG166" s="558"/>
      <c r="JXH166" s="558"/>
      <c r="JXI166" s="558"/>
      <c r="JXJ166" s="558"/>
      <c r="JXK166" s="558"/>
      <c r="JXL166" s="558"/>
      <c r="JXM166" s="558"/>
      <c r="JXN166" s="558"/>
      <c r="JXO166" s="558"/>
      <c r="JXP166" s="558"/>
      <c r="JXQ166" s="558"/>
      <c r="JXR166" s="558"/>
      <c r="JXS166" s="558"/>
      <c r="JXT166" s="558"/>
      <c r="JXU166" s="558"/>
      <c r="JXV166" s="558"/>
      <c r="JXW166" s="558"/>
      <c r="JXX166" s="558"/>
      <c r="JXY166" s="558"/>
      <c r="JXZ166" s="558"/>
      <c r="JYA166" s="558"/>
      <c r="JYB166" s="558"/>
      <c r="JYC166" s="558"/>
      <c r="JYD166" s="558"/>
      <c r="JYE166" s="558"/>
      <c r="JYF166" s="558"/>
      <c r="JYG166" s="558"/>
      <c r="JYH166" s="558"/>
      <c r="JYI166" s="558"/>
      <c r="JYJ166" s="558"/>
      <c r="JYK166" s="558"/>
      <c r="JYL166" s="558"/>
      <c r="JYM166" s="558"/>
      <c r="JYN166" s="558"/>
      <c r="JYO166" s="558"/>
      <c r="JYP166" s="558"/>
      <c r="JYQ166" s="558"/>
      <c r="JYR166" s="558"/>
      <c r="JYS166" s="558"/>
      <c r="JYT166" s="558"/>
      <c r="JYU166" s="558"/>
      <c r="JYV166" s="558"/>
      <c r="JYW166" s="558"/>
      <c r="JYX166" s="558"/>
      <c r="JYY166" s="558"/>
      <c r="JYZ166" s="558"/>
      <c r="JZA166" s="558"/>
      <c r="JZB166" s="558"/>
      <c r="JZC166" s="558"/>
      <c r="JZD166" s="558"/>
      <c r="JZE166" s="558"/>
      <c r="JZF166" s="558"/>
      <c r="JZG166" s="558"/>
      <c r="JZH166" s="558"/>
      <c r="JZI166" s="558"/>
      <c r="JZJ166" s="558"/>
      <c r="JZK166" s="558"/>
      <c r="JZL166" s="558"/>
      <c r="JZM166" s="558"/>
      <c r="JZN166" s="558"/>
      <c r="JZO166" s="558"/>
      <c r="JZP166" s="558"/>
      <c r="JZQ166" s="558"/>
      <c r="JZR166" s="558"/>
      <c r="JZS166" s="558"/>
      <c r="JZT166" s="558"/>
      <c r="JZU166" s="558"/>
      <c r="JZV166" s="558"/>
      <c r="JZW166" s="558"/>
      <c r="JZX166" s="558"/>
      <c r="JZY166" s="558"/>
      <c r="JZZ166" s="558"/>
      <c r="KAA166" s="558"/>
      <c r="KAB166" s="558"/>
      <c r="KAC166" s="558"/>
      <c r="KAD166" s="558"/>
      <c r="KAE166" s="558"/>
      <c r="KAF166" s="558"/>
      <c r="KAG166" s="558"/>
      <c r="KAH166" s="558"/>
      <c r="KAI166" s="558"/>
      <c r="KAJ166" s="558"/>
      <c r="KAK166" s="558"/>
      <c r="KAL166" s="558"/>
      <c r="KAM166" s="558"/>
      <c r="KAN166" s="558"/>
      <c r="KAO166" s="558"/>
      <c r="KAP166" s="558"/>
      <c r="KAQ166" s="558"/>
      <c r="KAR166" s="558"/>
      <c r="KAS166" s="558"/>
      <c r="KAT166" s="558"/>
      <c r="KAU166" s="558"/>
      <c r="KAV166" s="558"/>
      <c r="KAW166" s="558"/>
      <c r="KAX166" s="558"/>
      <c r="KAY166" s="558"/>
      <c r="KAZ166" s="558"/>
      <c r="KBA166" s="558"/>
      <c r="KBB166" s="558"/>
      <c r="KBC166" s="558"/>
      <c r="KBD166" s="558"/>
      <c r="KBE166" s="558"/>
      <c r="KBF166" s="558"/>
      <c r="KBG166" s="558"/>
      <c r="KBH166" s="558"/>
      <c r="KBI166" s="558"/>
      <c r="KBJ166" s="558"/>
      <c r="KBK166" s="558"/>
      <c r="KBL166" s="558"/>
      <c r="KBM166" s="558"/>
      <c r="KBN166" s="558"/>
      <c r="KBO166" s="558"/>
      <c r="KBP166" s="558"/>
      <c r="KBQ166" s="558"/>
      <c r="KBR166" s="558"/>
      <c r="KBS166" s="558"/>
      <c r="KBT166" s="558"/>
      <c r="KBU166" s="558"/>
      <c r="KBV166" s="558"/>
      <c r="KBW166" s="558"/>
      <c r="KBX166" s="558"/>
      <c r="KBY166" s="558"/>
      <c r="KBZ166" s="558"/>
      <c r="KCA166" s="558"/>
      <c r="KCB166" s="558"/>
      <c r="KCC166" s="558"/>
      <c r="KCD166" s="558"/>
      <c r="KCE166" s="558"/>
      <c r="KCF166" s="558"/>
      <c r="KCG166" s="558"/>
      <c r="KCH166" s="558"/>
      <c r="KCI166" s="558"/>
      <c r="KCJ166" s="558"/>
      <c r="KCK166" s="558"/>
      <c r="KCL166" s="558"/>
      <c r="KCM166" s="558"/>
      <c r="KCN166" s="558"/>
      <c r="KCO166" s="558"/>
      <c r="KCP166" s="558"/>
      <c r="KCQ166" s="558"/>
      <c r="KCR166" s="558"/>
      <c r="KCS166" s="558"/>
      <c r="KCT166" s="558"/>
      <c r="KCU166" s="558"/>
      <c r="KCV166" s="558"/>
      <c r="KCW166" s="558"/>
      <c r="KCX166" s="558"/>
      <c r="KCY166" s="558"/>
      <c r="KCZ166" s="558"/>
      <c r="KDA166" s="558"/>
      <c r="KDB166" s="558"/>
      <c r="KDC166" s="558"/>
      <c r="KDD166" s="558"/>
      <c r="KDE166" s="558"/>
      <c r="KDF166" s="558"/>
      <c r="KDG166" s="558"/>
      <c r="KDH166" s="558"/>
      <c r="KDI166" s="558"/>
      <c r="KDJ166" s="558"/>
      <c r="KDK166" s="558"/>
      <c r="KDL166" s="558"/>
      <c r="KDM166" s="558"/>
      <c r="KDN166" s="558"/>
      <c r="KDO166" s="558"/>
      <c r="KDP166" s="558"/>
      <c r="KDQ166" s="558"/>
      <c r="KDR166" s="558"/>
      <c r="KDS166" s="558"/>
      <c r="KDT166" s="558"/>
      <c r="KDU166" s="558"/>
      <c r="KDV166" s="558"/>
      <c r="KDW166" s="558"/>
      <c r="KDX166" s="558"/>
      <c r="KDY166" s="558"/>
      <c r="KDZ166" s="558"/>
      <c r="KEA166" s="558"/>
      <c r="KEB166" s="558"/>
      <c r="KEC166" s="558"/>
      <c r="KED166" s="558"/>
      <c r="KEE166" s="558"/>
      <c r="KEF166" s="558"/>
      <c r="KEG166" s="558"/>
      <c r="KEH166" s="558"/>
      <c r="KEI166" s="558"/>
      <c r="KEJ166" s="558"/>
      <c r="KEK166" s="558"/>
      <c r="KEL166" s="558"/>
      <c r="KEM166" s="558"/>
      <c r="KEN166" s="558"/>
      <c r="KEO166" s="558"/>
      <c r="KEP166" s="558"/>
      <c r="KEQ166" s="558"/>
      <c r="KER166" s="558"/>
      <c r="KES166" s="558"/>
      <c r="KET166" s="558"/>
      <c r="KEU166" s="558"/>
      <c r="KEV166" s="558"/>
      <c r="KEW166" s="558"/>
      <c r="KEX166" s="558"/>
      <c r="KEY166" s="558"/>
      <c r="KEZ166" s="558"/>
      <c r="KFA166" s="558"/>
      <c r="KFB166" s="558"/>
      <c r="KFC166" s="558"/>
      <c r="KFD166" s="558"/>
      <c r="KFE166" s="558"/>
      <c r="KFF166" s="558"/>
      <c r="KFG166" s="558"/>
      <c r="KFH166" s="558"/>
      <c r="KFI166" s="558"/>
      <c r="KFJ166" s="558"/>
      <c r="KFK166" s="558"/>
      <c r="KFL166" s="558"/>
      <c r="KFM166" s="558"/>
      <c r="KFN166" s="558"/>
      <c r="KFO166" s="558"/>
      <c r="KFP166" s="558"/>
      <c r="KFQ166" s="558"/>
      <c r="KFR166" s="558"/>
      <c r="KFS166" s="558"/>
      <c r="KFT166" s="558"/>
      <c r="KFU166" s="558"/>
      <c r="KFV166" s="558"/>
      <c r="KFW166" s="558"/>
      <c r="KFX166" s="558"/>
      <c r="KFY166" s="558"/>
      <c r="KFZ166" s="558"/>
      <c r="KGA166" s="558"/>
      <c r="KGB166" s="558"/>
      <c r="KGC166" s="558"/>
      <c r="KGD166" s="558"/>
      <c r="KGE166" s="558"/>
      <c r="KGF166" s="558"/>
      <c r="KGG166" s="558"/>
      <c r="KGH166" s="558"/>
      <c r="KGI166" s="558"/>
      <c r="KGJ166" s="558"/>
      <c r="KGK166" s="558"/>
      <c r="KGL166" s="558"/>
      <c r="KGM166" s="558"/>
      <c r="KGN166" s="558"/>
      <c r="KGO166" s="558"/>
      <c r="KGP166" s="558"/>
      <c r="KGQ166" s="558"/>
      <c r="KGR166" s="558"/>
      <c r="KGS166" s="558"/>
      <c r="KGT166" s="558"/>
      <c r="KGU166" s="558"/>
      <c r="KGV166" s="558"/>
      <c r="KGW166" s="558"/>
      <c r="KGX166" s="558"/>
      <c r="KGY166" s="558"/>
      <c r="KGZ166" s="558"/>
      <c r="KHA166" s="558"/>
      <c r="KHB166" s="558"/>
      <c r="KHC166" s="558"/>
      <c r="KHD166" s="558"/>
      <c r="KHE166" s="558"/>
      <c r="KHF166" s="558"/>
      <c r="KHG166" s="558"/>
      <c r="KHH166" s="558"/>
      <c r="KHI166" s="558"/>
      <c r="KHJ166" s="558"/>
      <c r="KHK166" s="558"/>
      <c r="KHL166" s="558"/>
      <c r="KHM166" s="558"/>
      <c r="KHN166" s="558"/>
      <c r="KHO166" s="558"/>
      <c r="KHP166" s="558"/>
      <c r="KHQ166" s="558"/>
      <c r="KHR166" s="558"/>
      <c r="KHS166" s="558"/>
      <c r="KHT166" s="558"/>
      <c r="KHU166" s="558"/>
      <c r="KHV166" s="558"/>
      <c r="KHW166" s="558"/>
      <c r="KHX166" s="558"/>
      <c r="KHY166" s="558"/>
      <c r="KHZ166" s="558"/>
      <c r="KIA166" s="558"/>
      <c r="KIB166" s="558"/>
      <c r="KIC166" s="558"/>
      <c r="KID166" s="558"/>
      <c r="KIE166" s="558"/>
      <c r="KIF166" s="558"/>
      <c r="KIG166" s="558"/>
      <c r="KIH166" s="558"/>
      <c r="KII166" s="558"/>
      <c r="KIJ166" s="558"/>
      <c r="KIK166" s="558"/>
      <c r="KIL166" s="558"/>
      <c r="KIM166" s="558"/>
      <c r="KIN166" s="558"/>
      <c r="KIO166" s="558"/>
      <c r="KIP166" s="558"/>
      <c r="KIQ166" s="558"/>
      <c r="KIR166" s="558"/>
      <c r="KIS166" s="558"/>
      <c r="KIT166" s="558"/>
      <c r="KIU166" s="558"/>
      <c r="KIV166" s="558"/>
      <c r="KIW166" s="558"/>
      <c r="KIX166" s="558"/>
      <c r="KIY166" s="558"/>
      <c r="KIZ166" s="558"/>
      <c r="KJA166" s="558"/>
      <c r="KJB166" s="558"/>
      <c r="KJC166" s="558"/>
      <c r="KJD166" s="558"/>
      <c r="KJE166" s="558"/>
      <c r="KJF166" s="558"/>
      <c r="KJG166" s="558"/>
      <c r="KJH166" s="558"/>
      <c r="KJI166" s="558"/>
      <c r="KJJ166" s="558"/>
      <c r="KJK166" s="558"/>
      <c r="KJL166" s="558"/>
      <c r="KJM166" s="558"/>
      <c r="KJN166" s="558"/>
      <c r="KJO166" s="558"/>
      <c r="KJP166" s="558"/>
      <c r="KJQ166" s="558"/>
      <c r="KJR166" s="558"/>
      <c r="KJS166" s="558"/>
      <c r="KJT166" s="558"/>
      <c r="KJU166" s="558"/>
      <c r="KJV166" s="558"/>
      <c r="KJW166" s="558"/>
      <c r="KJX166" s="558"/>
      <c r="KJY166" s="558"/>
      <c r="KJZ166" s="558"/>
      <c r="KKA166" s="558"/>
      <c r="KKB166" s="558"/>
      <c r="KKC166" s="558"/>
      <c r="KKD166" s="558"/>
      <c r="KKE166" s="558"/>
      <c r="KKF166" s="558"/>
      <c r="KKG166" s="558"/>
      <c r="KKH166" s="558"/>
      <c r="KKI166" s="558"/>
      <c r="KKJ166" s="558"/>
      <c r="KKK166" s="558"/>
      <c r="KKL166" s="558"/>
      <c r="KKM166" s="558"/>
      <c r="KKN166" s="558"/>
      <c r="KKO166" s="558"/>
      <c r="KKP166" s="558"/>
      <c r="KKQ166" s="558"/>
      <c r="KKR166" s="558"/>
      <c r="KKS166" s="558"/>
      <c r="KKT166" s="558"/>
      <c r="KKU166" s="558"/>
      <c r="KKV166" s="558"/>
      <c r="KKW166" s="558"/>
      <c r="KKX166" s="558"/>
      <c r="KKY166" s="558"/>
      <c r="KKZ166" s="558"/>
      <c r="KLA166" s="558"/>
      <c r="KLB166" s="558"/>
      <c r="KLC166" s="558"/>
      <c r="KLD166" s="558"/>
      <c r="KLE166" s="558"/>
      <c r="KLF166" s="558"/>
      <c r="KLG166" s="558"/>
      <c r="KLH166" s="558"/>
      <c r="KLI166" s="558"/>
      <c r="KLJ166" s="558"/>
      <c r="KLK166" s="558"/>
      <c r="KLL166" s="558"/>
      <c r="KLM166" s="558"/>
      <c r="KLN166" s="558"/>
      <c r="KLO166" s="558"/>
      <c r="KLP166" s="558"/>
      <c r="KLQ166" s="558"/>
      <c r="KLR166" s="558"/>
      <c r="KLS166" s="558"/>
      <c r="KLT166" s="558"/>
      <c r="KLU166" s="558"/>
      <c r="KLV166" s="558"/>
      <c r="KLW166" s="558"/>
      <c r="KLX166" s="558"/>
      <c r="KLY166" s="558"/>
      <c r="KLZ166" s="558"/>
      <c r="KMA166" s="558"/>
      <c r="KMB166" s="558"/>
      <c r="KMC166" s="558"/>
      <c r="KMD166" s="558"/>
      <c r="KME166" s="558"/>
      <c r="KMF166" s="558"/>
      <c r="KMG166" s="558"/>
      <c r="KMH166" s="558"/>
      <c r="KMI166" s="558"/>
      <c r="KMJ166" s="558"/>
      <c r="KMK166" s="558"/>
      <c r="KML166" s="558"/>
      <c r="KMM166" s="558"/>
      <c r="KMN166" s="558"/>
      <c r="KMO166" s="558"/>
      <c r="KMP166" s="558"/>
      <c r="KMQ166" s="558"/>
      <c r="KMR166" s="558"/>
      <c r="KMS166" s="558"/>
      <c r="KMT166" s="558"/>
      <c r="KMU166" s="558"/>
      <c r="KMV166" s="558"/>
      <c r="KMW166" s="558"/>
      <c r="KMX166" s="558"/>
      <c r="KMY166" s="558"/>
      <c r="KMZ166" s="558"/>
      <c r="KNA166" s="558"/>
      <c r="KNB166" s="558"/>
      <c r="KNC166" s="558"/>
      <c r="KND166" s="558"/>
      <c r="KNE166" s="558"/>
      <c r="KNF166" s="558"/>
      <c r="KNG166" s="558"/>
      <c r="KNH166" s="558"/>
      <c r="KNI166" s="558"/>
      <c r="KNJ166" s="558"/>
      <c r="KNK166" s="558"/>
      <c r="KNL166" s="558"/>
      <c r="KNM166" s="558"/>
      <c r="KNN166" s="558"/>
      <c r="KNO166" s="558"/>
      <c r="KNP166" s="558"/>
      <c r="KNQ166" s="558"/>
      <c r="KNR166" s="558"/>
      <c r="KNS166" s="558"/>
      <c r="KNT166" s="558"/>
      <c r="KNU166" s="558"/>
      <c r="KNV166" s="558"/>
      <c r="KNW166" s="558"/>
      <c r="KNX166" s="558"/>
      <c r="KNY166" s="558"/>
      <c r="KNZ166" s="558"/>
      <c r="KOA166" s="558"/>
      <c r="KOB166" s="558"/>
      <c r="KOC166" s="558"/>
      <c r="KOD166" s="558"/>
      <c r="KOE166" s="558"/>
      <c r="KOF166" s="558"/>
      <c r="KOG166" s="558"/>
      <c r="KOH166" s="558"/>
      <c r="KOI166" s="558"/>
      <c r="KOJ166" s="558"/>
      <c r="KOK166" s="558"/>
      <c r="KOL166" s="558"/>
      <c r="KOM166" s="558"/>
      <c r="KON166" s="558"/>
      <c r="KOO166" s="558"/>
      <c r="KOP166" s="558"/>
      <c r="KOQ166" s="558"/>
      <c r="KOR166" s="558"/>
      <c r="KOS166" s="558"/>
      <c r="KOT166" s="558"/>
      <c r="KOU166" s="558"/>
      <c r="KOV166" s="558"/>
      <c r="KOW166" s="558"/>
      <c r="KOX166" s="558"/>
      <c r="KOY166" s="558"/>
      <c r="KOZ166" s="558"/>
      <c r="KPA166" s="558"/>
      <c r="KPB166" s="558"/>
      <c r="KPC166" s="558"/>
      <c r="KPD166" s="558"/>
      <c r="KPE166" s="558"/>
      <c r="KPF166" s="558"/>
      <c r="KPG166" s="558"/>
      <c r="KPH166" s="558"/>
      <c r="KPI166" s="558"/>
      <c r="KPJ166" s="558"/>
      <c r="KPK166" s="558"/>
      <c r="KPL166" s="558"/>
      <c r="KPM166" s="558"/>
      <c r="KPN166" s="558"/>
      <c r="KPO166" s="558"/>
      <c r="KPP166" s="558"/>
      <c r="KPQ166" s="558"/>
      <c r="KPR166" s="558"/>
      <c r="KPS166" s="558"/>
      <c r="KPT166" s="558"/>
      <c r="KPU166" s="558"/>
      <c r="KPV166" s="558"/>
      <c r="KPW166" s="558"/>
      <c r="KPX166" s="558"/>
      <c r="KPY166" s="558"/>
      <c r="KPZ166" s="558"/>
      <c r="KQA166" s="558"/>
      <c r="KQB166" s="558"/>
      <c r="KQC166" s="558"/>
      <c r="KQD166" s="558"/>
      <c r="KQE166" s="558"/>
      <c r="KQF166" s="558"/>
      <c r="KQG166" s="558"/>
      <c r="KQH166" s="558"/>
      <c r="KQI166" s="558"/>
      <c r="KQJ166" s="558"/>
      <c r="KQK166" s="558"/>
      <c r="KQL166" s="558"/>
      <c r="KQM166" s="558"/>
      <c r="KQN166" s="558"/>
      <c r="KQO166" s="558"/>
      <c r="KQP166" s="558"/>
      <c r="KQQ166" s="558"/>
      <c r="KQR166" s="558"/>
      <c r="KQS166" s="558"/>
      <c r="KQT166" s="558"/>
      <c r="KQU166" s="558"/>
      <c r="KQV166" s="558"/>
      <c r="KQW166" s="558"/>
      <c r="KQX166" s="558"/>
      <c r="KQY166" s="558"/>
      <c r="KQZ166" s="558"/>
      <c r="KRA166" s="558"/>
      <c r="KRB166" s="558"/>
      <c r="KRC166" s="558"/>
      <c r="KRD166" s="558"/>
      <c r="KRE166" s="558"/>
      <c r="KRF166" s="558"/>
      <c r="KRG166" s="558"/>
      <c r="KRH166" s="558"/>
      <c r="KRI166" s="558"/>
      <c r="KRJ166" s="558"/>
      <c r="KRK166" s="558"/>
      <c r="KRL166" s="558"/>
      <c r="KRM166" s="558"/>
      <c r="KRN166" s="558"/>
      <c r="KRO166" s="558"/>
      <c r="KRP166" s="558"/>
      <c r="KRQ166" s="558"/>
      <c r="KRR166" s="558"/>
      <c r="KRS166" s="558"/>
      <c r="KRT166" s="558"/>
      <c r="KRU166" s="558"/>
      <c r="KRV166" s="558"/>
      <c r="KRW166" s="558"/>
      <c r="KRX166" s="558"/>
      <c r="KRY166" s="558"/>
      <c r="KRZ166" s="558"/>
      <c r="KSA166" s="558"/>
      <c r="KSB166" s="558"/>
      <c r="KSC166" s="558"/>
      <c r="KSD166" s="558"/>
      <c r="KSE166" s="558"/>
      <c r="KSF166" s="558"/>
      <c r="KSG166" s="558"/>
      <c r="KSH166" s="558"/>
      <c r="KSI166" s="558"/>
      <c r="KSJ166" s="558"/>
      <c r="KSK166" s="558"/>
      <c r="KSL166" s="558"/>
      <c r="KSM166" s="558"/>
      <c r="KSN166" s="558"/>
      <c r="KSO166" s="558"/>
      <c r="KSP166" s="558"/>
      <c r="KSQ166" s="558"/>
      <c r="KSR166" s="558"/>
      <c r="KSS166" s="558"/>
      <c r="KST166" s="558"/>
      <c r="KSU166" s="558"/>
      <c r="KSV166" s="558"/>
      <c r="KSW166" s="558"/>
      <c r="KSX166" s="558"/>
      <c r="KSY166" s="558"/>
      <c r="KSZ166" s="558"/>
      <c r="KTA166" s="558"/>
      <c r="KTB166" s="558"/>
      <c r="KTC166" s="558"/>
      <c r="KTD166" s="558"/>
      <c r="KTE166" s="558"/>
      <c r="KTF166" s="558"/>
      <c r="KTG166" s="558"/>
      <c r="KTH166" s="558"/>
      <c r="KTI166" s="558"/>
      <c r="KTJ166" s="558"/>
      <c r="KTK166" s="558"/>
      <c r="KTL166" s="558"/>
      <c r="KTM166" s="558"/>
      <c r="KTN166" s="558"/>
      <c r="KTO166" s="558"/>
      <c r="KTP166" s="558"/>
      <c r="KTQ166" s="558"/>
      <c r="KTR166" s="558"/>
      <c r="KTS166" s="558"/>
      <c r="KTT166" s="558"/>
      <c r="KTU166" s="558"/>
      <c r="KTV166" s="558"/>
      <c r="KTW166" s="558"/>
      <c r="KTX166" s="558"/>
      <c r="KTY166" s="558"/>
      <c r="KTZ166" s="558"/>
      <c r="KUA166" s="558"/>
      <c r="KUB166" s="558"/>
      <c r="KUC166" s="558"/>
      <c r="KUD166" s="558"/>
      <c r="KUE166" s="558"/>
      <c r="KUF166" s="558"/>
      <c r="KUG166" s="558"/>
      <c r="KUH166" s="558"/>
      <c r="KUI166" s="558"/>
      <c r="KUJ166" s="558"/>
      <c r="KUK166" s="558"/>
      <c r="KUL166" s="558"/>
      <c r="KUM166" s="558"/>
      <c r="KUN166" s="558"/>
      <c r="KUO166" s="558"/>
      <c r="KUP166" s="558"/>
      <c r="KUQ166" s="558"/>
      <c r="KUR166" s="558"/>
      <c r="KUS166" s="558"/>
      <c r="KUT166" s="558"/>
      <c r="KUU166" s="558"/>
      <c r="KUV166" s="558"/>
      <c r="KUW166" s="558"/>
      <c r="KUX166" s="558"/>
      <c r="KUY166" s="558"/>
      <c r="KUZ166" s="558"/>
      <c r="KVA166" s="558"/>
      <c r="KVB166" s="558"/>
      <c r="KVC166" s="558"/>
      <c r="KVD166" s="558"/>
      <c r="KVE166" s="558"/>
      <c r="KVF166" s="558"/>
      <c r="KVG166" s="558"/>
      <c r="KVH166" s="558"/>
      <c r="KVI166" s="558"/>
      <c r="KVJ166" s="558"/>
      <c r="KVK166" s="558"/>
      <c r="KVL166" s="558"/>
      <c r="KVM166" s="558"/>
      <c r="KVN166" s="558"/>
      <c r="KVO166" s="558"/>
      <c r="KVP166" s="558"/>
      <c r="KVQ166" s="558"/>
      <c r="KVR166" s="558"/>
      <c r="KVS166" s="558"/>
      <c r="KVT166" s="558"/>
      <c r="KVU166" s="558"/>
      <c r="KVV166" s="558"/>
      <c r="KVW166" s="558"/>
      <c r="KVX166" s="558"/>
      <c r="KVY166" s="558"/>
      <c r="KVZ166" s="558"/>
      <c r="KWA166" s="558"/>
      <c r="KWB166" s="558"/>
      <c r="KWC166" s="558"/>
      <c r="KWD166" s="558"/>
      <c r="KWE166" s="558"/>
      <c r="KWF166" s="558"/>
      <c r="KWG166" s="558"/>
      <c r="KWH166" s="558"/>
      <c r="KWI166" s="558"/>
      <c r="KWJ166" s="558"/>
      <c r="KWK166" s="558"/>
      <c r="KWL166" s="558"/>
      <c r="KWM166" s="558"/>
      <c r="KWN166" s="558"/>
      <c r="KWO166" s="558"/>
      <c r="KWP166" s="558"/>
      <c r="KWQ166" s="558"/>
      <c r="KWR166" s="558"/>
      <c r="KWS166" s="558"/>
      <c r="KWT166" s="558"/>
      <c r="KWU166" s="558"/>
      <c r="KWV166" s="558"/>
      <c r="KWW166" s="558"/>
      <c r="KWX166" s="558"/>
      <c r="KWY166" s="558"/>
      <c r="KWZ166" s="558"/>
      <c r="KXA166" s="558"/>
      <c r="KXB166" s="558"/>
      <c r="KXC166" s="558"/>
      <c r="KXD166" s="558"/>
      <c r="KXE166" s="558"/>
      <c r="KXF166" s="558"/>
      <c r="KXG166" s="558"/>
      <c r="KXH166" s="558"/>
      <c r="KXI166" s="558"/>
      <c r="KXJ166" s="558"/>
      <c r="KXK166" s="558"/>
      <c r="KXL166" s="558"/>
      <c r="KXM166" s="558"/>
      <c r="KXN166" s="558"/>
      <c r="KXO166" s="558"/>
      <c r="KXP166" s="558"/>
      <c r="KXQ166" s="558"/>
      <c r="KXR166" s="558"/>
      <c r="KXS166" s="558"/>
      <c r="KXT166" s="558"/>
      <c r="KXU166" s="558"/>
      <c r="KXV166" s="558"/>
      <c r="KXW166" s="558"/>
      <c r="KXX166" s="558"/>
      <c r="KXY166" s="558"/>
      <c r="KXZ166" s="558"/>
      <c r="KYA166" s="558"/>
      <c r="KYB166" s="558"/>
      <c r="KYC166" s="558"/>
      <c r="KYD166" s="558"/>
      <c r="KYE166" s="558"/>
      <c r="KYF166" s="558"/>
      <c r="KYG166" s="558"/>
      <c r="KYH166" s="558"/>
      <c r="KYI166" s="558"/>
      <c r="KYJ166" s="558"/>
      <c r="KYK166" s="558"/>
      <c r="KYL166" s="558"/>
      <c r="KYM166" s="558"/>
      <c r="KYN166" s="558"/>
      <c r="KYO166" s="558"/>
      <c r="KYP166" s="558"/>
      <c r="KYQ166" s="558"/>
      <c r="KYR166" s="558"/>
      <c r="KYS166" s="558"/>
      <c r="KYT166" s="558"/>
      <c r="KYU166" s="558"/>
      <c r="KYV166" s="558"/>
      <c r="KYW166" s="558"/>
      <c r="KYX166" s="558"/>
      <c r="KYY166" s="558"/>
      <c r="KYZ166" s="558"/>
      <c r="KZA166" s="558"/>
      <c r="KZB166" s="558"/>
      <c r="KZC166" s="558"/>
      <c r="KZD166" s="558"/>
      <c r="KZE166" s="558"/>
      <c r="KZF166" s="558"/>
      <c r="KZG166" s="558"/>
      <c r="KZH166" s="558"/>
      <c r="KZI166" s="558"/>
      <c r="KZJ166" s="558"/>
      <c r="KZK166" s="558"/>
      <c r="KZL166" s="558"/>
      <c r="KZM166" s="558"/>
      <c r="KZN166" s="558"/>
      <c r="KZO166" s="558"/>
      <c r="KZP166" s="558"/>
      <c r="KZQ166" s="558"/>
      <c r="KZR166" s="558"/>
      <c r="KZS166" s="558"/>
      <c r="KZT166" s="558"/>
      <c r="KZU166" s="558"/>
      <c r="KZV166" s="558"/>
      <c r="KZW166" s="558"/>
      <c r="KZX166" s="558"/>
      <c r="KZY166" s="558"/>
      <c r="KZZ166" s="558"/>
      <c r="LAA166" s="558"/>
      <c r="LAB166" s="558"/>
      <c r="LAC166" s="558"/>
      <c r="LAD166" s="558"/>
      <c r="LAE166" s="558"/>
      <c r="LAF166" s="558"/>
      <c r="LAG166" s="558"/>
      <c r="LAH166" s="558"/>
      <c r="LAI166" s="558"/>
      <c r="LAJ166" s="558"/>
      <c r="LAK166" s="558"/>
      <c r="LAL166" s="558"/>
      <c r="LAM166" s="558"/>
      <c r="LAN166" s="558"/>
      <c r="LAO166" s="558"/>
      <c r="LAP166" s="558"/>
      <c r="LAQ166" s="558"/>
      <c r="LAR166" s="558"/>
      <c r="LAS166" s="558"/>
      <c r="LAT166" s="558"/>
      <c r="LAU166" s="558"/>
      <c r="LAV166" s="558"/>
      <c r="LAW166" s="558"/>
      <c r="LAX166" s="558"/>
      <c r="LAY166" s="558"/>
      <c r="LAZ166" s="558"/>
      <c r="LBA166" s="558"/>
      <c r="LBB166" s="558"/>
      <c r="LBC166" s="558"/>
      <c r="LBD166" s="558"/>
      <c r="LBE166" s="558"/>
      <c r="LBF166" s="558"/>
      <c r="LBG166" s="558"/>
      <c r="LBH166" s="558"/>
      <c r="LBI166" s="558"/>
      <c r="LBJ166" s="558"/>
      <c r="LBK166" s="558"/>
      <c r="LBL166" s="558"/>
      <c r="LBM166" s="558"/>
      <c r="LBN166" s="558"/>
      <c r="LBO166" s="558"/>
      <c r="LBP166" s="558"/>
      <c r="LBQ166" s="558"/>
      <c r="LBR166" s="558"/>
      <c r="LBS166" s="558"/>
      <c r="LBT166" s="558"/>
      <c r="LBU166" s="558"/>
      <c r="LBV166" s="558"/>
      <c r="LBW166" s="558"/>
      <c r="LBX166" s="558"/>
      <c r="LBY166" s="558"/>
      <c r="LBZ166" s="558"/>
      <c r="LCA166" s="558"/>
      <c r="LCB166" s="558"/>
      <c r="LCC166" s="558"/>
      <c r="LCD166" s="558"/>
      <c r="LCE166" s="558"/>
      <c r="LCF166" s="558"/>
      <c r="LCG166" s="558"/>
      <c r="LCH166" s="558"/>
      <c r="LCI166" s="558"/>
      <c r="LCJ166" s="558"/>
      <c r="LCK166" s="558"/>
      <c r="LCL166" s="558"/>
      <c r="LCM166" s="558"/>
      <c r="LCN166" s="558"/>
      <c r="LCO166" s="558"/>
      <c r="LCP166" s="558"/>
      <c r="LCQ166" s="558"/>
      <c r="LCR166" s="558"/>
      <c r="LCS166" s="558"/>
      <c r="LCT166" s="558"/>
      <c r="LCU166" s="558"/>
      <c r="LCV166" s="558"/>
      <c r="LCW166" s="558"/>
      <c r="LCX166" s="558"/>
      <c r="LCY166" s="558"/>
      <c r="LCZ166" s="558"/>
      <c r="LDA166" s="558"/>
      <c r="LDB166" s="558"/>
      <c r="LDC166" s="558"/>
      <c r="LDD166" s="558"/>
      <c r="LDE166" s="558"/>
      <c r="LDF166" s="558"/>
      <c r="LDG166" s="558"/>
      <c r="LDH166" s="558"/>
      <c r="LDI166" s="558"/>
      <c r="LDJ166" s="558"/>
      <c r="LDK166" s="558"/>
      <c r="LDL166" s="558"/>
      <c r="LDM166" s="558"/>
      <c r="LDN166" s="558"/>
      <c r="LDO166" s="558"/>
      <c r="LDP166" s="558"/>
      <c r="LDQ166" s="558"/>
      <c r="LDR166" s="558"/>
      <c r="LDS166" s="558"/>
      <c r="LDT166" s="558"/>
      <c r="LDU166" s="558"/>
      <c r="LDV166" s="558"/>
      <c r="LDW166" s="558"/>
      <c r="LDX166" s="558"/>
      <c r="LDY166" s="558"/>
      <c r="LDZ166" s="558"/>
      <c r="LEA166" s="558"/>
      <c r="LEB166" s="558"/>
      <c r="LEC166" s="558"/>
      <c r="LED166" s="558"/>
      <c r="LEE166" s="558"/>
      <c r="LEF166" s="558"/>
      <c r="LEG166" s="558"/>
      <c r="LEH166" s="558"/>
      <c r="LEI166" s="558"/>
      <c r="LEJ166" s="558"/>
      <c r="LEK166" s="558"/>
      <c r="LEL166" s="558"/>
      <c r="LEM166" s="558"/>
      <c r="LEN166" s="558"/>
      <c r="LEO166" s="558"/>
      <c r="LEP166" s="558"/>
      <c r="LEQ166" s="558"/>
      <c r="LER166" s="558"/>
      <c r="LES166" s="558"/>
      <c r="LET166" s="558"/>
      <c r="LEU166" s="558"/>
      <c r="LEV166" s="558"/>
      <c r="LEW166" s="558"/>
      <c r="LEX166" s="558"/>
      <c r="LEY166" s="558"/>
      <c r="LEZ166" s="558"/>
      <c r="LFA166" s="558"/>
      <c r="LFB166" s="558"/>
      <c r="LFC166" s="558"/>
      <c r="LFD166" s="558"/>
      <c r="LFE166" s="558"/>
      <c r="LFF166" s="558"/>
      <c r="LFG166" s="558"/>
      <c r="LFH166" s="558"/>
      <c r="LFI166" s="558"/>
      <c r="LFJ166" s="558"/>
      <c r="LFK166" s="558"/>
      <c r="LFL166" s="558"/>
      <c r="LFM166" s="558"/>
      <c r="LFN166" s="558"/>
      <c r="LFO166" s="558"/>
      <c r="LFP166" s="558"/>
      <c r="LFQ166" s="558"/>
      <c r="LFR166" s="558"/>
      <c r="LFS166" s="558"/>
      <c r="LFT166" s="558"/>
      <c r="LFU166" s="558"/>
      <c r="LFV166" s="558"/>
      <c r="LFW166" s="558"/>
      <c r="LFX166" s="558"/>
      <c r="LFY166" s="558"/>
      <c r="LFZ166" s="558"/>
      <c r="LGA166" s="558"/>
      <c r="LGB166" s="558"/>
      <c r="LGC166" s="558"/>
      <c r="LGD166" s="558"/>
      <c r="LGE166" s="558"/>
      <c r="LGF166" s="558"/>
      <c r="LGG166" s="558"/>
      <c r="LGH166" s="558"/>
      <c r="LGI166" s="558"/>
      <c r="LGJ166" s="558"/>
      <c r="LGK166" s="558"/>
      <c r="LGL166" s="558"/>
      <c r="LGM166" s="558"/>
      <c r="LGN166" s="558"/>
      <c r="LGO166" s="558"/>
      <c r="LGP166" s="558"/>
      <c r="LGQ166" s="558"/>
      <c r="LGR166" s="558"/>
      <c r="LGS166" s="558"/>
      <c r="LGT166" s="558"/>
      <c r="LGU166" s="558"/>
      <c r="LGV166" s="558"/>
      <c r="LGW166" s="558"/>
      <c r="LGX166" s="558"/>
      <c r="LGY166" s="558"/>
      <c r="LGZ166" s="558"/>
      <c r="LHA166" s="558"/>
      <c r="LHB166" s="558"/>
      <c r="LHC166" s="558"/>
      <c r="LHD166" s="558"/>
      <c r="LHE166" s="558"/>
      <c r="LHF166" s="558"/>
      <c r="LHG166" s="558"/>
      <c r="LHH166" s="558"/>
      <c r="LHI166" s="558"/>
      <c r="LHJ166" s="558"/>
      <c r="LHK166" s="558"/>
      <c r="LHL166" s="558"/>
      <c r="LHM166" s="558"/>
      <c r="LHN166" s="558"/>
      <c r="LHO166" s="558"/>
      <c r="LHP166" s="558"/>
      <c r="LHQ166" s="558"/>
      <c r="LHR166" s="558"/>
      <c r="LHS166" s="558"/>
      <c r="LHT166" s="558"/>
      <c r="LHU166" s="558"/>
      <c r="LHV166" s="558"/>
      <c r="LHW166" s="558"/>
      <c r="LHX166" s="558"/>
      <c r="LHY166" s="558"/>
      <c r="LHZ166" s="558"/>
      <c r="LIA166" s="558"/>
      <c r="LIB166" s="558"/>
      <c r="LIC166" s="558"/>
      <c r="LID166" s="558"/>
      <c r="LIE166" s="558"/>
      <c r="LIF166" s="558"/>
      <c r="LIG166" s="558"/>
      <c r="LIH166" s="558"/>
      <c r="LII166" s="558"/>
      <c r="LIJ166" s="558"/>
      <c r="LIK166" s="558"/>
      <c r="LIL166" s="558"/>
      <c r="LIM166" s="558"/>
      <c r="LIN166" s="558"/>
      <c r="LIO166" s="558"/>
      <c r="LIP166" s="558"/>
      <c r="LIQ166" s="558"/>
      <c r="LIR166" s="558"/>
      <c r="LIS166" s="558"/>
      <c r="LIT166" s="558"/>
      <c r="LIU166" s="558"/>
      <c r="LIV166" s="558"/>
      <c r="LIW166" s="558"/>
      <c r="LIX166" s="558"/>
      <c r="LIY166" s="558"/>
      <c r="LIZ166" s="558"/>
      <c r="LJA166" s="558"/>
      <c r="LJB166" s="558"/>
      <c r="LJC166" s="558"/>
      <c r="LJD166" s="558"/>
      <c r="LJE166" s="558"/>
      <c r="LJF166" s="558"/>
      <c r="LJG166" s="558"/>
      <c r="LJH166" s="558"/>
      <c r="LJI166" s="558"/>
      <c r="LJJ166" s="558"/>
      <c r="LJK166" s="558"/>
      <c r="LJL166" s="558"/>
      <c r="LJM166" s="558"/>
      <c r="LJN166" s="558"/>
      <c r="LJO166" s="558"/>
      <c r="LJP166" s="558"/>
      <c r="LJQ166" s="558"/>
      <c r="LJR166" s="558"/>
      <c r="LJS166" s="558"/>
      <c r="LJT166" s="558"/>
      <c r="LJU166" s="558"/>
      <c r="LJV166" s="558"/>
      <c r="LJW166" s="558"/>
      <c r="LJX166" s="558"/>
      <c r="LJY166" s="558"/>
      <c r="LJZ166" s="558"/>
      <c r="LKA166" s="558"/>
      <c r="LKB166" s="558"/>
      <c r="LKC166" s="558"/>
      <c r="LKD166" s="558"/>
      <c r="LKE166" s="558"/>
      <c r="LKF166" s="558"/>
      <c r="LKG166" s="558"/>
      <c r="LKH166" s="558"/>
      <c r="LKI166" s="558"/>
      <c r="LKJ166" s="558"/>
      <c r="LKK166" s="558"/>
      <c r="LKL166" s="558"/>
      <c r="LKM166" s="558"/>
      <c r="LKN166" s="558"/>
      <c r="LKO166" s="558"/>
      <c r="LKP166" s="558"/>
      <c r="LKQ166" s="558"/>
      <c r="LKR166" s="558"/>
      <c r="LKS166" s="558"/>
      <c r="LKT166" s="558"/>
      <c r="LKU166" s="558"/>
      <c r="LKV166" s="558"/>
      <c r="LKW166" s="558"/>
      <c r="LKX166" s="558"/>
      <c r="LKY166" s="558"/>
      <c r="LKZ166" s="558"/>
      <c r="LLA166" s="558"/>
      <c r="LLB166" s="558"/>
      <c r="LLC166" s="558"/>
      <c r="LLD166" s="558"/>
      <c r="LLE166" s="558"/>
      <c r="LLF166" s="558"/>
      <c r="LLG166" s="558"/>
      <c r="LLH166" s="558"/>
      <c r="LLI166" s="558"/>
      <c r="LLJ166" s="558"/>
      <c r="LLK166" s="558"/>
      <c r="LLL166" s="558"/>
      <c r="LLM166" s="558"/>
      <c r="LLN166" s="558"/>
      <c r="LLO166" s="558"/>
      <c r="LLP166" s="558"/>
      <c r="LLQ166" s="558"/>
      <c r="LLR166" s="558"/>
      <c r="LLS166" s="558"/>
      <c r="LLT166" s="558"/>
      <c r="LLU166" s="558"/>
      <c r="LLV166" s="558"/>
      <c r="LLW166" s="558"/>
      <c r="LLX166" s="558"/>
      <c r="LLY166" s="558"/>
      <c r="LLZ166" s="558"/>
      <c r="LMA166" s="558"/>
      <c r="LMB166" s="558"/>
      <c r="LMC166" s="558"/>
      <c r="LMD166" s="558"/>
      <c r="LME166" s="558"/>
      <c r="LMF166" s="558"/>
      <c r="LMG166" s="558"/>
      <c r="LMH166" s="558"/>
      <c r="LMI166" s="558"/>
      <c r="LMJ166" s="558"/>
      <c r="LMK166" s="558"/>
      <c r="LML166" s="558"/>
      <c r="LMM166" s="558"/>
      <c r="LMN166" s="558"/>
      <c r="LMO166" s="558"/>
      <c r="LMP166" s="558"/>
      <c r="LMQ166" s="558"/>
      <c r="LMR166" s="558"/>
      <c r="LMS166" s="558"/>
      <c r="LMT166" s="558"/>
      <c r="LMU166" s="558"/>
      <c r="LMV166" s="558"/>
      <c r="LMW166" s="558"/>
      <c r="LMX166" s="558"/>
      <c r="LMY166" s="558"/>
      <c r="LMZ166" s="558"/>
      <c r="LNA166" s="558"/>
      <c r="LNB166" s="558"/>
      <c r="LNC166" s="558"/>
      <c r="LND166" s="558"/>
      <c r="LNE166" s="558"/>
      <c r="LNF166" s="558"/>
      <c r="LNG166" s="558"/>
      <c r="LNH166" s="558"/>
      <c r="LNI166" s="558"/>
      <c r="LNJ166" s="558"/>
      <c r="LNK166" s="558"/>
      <c r="LNL166" s="558"/>
      <c r="LNM166" s="558"/>
      <c r="LNN166" s="558"/>
      <c r="LNO166" s="558"/>
      <c r="LNP166" s="558"/>
      <c r="LNQ166" s="558"/>
      <c r="LNR166" s="558"/>
      <c r="LNS166" s="558"/>
      <c r="LNT166" s="558"/>
      <c r="LNU166" s="558"/>
      <c r="LNV166" s="558"/>
      <c r="LNW166" s="558"/>
      <c r="LNX166" s="558"/>
      <c r="LNY166" s="558"/>
      <c r="LNZ166" s="558"/>
      <c r="LOA166" s="558"/>
      <c r="LOB166" s="558"/>
      <c r="LOC166" s="558"/>
      <c r="LOD166" s="558"/>
      <c r="LOE166" s="558"/>
      <c r="LOF166" s="558"/>
      <c r="LOG166" s="558"/>
      <c r="LOH166" s="558"/>
      <c r="LOI166" s="558"/>
      <c r="LOJ166" s="558"/>
      <c r="LOK166" s="558"/>
      <c r="LOL166" s="558"/>
      <c r="LOM166" s="558"/>
      <c r="LON166" s="558"/>
      <c r="LOO166" s="558"/>
      <c r="LOP166" s="558"/>
      <c r="LOQ166" s="558"/>
      <c r="LOR166" s="558"/>
      <c r="LOS166" s="558"/>
      <c r="LOT166" s="558"/>
      <c r="LOU166" s="558"/>
      <c r="LOV166" s="558"/>
      <c r="LOW166" s="558"/>
      <c r="LOX166" s="558"/>
      <c r="LOY166" s="558"/>
      <c r="LOZ166" s="558"/>
      <c r="LPA166" s="558"/>
      <c r="LPB166" s="558"/>
      <c r="LPC166" s="558"/>
      <c r="LPD166" s="558"/>
      <c r="LPE166" s="558"/>
      <c r="LPF166" s="558"/>
      <c r="LPG166" s="558"/>
      <c r="LPH166" s="558"/>
      <c r="LPI166" s="558"/>
      <c r="LPJ166" s="558"/>
      <c r="LPK166" s="558"/>
      <c r="LPL166" s="558"/>
      <c r="LPM166" s="558"/>
      <c r="LPN166" s="558"/>
      <c r="LPO166" s="558"/>
      <c r="LPP166" s="558"/>
      <c r="LPQ166" s="558"/>
      <c r="LPR166" s="558"/>
      <c r="LPS166" s="558"/>
      <c r="LPT166" s="558"/>
      <c r="LPU166" s="558"/>
      <c r="LPV166" s="558"/>
      <c r="LPW166" s="558"/>
      <c r="LPX166" s="558"/>
      <c r="LPY166" s="558"/>
      <c r="LPZ166" s="558"/>
      <c r="LQA166" s="558"/>
      <c r="LQB166" s="558"/>
      <c r="LQC166" s="558"/>
      <c r="LQD166" s="558"/>
      <c r="LQE166" s="558"/>
      <c r="LQF166" s="558"/>
      <c r="LQG166" s="558"/>
      <c r="LQH166" s="558"/>
      <c r="LQI166" s="558"/>
      <c r="LQJ166" s="558"/>
      <c r="LQK166" s="558"/>
      <c r="LQL166" s="558"/>
      <c r="LQM166" s="558"/>
      <c r="LQN166" s="558"/>
      <c r="LQO166" s="558"/>
      <c r="LQP166" s="558"/>
      <c r="LQQ166" s="558"/>
      <c r="LQR166" s="558"/>
      <c r="LQS166" s="558"/>
      <c r="LQT166" s="558"/>
      <c r="LQU166" s="558"/>
      <c r="LQV166" s="558"/>
      <c r="LQW166" s="558"/>
      <c r="LQX166" s="558"/>
      <c r="LQY166" s="558"/>
      <c r="LQZ166" s="558"/>
      <c r="LRA166" s="558"/>
      <c r="LRB166" s="558"/>
      <c r="LRC166" s="558"/>
      <c r="LRD166" s="558"/>
      <c r="LRE166" s="558"/>
      <c r="LRF166" s="558"/>
      <c r="LRG166" s="558"/>
      <c r="LRH166" s="558"/>
      <c r="LRI166" s="558"/>
      <c r="LRJ166" s="558"/>
      <c r="LRK166" s="558"/>
      <c r="LRL166" s="558"/>
      <c r="LRM166" s="558"/>
      <c r="LRN166" s="558"/>
      <c r="LRO166" s="558"/>
      <c r="LRP166" s="558"/>
      <c r="LRQ166" s="558"/>
      <c r="LRR166" s="558"/>
      <c r="LRS166" s="558"/>
      <c r="LRT166" s="558"/>
      <c r="LRU166" s="558"/>
      <c r="LRV166" s="558"/>
      <c r="LRW166" s="558"/>
      <c r="LRX166" s="558"/>
      <c r="LRY166" s="558"/>
      <c r="LRZ166" s="558"/>
      <c r="LSA166" s="558"/>
      <c r="LSB166" s="558"/>
      <c r="LSC166" s="558"/>
      <c r="LSD166" s="558"/>
      <c r="LSE166" s="558"/>
      <c r="LSF166" s="558"/>
      <c r="LSG166" s="558"/>
      <c r="LSH166" s="558"/>
      <c r="LSI166" s="558"/>
      <c r="LSJ166" s="558"/>
      <c r="LSK166" s="558"/>
      <c r="LSL166" s="558"/>
      <c r="LSM166" s="558"/>
      <c r="LSN166" s="558"/>
      <c r="LSO166" s="558"/>
      <c r="LSP166" s="558"/>
      <c r="LSQ166" s="558"/>
      <c r="LSR166" s="558"/>
      <c r="LSS166" s="558"/>
      <c r="LST166" s="558"/>
      <c r="LSU166" s="558"/>
      <c r="LSV166" s="558"/>
      <c r="LSW166" s="558"/>
      <c r="LSX166" s="558"/>
      <c r="LSY166" s="558"/>
      <c r="LSZ166" s="558"/>
      <c r="LTA166" s="558"/>
      <c r="LTB166" s="558"/>
      <c r="LTC166" s="558"/>
      <c r="LTD166" s="558"/>
      <c r="LTE166" s="558"/>
      <c r="LTF166" s="558"/>
      <c r="LTG166" s="558"/>
      <c r="LTH166" s="558"/>
      <c r="LTI166" s="558"/>
      <c r="LTJ166" s="558"/>
      <c r="LTK166" s="558"/>
      <c r="LTL166" s="558"/>
      <c r="LTM166" s="558"/>
      <c r="LTN166" s="558"/>
      <c r="LTO166" s="558"/>
      <c r="LTP166" s="558"/>
      <c r="LTQ166" s="558"/>
      <c r="LTR166" s="558"/>
      <c r="LTS166" s="558"/>
      <c r="LTT166" s="558"/>
      <c r="LTU166" s="558"/>
      <c r="LTV166" s="558"/>
      <c r="LTW166" s="558"/>
      <c r="LTX166" s="558"/>
      <c r="LTY166" s="558"/>
      <c r="LTZ166" s="558"/>
      <c r="LUA166" s="558"/>
      <c r="LUB166" s="558"/>
      <c r="LUC166" s="558"/>
      <c r="LUD166" s="558"/>
      <c r="LUE166" s="558"/>
      <c r="LUF166" s="558"/>
      <c r="LUG166" s="558"/>
      <c r="LUH166" s="558"/>
      <c r="LUI166" s="558"/>
      <c r="LUJ166" s="558"/>
      <c r="LUK166" s="558"/>
      <c r="LUL166" s="558"/>
      <c r="LUM166" s="558"/>
      <c r="LUN166" s="558"/>
      <c r="LUO166" s="558"/>
      <c r="LUP166" s="558"/>
      <c r="LUQ166" s="558"/>
      <c r="LUR166" s="558"/>
      <c r="LUS166" s="558"/>
      <c r="LUT166" s="558"/>
      <c r="LUU166" s="558"/>
      <c r="LUV166" s="558"/>
      <c r="LUW166" s="558"/>
      <c r="LUX166" s="558"/>
      <c r="LUY166" s="558"/>
      <c r="LUZ166" s="558"/>
      <c r="LVA166" s="558"/>
      <c r="LVB166" s="558"/>
      <c r="LVC166" s="558"/>
      <c r="LVD166" s="558"/>
      <c r="LVE166" s="558"/>
      <c r="LVF166" s="558"/>
      <c r="LVG166" s="558"/>
      <c r="LVH166" s="558"/>
      <c r="LVI166" s="558"/>
      <c r="LVJ166" s="558"/>
      <c r="LVK166" s="558"/>
      <c r="LVL166" s="558"/>
      <c r="LVM166" s="558"/>
      <c r="LVN166" s="558"/>
      <c r="LVO166" s="558"/>
      <c r="LVP166" s="558"/>
      <c r="LVQ166" s="558"/>
      <c r="LVR166" s="558"/>
      <c r="LVS166" s="558"/>
      <c r="LVT166" s="558"/>
      <c r="LVU166" s="558"/>
      <c r="LVV166" s="558"/>
      <c r="LVW166" s="558"/>
      <c r="LVX166" s="558"/>
      <c r="LVY166" s="558"/>
      <c r="LVZ166" s="558"/>
      <c r="LWA166" s="558"/>
      <c r="LWB166" s="558"/>
      <c r="LWC166" s="558"/>
      <c r="LWD166" s="558"/>
      <c r="LWE166" s="558"/>
      <c r="LWF166" s="558"/>
      <c r="LWG166" s="558"/>
      <c r="LWH166" s="558"/>
      <c r="LWI166" s="558"/>
      <c r="LWJ166" s="558"/>
      <c r="LWK166" s="558"/>
      <c r="LWL166" s="558"/>
      <c r="LWM166" s="558"/>
      <c r="LWN166" s="558"/>
      <c r="LWO166" s="558"/>
      <c r="LWP166" s="558"/>
      <c r="LWQ166" s="558"/>
      <c r="LWR166" s="558"/>
      <c r="LWS166" s="558"/>
      <c r="LWT166" s="558"/>
      <c r="LWU166" s="558"/>
      <c r="LWV166" s="558"/>
      <c r="LWW166" s="558"/>
      <c r="LWX166" s="558"/>
      <c r="LWY166" s="558"/>
      <c r="LWZ166" s="558"/>
      <c r="LXA166" s="558"/>
      <c r="LXB166" s="558"/>
      <c r="LXC166" s="558"/>
      <c r="LXD166" s="558"/>
      <c r="LXE166" s="558"/>
      <c r="LXF166" s="558"/>
      <c r="LXG166" s="558"/>
      <c r="LXH166" s="558"/>
      <c r="LXI166" s="558"/>
      <c r="LXJ166" s="558"/>
      <c r="LXK166" s="558"/>
      <c r="LXL166" s="558"/>
      <c r="LXM166" s="558"/>
      <c r="LXN166" s="558"/>
      <c r="LXO166" s="558"/>
      <c r="LXP166" s="558"/>
      <c r="LXQ166" s="558"/>
      <c r="LXR166" s="558"/>
      <c r="LXS166" s="558"/>
      <c r="LXT166" s="558"/>
      <c r="LXU166" s="558"/>
      <c r="LXV166" s="558"/>
      <c r="LXW166" s="558"/>
      <c r="LXX166" s="558"/>
      <c r="LXY166" s="558"/>
      <c r="LXZ166" s="558"/>
      <c r="LYA166" s="558"/>
      <c r="LYB166" s="558"/>
      <c r="LYC166" s="558"/>
      <c r="LYD166" s="558"/>
      <c r="LYE166" s="558"/>
      <c r="LYF166" s="558"/>
      <c r="LYG166" s="558"/>
      <c r="LYH166" s="558"/>
      <c r="LYI166" s="558"/>
      <c r="LYJ166" s="558"/>
      <c r="LYK166" s="558"/>
      <c r="LYL166" s="558"/>
      <c r="LYM166" s="558"/>
      <c r="LYN166" s="558"/>
      <c r="LYO166" s="558"/>
      <c r="LYP166" s="558"/>
      <c r="LYQ166" s="558"/>
      <c r="LYR166" s="558"/>
      <c r="LYS166" s="558"/>
      <c r="LYT166" s="558"/>
      <c r="LYU166" s="558"/>
      <c r="LYV166" s="558"/>
      <c r="LYW166" s="558"/>
      <c r="LYX166" s="558"/>
      <c r="LYY166" s="558"/>
      <c r="LYZ166" s="558"/>
      <c r="LZA166" s="558"/>
      <c r="LZB166" s="558"/>
      <c r="LZC166" s="558"/>
      <c r="LZD166" s="558"/>
      <c r="LZE166" s="558"/>
      <c r="LZF166" s="558"/>
      <c r="LZG166" s="558"/>
      <c r="LZH166" s="558"/>
      <c r="LZI166" s="558"/>
      <c r="LZJ166" s="558"/>
      <c r="LZK166" s="558"/>
      <c r="LZL166" s="558"/>
      <c r="LZM166" s="558"/>
      <c r="LZN166" s="558"/>
      <c r="LZO166" s="558"/>
      <c r="LZP166" s="558"/>
      <c r="LZQ166" s="558"/>
      <c r="LZR166" s="558"/>
      <c r="LZS166" s="558"/>
      <c r="LZT166" s="558"/>
      <c r="LZU166" s="558"/>
      <c r="LZV166" s="558"/>
      <c r="LZW166" s="558"/>
      <c r="LZX166" s="558"/>
      <c r="LZY166" s="558"/>
      <c r="LZZ166" s="558"/>
      <c r="MAA166" s="558"/>
      <c r="MAB166" s="558"/>
      <c r="MAC166" s="558"/>
      <c r="MAD166" s="558"/>
      <c r="MAE166" s="558"/>
      <c r="MAF166" s="558"/>
      <c r="MAG166" s="558"/>
      <c r="MAH166" s="558"/>
      <c r="MAI166" s="558"/>
      <c r="MAJ166" s="558"/>
      <c r="MAK166" s="558"/>
      <c r="MAL166" s="558"/>
      <c r="MAM166" s="558"/>
      <c r="MAN166" s="558"/>
      <c r="MAO166" s="558"/>
      <c r="MAP166" s="558"/>
      <c r="MAQ166" s="558"/>
      <c r="MAR166" s="558"/>
      <c r="MAS166" s="558"/>
      <c r="MAT166" s="558"/>
      <c r="MAU166" s="558"/>
      <c r="MAV166" s="558"/>
      <c r="MAW166" s="558"/>
      <c r="MAX166" s="558"/>
      <c r="MAY166" s="558"/>
      <c r="MAZ166" s="558"/>
      <c r="MBA166" s="558"/>
      <c r="MBB166" s="558"/>
      <c r="MBC166" s="558"/>
      <c r="MBD166" s="558"/>
      <c r="MBE166" s="558"/>
      <c r="MBF166" s="558"/>
      <c r="MBG166" s="558"/>
      <c r="MBH166" s="558"/>
      <c r="MBI166" s="558"/>
      <c r="MBJ166" s="558"/>
      <c r="MBK166" s="558"/>
      <c r="MBL166" s="558"/>
      <c r="MBM166" s="558"/>
      <c r="MBN166" s="558"/>
      <c r="MBO166" s="558"/>
      <c r="MBP166" s="558"/>
      <c r="MBQ166" s="558"/>
      <c r="MBR166" s="558"/>
      <c r="MBS166" s="558"/>
      <c r="MBT166" s="558"/>
      <c r="MBU166" s="558"/>
      <c r="MBV166" s="558"/>
      <c r="MBW166" s="558"/>
      <c r="MBX166" s="558"/>
      <c r="MBY166" s="558"/>
      <c r="MBZ166" s="558"/>
      <c r="MCA166" s="558"/>
      <c r="MCB166" s="558"/>
      <c r="MCC166" s="558"/>
      <c r="MCD166" s="558"/>
      <c r="MCE166" s="558"/>
      <c r="MCF166" s="558"/>
      <c r="MCG166" s="558"/>
      <c r="MCH166" s="558"/>
      <c r="MCI166" s="558"/>
      <c r="MCJ166" s="558"/>
      <c r="MCK166" s="558"/>
      <c r="MCL166" s="558"/>
      <c r="MCM166" s="558"/>
      <c r="MCN166" s="558"/>
      <c r="MCO166" s="558"/>
      <c r="MCP166" s="558"/>
      <c r="MCQ166" s="558"/>
      <c r="MCR166" s="558"/>
      <c r="MCS166" s="558"/>
      <c r="MCT166" s="558"/>
      <c r="MCU166" s="558"/>
      <c r="MCV166" s="558"/>
      <c r="MCW166" s="558"/>
      <c r="MCX166" s="558"/>
      <c r="MCY166" s="558"/>
      <c r="MCZ166" s="558"/>
      <c r="MDA166" s="558"/>
      <c r="MDB166" s="558"/>
      <c r="MDC166" s="558"/>
      <c r="MDD166" s="558"/>
      <c r="MDE166" s="558"/>
      <c r="MDF166" s="558"/>
      <c r="MDG166" s="558"/>
      <c r="MDH166" s="558"/>
      <c r="MDI166" s="558"/>
      <c r="MDJ166" s="558"/>
      <c r="MDK166" s="558"/>
      <c r="MDL166" s="558"/>
      <c r="MDM166" s="558"/>
      <c r="MDN166" s="558"/>
      <c r="MDO166" s="558"/>
      <c r="MDP166" s="558"/>
      <c r="MDQ166" s="558"/>
      <c r="MDR166" s="558"/>
      <c r="MDS166" s="558"/>
      <c r="MDT166" s="558"/>
      <c r="MDU166" s="558"/>
      <c r="MDV166" s="558"/>
      <c r="MDW166" s="558"/>
      <c r="MDX166" s="558"/>
      <c r="MDY166" s="558"/>
      <c r="MDZ166" s="558"/>
      <c r="MEA166" s="558"/>
      <c r="MEB166" s="558"/>
      <c r="MEC166" s="558"/>
      <c r="MED166" s="558"/>
      <c r="MEE166" s="558"/>
      <c r="MEF166" s="558"/>
      <c r="MEG166" s="558"/>
      <c r="MEH166" s="558"/>
      <c r="MEI166" s="558"/>
      <c r="MEJ166" s="558"/>
      <c r="MEK166" s="558"/>
      <c r="MEL166" s="558"/>
      <c r="MEM166" s="558"/>
      <c r="MEN166" s="558"/>
      <c r="MEO166" s="558"/>
      <c r="MEP166" s="558"/>
      <c r="MEQ166" s="558"/>
      <c r="MER166" s="558"/>
      <c r="MES166" s="558"/>
      <c r="MET166" s="558"/>
      <c r="MEU166" s="558"/>
      <c r="MEV166" s="558"/>
      <c r="MEW166" s="558"/>
      <c r="MEX166" s="558"/>
      <c r="MEY166" s="558"/>
      <c r="MEZ166" s="558"/>
      <c r="MFA166" s="558"/>
      <c r="MFB166" s="558"/>
      <c r="MFC166" s="558"/>
      <c r="MFD166" s="558"/>
      <c r="MFE166" s="558"/>
      <c r="MFF166" s="558"/>
      <c r="MFG166" s="558"/>
      <c r="MFH166" s="558"/>
      <c r="MFI166" s="558"/>
      <c r="MFJ166" s="558"/>
      <c r="MFK166" s="558"/>
      <c r="MFL166" s="558"/>
      <c r="MFM166" s="558"/>
      <c r="MFN166" s="558"/>
      <c r="MFO166" s="558"/>
      <c r="MFP166" s="558"/>
      <c r="MFQ166" s="558"/>
      <c r="MFR166" s="558"/>
      <c r="MFS166" s="558"/>
      <c r="MFT166" s="558"/>
      <c r="MFU166" s="558"/>
      <c r="MFV166" s="558"/>
      <c r="MFW166" s="558"/>
      <c r="MFX166" s="558"/>
      <c r="MFY166" s="558"/>
      <c r="MFZ166" s="558"/>
      <c r="MGA166" s="558"/>
      <c r="MGB166" s="558"/>
      <c r="MGC166" s="558"/>
      <c r="MGD166" s="558"/>
      <c r="MGE166" s="558"/>
      <c r="MGF166" s="558"/>
      <c r="MGG166" s="558"/>
      <c r="MGH166" s="558"/>
      <c r="MGI166" s="558"/>
      <c r="MGJ166" s="558"/>
      <c r="MGK166" s="558"/>
      <c r="MGL166" s="558"/>
      <c r="MGM166" s="558"/>
      <c r="MGN166" s="558"/>
      <c r="MGO166" s="558"/>
      <c r="MGP166" s="558"/>
      <c r="MGQ166" s="558"/>
      <c r="MGR166" s="558"/>
      <c r="MGS166" s="558"/>
      <c r="MGT166" s="558"/>
      <c r="MGU166" s="558"/>
      <c r="MGV166" s="558"/>
      <c r="MGW166" s="558"/>
      <c r="MGX166" s="558"/>
      <c r="MGY166" s="558"/>
      <c r="MGZ166" s="558"/>
      <c r="MHA166" s="558"/>
      <c r="MHB166" s="558"/>
      <c r="MHC166" s="558"/>
      <c r="MHD166" s="558"/>
      <c r="MHE166" s="558"/>
      <c r="MHF166" s="558"/>
      <c r="MHG166" s="558"/>
      <c r="MHH166" s="558"/>
      <c r="MHI166" s="558"/>
      <c r="MHJ166" s="558"/>
      <c r="MHK166" s="558"/>
      <c r="MHL166" s="558"/>
      <c r="MHM166" s="558"/>
      <c r="MHN166" s="558"/>
      <c r="MHO166" s="558"/>
      <c r="MHP166" s="558"/>
      <c r="MHQ166" s="558"/>
      <c r="MHR166" s="558"/>
      <c r="MHS166" s="558"/>
      <c r="MHT166" s="558"/>
      <c r="MHU166" s="558"/>
      <c r="MHV166" s="558"/>
      <c r="MHW166" s="558"/>
      <c r="MHX166" s="558"/>
      <c r="MHY166" s="558"/>
      <c r="MHZ166" s="558"/>
      <c r="MIA166" s="558"/>
      <c r="MIB166" s="558"/>
      <c r="MIC166" s="558"/>
      <c r="MID166" s="558"/>
      <c r="MIE166" s="558"/>
      <c r="MIF166" s="558"/>
      <c r="MIG166" s="558"/>
      <c r="MIH166" s="558"/>
      <c r="MII166" s="558"/>
      <c r="MIJ166" s="558"/>
      <c r="MIK166" s="558"/>
      <c r="MIL166" s="558"/>
      <c r="MIM166" s="558"/>
      <c r="MIN166" s="558"/>
      <c r="MIO166" s="558"/>
      <c r="MIP166" s="558"/>
      <c r="MIQ166" s="558"/>
      <c r="MIR166" s="558"/>
      <c r="MIS166" s="558"/>
      <c r="MIT166" s="558"/>
      <c r="MIU166" s="558"/>
      <c r="MIV166" s="558"/>
      <c r="MIW166" s="558"/>
      <c r="MIX166" s="558"/>
      <c r="MIY166" s="558"/>
      <c r="MIZ166" s="558"/>
      <c r="MJA166" s="558"/>
      <c r="MJB166" s="558"/>
      <c r="MJC166" s="558"/>
      <c r="MJD166" s="558"/>
      <c r="MJE166" s="558"/>
      <c r="MJF166" s="558"/>
      <c r="MJG166" s="558"/>
      <c r="MJH166" s="558"/>
      <c r="MJI166" s="558"/>
      <c r="MJJ166" s="558"/>
      <c r="MJK166" s="558"/>
      <c r="MJL166" s="558"/>
      <c r="MJM166" s="558"/>
      <c r="MJN166" s="558"/>
      <c r="MJO166" s="558"/>
      <c r="MJP166" s="558"/>
      <c r="MJQ166" s="558"/>
      <c r="MJR166" s="558"/>
      <c r="MJS166" s="558"/>
      <c r="MJT166" s="558"/>
      <c r="MJU166" s="558"/>
      <c r="MJV166" s="558"/>
      <c r="MJW166" s="558"/>
      <c r="MJX166" s="558"/>
      <c r="MJY166" s="558"/>
      <c r="MJZ166" s="558"/>
      <c r="MKA166" s="558"/>
      <c r="MKB166" s="558"/>
      <c r="MKC166" s="558"/>
      <c r="MKD166" s="558"/>
      <c r="MKE166" s="558"/>
      <c r="MKF166" s="558"/>
      <c r="MKG166" s="558"/>
      <c r="MKH166" s="558"/>
      <c r="MKI166" s="558"/>
      <c r="MKJ166" s="558"/>
      <c r="MKK166" s="558"/>
      <c r="MKL166" s="558"/>
      <c r="MKM166" s="558"/>
      <c r="MKN166" s="558"/>
      <c r="MKO166" s="558"/>
      <c r="MKP166" s="558"/>
      <c r="MKQ166" s="558"/>
      <c r="MKR166" s="558"/>
      <c r="MKS166" s="558"/>
      <c r="MKT166" s="558"/>
      <c r="MKU166" s="558"/>
      <c r="MKV166" s="558"/>
      <c r="MKW166" s="558"/>
      <c r="MKX166" s="558"/>
      <c r="MKY166" s="558"/>
      <c r="MKZ166" s="558"/>
      <c r="MLA166" s="558"/>
      <c r="MLB166" s="558"/>
      <c r="MLC166" s="558"/>
      <c r="MLD166" s="558"/>
      <c r="MLE166" s="558"/>
      <c r="MLF166" s="558"/>
      <c r="MLG166" s="558"/>
      <c r="MLH166" s="558"/>
      <c r="MLI166" s="558"/>
      <c r="MLJ166" s="558"/>
      <c r="MLK166" s="558"/>
      <c r="MLL166" s="558"/>
      <c r="MLM166" s="558"/>
      <c r="MLN166" s="558"/>
      <c r="MLO166" s="558"/>
      <c r="MLP166" s="558"/>
      <c r="MLQ166" s="558"/>
      <c r="MLR166" s="558"/>
      <c r="MLS166" s="558"/>
      <c r="MLT166" s="558"/>
      <c r="MLU166" s="558"/>
      <c r="MLV166" s="558"/>
      <c r="MLW166" s="558"/>
      <c r="MLX166" s="558"/>
      <c r="MLY166" s="558"/>
      <c r="MLZ166" s="558"/>
      <c r="MMA166" s="558"/>
      <c r="MMB166" s="558"/>
      <c r="MMC166" s="558"/>
      <c r="MMD166" s="558"/>
      <c r="MME166" s="558"/>
      <c r="MMF166" s="558"/>
      <c r="MMG166" s="558"/>
      <c r="MMH166" s="558"/>
      <c r="MMI166" s="558"/>
      <c r="MMJ166" s="558"/>
      <c r="MMK166" s="558"/>
      <c r="MML166" s="558"/>
      <c r="MMM166" s="558"/>
      <c r="MMN166" s="558"/>
      <c r="MMO166" s="558"/>
      <c r="MMP166" s="558"/>
      <c r="MMQ166" s="558"/>
      <c r="MMR166" s="558"/>
      <c r="MMS166" s="558"/>
      <c r="MMT166" s="558"/>
      <c r="MMU166" s="558"/>
      <c r="MMV166" s="558"/>
      <c r="MMW166" s="558"/>
      <c r="MMX166" s="558"/>
      <c r="MMY166" s="558"/>
      <c r="MMZ166" s="558"/>
      <c r="MNA166" s="558"/>
      <c r="MNB166" s="558"/>
      <c r="MNC166" s="558"/>
      <c r="MND166" s="558"/>
      <c r="MNE166" s="558"/>
      <c r="MNF166" s="558"/>
      <c r="MNG166" s="558"/>
      <c r="MNH166" s="558"/>
      <c r="MNI166" s="558"/>
      <c r="MNJ166" s="558"/>
      <c r="MNK166" s="558"/>
      <c r="MNL166" s="558"/>
      <c r="MNM166" s="558"/>
      <c r="MNN166" s="558"/>
      <c r="MNO166" s="558"/>
      <c r="MNP166" s="558"/>
      <c r="MNQ166" s="558"/>
      <c r="MNR166" s="558"/>
      <c r="MNS166" s="558"/>
      <c r="MNT166" s="558"/>
      <c r="MNU166" s="558"/>
      <c r="MNV166" s="558"/>
      <c r="MNW166" s="558"/>
      <c r="MNX166" s="558"/>
      <c r="MNY166" s="558"/>
      <c r="MNZ166" s="558"/>
      <c r="MOA166" s="558"/>
      <c r="MOB166" s="558"/>
      <c r="MOC166" s="558"/>
      <c r="MOD166" s="558"/>
      <c r="MOE166" s="558"/>
      <c r="MOF166" s="558"/>
      <c r="MOG166" s="558"/>
      <c r="MOH166" s="558"/>
      <c r="MOI166" s="558"/>
      <c r="MOJ166" s="558"/>
      <c r="MOK166" s="558"/>
      <c r="MOL166" s="558"/>
      <c r="MOM166" s="558"/>
      <c r="MON166" s="558"/>
      <c r="MOO166" s="558"/>
      <c r="MOP166" s="558"/>
      <c r="MOQ166" s="558"/>
      <c r="MOR166" s="558"/>
      <c r="MOS166" s="558"/>
      <c r="MOT166" s="558"/>
      <c r="MOU166" s="558"/>
      <c r="MOV166" s="558"/>
      <c r="MOW166" s="558"/>
      <c r="MOX166" s="558"/>
      <c r="MOY166" s="558"/>
      <c r="MOZ166" s="558"/>
      <c r="MPA166" s="558"/>
      <c r="MPB166" s="558"/>
      <c r="MPC166" s="558"/>
      <c r="MPD166" s="558"/>
      <c r="MPE166" s="558"/>
      <c r="MPF166" s="558"/>
      <c r="MPG166" s="558"/>
      <c r="MPH166" s="558"/>
      <c r="MPI166" s="558"/>
      <c r="MPJ166" s="558"/>
      <c r="MPK166" s="558"/>
      <c r="MPL166" s="558"/>
      <c r="MPM166" s="558"/>
      <c r="MPN166" s="558"/>
      <c r="MPO166" s="558"/>
      <c r="MPP166" s="558"/>
      <c r="MPQ166" s="558"/>
      <c r="MPR166" s="558"/>
      <c r="MPS166" s="558"/>
      <c r="MPT166" s="558"/>
      <c r="MPU166" s="558"/>
      <c r="MPV166" s="558"/>
      <c r="MPW166" s="558"/>
      <c r="MPX166" s="558"/>
      <c r="MPY166" s="558"/>
      <c r="MPZ166" s="558"/>
      <c r="MQA166" s="558"/>
      <c r="MQB166" s="558"/>
      <c r="MQC166" s="558"/>
      <c r="MQD166" s="558"/>
      <c r="MQE166" s="558"/>
      <c r="MQF166" s="558"/>
      <c r="MQG166" s="558"/>
      <c r="MQH166" s="558"/>
      <c r="MQI166" s="558"/>
      <c r="MQJ166" s="558"/>
      <c r="MQK166" s="558"/>
      <c r="MQL166" s="558"/>
      <c r="MQM166" s="558"/>
      <c r="MQN166" s="558"/>
      <c r="MQO166" s="558"/>
      <c r="MQP166" s="558"/>
      <c r="MQQ166" s="558"/>
      <c r="MQR166" s="558"/>
      <c r="MQS166" s="558"/>
      <c r="MQT166" s="558"/>
      <c r="MQU166" s="558"/>
      <c r="MQV166" s="558"/>
      <c r="MQW166" s="558"/>
      <c r="MQX166" s="558"/>
      <c r="MQY166" s="558"/>
      <c r="MQZ166" s="558"/>
      <c r="MRA166" s="558"/>
      <c r="MRB166" s="558"/>
      <c r="MRC166" s="558"/>
      <c r="MRD166" s="558"/>
      <c r="MRE166" s="558"/>
      <c r="MRF166" s="558"/>
      <c r="MRG166" s="558"/>
      <c r="MRH166" s="558"/>
      <c r="MRI166" s="558"/>
      <c r="MRJ166" s="558"/>
      <c r="MRK166" s="558"/>
      <c r="MRL166" s="558"/>
      <c r="MRM166" s="558"/>
      <c r="MRN166" s="558"/>
      <c r="MRO166" s="558"/>
      <c r="MRP166" s="558"/>
      <c r="MRQ166" s="558"/>
      <c r="MRR166" s="558"/>
      <c r="MRS166" s="558"/>
      <c r="MRT166" s="558"/>
      <c r="MRU166" s="558"/>
      <c r="MRV166" s="558"/>
      <c r="MRW166" s="558"/>
      <c r="MRX166" s="558"/>
      <c r="MRY166" s="558"/>
      <c r="MRZ166" s="558"/>
      <c r="MSA166" s="558"/>
      <c r="MSB166" s="558"/>
      <c r="MSC166" s="558"/>
      <c r="MSD166" s="558"/>
      <c r="MSE166" s="558"/>
      <c r="MSF166" s="558"/>
      <c r="MSG166" s="558"/>
      <c r="MSH166" s="558"/>
      <c r="MSI166" s="558"/>
      <c r="MSJ166" s="558"/>
      <c r="MSK166" s="558"/>
      <c r="MSL166" s="558"/>
      <c r="MSM166" s="558"/>
      <c r="MSN166" s="558"/>
      <c r="MSO166" s="558"/>
      <c r="MSP166" s="558"/>
      <c r="MSQ166" s="558"/>
      <c r="MSR166" s="558"/>
      <c r="MSS166" s="558"/>
      <c r="MST166" s="558"/>
      <c r="MSU166" s="558"/>
      <c r="MSV166" s="558"/>
      <c r="MSW166" s="558"/>
      <c r="MSX166" s="558"/>
      <c r="MSY166" s="558"/>
      <c r="MSZ166" s="558"/>
      <c r="MTA166" s="558"/>
      <c r="MTB166" s="558"/>
      <c r="MTC166" s="558"/>
      <c r="MTD166" s="558"/>
      <c r="MTE166" s="558"/>
      <c r="MTF166" s="558"/>
      <c r="MTG166" s="558"/>
      <c r="MTH166" s="558"/>
      <c r="MTI166" s="558"/>
      <c r="MTJ166" s="558"/>
      <c r="MTK166" s="558"/>
      <c r="MTL166" s="558"/>
      <c r="MTM166" s="558"/>
      <c r="MTN166" s="558"/>
      <c r="MTO166" s="558"/>
      <c r="MTP166" s="558"/>
      <c r="MTQ166" s="558"/>
      <c r="MTR166" s="558"/>
      <c r="MTS166" s="558"/>
      <c r="MTT166" s="558"/>
      <c r="MTU166" s="558"/>
      <c r="MTV166" s="558"/>
      <c r="MTW166" s="558"/>
      <c r="MTX166" s="558"/>
      <c r="MTY166" s="558"/>
      <c r="MTZ166" s="558"/>
      <c r="MUA166" s="558"/>
      <c r="MUB166" s="558"/>
      <c r="MUC166" s="558"/>
      <c r="MUD166" s="558"/>
      <c r="MUE166" s="558"/>
      <c r="MUF166" s="558"/>
      <c r="MUG166" s="558"/>
      <c r="MUH166" s="558"/>
      <c r="MUI166" s="558"/>
      <c r="MUJ166" s="558"/>
      <c r="MUK166" s="558"/>
      <c r="MUL166" s="558"/>
      <c r="MUM166" s="558"/>
      <c r="MUN166" s="558"/>
      <c r="MUO166" s="558"/>
      <c r="MUP166" s="558"/>
      <c r="MUQ166" s="558"/>
      <c r="MUR166" s="558"/>
      <c r="MUS166" s="558"/>
      <c r="MUT166" s="558"/>
      <c r="MUU166" s="558"/>
      <c r="MUV166" s="558"/>
      <c r="MUW166" s="558"/>
      <c r="MUX166" s="558"/>
      <c r="MUY166" s="558"/>
      <c r="MUZ166" s="558"/>
      <c r="MVA166" s="558"/>
      <c r="MVB166" s="558"/>
      <c r="MVC166" s="558"/>
      <c r="MVD166" s="558"/>
      <c r="MVE166" s="558"/>
      <c r="MVF166" s="558"/>
      <c r="MVG166" s="558"/>
      <c r="MVH166" s="558"/>
      <c r="MVI166" s="558"/>
      <c r="MVJ166" s="558"/>
      <c r="MVK166" s="558"/>
      <c r="MVL166" s="558"/>
      <c r="MVM166" s="558"/>
      <c r="MVN166" s="558"/>
      <c r="MVO166" s="558"/>
      <c r="MVP166" s="558"/>
      <c r="MVQ166" s="558"/>
      <c r="MVR166" s="558"/>
      <c r="MVS166" s="558"/>
      <c r="MVT166" s="558"/>
      <c r="MVU166" s="558"/>
      <c r="MVV166" s="558"/>
      <c r="MVW166" s="558"/>
      <c r="MVX166" s="558"/>
      <c r="MVY166" s="558"/>
      <c r="MVZ166" s="558"/>
      <c r="MWA166" s="558"/>
      <c r="MWB166" s="558"/>
      <c r="MWC166" s="558"/>
      <c r="MWD166" s="558"/>
      <c r="MWE166" s="558"/>
      <c r="MWF166" s="558"/>
      <c r="MWG166" s="558"/>
      <c r="MWH166" s="558"/>
      <c r="MWI166" s="558"/>
      <c r="MWJ166" s="558"/>
      <c r="MWK166" s="558"/>
      <c r="MWL166" s="558"/>
      <c r="MWM166" s="558"/>
      <c r="MWN166" s="558"/>
      <c r="MWO166" s="558"/>
      <c r="MWP166" s="558"/>
      <c r="MWQ166" s="558"/>
      <c r="MWR166" s="558"/>
      <c r="MWS166" s="558"/>
      <c r="MWT166" s="558"/>
      <c r="MWU166" s="558"/>
      <c r="MWV166" s="558"/>
      <c r="MWW166" s="558"/>
      <c r="MWX166" s="558"/>
      <c r="MWY166" s="558"/>
      <c r="MWZ166" s="558"/>
      <c r="MXA166" s="558"/>
      <c r="MXB166" s="558"/>
      <c r="MXC166" s="558"/>
      <c r="MXD166" s="558"/>
      <c r="MXE166" s="558"/>
      <c r="MXF166" s="558"/>
      <c r="MXG166" s="558"/>
      <c r="MXH166" s="558"/>
      <c r="MXI166" s="558"/>
      <c r="MXJ166" s="558"/>
      <c r="MXK166" s="558"/>
      <c r="MXL166" s="558"/>
      <c r="MXM166" s="558"/>
      <c r="MXN166" s="558"/>
      <c r="MXO166" s="558"/>
      <c r="MXP166" s="558"/>
      <c r="MXQ166" s="558"/>
      <c r="MXR166" s="558"/>
      <c r="MXS166" s="558"/>
      <c r="MXT166" s="558"/>
      <c r="MXU166" s="558"/>
      <c r="MXV166" s="558"/>
      <c r="MXW166" s="558"/>
      <c r="MXX166" s="558"/>
      <c r="MXY166" s="558"/>
      <c r="MXZ166" s="558"/>
      <c r="MYA166" s="558"/>
      <c r="MYB166" s="558"/>
      <c r="MYC166" s="558"/>
      <c r="MYD166" s="558"/>
      <c r="MYE166" s="558"/>
      <c r="MYF166" s="558"/>
      <c r="MYG166" s="558"/>
      <c r="MYH166" s="558"/>
      <c r="MYI166" s="558"/>
      <c r="MYJ166" s="558"/>
      <c r="MYK166" s="558"/>
      <c r="MYL166" s="558"/>
      <c r="MYM166" s="558"/>
      <c r="MYN166" s="558"/>
      <c r="MYO166" s="558"/>
      <c r="MYP166" s="558"/>
      <c r="MYQ166" s="558"/>
      <c r="MYR166" s="558"/>
      <c r="MYS166" s="558"/>
      <c r="MYT166" s="558"/>
      <c r="MYU166" s="558"/>
      <c r="MYV166" s="558"/>
      <c r="MYW166" s="558"/>
      <c r="MYX166" s="558"/>
      <c r="MYY166" s="558"/>
      <c r="MYZ166" s="558"/>
      <c r="MZA166" s="558"/>
      <c r="MZB166" s="558"/>
      <c r="MZC166" s="558"/>
      <c r="MZD166" s="558"/>
      <c r="MZE166" s="558"/>
      <c r="MZF166" s="558"/>
      <c r="MZG166" s="558"/>
      <c r="MZH166" s="558"/>
      <c r="MZI166" s="558"/>
      <c r="MZJ166" s="558"/>
      <c r="MZK166" s="558"/>
      <c r="MZL166" s="558"/>
      <c r="MZM166" s="558"/>
      <c r="MZN166" s="558"/>
      <c r="MZO166" s="558"/>
      <c r="MZP166" s="558"/>
      <c r="MZQ166" s="558"/>
      <c r="MZR166" s="558"/>
      <c r="MZS166" s="558"/>
      <c r="MZT166" s="558"/>
      <c r="MZU166" s="558"/>
      <c r="MZV166" s="558"/>
      <c r="MZW166" s="558"/>
      <c r="MZX166" s="558"/>
      <c r="MZY166" s="558"/>
      <c r="MZZ166" s="558"/>
      <c r="NAA166" s="558"/>
      <c r="NAB166" s="558"/>
      <c r="NAC166" s="558"/>
      <c r="NAD166" s="558"/>
      <c r="NAE166" s="558"/>
      <c r="NAF166" s="558"/>
      <c r="NAG166" s="558"/>
      <c r="NAH166" s="558"/>
      <c r="NAI166" s="558"/>
      <c r="NAJ166" s="558"/>
      <c r="NAK166" s="558"/>
      <c r="NAL166" s="558"/>
      <c r="NAM166" s="558"/>
      <c r="NAN166" s="558"/>
      <c r="NAO166" s="558"/>
      <c r="NAP166" s="558"/>
      <c r="NAQ166" s="558"/>
      <c r="NAR166" s="558"/>
      <c r="NAS166" s="558"/>
      <c r="NAT166" s="558"/>
      <c r="NAU166" s="558"/>
      <c r="NAV166" s="558"/>
      <c r="NAW166" s="558"/>
      <c r="NAX166" s="558"/>
      <c r="NAY166" s="558"/>
      <c r="NAZ166" s="558"/>
      <c r="NBA166" s="558"/>
      <c r="NBB166" s="558"/>
      <c r="NBC166" s="558"/>
      <c r="NBD166" s="558"/>
      <c r="NBE166" s="558"/>
      <c r="NBF166" s="558"/>
      <c r="NBG166" s="558"/>
      <c r="NBH166" s="558"/>
      <c r="NBI166" s="558"/>
      <c r="NBJ166" s="558"/>
      <c r="NBK166" s="558"/>
      <c r="NBL166" s="558"/>
      <c r="NBM166" s="558"/>
      <c r="NBN166" s="558"/>
      <c r="NBO166" s="558"/>
      <c r="NBP166" s="558"/>
      <c r="NBQ166" s="558"/>
      <c r="NBR166" s="558"/>
      <c r="NBS166" s="558"/>
      <c r="NBT166" s="558"/>
      <c r="NBU166" s="558"/>
      <c r="NBV166" s="558"/>
      <c r="NBW166" s="558"/>
      <c r="NBX166" s="558"/>
      <c r="NBY166" s="558"/>
      <c r="NBZ166" s="558"/>
      <c r="NCA166" s="558"/>
      <c r="NCB166" s="558"/>
      <c r="NCC166" s="558"/>
      <c r="NCD166" s="558"/>
      <c r="NCE166" s="558"/>
      <c r="NCF166" s="558"/>
      <c r="NCG166" s="558"/>
      <c r="NCH166" s="558"/>
      <c r="NCI166" s="558"/>
      <c r="NCJ166" s="558"/>
      <c r="NCK166" s="558"/>
      <c r="NCL166" s="558"/>
      <c r="NCM166" s="558"/>
      <c r="NCN166" s="558"/>
      <c r="NCO166" s="558"/>
      <c r="NCP166" s="558"/>
      <c r="NCQ166" s="558"/>
      <c r="NCR166" s="558"/>
      <c r="NCS166" s="558"/>
      <c r="NCT166" s="558"/>
      <c r="NCU166" s="558"/>
      <c r="NCV166" s="558"/>
      <c r="NCW166" s="558"/>
      <c r="NCX166" s="558"/>
      <c r="NCY166" s="558"/>
      <c r="NCZ166" s="558"/>
      <c r="NDA166" s="558"/>
      <c r="NDB166" s="558"/>
      <c r="NDC166" s="558"/>
      <c r="NDD166" s="558"/>
      <c r="NDE166" s="558"/>
      <c r="NDF166" s="558"/>
      <c r="NDG166" s="558"/>
      <c r="NDH166" s="558"/>
      <c r="NDI166" s="558"/>
      <c r="NDJ166" s="558"/>
      <c r="NDK166" s="558"/>
      <c r="NDL166" s="558"/>
      <c r="NDM166" s="558"/>
      <c r="NDN166" s="558"/>
      <c r="NDO166" s="558"/>
      <c r="NDP166" s="558"/>
      <c r="NDQ166" s="558"/>
      <c r="NDR166" s="558"/>
      <c r="NDS166" s="558"/>
      <c r="NDT166" s="558"/>
      <c r="NDU166" s="558"/>
      <c r="NDV166" s="558"/>
      <c r="NDW166" s="558"/>
      <c r="NDX166" s="558"/>
      <c r="NDY166" s="558"/>
      <c r="NDZ166" s="558"/>
      <c r="NEA166" s="558"/>
      <c r="NEB166" s="558"/>
      <c r="NEC166" s="558"/>
      <c r="NED166" s="558"/>
      <c r="NEE166" s="558"/>
      <c r="NEF166" s="558"/>
      <c r="NEG166" s="558"/>
      <c r="NEH166" s="558"/>
      <c r="NEI166" s="558"/>
      <c r="NEJ166" s="558"/>
      <c r="NEK166" s="558"/>
      <c r="NEL166" s="558"/>
      <c r="NEM166" s="558"/>
      <c r="NEN166" s="558"/>
      <c r="NEO166" s="558"/>
      <c r="NEP166" s="558"/>
      <c r="NEQ166" s="558"/>
      <c r="NER166" s="558"/>
      <c r="NES166" s="558"/>
      <c r="NET166" s="558"/>
      <c r="NEU166" s="558"/>
      <c r="NEV166" s="558"/>
      <c r="NEW166" s="558"/>
      <c r="NEX166" s="558"/>
      <c r="NEY166" s="558"/>
      <c r="NEZ166" s="558"/>
      <c r="NFA166" s="558"/>
      <c r="NFB166" s="558"/>
      <c r="NFC166" s="558"/>
      <c r="NFD166" s="558"/>
      <c r="NFE166" s="558"/>
      <c r="NFF166" s="558"/>
      <c r="NFG166" s="558"/>
      <c r="NFH166" s="558"/>
      <c r="NFI166" s="558"/>
      <c r="NFJ166" s="558"/>
      <c r="NFK166" s="558"/>
      <c r="NFL166" s="558"/>
      <c r="NFM166" s="558"/>
      <c r="NFN166" s="558"/>
      <c r="NFO166" s="558"/>
      <c r="NFP166" s="558"/>
      <c r="NFQ166" s="558"/>
      <c r="NFR166" s="558"/>
      <c r="NFS166" s="558"/>
      <c r="NFT166" s="558"/>
      <c r="NFU166" s="558"/>
      <c r="NFV166" s="558"/>
      <c r="NFW166" s="558"/>
      <c r="NFX166" s="558"/>
      <c r="NFY166" s="558"/>
      <c r="NFZ166" s="558"/>
      <c r="NGA166" s="558"/>
      <c r="NGB166" s="558"/>
      <c r="NGC166" s="558"/>
      <c r="NGD166" s="558"/>
      <c r="NGE166" s="558"/>
      <c r="NGF166" s="558"/>
      <c r="NGG166" s="558"/>
      <c r="NGH166" s="558"/>
      <c r="NGI166" s="558"/>
      <c r="NGJ166" s="558"/>
      <c r="NGK166" s="558"/>
      <c r="NGL166" s="558"/>
      <c r="NGM166" s="558"/>
      <c r="NGN166" s="558"/>
      <c r="NGO166" s="558"/>
      <c r="NGP166" s="558"/>
      <c r="NGQ166" s="558"/>
      <c r="NGR166" s="558"/>
      <c r="NGS166" s="558"/>
      <c r="NGT166" s="558"/>
      <c r="NGU166" s="558"/>
      <c r="NGV166" s="558"/>
      <c r="NGW166" s="558"/>
      <c r="NGX166" s="558"/>
      <c r="NGY166" s="558"/>
      <c r="NGZ166" s="558"/>
      <c r="NHA166" s="558"/>
      <c r="NHB166" s="558"/>
      <c r="NHC166" s="558"/>
      <c r="NHD166" s="558"/>
      <c r="NHE166" s="558"/>
      <c r="NHF166" s="558"/>
      <c r="NHG166" s="558"/>
      <c r="NHH166" s="558"/>
      <c r="NHI166" s="558"/>
      <c r="NHJ166" s="558"/>
      <c r="NHK166" s="558"/>
      <c r="NHL166" s="558"/>
      <c r="NHM166" s="558"/>
      <c r="NHN166" s="558"/>
      <c r="NHO166" s="558"/>
      <c r="NHP166" s="558"/>
      <c r="NHQ166" s="558"/>
      <c r="NHR166" s="558"/>
      <c r="NHS166" s="558"/>
      <c r="NHT166" s="558"/>
      <c r="NHU166" s="558"/>
      <c r="NHV166" s="558"/>
      <c r="NHW166" s="558"/>
      <c r="NHX166" s="558"/>
      <c r="NHY166" s="558"/>
      <c r="NHZ166" s="558"/>
      <c r="NIA166" s="558"/>
      <c r="NIB166" s="558"/>
      <c r="NIC166" s="558"/>
      <c r="NID166" s="558"/>
      <c r="NIE166" s="558"/>
      <c r="NIF166" s="558"/>
      <c r="NIG166" s="558"/>
      <c r="NIH166" s="558"/>
      <c r="NII166" s="558"/>
      <c r="NIJ166" s="558"/>
      <c r="NIK166" s="558"/>
      <c r="NIL166" s="558"/>
      <c r="NIM166" s="558"/>
      <c r="NIN166" s="558"/>
      <c r="NIO166" s="558"/>
      <c r="NIP166" s="558"/>
      <c r="NIQ166" s="558"/>
      <c r="NIR166" s="558"/>
      <c r="NIS166" s="558"/>
      <c r="NIT166" s="558"/>
      <c r="NIU166" s="558"/>
      <c r="NIV166" s="558"/>
      <c r="NIW166" s="558"/>
      <c r="NIX166" s="558"/>
      <c r="NIY166" s="558"/>
      <c r="NIZ166" s="558"/>
      <c r="NJA166" s="558"/>
      <c r="NJB166" s="558"/>
      <c r="NJC166" s="558"/>
      <c r="NJD166" s="558"/>
      <c r="NJE166" s="558"/>
      <c r="NJF166" s="558"/>
      <c r="NJG166" s="558"/>
      <c r="NJH166" s="558"/>
      <c r="NJI166" s="558"/>
      <c r="NJJ166" s="558"/>
      <c r="NJK166" s="558"/>
      <c r="NJL166" s="558"/>
      <c r="NJM166" s="558"/>
      <c r="NJN166" s="558"/>
      <c r="NJO166" s="558"/>
      <c r="NJP166" s="558"/>
      <c r="NJQ166" s="558"/>
      <c r="NJR166" s="558"/>
      <c r="NJS166" s="558"/>
      <c r="NJT166" s="558"/>
      <c r="NJU166" s="558"/>
      <c r="NJV166" s="558"/>
      <c r="NJW166" s="558"/>
      <c r="NJX166" s="558"/>
      <c r="NJY166" s="558"/>
      <c r="NJZ166" s="558"/>
      <c r="NKA166" s="558"/>
      <c r="NKB166" s="558"/>
      <c r="NKC166" s="558"/>
      <c r="NKD166" s="558"/>
      <c r="NKE166" s="558"/>
      <c r="NKF166" s="558"/>
      <c r="NKG166" s="558"/>
      <c r="NKH166" s="558"/>
      <c r="NKI166" s="558"/>
      <c r="NKJ166" s="558"/>
      <c r="NKK166" s="558"/>
      <c r="NKL166" s="558"/>
      <c r="NKM166" s="558"/>
      <c r="NKN166" s="558"/>
      <c r="NKO166" s="558"/>
      <c r="NKP166" s="558"/>
      <c r="NKQ166" s="558"/>
      <c r="NKR166" s="558"/>
      <c r="NKS166" s="558"/>
      <c r="NKT166" s="558"/>
      <c r="NKU166" s="558"/>
      <c r="NKV166" s="558"/>
      <c r="NKW166" s="558"/>
      <c r="NKX166" s="558"/>
      <c r="NKY166" s="558"/>
      <c r="NKZ166" s="558"/>
      <c r="NLA166" s="558"/>
      <c r="NLB166" s="558"/>
      <c r="NLC166" s="558"/>
      <c r="NLD166" s="558"/>
      <c r="NLE166" s="558"/>
      <c r="NLF166" s="558"/>
      <c r="NLG166" s="558"/>
      <c r="NLH166" s="558"/>
      <c r="NLI166" s="558"/>
      <c r="NLJ166" s="558"/>
      <c r="NLK166" s="558"/>
      <c r="NLL166" s="558"/>
      <c r="NLM166" s="558"/>
      <c r="NLN166" s="558"/>
      <c r="NLO166" s="558"/>
      <c r="NLP166" s="558"/>
      <c r="NLQ166" s="558"/>
      <c r="NLR166" s="558"/>
      <c r="NLS166" s="558"/>
      <c r="NLT166" s="558"/>
      <c r="NLU166" s="558"/>
      <c r="NLV166" s="558"/>
      <c r="NLW166" s="558"/>
      <c r="NLX166" s="558"/>
      <c r="NLY166" s="558"/>
      <c r="NLZ166" s="558"/>
      <c r="NMA166" s="558"/>
      <c r="NMB166" s="558"/>
      <c r="NMC166" s="558"/>
      <c r="NMD166" s="558"/>
      <c r="NME166" s="558"/>
      <c r="NMF166" s="558"/>
      <c r="NMG166" s="558"/>
      <c r="NMH166" s="558"/>
      <c r="NMI166" s="558"/>
      <c r="NMJ166" s="558"/>
      <c r="NMK166" s="558"/>
      <c r="NML166" s="558"/>
      <c r="NMM166" s="558"/>
      <c r="NMN166" s="558"/>
      <c r="NMO166" s="558"/>
      <c r="NMP166" s="558"/>
      <c r="NMQ166" s="558"/>
      <c r="NMR166" s="558"/>
      <c r="NMS166" s="558"/>
      <c r="NMT166" s="558"/>
      <c r="NMU166" s="558"/>
      <c r="NMV166" s="558"/>
      <c r="NMW166" s="558"/>
      <c r="NMX166" s="558"/>
      <c r="NMY166" s="558"/>
      <c r="NMZ166" s="558"/>
      <c r="NNA166" s="558"/>
      <c r="NNB166" s="558"/>
      <c r="NNC166" s="558"/>
      <c r="NND166" s="558"/>
      <c r="NNE166" s="558"/>
      <c r="NNF166" s="558"/>
      <c r="NNG166" s="558"/>
      <c r="NNH166" s="558"/>
      <c r="NNI166" s="558"/>
      <c r="NNJ166" s="558"/>
      <c r="NNK166" s="558"/>
      <c r="NNL166" s="558"/>
      <c r="NNM166" s="558"/>
      <c r="NNN166" s="558"/>
      <c r="NNO166" s="558"/>
      <c r="NNP166" s="558"/>
      <c r="NNQ166" s="558"/>
      <c r="NNR166" s="558"/>
      <c r="NNS166" s="558"/>
      <c r="NNT166" s="558"/>
      <c r="NNU166" s="558"/>
      <c r="NNV166" s="558"/>
      <c r="NNW166" s="558"/>
      <c r="NNX166" s="558"/>
      <c r="NNY166" s="558"/>
      <c r="NNZ166" s="558"/>
      <c r="NOA166" s="558"/>
      <c r="NOB166" s="558"/>
      <c r="NOC166" s="558"/>
      <c r="NOD166" s="558"/>
      <c r="NOE166" s="558"/>
      <c r="NOF166" s="558"/>
      <c r="NOG166" s="558"/>
      <c r="NOH166" s="558"/>
      <c r="NOI166" s="558"/>
      <c r="NOJ166" s="558"/>
      <c r="NOK166" s="558"/>
      <c r="NOL166" s="558"/>
      <c r="NOM166" s="558"/>
      <c r="NON166" s="558"/>
      <c r="NOO166" s="558"/>
      <c r="NOP166" s="558"/>
      <c r="NOQ166" s="558"/>
      <c r="NOR166" s="558"/>
      <c r="NOS166" s="558"/>
      <c r="NOT166" s="558"/>
      <c r="NOU166" s="558"/>
      <c r="NOV166" s="558"/>
      <c r="NOW166" s="558"/>
      <c r="NOX166" s="558"/>
      <c r="NOY166" s="558"/>
      <c r="NOZ166" s="558"/>
      <c r="NPA166" s="558"/>
      <c r="NPB166" s="558"/>
      <c r="NPC166" s="558"/>
      <c r="NPD166" s="558"/>
      <c r="NPE166" s="558"/>
      <c r="NPF166" s="558"/>
      <c r="NPG166" s="558"/>
      <c r="NPH166" s="558"/>
      <c r="NPI166" s="558"/>
      <c r="NPJ166" s="558"/>
      <c r="NPK166" s="558"/>
      <c r="NPL166" s="558"/>
      <c r="NPM166" s="558"/>
      <c r="NPN166" s="558"/>
      <c r="NPO166" s="558"/>
      <c r="NPP166" s="558"/>
      <c r="NPQ166" s="558"/>
      <c r="NPR166" s="558"/>
      <c r="NPS166" s="558"/>
      <c r="NPT166" s="558"/>
      <c r="NPU166" s="558"/>
      <c r="NPV166" s="558"/>
      <c r="NPW166" s="558"/>
      <c r="NPX166" s="558"/>
      <c r="NPY166" s="558"/>
      <c r="NPZ166" s="558"/>
      <c r="NQA166" s="558"/>
      <c r="NQB166" s="558"/>
      <c r="NQC166" s="558"/>
      <c r="NQD166" s="558"/>
      <c r="NQE166" s="558"/>
      <c r="NQF166" s="558"/>
      <c r="NQG166" s="558"/>
      <c r="NQH166" s="558"/>
      <c r="NQI166" s="558"/>
      <c r="NQJ166" s="558"/>
      <c r="NQK166" s="558"/>
      <c r="NQL166" s="558"/>
      <c r="NQM166" s="558"/>
      <c r="NQN166" s="558"/>
      <c r="NQO166" s="558"/>
      <c r="NQP166" s="558"/>
      <c r="NQQ166" s="558"/>
      <c r="NQR166" s="558"/>
      <c r="NQS166" s="558"/>
      <c r="NQT166" s="558"/>
      <c r="NQU166" s="558"/>
      <c r="NQV166" s="558"/>
      <c r="NQW166" s="558"/>
      <c r="NQX166" s="558"/>
      <c r="NQY166" s="558"/>
      <c r="NQZ166" s="558"/>
      <c r="NRA166" s="558"/>
      <c r="NRB166" s="558"/>
      <c r="NRC166" s="558"/>
      <c r="NRD166" s="558"/>
      <c r="NRE166" s="558"/>
      <c r="NRF166" s="558"/>
      <c r="NRG166" s="558"/>
      <c r="NRH166" s="558"/>
      <c r="NRI166" s="558"/>
      <c r="NRJ166" s="558"/>
      <c r="NRK166" s="558"/>
      <c r="NRL166" s="558"/>
      <c r="NRM166" s="558"/>
      <c r="NRN166" s="558"/>
      <c r="NRO166" s="558"/>
      <c r="NRP166" s="558"/>
      <c r="NRQ166" s="558"/>
      <c r="NRR166" s="558"/>
      <c r="NRS166" s="558"/>
      <c r="NRT166" s="558"/>
      <c r="NRU166" s="558"/>
      <c r="NRV166" s="558"/>
      <c r="NRW166" s="558"/>
      <c r="NRX166" s="558"/>
      <c r="NRY166" s="558"/>
      <c r="NRZ166" s="558"/>
      <c r="NSA166" s="558"/>
      <c r="NSB166" s="558"/>
      <c r="NSC166" s="558"/>
      <c r="NSD166" s="558"/>
      <c r="NSE166" s="558"/>
      <c r="NSF166" s="558"/>
      <c r="NSG166" s="558"/>
      <c r="NSH166" s="558"/>
      <c r="NSI166" s="558"/>
      <c r="NSJ166" s="558"/>
      <c r="NSK166" s="558"/>
      <c r="NSL166" s="558"/>
      <c r="NSM166" s="558"/>
      <c r="NSN166" s="558"/>
      <c r="NSO166" s="558"/>
      <c r="NSP166" s="558"/>
      <c r="NSQ166" s="558"/>
      <c r="NSR166" s="558"/>
      <c r="NSS166" s="558"/>
      <c r="NST166" s="558"/>
      <c r="NSU166" s="558"/>
      <c r="NSV166" s="558"/>
      <c r="NSW166" s="558"/>
      <c r="NSX166" s="558"/>
      <c r="NSY166" s="558"/>
      <c r="NSZ166" s="558"/>
      <c r="NTA166" s="558"/>
      <c r="NTB166" s="558"/>
      <c r="NTC166" s="558"/>
      <c r="NTD166" s="558"/>
      <c r="NTE166" s="558"/>
      <c r="NTF166" s="558"/>
      <c r="NTG166" s="558"/>
      <c r="NTH166" s="558"/>
      <c r="NTI166" s="558"/>
      <c r="NTJ166" s="558"/>
      <c r="NTK166" s="558"/>
      <c r="NTL166" s="558"/>
      <c r="NTM166" s="558"/>
      <c r="NTN166" s="558"/>
      <c r="NTO166" s="558"/>
      <c r="NTP166" s="558"/>
      <c r="NTQ166" s="558"/>
      <c r="NTR166" s="558"/>
      <c r="NTS166" s="558"/>
      <c r="NTT166" s="558"/>
      <c r="NTU166" s="558"/>
      <c r="NTV166" s="558"/>
      <c r="NTW166" s="558"/>
      <c r="NTX166" s="558"/>
      <c r="NTY166" s="558"/>
      <c r="NTZ166" s="558"/>
      <c r="NUA166" s="558"/>
      <c r="NUB166" s="558"/>
      <c r="NUC166" s="558"/>
      <c r="NUD166" s="558"/>
      <c r="NUE166" s="558"/>
      <c r="NUF166" s="558"/>
      <c r="NUG166" s="558"/>
      <c r="NUH166" s="558"/>
      <c r="NUI166" s="558"/>
      <c r="NUJ166" s="558"/>
      <c r="NUK166" s="558"/>
      <c r="NUL166" s="558"/>
      <c r="NUM166" s="558"/>
      <c r="NUN166" s="558"/>
      <c r="NUO166" s="558"/>
      <c r="NUP166" s="558"/>
      <c r="NUQ166" s="558"/>
      <c r="NUR166" s="558"/>
      <c r="NUS166" s="558"/>
      <c r="NUT166" s="558"/>
      <c r="NUU166" s="558"/>
      <c r="NUV166" s="558"/>
      <c r="NUW166" s="558"/>
      <c r="NUX166" s="558"/>
      <c r="NUY166" s="558"/>
      <c r="NUZ166" s="558"/>
      <c r="NVA166" s="558"/>
      <c r="NVB166" s="558"/>
      <c r="NVC166" s="558"/>
      <c r="NVD166" s="558"/>
      <c r="NVE166" s="558"/>
      <c r="NVF166" s="558"/>
      <c r="NVG166" s="558"/>
      <c r="NVH166" s="558"/>
      <c r="NVI166" s="558"/>
      <c r="NVJ166" s="558"/>
      <c r="NVK166" s="558"/>
      <c r="NVL166" s="558"/>
      <c r="NVM166" s="558"/>
      <c r="NVN166" s="558"/>
      <c r="NVO166" s="558"/>
      <c r="NVP166" s="558"/>
      <c r="NVQ166" s="558"/>
      <c r="NVR166" s="558"/>
      <c r="NVS166" s="558"/>
      <c r="NVT166" s="558"/>
      <c r="NVU166" s="558"/>
      <c r="NVV166" s="558"/>
      <c r="NVW166" s="558"/>
      <c r="NVX166" s="558"/>
      <c r="NVY166" s="558"/>
      <c r="NVZ166" s="558"/>
      <c r="NWA166" s="558"/>
      <c r="NWB166" s="558"/>
      <c r="NWC166" s="558"/>
      <c r="NWD166" s="558"/>
      <c r="NWE166" s="558"/>
      <c r="NWF166" s="558"/>
      <c r="NWG166" s="558"/>
      <c r="NWH166" s="558"/>
      <c r="NWI166" s="558"/>
      <c r="NWJ166" s="558"/>
      <c r="NWK166" s="558"/>
      <c r="NWL166" s="558"/>
      <c r="NWM166" s="558"/>
      <c r="NWN166" s="558"/>
      <c r="NWO166" s="558"/>
      <c r="NWP166" s="558"/>
      <c r="NWQ166" s="558"/>
      <c r="NWR166" s="558"/>
      <c r="NWS166" s="558"/>
      <c r="NWT166" s="558"/>
      <c r="NWU166" s="558"/>
      <c r="NWV166" s="558"/>
      <c r="NWW166" s="558"/>
      <c r="NWX166" s="558"/>
      <c r="NWY166" s="558"/>
      <c r="NWZ166" s="558"/>
      <c r="NXA166" s="558"/>
      <c r="NXB166" s="558"/>
      <c r="NXC166" s="558"/>
      <c r="NXD166" s="558"/>
      <c r="NXE166" s="558"/>
      <c r="NXF166" s="558"/>
      <c r="NXG166" s="558"/>
      <c r="NXH166" s="558"/>
      <c r="NXI166" s="558"/>
      <c r="NXJ166" s="558"/>
      <c r="NXK166" s="558"/>
      <c r="NXL166" s="558"/>
      <c r="NXM166" s="558"/>
      <c r="NXN166" s="558"/>
      <c r="NXO166" s="558"/>
      <c r="NXP166" s="558"/>
      <c r="NXQ166" s="558"/>
      <c r="NXR166" s="558"/>
      <c r="NXS166" s="558"/>
      <c r="NXT166" s="558"/>
      <c r="NXU166" s="558"/>
      <c r="NXV166" s="558"/>
      <c r="NXW166" s="558"/>
      <c r="NXX166" s="558"/>
      <c r="NXY166" s="558"/>
      <c r="NXZ166" s="558"/>
      <c r="NYA166" s="558"/>
      <c r="NYB166" s="558"/>
      <c r="NYC166" s="558"/>
      <c r="NYD166" s="558"/>
      <c r="NYE166" s="558"/>
      <c r="NYF166" s="558"/>
      <c r="NYG166" s="558"/>
      <c r="NYH166" s="558"/>
      <c r="NYI166" s="558"/>
      <c r="NYJ166" s="558"/>
      <c r="NYK166" s="558"/>
      <c r="NYL166" s="558"/>
      <c r="NYM166" s="558"/>
      <c r="NYN166" s="558"/>
      <c r="NYO166" s="558"/>
      <c r="NYP166" s="558"/>
      <c r="NYQ166" s="558"/>
      <c r="NYR166" s="558"/>
      <c r="NYS166" s="558"/>
      <c r="NYT166" s="558"/>
      <c r="NYU166" s="558"/>
      <c r="NYV166" s="558"/>
      <c r="NYW166" s="558"/>
      <c r="NYX166" s="558"/>
      <c r="NYY166" s="558"/>
      <c r="NYZ166" s="558"/>
      <c r="NZA166" s="558"/>
      <c r="NZB166" s="558"/>
      <c r="NZC166" s="558"/>
      <c r="NZD166" s="558"/>
      <c r="NZE166" s="558"/>
      <c r="NZF166" s="558"/>
      <c r="NZG166" s="558"/>
      <c r="NZH166" s="558"/>
      <c r="NZI166" s="558"/>
      <c r="NZJ166" s="558"/>
      <c r="NZK166" s="558"/>
      <c r="NZL166" s="558"/>
      <c r="NZM166" s="558"/>
      <c r="NZN166" s="558"/>
      <c r="NZO166" s="558"/>
      <c r="NZP166" s="558"/>
      <c r="NZQ166" s="558"/>
      <c r="NZR166" s="558"/>
      <c r="NZS166" s="558"/>
      <c r="NZT166" s="558"/>
      <c r="NZU166" s="558"/>
      <c r="NZV166" s="558"/>
      <c r="NZW166" s="558"/>
      <c r="NZX166" s="558"/>
      <c r="NZY166" s="558"/>
      <c r="NZZ166" s="558"/>
      <c r="OAA166" s="558"/>
      <c r="OAB166" s="558"/>
      <c r="OAC166" s="558"/>
      <c r="OAD166" s="558"/>
      <c r="OAE166" s="558"/>
      <c r="OAF166" s="558"/>
      <c r="OAG166" s="558"/>
      <c r="OAH166" s="558"/>
      <c r="OAI166" s="558"/>
      <c r="OAJ166" s="558"/>
      <c r="OAK166" s="558"/>
      <c r="OAL166" s="558"/>
      <c r="OAM166" s="558"/>
      <c r="OAN166" s="558"/>
      <c r="OAO166" s="558"/>
      <c r="OAP166" s="558"/>
      <c r="OAQ166" s="558"/>
      <c r="OAR166" s="558"/>
      <c r="OAS166" s="558"/>
      <c r="OAT166" s="558"/>
      <c r="OAU166" s="558"/>
      <c r="OAV166" s="558"/>
      <c r="OAW166" s="558"/>
      <c r="OAX166" s="558"/>
      <c r="OAY166" s="558"/>
      <c r="OAZ166" s="558"/>
      <c r="OBA166" s="558"/>
      <c r="OBB166" s="558"/>
      <c r="OBC166" s="558"/>
      <c r="OBD166" s="558"/>
      <c r="OBE166" s="558"/>
      <c r="OBF166" s="558"/>
      <c r="OBG166" s="558"/>
      <c r="OBH166" s="558"/>
      <c r="OBI166" s="558"/>
      <c r="OBJ166" s="558"/>
      <c r="OBK166" s="558"/>
      <c r="OBL166" s="558"/>
      <c r="OBM166" s="558"/>
      <c r="OBN166" s="558"/>
      <c r="OBO166" s="558"/>
      <c r="OBP166" s="558"/>
      <c r="OBQ166" s="558"/>
      <c r="OBR166" s="558"/>
      <c r="OBS166" s="558"/>
      <c r="OBT166" s="558"/>
      <c r="OBU166" s="558"/>
      <c r="OBV166" s="558"/>
      <c r="OBW166" s="558"/>
      <c r="OBX166" s="558"/>
      <c r="OBY166" s="558"/>
      <c r="OBZ166" s="558"/>
      <c r="OCA166" s="558"/>
      <c r="OCB166" s="558"/>
      <c r="OCC166" s="558"/>
      <c r="OCD166" s="558"/>
      <c r="OCE166" s="558"/>
      <c r="OCF166" s="558"/>
      <c r="OCG166" s="558"/>
      <c r="OCH166" s="558"/>
      <c r="OCI166" s="558"/>
      <c r="OCJ166" s="558"/>
      <c r="OCK166" s="558"/>
      <c r="OCL166" s="558"/>
      <c r="OCM166" s="558"/>
      <c r="OCN166" s="558"/>
      <c r="OCO166" s="558"/>
      <c r="OCP166" s="558"/>
      <c r="OCQ166" s="558"/>
      <c r="OCR166" s="558"/>
      <c r="OCS166" s="558"/>
      <c r="OCT166" s="558"/>
      <c r="OCU166" s="558"/>
      <c r="OCV166" s="558"/>
      <c r="OCW166" s="558"/>
      <c r="OCX166" s="558"/>
      <c r="OCY166" s="558"/>
      <c r="OCZ166" s="558"/>
      <c r="ODA166" s="558"/>
      <c r="ODB166" s="558"/>
      <c r="ODC166" s="558"/>
      <c r="ODD166" s="558"/>
      <c r="ODE166" s="558"/>
      <c r="ODF166" s="558"/>
      <c r="ODG166" s="558"/>
      <c r="ODH166" s="558"/>
      <c r="ODI166" s="558"/>
      <c r="ODJ166" s="558"/>
      <c r="ODK166" s="558"/>
      <c r="ODL166" s="558"/>
      <c r="ODM166" s="558"/>
      <c r="ODN166" s="558"/>
      <c r="ODO166" s="558"/>
      <c r="ODP166" s="558"/>
      <c r="ODQ166" s="558"/>
      <c r="ODR166" s="558"/>
      <c r="ODS166" s="558"/>
      <c r="ODT166" s="558"/>
      <c r="ODU166" s="558"/>
      <c r="ODV166" s="558"/>
      <c r="ODW166" s="558"/>
      <c r="ODX166" s="558"/>
      <c r="ODY166" s="558"/>
      <c r="ODZ166" s="558"/>
      <c r="OEA166" s="558"/>
      <c r="OEB166" s="558"/>
      <c r="OEC166" s="558"/>
      <c r="OED166" s="558"/>
      <c r="OEE166" s="558"/>
      <c r="OEF166" s="558"/>
      <c r="OEG166" s="558"/>
      <c r="OEH166" s="558"/>
      <c r="OEI166" s="558"/>
      <c r="OEJ166" s="558"/>
      <c r="OEK166" s="558"/>
      <c r="OEL166" s="558"/>
      <c r="OEM166" s="558"/>
      <c r="OEN166" s="558"/>
      <c r="OEO166" s="558"/>
      <c r="OEP166" s="558"/>
      <c r="OEQ166" s="558"/>
      <c r="OER166" s="558"/>
      <c r="OES166" s="558"/>
      <c r="OET166" s="558"/>
      <c r="OEU166" s="558"/>
      <c r="OEV166" s="558"/>
      <c r="OEW166" s="558"/>
      <c r="OEX166" s="558"/>
      <c r="OEY166" s="558"/>
      <c r="OEZ166" s="558"/>
      <c r="OFA166" s="558"/>
      <c r="OFB166" s="558"/>
      <c r="OFC166" s="558"/>
      <c r="OFD166" s="558"/>
      <c r="OFE166" s="558"/>
      <c r="OFF166" s="558"/>
      <c r="OFG166" s="558"/>
      <c r="OFH166" s="558"/>
      <c r="OFI166" s="558"/>
      <c r="OFJ166" s="558"/>
      <c r="OFK166" s="558"/>
      <c r="OFL166" s="558"/>
      <c r="OFM166" s="558"/>
      <c r="OFN166" s="558"/>
      <c r="OFO166" s="558"/>
      <c r="OFP166" s="558"/>
      <c r="OFQ166" s="558"/>
      <c r="OFR166" s="558"/>
      <c r="OFS166" s="558"/>
      <c r="OFT166" s="558"/>
      <c r="OFU166" s="558"/>
      <c r="OFV166" s="558"/>
      <c r="OFW166" s="558"/>
      <c r="OFX166" s="558"/>
      <c r="OFY166" s="558"/>
      <c r="OFZ166" s="558"/>
      <c r="OGA166" s="558"/>
      <c r="OGB166" s="558"/>
      <c r="OGC166" s="558"/>
      <c r="OGD166" s="558"/>
      <c r="OGE166" s="558"/>
      <c r="OGF166" s="558"/>
      <c r="OGG166" s="558"/>
      <c r="OGH166" s="558"/>
      <c r="OGI166" s="558"/>
      <c r="OGJ166" s="558"/>
      <c r="OGK166" s="558"/>
      <c r="OGL166" s="558"/>
      <c r="OGM166" s="558"/>
      <c r="OGN166" s="558"/>
      <c r="OGO166" s="558"/>
      <c r="OGP166" s="558"/>
      <c r="OGQ166" s="558"/>
      <c r="OGR166" s="558"/>
      <c r="OGS166" s="558"/>
      <c r="OGT166" s="558"/>
      <c r="OGU166" s="558"/>
      <c r="OGV166" s="558"/>
      <c r="OGW166" s="558"/>
      <c r="OGX166" s="558"/>
      <c r="OGY166" s="558"/>
      <c r="OGZ166" s="558"/>
      <c r="OHA166" s="558"/>
      <c r="OHB166" s="558"/>
      <c r="OHC166" s="558"/>
      <c r="OHD166" s="558"/>
      <c r="OHE166" s="558"/>
      <c r="OHF166" s="558"/>
      <c r="OHG166" s="558"/>
      <c r="OHH166" s="558"/>
      <c r="OHI166" s="558"/>
      <c r="OHJ166" s="558"/>
      <c r="OHK166" s="558"/>
      <c r="OHL166" s="558"/>
      <c r="OHM166" s="558"/>
      <c r="OHN166" s="558"/>
      <c r="OHO166" s="558"/>
      <c r="OHP166" s="558"/>
      <c r="OHQ166" s="558"/>
      <c r="OHR166" s="558"/>
      <c r="OHS166" s="558"/>
      <c r="OHT166" s="558"/>
      <c r="OHU166" s="558"/>
      <c r="OHV166" s="558"/>
      <c r="OHW166" s="558"/>
      <c r="OHX166" s="558"/>
      <c r="OHY166" s="558"/>
      <c r="OHZ166" s="558"/>
      <c r="OIA166" s="558"/>
      <c r="OIB166" s="558"/>
      <c r="OIC166" s="558"/>
      <c r="OID166" s="558"/>
      <c r="OIE166" s="558"/>
      <c r="OIF166" s="558"/>
      <c r="OIG166" s="558"/>
      <c r="OIH166" s="558"/>
      <c r="OII166" s="558"/>
      <c r="OIJ166" s="558"/>
      <c r="OIK166" s="558"/>
      <c r="OIL166" s="558"/>
      <c r="OIM166" s="558"/>
      <c r="OIN166" s="558"/>
      <c r="OIO166" s="558"/>
      <c r="OIP166" s="558"/>
      <c r="OIQ166" s="558"/>
      <c r="OIR166" s="558"/>
      <c r="OIS166" s="558"/>
      <c r="OIT166" s="558"/>
      <c r="OIU166" s="558"/>
      <c r="OIV166" s="558"/>
      <c r="OIW166" s="558"/>
      <c r="OIX166" s="558"/>
      <c r="OIY166" s="558"/>
      <c r="OIZ166" s="558"/>
      <c r="OJA166" s="558"/>
      <c r="OJB166" s="558"/>
      <c r="OJC166" s="558"/>
      <c r="OJD166" s="558"/>
      <c r="OJE166" s="558"/>
      <c r="OJF166" s="558"/>
      <c r="OJG166" s="558"/>
      <c r="OJH166" s="558"/>
      <c r="OJI166" s="558"/>
      <c r="OJJ166" s="558"/>
      <c r="OJK166" s="558"/>
      <c r="OJL166" s="558"/>
      <c r="OJM166" s="558"/>
      <c r="OJN166" s="558"/>
      <c r="OJO166" s="558"/>
      <c r="OJP166" s="558"/>
      <c r="OJQ166" s="558"/>
      <c r="OJR166" s="558"/>
      <c r="OJS166" s="558"/>
      <c r="OJT166" s="558"/>
      <c r="OJU166" s="558"/>
      <c r="OJV166" s="558"/>
      <c r="OJW166" s="558"/>
      <c r="OJX166" s="558"/>
      <c r="OJY166" s="558"/>
      <c r="OJZ166" s="558"/>
      <c r="OKA166" s="558"/>
      <c r="OKB166" s="558"/>
      <c r="OKC166" s="558"/>
      <c r="OKD166" s="558"/>
      <c r="OKE166" s="558"/>
      <c r="OKF166" s="558"/>
      <c r="OKG166" s="558"/>
      <c r="OKH166" s="558"/>
      <c r="OKI166" s="558"/>
      <c r="OKJ166" s="558"/>
      <c r="OKK166" s="558"/>
      <c r="OKL166" s="558"/>
      <c r="OKM166" s="558"/>
      <c r="OKN166" s="558"/>
      <c r="OKO166" s="558"/>
      <c r="OKP166" s="558"/>
      <c r="OKQ166" s="558"/>
      <c r="OKR166" s="558"/>
      <c r="OKS166" s="558"/>
      <c r="OKT166" s="558"/>
      <c r="OKU166" s="558"/>
      <c r="OKV166" s="558"/>
      <c r="OKW166" s="558"/>
      <c r="OKX166" s="558"/>
      <c r="OKY166" s="558"/>
      <c r="OKZ166" s="558"/>
      <c r="OLA166" s="558"/>
      <c r="OLB166" s="558"/>
      <c r="OLC166" s="558"/>
      <c r="OLD166" s="558"/>
      <c r="OLE166" s="558"/>
      <c r="OLF166" s="558"/>
      <c r="OLG166" s="558"/>
      <c r="OLH166" s="558"/>
      <c r="OLI166" s="558"/>
      <c r="OLJ166" s="558"/>
      <c r="OLK166" s="558"/>
      <c r="OLL166" s="558"/>
      <c r="OLM166" s="558"/>
      <c r="OLN166" s="558"/>
      <c r="OLO166" s="558"/>
      <c r="OLP166" s="558"/>
      <c r="OLQ166" s="558"/>
      <c r="OLR166" s="558"/>
      <c r="OLS166" s="558"/>
      <c r="OLT166" s="558"/>
      <c r="OLU166" s="558"/>
      <c r="OLV166" s="558"/>
      <c r="OLW166" s="558"/>
      <c r="OLX166" s="558"/>
      <c r="OLY166" s="558"/>
      <c r="OLZ166" s="558"/>
      <c r="OMA166" s="558"/>
      <c r="OMB166" s="558"/>
      <c r="OMC166" s="558"/>
      <c r="OMD166" s="558"/>
      <c r="OME166" s="558"/>
      <c r="OMF166" s="558"/>
      <c r="OMG166" s="558"/>
      <c r="OMH166" s="558"/>
      <c r="OMI166" s="558"/>
      <c r="OMJ166" s="558"/>
      <c r="OMK166" s="558"/>
      <c r="OML166" s="558"/>
      <c r="OMM166" s="558"/>
      <c r="OMN166" s="558"/>
      <c r="OMO166" s="558"/>
      <c r="OMP166" s="558"/>
      <c r="OMQ166" s="558"/>
      <c r="OMR166" s="558"/>
      <c r="OMS166" s="558"/>
      <c r="OMT166" s="558"/>
      <c r="OMU166" s="558"/>
      <c r="OMV166" s="558"/>
      <c r="OMW166" s="558"/>
      <c r="OMX166" s="558"/>
      <c r="OMY166" s="558"/>
      <c r="OMZ166" s="558"/>
      <c r="ONA166" s="558"/>
      <c r="ONB166" s="558"/>
      <c r="ONC166" s="558"/>
      <c r="OND166" s="558"/>
      <c r="ONE166" s="558"/>
      <c r="ONF166" s="558"/>
      <c r="ONG166" s="558"/>
      <c r="ONH166" s="558"/>
      <c r="ONI166" s="558"/>
      <c r="ONJ166" s="558"/>
      <c r="ONK166" s="558"/>
      <c r="ONL166" s="558"/>
      <c r="ONM166" s="558"/>
      <c r="ONN166" s="558"/>
      <c r="ONO166" s="558"/>
      <c r="ONP166" s="558"/>
      <c r="ONQ166" s="558"/>
      <c r="ONR166" s="558"/>
      <c r="ONS166" s="558"/>
      <c r="ONT166" s="558"/>
      <c r="ONU166" s="558"/>
      <c r="ONV166" s="558"/>
      <c r="ONW166" s="558"/>
      <c r="ONX166" s="558"/>
      <c r="ONY166" s="558"/>
      <c r="ONZ166" s="558"/>
      <c r="OOA166" s="558"/>
      <c r="OOB166" s="558"/>
      <c r="OOC166" s="558"/>
      <c r="OOD166" s="558"/>
      <c r="OOE166" s="558"/>
      <c r="OOF166" s="558"/>
      <c r="OOG166" s="558"/>
      <c r="OOH166" s="558"/>
      <c r="OOI166" s="558"/>
      <c r="OOJ166" s="558"/>
      <c r="OOK166" s="558"/>
      <c r="OOL166" s="558"/>
      <c r="OOM166" s="558"/>
      <c r="OON166" s="558"/>
      <c r="OOO166" s="558"/>
      <c r="OOP166" s="558"/>
      <c r="OOQ166" s="558"/>
      <c r="OOR166" s="558"/>
      <c r="OOS166" s="558"/>
      <c r="OOT166" s="558"/>
      <c r="OOU166" s="558"/>
      <c r="OOV166" s="558"/>
      <c r="OOW166" s="558"/>
      <c r="OOX166" s="558"/>
      <c r="OOY166" s="558"/>
      <c r="OOZ166" s="558"/>
      <c r="OPA166" s="558"/>
      <c r="OPB166" s="558"/>
      <c r="OPC166" s="558"/>
      <c r="OPD166" s="558"/>
      <c r="OPE166" s="558"/>
      <c r="OPF166" s="558"/>
      <c r="OPG166" s="558"/>
      <c r="OPH166" s="558"/>
      <c r="OPI166" s="558"/>
      <c r="OPJ166" s="558"/>
      <c r="OPK166" s="558"/>
      <c r="OPL166" s="558"/>
      <c r="OPM166" s="558"/>
      <c r="OPN166" s="558"/>
      <c r="OPO166" s="558"/>
      <c r="OPP166" s="558"/>
      <c r="OPQ166" s="558"/>
      <c r="OPR166" s="558"/>
      <c r="OPS166" s="558"/>
      <c r="OPT166" s="558"/>
      <c r="OPU166" s="558"/>
      <c r="OPV166" s="558"/>
      <c r="OPW166" s="558"/>
      <c r="OPX166" s="558"/>
      <c r="OPY166" s="558"/>
      <c r="OPZ166" s="558"/>
      <c r="OQA166" s="558"/>
      <c r="OQB166" s="558"/>
      <c r="OQC166" s="558"/>
      <c r="OQD166" s="558"/>
      <c r="OQE166" s="558"/>
      <c r="OQF166" s="558"/>
      <c r="OQG166" s="558"/>
      <c r="OQH166" s="558"/>
      <c r="OQI166" s="558"/>
      <c r="OQJ166" s="558"/>
      <c r="OQK166" s="558"/>
      <c r="OQL166" s="558"/>
      <c r="OQM166" s="558"/>
      <c r="OQN166" s="558"/>
      <c r="OQO166" s="558"/>
      <c r="OQP166" s="558"/>
      <c r="OQQ166" s="558"/>
      <c r="OQR166" s="558"/>
      <c r="OQS166" s="558"/>
      <c r="OQT166" s="558"/>
      <c r="OQU166" s="558"/>
      <c r="OQV166" s="558"/>
      <c r="OQW166" s="558"/>
      <c r="OQX166" s="558"/>
      <c r="OQY166" s="558"/>
      <c r="OQZ166" s="558"/>
      <c r="ORA166" s="558"/>
      <c r="ORB166" s="558"/>
      <c r="ORC166" s="558"/>
      <c r="ORD166" s="558"/>
      <c r="ORE166" s="558"/>
      <c r="ORF166" s="558"/>
      <c r="ORG166" s="558"/>
      <c r="ORH166" s="558"/>
      <c r="ORI166" s="558"/>
      <c r="ORJ166" s="558"/>
      <c r="ORK166" s="558"/>
      <c r="ORL166" s="558"/>
      <c r="ORM166" s="558"/>
      <c r="ORN166" s="558"/>
      <c r="ORO166" s="558"/>
      <c r="ORP166" s="558"/>
      <c r="ORQ166" s="558"/>
      <c r="ORR166" s="558"/>
      <c r="ORS166" s="558"/>
      <c r="ORT166" s="558"/>
      <c r="ORU166" s="558"/>
      <c r="ORV166" s="558"/>
      <c r="ORW166" s="558"/>
      <c r="ORX166" s="558"/>
      <c r="ORY166" s="558"/>
      <c r="ORZ166" s="558"/>
      <c r="OSA166" s="558"/>
      <c r="OSB166" s="558"/>
      <c r="OSC166" s="558"/>
      <c r="OSD166" s="558"/>
      <c r="OSE166" s="558"/>
      <c r="OSF166" s="558"/>
      <c r="OSG166" s="558"/>
      <c r="OSH166" s="558"/>
      <c r="OSI166" s="558"/>
      <c r="OSJ166" s="558"/>
      <c r="OSK166" s="558"/>
      <c r="OSL166" s="558"/>
      <c r="OSM166" s="558"/>
      <c r="OSN166" s="558"/>
      <c r="OSO166" s="558"/>
      <c r="OSP166" s="558"/>
      <c r="OSQ166" s="558"/>
      <c r="OSR166" s="558"/>
      <c r="OSS166" s="558"/>
      <c r="OST166" s="558"/>
      <c r="OSU166" s="558"/>
      <c r="OSV166" s="558"/>
      <c r="OSW166" s="558"/>
      <c r="OSX166" s="558"/>
      <c r="OSY166" s="558"/>
      <c r="OSZ166" s="558"/>
      <c r="OTA166" s="558"/>
      <c r="OTB166" s="558"/>
      <c r="OTC166" s="558"/>
      <c r="OTD166" s="558"/>
      <c r="OTE166" s="558"/>
      <c r="OTF166" s="558"/>
      <c r="OTG166" s="558"/>
      <c r="OTH166" s="558"/>
      <c r="OTI166" s="558"/>
      <c r="OTJ166" s="558"/>
      <c r="OTK166" s="558"/>
      <c r="OTL166" s="558"/>
      <c r="OTM166" s="558"/>
      <c r="OTN166" s="558"/>
      <c r="OTO166" s="558"/>
      <c r="OTP166" s="558"/>
      <c r="OTQ166" s="558"/>
      <c r="OTR166" s="558"/>
      <c r="OTS166" s="558"/>
      <c r="OTT166" s="558"/>
      <c r="OTU166" s="558"/>
      <c r="OTV166" s="558"/>
      <c r="OTW166" s="558"/>
      <c r="OTX166" s="558"/>
      <c r="OTY166" s="558"/>
      <c r="OTZ166" s="558"/>
      <c r="OUA166" s="558"/>
      <c r="OUB166" s="558"/>
      <c r="OUC166" s="558"/>
      <c r="OUD166" s="558"/>
      <c r="OUE166" s="558"/>
      <c r="OUF166" s="558"/>
      <c r="OUG166" s="558"/>
      <c r="OUH166" s="558"/>
      <c r="OUI166" s="558"/>
      <c r="OUJ166" s="558"/>
      <c r="OUK166" s="558"/>
      <c r="OUL166" s="558"/>
      <c r="OUM166" s="558"/>
      <c r="OUN166" s="558"/>
      <c r="OUO166" s="558"/>
      <c r="OUP166" s="558"/>
      <c r="OUQ166" s="558"/>
      <c r="OUR166" s="558"/>
      <c r="OUS166" s="558"/>
      <c r="OUT166" s="558"/>
      <c r="OUU166" s="558"/>
      <c r="OUV166" s="558"/>
      <c r="OUW166" s="558"/>
      <c r="OUX166" s="558"/>
      <c r="OUY166" s="558"/>
      <c r="OUZ166" s="558"/>
      <c r="OVA166" s="558"/>
      <c r="OVB166" s="558"/>
      <c r="OVC166" s="558"/>
      <c r="OVD166" s="558"/>
      <c r="OVE166" s="558"/>
      <c r="OVF166" s="558"/>
      <c r="OVG166" s="558"/>
      <c r="OVH166" s="558"/>
      <c r="OVI166" s="558"/>
      <c r="OVJ166" s="558"/>
      <c r="OVK166" s="558"/>
      <c r="OVL166" s="558"/>
      <c r="OVM166" s="558"/>
      <c r="OVN166" s="558"/>
      <c r="OVO166" s="558"/>
      <c r="OVP166" s="558"/>
      <c r="OVQ166" s="558"/>
      <c r="OVR166" s="558"/>
      <c r="OVS166" s="558"/>
      <c r="OVT166" s="558"/>
      <c r="OVU166" s="558"/>
      <c r="OVV166" s="558"/>
      <c r="OVW166" s="558"/>
      <c r="OVX166" s="558"/>
      <c r="OVY166" s="558"/>
      <c r="OVZ166" s="558"/>
      <c r="OWA166" s="558"/>
      <c r="OWB166" s="558"/>
      <c r="OWC166" s="558"/>
      <c r="OWD166" s="558"/>
      <c r="OWE166" s="558"/>
      <c r="OWF166" s="558"/>
      <c r="OWG166" s="558"/>
      <c r="OWH166" s="558"/>
      <c r="OWI166" s="558"/>
      <c r="OWJ166" s="558"/>
      <c r="OWK166" s="558"/>
      <c r="OWL166" s="558"/>
      <c r="OWM166" s="558"/>
      <c r="OWN166" s="558"/>
      <c r="OWO166" s="558"/>
      <c r="OWP166" s="558"/>
      <c r="OWQ166" s="558"/>
      <c r="OWR166" s="558"/>
      <c r="OWS166" s="558"/>
      <c r="OWT166" s="558"/>
      <c r="OWU166" s="558"/>
      <c r="OWV166" s="558"/>
      <c r="OWW166" s="558"/>
      <c r="OWX166" s="558"/>
      <c r="OWY166" s="558"/>
      <c r="OWZ166" s="558"/>
      <c r="OXA166" s="558"/>
      <c r="OXB166" s="558"/>
      <c r="OXC166" s="558"/>
      <c r="OXD166" s="558"/>
      <c r="OXE166" s="558"/>
      <c r="OXF166" s="558"/>
      <c r="OXG166" s="558"/>
      <c r="OXH166" s="558"/>
      <c r="OXI166" s="558"/>
      <c r="OXJ166" s="558"/>
      <c r="OXK166" s="558"/>
      <c r="OXL166" s="558"/>
      <c r="OXM166" s="558"/>
      <c r="OXN166" s="558"/>
      <c r="OXO166" s="558"/>
      <c r="OXP166" s="558"/>
      <c r="OXQ166" s="558"/>
      <c r="OXR166" s="558"/>
      <c r="OXS166" s="558"/>
      <c r="OXT166" s="558"/>
      <c r="OXU166" s="558"/>
      <c r="OXV166" s="558"/>
      <c r="OXW166" s="558"/>
      <c r="OXX166" s="558"/>
      <c r="OXY166" s="558"/>
      <c r="OXZ166" s="558"/>
      <c r="OYA166" s="558"/>
      <c r="OYB166" s="558"/>
      <c r="OYC166" s="558"/>
      <c r="OYD166" s="558"/>
      <c r="OYE166" s="558"/>
      <c r="OYF166" s="558"/>
      <c r="OYG166" s="558"/>
      <c r="OYH166" s="558"/>
      <c r="OYI166" s="558"/>
      <c r="OYJ166" s="558"/>
      <c r="OYK166" s="558"/>
      <c r="OYL166" s="558"/>
      <c r="OYM166" s="558"/>
      <c r="OYN166" s="558"/>
      <c r="OYO166" s="558"/>
      <c r="OYP166" s="558"/>
      <c r="OYQ166" s="558"/>
      <c r="OYR166" s="558"/>
      <c r="OYS166" s="558"/>
      <c r="OYT166" s="558"/>
      <c r="OYU166" s="558"/>
      <c r="OYV166" s="558"/>
      <c r="OYW166" s="558"/>
      <c r="OYX166" s="558"/>
      <c r="OYY166" s="558"/>
      <c r="OYZ166" s="558"/>
      <c r="OZA166" s="558"/>
      <c r="OZB166" s="558"/>
      <c r="OZC166" s="558"/>
      <c r="OZD166" s="558"/>
      <c r="OZE166" s="558"/>
      <c r="OZF166" s="558"/>
      <c r="OZG166" s="558"/>
      <c r="OZH166" s="558"/>
      <c r="OZI166" s="558"/>
      <c r="OZJ166" s="558"/>
      <c r="OZK166" s="558"/>
      <c r="OZL166" s="558"/>
      <c r="OZM166" s="558"/>
      <c r="OZN166" s="558"/>
      <c r="OZO166" s="558"/>
      <c r="OZP166" s="558"/>
      <c r="OZQ166" s="558"/>
      <c r="OZR166" s="558"/>
      <c r="OZS166" s="558"/>
      <c r="OZT166" s="558"/>
      <c r="OZU166" s="558"/>
      <c r="OZV166" s="558"/>
      <c r="OZW166" s="558"/>
      <c r="OZX166" s="558"/>
      <c r="OZY166" s="558"/>
      <c r="OZZ166" s="558"/>
      <c r="PAA166" s="558"/>
      <c r="PAB166" s="558"/>
      <c r="PAC166" s="558"/>
      <c r="PAD166" s="558"/>
      <c r="PAE166" s="558"/>
      <c r="PAF166" s="558"/>
      <c r="PAG166" s="558"/>
      <c r="PAH166" s="558"/>
      <c r="PAI166" s="558"/>
      <c r="PAJ166" s="558"/>
      <c r="PAK166" s="558"/>
      <c r="PAL166" s="558"/>
      <c r="PAM166" s="558"/>
      <c r="PAN166" s="558"/>
      <c r="PAO166" s="558"/>
      <c r="PAP166" s="558"/>
      <c r="PAQ166" s="558"/>
      <c r="PAR166" s="558"/>
      <c r="PAS166" s="558"/>
      <c r="PAT166" s="558"/>
      <c r="PAU166" s="558"/>
      <c r="PAV166" s="558"/>
      <c r="PAW166" s="558"/>
      <c r="PAX166" s="558"/>
      <c r="PAY166" s="558"/>
      <c r="PAZ166" s="558"/>
      <c r="PBA166" s="558"/>
      <c r="PBB166" s="558"/>
      <c r="PBC166" s="558"/>
      <c r="PBD166" s="558"/>
      <c r="PBE166" s="558"/>
      <c r="PBF166" s="558"/>
      <c r="PBG166" s="558"/>
      <c r="PBH166" s="558"/>
      <c r="PBI166" s="558"/>
      <c r="PBJ166" s="558"/>
      <c r="PBK166" s="558"/>
      <c r="PBL166" s="558"/>
      <c r="PBM166" s="558"/>
      <c r="PBN166" s="558"/>
      <c r="PBO166" s="558"/>
      <c r="PBP166" s="558"/>
      <c r="PBQ166" s="558"/>
      <c r="PBR166" s="558"/>
      <c r="PBS166" s="558"/>
      <c r="PBT166" s="558"/>
      <c r="PBU166" s="558"/>
      <c r="PBV166" s="558"/>
      <c r="PBW166" s="558"/>
      <c r="PBX166" s="558"/>
      <c r="PBY166" s="558"/>
      <c r="PBZ166" s="558"/>
      <c r="PCA166" s="558"/>
      <c r="PCB166" s="558"/>
      <c r="PCC166" s="558"/>
      <c r="PCD166" s="558"/>
      <c r="PCE166" s="558"/>
      <c r="PCF166" s="558"/>
      <c r="PCG166" s="558"/>
      <c r="PCH166" s="558"/>
      <c r="PCI166" s="558"/>
      <c r="PCJ166" s="558"/>
      <c r="PCK166" s="558"/>
      <c r="PCL166" s="558"/>
      <c r="PCM166" s="558"/>
      <c r="PCN166" s="558"/>
      <c r="PCO166" s="558"/>
      <c r="PCP166" s="558"/>
      <c r="PCQ166" s="558"/>
      <c r="PCR166" s="558"/>
      <c r="PCS166" s="558"/>
      <c r="PCT166" s="558"/>
      <c r="PCU166" s="558"/>
      <c r="PCV166" s="558"/>
      <c r="PCW166" s="558"/>
      <c r="PCX166" s="558"/>
      <c r="PCY166" s="558"/>
      <c r="PCZ166" s="558"/>
      <c r="PDA166" s="558"/>
      <c r="PDB166" s="558"/>
      <c r="PDC166" s="558"/>
      <c r="PDD166" s="558"/>
      <c r="PDE166" s="558"/>
      <c r="PDF166" s="558"/>
      <c r="PDG166" s="558"/>
      <c r="PDH166" s="558"/>
      <c r="PDI166" s="558"/>
      <c r="PDJ166" s="558"/>
      <c r="PDK166" s="558"/>
      <c r="PDL166" s="558"/>
      <c r="PDM166" s="558"/>
      <c r="PDN166" s="558"/>
      <c r="PDO166" s="558"/>
      <c r="PDP166" s="558"/>
      <c r="PDQ166" s="558"/>
      <c r="PDR166" s="558"/>
      <c r="PDS166" s="558"/>
      <c r="PDT166" s="558"/>
      <c r="PDU166" s="558"/>
      <c r="PDV166" s="558"/>
      <c r="PDW166" s="558"/>
      <c r="PDX166" s="558"/>
      <c r="PDY166" s="558"/>
      <c r="PDZ166" s="558"/>
      <c r="PEA166" s="558"/>
      <c r="PEB166" s="558"/>
      <c r="PEC166" s="558"/>
      <c r="PED166" s="558"/>
      <c r="PEE166" s="558"/>
      <c r="PEF166" s="558"/>
      <c r="PEG166" s="558"/>
      <c r="PEH166" s="558"/>
      <c r="PEI166" s="558"/>
      <c r="PEJ166" s="558"/>
      <c r="PEK166" s="558"/>
      <c r="PEL166" s="558"/>
      <c r="PEM166" s="558"/>
      <c r="PEN166" s="558"/>
      <c r="PEO166" s="558"/>
      <c r="PEP166" s="558"/>
      <c r="PEQ166" s="558"/>
      <c r="PER166" s="558"/>
      <c r="PES166" s="558"/>
      <c r="PET166" s="558"/>
      <c r="PEU166" s="558"/>
      <c r="PEV166" s="558"/>
      <c r="PEW166" s="558"/>
      <c r="PEX166" s="558"/>
      <c r="PEY166" s="558"/>
      <c r="PEZ166" s="558"/>
      <c r="PFA166" s="558"/>
      <c r="PFB166" s="558"/>
      <c r="PFC166" s="558"/>
      <c r="PFD166" s="558"/>
      <c r="PFE166" s="558"/>
      <c r="PFF166" s="558"/>
      <c r="PFG166" s="558"/>
      <c r="PFH166" s="558"/>
      <c r="PFI166" s="558"/>
      <c r="PFJ166" s="558"/>
      <c r="PFK166" s="558"/>
      <c r="PFL166" s="558"/>
      <c r="PFM166" s="558"/>
      <c r="PFN166" s="558"/>
      <c r="PFO166" s="558"/>
      <c r="PFP166" s="558"/>
      <c r="PFQ166" s="558"/>
      <c r="PFR166" s="558"/>
      <c r="PFS166" s="558"/>
      <c r="PFT166" s="558"/>
      <c r="PFU166" s="558"/>
      <c r="PFV166" s="558"/>
      <c r="PFW166" s="558"/>
      <c r="PFX166" s="558"/>
      <c r="PFY166" s="558"/>
      <c r="PFZ166" s="558"/>
      <c r="PGA166" s="558"/>
      <c r="PGB166" s="558"/>
      <c r="PGC166" s="558"/>
      <c r="PGD166" s="558"/>
      <c r="PGE166" s="558"/>
      <c r="PGF166" s="558"/>
      <c r="PGG166" s="558"/>
      <c r="PGH166" s="558"/>
      <c r="PGI166" s="558"/>
      <c r="PGJ166" s="558"/>
      <c r="PGK166" s="558"/>
      <c r="PGL166" s="558"/>
      <c r="PGM166" s="558"/>
      <c r="PGN166" s="558"/>
      <c r="PGO166" s="558"/>
      <c r="PGP166" s="558"/>
      <c r="PGQ166" s="558"/>
      <c r="PGR166" s="558"/>
      <c r="PGS166" s="558"/>
      <c r="PGT166" s="558"/>
      <c r="PGU166" s="558"/>
      <c r="PGV166" s="558"/>
      <c r="PGW166" s="558"/>
      <c r="PGX166" s="558"/>
      <c r="PGY166" s="558"/>
      <c r="PGZ166" s="558"/>
      <c r="PHA166" s="558"/>
      <c r="PHB166" s="558"/>
      <c r="PHC166" s="558"/>
      <c r="PHD166" s="558"/>
      <c r="PHE166" s="558"/>
      <c r="PHF166" s="558"/>
      <c r="PHG166" s="558"/>
      <c r="PHH166" s="558"/>
      <c r="PHI166" s="558"/>
      <c r="PHJ166" s="558"/>
      <c r="PHK166" s="558"/>
      <c r="PHL166" s="558"/>
      <c r="PHM166" s="558"/>
      <c r="PHN166" s="558"/>
      <c r="PHO166" s="558"/>
      <c r="PHP166" s="558"/>
      <c r="PHQ166" s="558"/>
      <c r="PHR166" s="558"/>
      <c r="PHS166" s="558"/>
      <c r="PHT166" s="558"/>
      <c r="PHU166" s="558"/>
      <c r="PHV166" s="558"/>
      <c r="PHW166" s="558"/>
      <c r="PHX166" s="558"/>
      <c r="PHY166" s="558"/>
      <c r="PHZ166" s="558"/>
      <c r="PIA166" s="558"/>
      <c r="PIB166" s="558"/>
      <c r="PIC166" s="558"/>
      <c r="PID166" s="558"/>
      <c r="PIE166" s="558"/>
      <c r="PIF166" s="558"/>
      <c r="PIG166" s="558"/>
      <c r="PIH166" s="558"/>
      <c r="PII166" s="558"/>
      <c r="PIJ166" s="558"/>
      <c r="PIK166" s="558"/>
      <c r="PIL166" s="558"/>
      <c r="PIM166" s="558"/>
      <c r="PIN166" s="558"/>
      <c r="PIO166" s="558"/>
      <c r="PIP166" s="558"/>
      <c r="PIQ166" s="558"/>
      <c r="PIR166" s="558"/>
      <c r="PIS166" s="558"/>
      <c r="PIT166" s="558"/>
      <c r="PIU166" s="558"/>
      <c r="PIV166" s="558"/>
      <c r="PIW166" s="558"/>
      <c r="PIX166" s="558"/>
      <c r="PIY166" s="558"/>
      <c r="PIZ166" s="558"/>
      <c r="PJA166" s="558"/>
      <c r="PJB166" s="558"/>
      <c r="PJC166" s="558"/>
      <c r="PJD166" s="558"/>
      <c r="PJE166" s="558"/>
      <c r="PJF166" s="558"/>
      <c r="PJG166" s="558"/>
      <c r="PJH166" s="558"/>
      <c r="PJI166" s="558"/>
      <c r="PJJ166" s="558"/>
      <c r="PJK166" s="558"/>
      <c r="PJL166" s="558"/>
      <c r="PJM166" s="558"/>
      <c r="PJN166" s="558"/>
      <c r="PJO166" s="558"/>
      <c r="PJP166" s="558"/>
      <c r="PJQ166" s="558"/>
      <c r="PJR166" s="558"/>
      <c r="PJS166" s="558"/>
      <c r="PJT166" s="558"/>
      <c r="PJU166" s="558"/>
      <c r="PJV166" s="558"/>
      <c r="PJW166" s="558"/>
      <c r="PJX166" s="558"/>
      <c r="PJY166" s="558"/>
      <c r="PJZ166" s="558"/>
      <c r="PKA166" s="558"/>
      <c r="PKB166" s="558"/>
      <c r="PKC166" s="558"/>
      <c r="PKD166" s="558"/>
      <c r="PKE166" s="558"/>
      <c r="PKF166" s="558"/>
      <c r="PKG166" s="558"/>
      <c r="PKH166" s="558"/>
      <c r="PKI166" s="558"/>
      <c r="PKJ166" s="558"/>
      <c r="PKK166" s="558"/>
      <c r="PKL166" s="558"/>
      <c r="PKM166" s="558"/>
      <c r="PKN166" s="558"/>
      <c r="PKO166" s="558"/>
      <c r="PKP166" s="558"/>
      <c r="PKQ166" s="558"/>
      <c r="PKR166" s="558"/>
      <c r="PKS166" s="558"/>
      <c r="PKT166" s="558"/>
      <c r="PKU166" s="558"/>
      <c r="PKV166" s="558"/>
      <c r="PKW166" s="558"/>
      <c r="PKX166" s="558"/>
      <c r="PKY166" s="558"/>
      <c r="PKZ166" s="558"/>
      <c r="PLA166" s="558"/>
      <c r="PLB166" s="558"/>
      <c r="PLC166" s="558"/>
      <c r="PLD166" s="558"/>
      <c r="PLE166" s="558"/>
      <c r="PLF166" s="558"/>
      <c r="PLG166" s="558"/>
      <c r="PLH166" s="558"/>
      <c r="PLI166" s="558"/>
      <c r="PLJ166" s="558"/>
      <c r="PLK166" s="558"/>
      <c r="PLL166" s="558"/>
      <c r="PLM166" s="558"/>
      <c r="PLN166" s="558"/>
      <c r="PLO166" s="558"/>
      <c r="PLP166" s="558"/>
      <c r="PLQ166" s="558"/>
      <c r="PLR166" s="558"/>
      <c r="PLS166" s="558"/>
      <c r="PLT166" s="558"/>
      <c r="PLU166" s="558"/>
      <c r="PLV166" s="558"/>
      <c r="PLW166" s="558"/>
      <c r="PLX166" s="558"/>
      <c r="PLY166" s="558"/>
      <c r="PLZ166" s="558"/>
      <c r="PMA166" s="558"/>
      <c r="PMB166" s="558"/>
      <c r="PMC166" s="558"/>
      <c r="PMD166" s="558"/>
      <c r="PME166" s="558"/>
      <c r="PMF166" s="558"/>
      <c r="PMG166" s="558"/>
      <c r="PMH166" s="558"/>
      <c r="PMI166" s="558"/>
      <c r="PMJ166" s="558"/>
      <c r="PMK166" s="558"/>
      <c r="PML166" s="558"/>
      <c r="PMM166" s="558"/>
      <c r="PMN166" s="558"/>
      <c r="PMO166" s="558"/>
      <c r="PMP166" s="558"/>
      <c r="PMQ166" s="558"/>
      <c r="PMR166" s="558"/>
      <c r="PMS166" s="558"/>
      <c r="PMT166" s="558"/>
      <c r="PMU166" s="558"/>
      <c r="PMV166" s="558"/>
      <c r="PMW166" s="558"/>
      <c r="PMX166" s="558"/>
      <c r="PMY166" s="558"/>
      <c r="PMZ166" s="558"/>
      <c r="PNA166" s="558"/>
      <c r="PNB166" s="558"/>
      <c r="PNC166" s="558"/>
      <c r="PND166" s="558"/>
      <c r="PNE166" s="558"/>
      <c r="PNF166" s="558"/>
      <c r="PNG166" s="558"/>
      <c r="PNH166" s="558"/>
      <c r="PNI166" s="558"/>
      <c r="PNJ166" s="558"/>
      <c r="PNK166" s="558"/>
      <c r="PNL166" s="558"/>
      <c r="PNM166" s="558"/>
      <c r="PNN166" s="558"/>
      <c r="PNO166" s="558"/>
      <c r="PNP166" s="558"/>
      <c r="PNQ166" s="558"/>
      <c r="PNR166" s="558"/>
      <c r="PNS166" s="558"/>
      <c r="PNT166" s="558"/>
      <c r="PNU166" s="558"/>
      <c r="PNV166" s="558"/>
      <c r="PNW166" s="558"/>
      <c r="PNX166" s="558"/>
      <c r="PNY166" s="558"/>
      <c r="PNZ166" s="558"/>
      <c r="POA166" s="558"/>
      <c r="POB166" s="558"/>
      <c r="POC166" s="558"/>
      <c r="POD166" s="558"/>
      <c r="POE166" s="558"/>
      <c r="POF166" s="558"/>
      <c r="POG166" s="558"/>
      <c r="POH166" s="558"/>
      <c r="POI166" s="558"/>
      <c r="POJ166" s="558"/>
      <c r="POK166" s="558"/>
      <c r="POL166" s="558"/>
      <c r="POM166" s="558"/>
      <c r="PON166" s="558"/>
      <c r="POO166" s="558"/>
      <c r="POP166" s="558"/>
      <c r="POQ166" s="558"/>
      <c r="POR166" s="558"/>
      <c r="POS166" s="558"/>
      <c r="POT166" s="558"/>
      <c r="POU166" s="558"/>
      <c r="POV166" s="558"/>
      <c r="POW166" s="558"/>
      <c r="POX166" s="558"/>
      <c r="POY166" s="558"/>
      <c r="POZ166" s="558"/>
      <c r="PPA166" s="558"/>
      <c r="PPB166" s="558"/>
      <c r="PPC166" s="558"/>
      <c r="PPD166" s="558"/>
      <c r="PPE166" s="558"/>
      <c r="PPF166" s="558"/>
      <c r="PPG166" s="558"/>
      <c r="PPH166" s="558"/>
      <c r="PPI166" s="558"/>
      <c r="PPJ166" s="558"/>
      <c r="PPK166" s="558"/>
      <c r="PPL166" s="558"/>
      <c r="PPM166" s="558"/>
      <c r="PPN166" s="558"/>
      <c r="PPO166" s="558"/>
      <c r="PPP166" s="558"/>
      <c r="PPQ166" s="558"/>
      <c r="PPR166" s="558"/>
      <c r="PPS166" s="558"/>
      <c r="PPT166" s="558"/>
      <c r="PPU166" s="558"/>
      <c r="PPV166" s="558"/>
      <c r="PPW166" s="558"/>
      <c r="PPX166" s="558"/>
      <c r="PPY166" s="558"/>
      <c r="PPZ166" s="558"/>
      <c r="PQA166" s="558"/>
      <c r="PQB166" s="558"/>
      <c r="PQC166" s="558"/>
      <c r="PQD166" s="558"/>
      <c r="PQE166" s="558"/>
      <c r="PQF166" s="558"/>
      <c r="PQG166" s="558"/>
      <c r="PQH166" s="558"/>
      <c r="PQI166" s="558"/>
      <c r="PQJ166" s="558"/>
      <c r="PQK166" s="558"/>
      <c r="PQL166" s="558"/>
      <c r="PQM166" s="558"/>
      <c r="PQN166" s="558"/>
      <c r="PQO166" s="558"/>
      <c r="PQP166" s="558"/>
      <c r="PQQ166" s="558"/>
      <c r="PQR166" s="558"/>
      <c r="PQS166" s="558"/>
      <c r="PQT166" s="558"/>
      <c r="PQU166" s="558"/>
      <c r="PQV166" s="558"/>
      <c r="PQW166" s="558"/>
      <c r="PQX166" s="558"/>
      <c r="PQY166" s="558"/>
      <c r="PQZ166" s="558"/>
      <c r="PRA166" s="558"/>
      <c r="PRB166" s="558"/>
      <c r="PRC166" s="558"/>
      <c r="PRD166" s="558"/>
      <c r="PRE166" s="558"/>
      <c r="PRF166" s="558"/>
      <c r="PRG166" s="558"/>
      <c r="PRH166" s="558"/>
      <c r="PRI166" s="558"/>
      <c r="PRJ166" s="558"/>
      <c r="PRK166" s="558"/>
      <c r="PRL166" s="558"/>
      <c r="PRM166" s="558"/>
      <c r="PRN166" s="558"/>
      <c r="PRO166" s="558"/>
      <c r="PRP166" s="558"/>
      <c r="PRQ166" s="558"/>
      <c r="PRR166" s="558"/>
      <c r="PRS166" s="558"/>
      <c r="PRT166" s="558"/>
      <c r="PRU166" s="558"/>
      <c r="PRV166" s="558"/>
      <c r="PRW166" s="558"/>
      <c r="PRX166" s="558"/>
      <c r="PRY166" s="558"/>
      <c r="PRZ166" s="558"/>
      <c r="PSA166" s="558"/>
      <c r="PSB166" s="558"/>
      <c r="PSC166" s="558"/>
      <c r="PSD166" s="558"/>
      <c r="PSE166" s="558"/>
      <c r="PSF166" s="558"/>
      <c r="PSG166" s="558"/>
      <c r="PSH166" s="558"/>
      <c r="PSI166" s="558"/>
      <c r="PSJ166" s="558"/>
      <c r="PSK166" s="558"/>
      <c r="PSL166" s="558"/>
      <c r="PSM166" s="558"/>
      <c r="PSN166" s="558"/>
      <c r="PSO166" s="558"/>
      <c r="PSP166" s="558"/>
      <c r="PSQ166" s="558"/>
      <c r="PSR166" s="558"/>
      <c r="PSS166" s="558"/>
      <c r="PST166" s="558"/>
      <c r="PSU166" s="558"/>
      <c r="PSV166" s="558"/>
      <c r="PSW166" s="558"/>
      <c r="PSX166" s="558"/>
      <c r="PSY166" s="558"/>
      <c r="PSZ166" s="558"/>
      <c r="PTA166" s="558"/>
      <c r="PTB166" s="558"/>
      <c r="PTC166" s="558"/>
      <c r="PTD166" s="558"/>
      <c r="PTE166" s="558"/>
      <c r="PTF166" s="558"/>
      <c r="PTG166" s="558"/>
      <c r="PTH166" s="558"/>
      <c r="PTI166" s="558"/>
      <c r="PTJ166" s="558"/>
      <c r="PTK166" s="558"/>
      <c r="PTL166" s="558"/>
      <c r="PTM166" s="558"/>
      <c r="PTN166" s="558"/>
      <c r="PTO166" s="558"/>
      <c r="PTP166" s="558"/>
      <c r="PTQ166" s="558"/>
      <c r="PTR166" s="558"/>
      <c r="PTS166" s="558"/>
      <c r="PTT166" s="558"/>
      <c r="PTU166" s="558"/>
      <c r="PTV166" s="558"/>
      <c r="PTW166" s="558"/>
      <c r="PTX166" s="558"/>
      <c r="PTY166" s="558"/>
      <c r="PTZ166" s="558"/>
      <c r="PUA166" s="558"/>
      <c r="PUB166" s="558"/>
      <c r="PUC166" s="558"/>
      <c r="PUD166" s="558"/>
      <c r="PUE166" s="558"/>
      <c r="PUF166" s="558"/>
      <c r="PUG166" s="558"/>
      <c r="PUH166" s="558"/>
      <c r="PUI166" s="558"/>
      <c r="PUJ166" s="558"/>
      <c r="PUK166" s="558"/>
      <c r="PUL166" s="558"/>
      <c r="PUM166" s="558"/>
      <c r="PUN166" s="558"/>
      <c r="PUO166" s="558"/>
      <c r="PUP166" s="558"/>
      <c r="PUQ166" s="558"/>
      <c r="PUR166" s="558"/>
      <c r="PUS166" s="558"/>
      <c r="PUT166" s="558"/>
      <c r="PUU166" s="558"/>
      <c r="PUV166" s="558"/>
      <c r="PUW166" s="558"/>
      <c r="PUX166" s="558"/>
      <c r="PUY166" s="558"/>
      <c r="PUZ166" s="558"/>
      <c r="PVA166" s="558"/>
      <c r="PVB166" s="558"/>
      <c r="PVC166" s="558"/>
      <c r="PVD166" s="558"/>
      <c r="PVE166" s="558"/>
      <c r="PVF166" s="558"/>
      <c r="PVG166" s="558"/>
      <c r="PVH166" s="558"/>
      <c r="PVI166" s="558"/>
      <c r="PVJ166" s="558"/>
      <c r="PVK166" s="558"/>
      <c r="PVL166" s="558"/>
      <c r="PVM166" s="558"/>
      <c r="PVN166" s="558"/>
      <c r="PVO166" s="558"/>
      <c r="PVP166" s="558"/>
      <c r="PVQ166" s="558"/>
      <c r="PVR166" s="558"/>
      <c r="PVS166" s="558"/>
      <c r="PVT166" s="558"/>
      <c r="PVU166" s="558"/>
      <c r="PVV166" s="558"/>
      <c r="PVW166" s="558"/>
      <c r="PVX166" s="558"/>
      <c r="PVY166" s="558"/>
      <c r="PVZ166" s="558"/>
      <c r="PWA166" s="558"/>
      <c r="PWB166" s="558"/>
      <c r="PWC166" s="558"/>
      <c r="PWD166" s="558"/>
      <c r="PWE166" s="558"/>
      <c r="PWF166" s="558"/>
      <c r="PWG166" s="558"/>
      <c r="PWH166" s="558"/>
      <c r="PWI166" s="558"/>
      <c r="PWJ166" s="558"/>
      <c r="PWK166" s="558"/>
      <c r="PWL166" s="558"/>
      <c r="PWM166" s="558"/>
      <c r="PWN166" s="558"/>
      <c r="PWO166" s="558"/>
      <c r="PWP166" s="558"/>
      <c r="PWQ166" s="558"/>
      <c r="PWR166" s="558"/>
      <c r="PWS166" s="558"/>
      <c r="PWT166" s="558"/>
      <c r="PWU166" s="558"/>
      <c r="PWV166" s="558"/>
      <c r="PWW166" s="558"/>
      <c r="PWX166" s="558"/>
      <c r="PWY166" s="558"/>
      <c r="PWZ166" s="558"/>
      <c r="PXA166" s="558"/>
      <c r="PXB166" s="558"/>
      <c r="PXC166" s="558"/>
      <c r="PXD166" s="558"/>
      <c r="PXE166" s="558"/>
      <c r="PXF166" s="558"/>
      <c r="PXG166" s="558"/>
      <c r="PXH166" s="558"/>
      <c r="PXI166" s="558"/>
      <c r="PXJ166" s="558"/>
      <c r="PXK166" s="558"/>
      <c r="PXL166" s="558"/>
      <c r="PXM166" s="558"/>
      <c r="PXN166" s="558"/>
      <c r="PXO166" s="558"/>
      <c r="PXP166" s="558"/>
      <c r="PXQ166" s="558"/>
      <c r="PXR166" s="558"/>
      <c r="PXS166" s="558"/>
      <c r="PXT166" s="558"/>
      <c r="PXU166" s="558"/>
      <c r="PXV166" s="558"/>
      <c r="PXW166" s="558"/>
      <c r="PXX166" s="558"/>
      <c r="PXY166" s="558"/>
      <c r="PXZ166" s="558"/>
      <c r="PYA166" s="558"/>
      <c r="PYB166" s="558"/>
      <c r="PYC166" s="558"/>
      <c r="PYD166" s="558"/>
      <c r="PYE166" s="558"/>
      <c r="PYF166" s="558"/>
      <c r="PYG166" s="558"/>
      <c r="PYH166" s="558"/>
      <c r="PYI166" s="558"/>
      <c r="PYJ166" s="558"/>
      <c r="PYK166" s="558"/>
      <c r="PYL166" s="558"/>
      <c r="PYM166" s="558"/>
      <c r="PYN166" s="558"/>
      <c r="PYO166" s="558"/>
      <c r="PYP166" s="558"/>
      <c r="PYQ166" s="558"/>
      <c r="PYR166" s="558"/>
      <c r="PYS166" s="558"/>
      <c r="PYT166" s="558"/>
      <c r="PYU166" s="558"/>
      <c r="PYV166" s="558"/>
      <c r="PYW166" s="558"/>
      <c r="PYX166" s="558"/>
      <c r="PYY166" s="558"/>
      <c r="PYZ166" s="558"/>
      <c r="PZA166" s="558"/>
      <c r="PZB166" s="558"/>
      <c r="PZC166" s="558"/>
      <c r="PZD166" s="558"/>
      <c r="PZE166" s="558"/>
      <c r="PZF166" s="558"/>
      <c r="PZG166" s="558"/>
      <c r="PZH166" s="558"/>
      <c r="PZI166" s="558"/>
      <c r="PZJ166" s="558"/>
      <c r="PZK166" s="558"/>
      <c r="PZL166" s="558"/>
      <c r="PZM166" s="558"/>
      <c r="PZN166" s="558"/>
      <c r="PZO166" s="558"/>
      <c r="PZP166" s="558"/>
      <c r="PZQ166" s="558"/>
      <c r="PZR166" s="558"/>
      <c r="PZS166" s="558"/>
      <c r="PZT166" s="558"/>
      <c r="PZU166" s="558"/>
      <c r="PZV166" s="558"/>
      <c r="PZW166" s="558"/>
      <c r="PZX166" s="558"/>
      <c r="PZY166" s="558"/>
      <c r="PZZ166" s="558"/>
      <c r="QAA166" s="558"/>
      <c r="QAB166" s="558"/>
      <c r="QAC166" s="558"/>
      <c r="QAD166" s="558"/>
      <c r="QAE166" s="558"/>
      <c r="QAF166" s="558"/>
      <c r="QAG166" s="558"/>
      <c r="QAH166" s="558"/>
      <c r="QAI166" s="558"/>
      <c r="QAJ166" s="558"/>
      <c r="QAK166" s="558"/>
      <c r="QAL166" s="558"/>
      <c r="QAM166" s="558"/>
      <c r="QAN166" s="558"/>
      <c r="QAO166" s="558"/>
      <c r="QAP166" s="558"/>
      <c r="QAQ166" s="558"/>
      <c r="QAR166" s="558"/>
      <c r="QAS166" s="558"/>
      <c r="QAT166" s="558"/>
      <c r="QAU166" s="558"/>
      <c r="QAV166" s="558"/>
      <c r="QAW166" s="558"/>
      <c r="QAX166" s="558"/>
      <c r="QAY166" s="558"/>
      <c r="QAZ166" s="558"/>
      <c r="QBA166" s="558"/>
      <c r="QBB166" s="558"/>
      <c r="QBC166" s="558"/>
      <c r="QBD166" s="558"/>
      <c r="QBE166" s="558"/>
      <c r="QBF166" s="558"/>
      <c r="QBG166" s="558"/>
      <c r="QBH166" s="558"/>
      <c r="QBI166" s="558"/>
      <c r="QBJ166" s="558"/>
      <c r="QBK166" s="558"/>
      <c r="QBL166" s="558"/>
      <c r="QBM166" s="558"/>
      <c r="QBN166" s="558"/>
      <c r="QBO166" s="558"/>
      <c r="QBP166" s="558"/>
      <c r="QBQ166" s="558"/>
      <c r="QBR166" s="558"/>
      <c r="QBS166" s="558"/>
      <c r="QBT166" s="558"/>
      <c r="QBU166" s="558"/>
      <c r="QBV166" s="558"/>
      <c r="QBW166" s="558"/>
      <c r="QBX166" s="558"/>
      <c r="QBY166" s="558"/>
      <c r="QBZ166" s="558"/>
      <c r="QCA166" s="558"/>
      <c r="QCB166" s="558"/>
      <c r="QCC166" s="558"/>
      <c r="QCD166" s="558"/>
      <c r="QCE166" s="558"/>
      <c r="QCF166" s="558"/>
      <c r="QCG166" s="558"/>
      <c r="QCH166" s="558"/>
      <c r="QCI166" s="558"/>
      <c r="QCJ166" s="558"/>
      <c r="QCK166" s="558"/>
      <c r="QCL166" s="558"/>
      <c r="QCM166" s="558"/>
      <c r="QCN166" s="558"/>
      <c r="QCO166" s="558"/>
      <c r="QCP166" s="558"/>
      <c r="QCQ166" s="558"/>
      <c r="QCR166" s="558"/>
      <c r="QCS166" s="558"/>
      <c r="QCT166" s="558"/>
      <c r="QCU166" s="558"/>
      <c r="QCV166" s="558"/>
      <c r="QCW166" s="558"/>
      <c r="QCX166" s="558"/>
      <c r="QCY166" s="558"/>
      <c r="QCZ166" s="558"/>
      <c r="QDA166" s="558"/>
      <c r="QDB166" s="558"/>
      <c r="QDC166" s="558"/>
      <c r="QDD166" s="558"/>
      <c r="QDE166" s="558"/>
      <c r="QDF166" s="558"/>
      <c r="QDG166" s="558"/>
      <c r="QDH166" s="558"/>
      <c r="QDI166" s="558"/>
      <c r="QDJ166" s="558"/>
      <c r="QDK166" s="558"/>
      <c r="QDL166" s="558"/>
      <c r="QDM166" s="558"/>
      <c r="QDN166" s="558"/>
      <c r="QDO166" s="558"/>
      <c r="QDP166" s="558"/>
      <c r="QDQ166" s="558"/>
      <c r="QDR166" s="558"/>
      <c r="QDS166" s="558"/>
      <c r="QDT166" s="558"/>
      <c r="QDU166" s="558"/>
      <c r="QDV166" s="558"/>
      <c r="QDW166" s="558"/>
      <c r="QDX166" s="558"/>
      <c r="QDY166" s="558"/>
      <c r="QDZ166" s="558"/>
      <c r="QEA166" s="558"/>
      <c r="QEB166" s="558"/>
      <c r="QEC166" s="558"/>
      <c r="QED166" s="558"/>
      <c r="QEE166" s="558"/>
      <c r="QEF166" s="558"/>
      <c r="QEG166" s="558"/>
      <c r="QEH166" s="558"/>
      <c r="QEI166" s="558"/>
      <c r="QEJ166" s="558"/>
      <c r="QEK166" s="558"/>
      <c r="QEL166" s="558"/>
      <c r="QEM166" s="558"/>
      <c r="QEN166" s="558"/>
      <c r="QEO166" s="558"/>
      <c r="QEP166" s="558"/>
      <c r="QEQ166" s="558"/>
      <c r="QER166" s="558"/>
      <c r="QES166" s="558"/>
      <c r="QET166" s="558"/>
      <c r="QEU166" s="558"/>
      <c r="QEV166" s="558"/>
      <c r="QEW166" s="558"/>
      <c r="QEX166" s="558"/>
      <c r="QEY166" s="558"/>
      <c r="QEZ166" s="558"/>
      <c r="QFA166" s="558"/>
      <c r="QFB166" s="558"/>
      <c r="QFC166" s="558"/>
      <c r="QFD166" s="558"/>
      <c r="QFE166" s="558"/>
      <c r="QFF166" s="558"/>
      <c r="QFG166" s="558"/>
      <c r="QFH166" s="558"/>
      <c r="QFI166" s="558"/>
      <c r="QFJ166" s="558"/>
      <c r="QFK166" s="558"/>
      <c r="QFL166" s="558"/>
      <c r="QFM166" s="558"/>
      <c r="QFN166" s="558"/>
      <c r="QFO166" s="558"/>
      <c r="QFP166" s="558"/>
      <c r="QFQ166" s="558"/>
      <c r="QFR166" s="558"/>
      <c r="QFS166" s="558"/>
      <c r="QFT166" s="558"/>
      <c r="QFU166" s="558"/>
      <c r="QFV166" s="558"/>
      <c r="QFW166" s="558"/>
      <c r="QFX166" s="558"/>
      <c r="QFY166" s="558"/>
      <c r="QFZ166" s="558"/>
      <c r="QGA166" s="558"/>
      <c r="QGB166" s="558"/>
      <c r="QGC166" s="558"/>
      <c r="QGD166" s="558"/>
      <c r="QGE166" s="558"/>
      <c r="QGF166" s="558"/>
      <c r="QGG166" s="558"/>
      <c r="QGH166" s="558"/>
      <c r="QGI166" s="558"/>
      <c r="QGJ166" s="558"/>
      <c r="QGK166" s="558"/>
      <c r="QGL166" s="558"/>
      <c r="QGM166" s="558"/>
      <c r="QGN166" s="558"/>
      <c r="QGO166" s="558"/>
      <c r="QGP166" s="558"/>
      <c r="QGQ166" s="558"/>
      <c r="QGR166" s="558"/>
      <c r="QGS166" s="558"/>
      <c r="QGT166" s="558"/>
      <c r="QGU166" s="558"/>
      <c r="QGV166" s="558"/>
      <c r="QGW166" s="558"/>
      <c r="QGX166" s="558"/>
      <c r="QGY166" s="558"/>
      <c r="QGZ166" s="558"/>
      <c r="QHA166" s="558"/>
      <c r="QHB166" s="558"/>
      <c r="QHC166" s="558"/>
      <c r="QHD166" s="558"/>
      <c r="QHE166" s="558"/>
      <c r="QHF166" s="558"/>
      <c r="QHG166" s="558"/>
      <c r="QHH166" s="558"/>
      <c r="QHI166" s="558"/>
      <c r="QHJ166" s="558"/>
      <c r="QHK166" s="558"/>
      <c r="QHL166" s="558"/>
      <c r="QHM166" s="558"/>
      <c r="QHN166" s="558"/>
      <c r="QHO166" s="558"/>
      <c r="QHP166" s="558"/>
      <c r="QHQ166" s="558"/>
      <c r="QHR166" s="558"/>
      <c r="QHS166" s="558"/>
      <c r="QHT166" s="558"/>
      <c r="QHU166" s="558"/>
      <c r="QHV166" s="558"/>
      <c r="QHW166" s="558"/>
      <c r="QHX166" s="558"/>
      <c r="QHY166" s="558"/>
      <c r="QHZ166" s="558"/>
      <c r="QIA166" s="558"/>
      <c r="QIB166" s="558"/>
      <c r="QIC166" s="558"/>
      <c r="QID166" s="558"/>
      <c r="QIE166" s="558"/>
      <c r="QIF166" s="558"/>
      <c r="QIG166" s="558"/>
      <c r="QIH166" s="558"/>
      <c r="QII166" s="558"/>
      <c r="QIJ166" s="558"/>
      <c r="QIK166" s="558"/>
      <c r="QIL166" s="558"/>
      <c r="QIM166" s="558"/>
      <c r="QIN166" s="558"/>
      <c r="QIO166" s="558"/>
      <c r="QIP166" s="558"/>
      <c r="QIQ166" s="558"/>
      <c r="QIR166" s="558"/>
      <c r="QIS166" s="558"/>
      <c r="QIT166" s="558"/>
      <c r="QIU166" s="558"/>
      <c r="QIV166" s="558"/>
      <c r="QIW166" s="558"/>
      <c r="QIX166" s="558"/>
      <c r="QIY166" s="558"/>
      <c r="QIZ166" s="558"/>
      <c r="QJA166" s="558"/>
      <c r="QJB166" s="558"/>
      <c r="QJC166" s="558"/>
      <c r="QJD166" s="558"/>
      <c r="QJE166" s="558"/>
      <c r="QJF166" s="558"/>
      <c r="QJG166" s="558"/>
      <c r="QJH166" s="558"/>
      <c r="QJI166" s="558"/>
      <c r="QJJ166" s="558"/>
      <c r="QJK166" s="558"/>
      <c r="QJL166" s="558"/>
      <c r="QJM166" s="558"/>
      <c r="QJN166" s="558"/>
      <c r="QJO166" s="558"/>
      <c r="QJP166" s="558"/>
      <c r="QJQ166" s="558"/>
      <c r="QJR166" s="558"/>
      <c r="QJS166" s="558"/>
      <c r="QJT166" s="558"/>
      <c r="QJU166" s="558"/>
      <c r="QJV166" s="558"/>
      <c r="QJW166" s="558"/>
      <c r="QJX166" s="558"/>
      <c r="QJY166" s="558"/>
      <c r="QJZ166" s="558"/>
      <c r="QKA166" s="558"/>
      <c r="QKB166" s="558"/>
      <c r="QKC166" s="558"/>
      <c r="QKD166" s="558"/>
      <c r="QKE166" s="558"/>
      <c r="QKF166" s="558"/>
      <c r="QKG166" s="558"/>
      <c r="QKH166" s="558"/>
      <c r="QKI166" s="558"/>
      <c r="QKJ166" s="558"/>
      <c r="QKK166" s="558"/>
      <c r="QKL166" s="558"/>
      <c r="QKM166" s="558"/>
      <c r="QKN166" s="558"/>
      <c r="QKO166" s="558"/>
      <c r="QKP166" s="558"/>
      <c r="QKQ166" s="558"/>
      <c r="QKR166" s="558"/>
      <c r="QKS166" s="558"/>
      <c r="QKT166" s="558"/>
      <c r="QKU166" s="558"/>
      <c r="QKV166" s="558"/>
      <c r="QKW166" s="558"/>
      <c r="QKX166" s="558"/>
      <c r="QKY166" s="558"/>
      <c r="QKZ166" s="558"/>
      <c r="QLA166" s="558"/>
      <c r="QLB166" s="558"/>
      <c r="QLC166" s="558"/>
      <c r="QLD166" s="558"/>
      <c r="QLE166" s="558"/>
      <c r="QLF166" s="558"/>
      <c r="QLG166" s="558"/>
      <c r="QLH166" s="558"/>
      <c r="QLI166" s="558"/>
      <c r="QLJ166" s="558"/>
      <c r="QLK166" s="558"/>
      <c r="QLL166" s="558"/>
      <c r="QLM166" s="558"/>
      <c r="QLN166" s="558"/>
      <c r="QLO166" s="558"/>
      <c r="QLP166" s="558"/>
      <c r="QLQ166" s="558"/>
      <c r="QLR166" s="558"/>
      <c r="QLS166" s="558"/>
      <c r="QLT166" s="558"/>
      <c r="QLU166" s="558"/>
      <c r="QLV166" s="558"/>
      <c r="QLW166" s="558"/>
      <c r="QLX166" s="558"/>
      <c r="QLY166" s="558"/>
      <c r="QLZ166" s="558"/>
      <c r="QMA166" s="558"/>
      <c r="QMB166" s="558"/>
      <c r="QMC166" s="558"/>
      <c r="QMD166" s="558"/>
      <c r="QME166" s="558"/>
      <c r="QMF166" s="558"/>
      <c r="QMG166" s="558"/>
      <c r="QMH166" s="558"/>
      <c r="QMI166" s="558"/>
      <c r="QMJ166" s="558"/>
      <c r="QMK166" s="558"/>
      <c r="QML166" s="558"/>
      <c r="QMM166" s="558"/>
      <c r="QMN166" s="558"/>
      <c r="QMO166" s="558"/>
      <c r="QMP166" s="558"/>
      <c r="QMQ166" s="558"/>
      <c r="QMR166" s="558"/>
      <c r="QMS166" s="558"/>
      <c r="QMT166" s="558"/>
      <c r="QMU166" s="558"/>
      <c r="QMV166" s="558"/>
      <c r="QMW166" s="558"/>
      <c r="QMX166" s="558"/>
      <c r="QMY166" s="558"/>
      <c r="QMZ166" s="558"/>
      <c r="QNA166" s="558"/>
      <c r="QNB166" s="558"/>
      <c r="QNC166" s="558"/>
      <c r="QND166" s="558"/>
      <c r="QNE166" s="558"/>
      <c r="QNF166" s="558"/>
      <c r="QNG166" s="558"/>
      <c r="QNH166" s="558"/>
      <c r="QNI166" s="558"/>
      <c r="QNJ166" s="558"/>
      <c r="QNK166" s="558"/>
      <c r="QNL166" s="558"/>
      <c r="QNM166" s="558"/>
      <c r="QNN166" s="558"/>
      <c r="QNO166" s="558"/>
      <c r="QNP166" s="558"/>
      <c r="QNQ166" s="558"/>
      <c r="QNR166" s="558"/>
      <c r="QNS166" s="558"/>
      <c r="QNT166" s="558"/>
      <c r="QNU166" s="558"/>
      <c r="QNV166" s="558"/>
      <c r="QNW166" s="558"/>
      <c r="QNX166" s="558"/>
      <c r="QNY166" s="558"/>
      <c r="QNZ166" s="558"/>
      <c r="QOA166" s="558"/>
      <c r="QOB166" s="558"/>
      <c r="QOC166" s="558"/>
      <c r="QOD166" s="558"/>
      <c r="QOE166" s="558"/>
      <c r="QOF166" s="558"/>
      <c r="QOG166" s="558"/>
      <c r="QOH166" s="558"/>
      <c r="QOI166" s="558"/>
      <c r="QOJ166" s="558"/>
      <c r="QOK166" s="558"/>
      <c r="QOL166" s="558"/>
      <c r="QOM166" s="558"/>
      <c r="QON166" s="558"/>
      <c r="QOO166" s="558"/>
      <c r="QOP166" s="558"/>
      <c r="QOQ166" s="558"/>
      <c r="QOR166" s="558"/>
      <c r="QOS166" s="558"/>
      <c r="QOT166" s="558"/>
      <c r="QOU166" s="558"/>
      <c r="QOV166" s="558"/>
      <c r="QOW166" s="558"/>
      <c r="QOX166" s="558"/>
      <c r="QOY166" s="558"/>
      <c r="QOZ166" s="558"/>
      <c r="QPA166" s="558"/>
      <c r="QPB166" s="558"/>
      <c r="QPC166" s="558"/>
      <c r="QPD166" s="558"/>
      <c r="QPE166" s="558"/>
      <c r="QPF166" s="558"/>
      <c r="QPG166" s="558"/>
      <c r="QPH166" s="558"/>
      <c r="QPI166" s="558"/>
      <c r="QPJ166" s="558"/>
      <c r="QPK166" s="558"/>
      <c r="QPL166" s="558"/>
      <c r="QPM166" s="558"/>
      <c r="QPN166" s="558"/>
      <c r="QPO166" s="558"/>
      <c r="QPP166" s="558"/>
      <c r="QPQ166" s="558"/>
      <c r="QPR166" s="558"/>
      <c r="QPS166" s="558"/>
      <c r="QPT166" s="558"/>
      <c r="QPU166" s="558"/>
      <c r="QPV166" s="558"/>
      <c r="QPW166" s="558"/>
      <c r="QPX166" s="558"/>
      <c r="QPY166" s="558"/>
      <c r="QPZ166" s="558"/>
      <c r="QQA166" s="558"/>
      <c r="QQB166" s="558"/>
      <c r="QQC166" s="558"/>
      <c r="QQD166" s="558"/>
      <c r="QQE166" s="558"/>
      <c r="QQF166" s="558"/>
      <c r="QQG166" s="558"/>
      <c r="QQH166" s="558"/>
      <c r="QQI166" s="558"/>
      <c r="QQJ166" s="558"/>
      <c r="QQK166" s="558"/>
      <c r="QQL166" s="558"/>
      <c r="QQM166" s="558"/>
      <c r="QQN166" s="558"/>
      <c r="QQO166" s="558"/>
      <c r="QQP166" s="558"/>
      <c r="QQQ166" s="558"/>
      <c r="QQR166" s="558"/>
      <c r="QQS166" s="558"/>
      <c r="QQT166" s="558"/>
      <c r="QQU166" s="558"/>
      <c r="QQV166" s="558"/>
      <c r="QQW166" s="558"/>
      <c r="QQX166" s="558"/>
      <c r="QQY166" s="558"/>
      <c r="QQZ166" s="558"/>
      <c r="QRA166" s="558"/>
      <c r="QRB166" s="558"/>
      <c r="QRC166" s="558"/>
      <c r="QRD166" s="558"/>
      <c r="QRE166" s="558"/>
      <c r="QRF166" s="558"/>
      <c r="QRG166" s="558"/>
      <c r="QRH166" s="558"/>
      <c r="QRI166" s="558"/>
      <c r="QRJ166" s="558"/>
      <c r="QRK166" s="558"/>
      <c r="QRL166" s="558"/>
      <c r="QRM166" s="558"/>
      <c r="QRN166" s="558"/>
      <c r="QRO166" s="558"/>
      <c r="QRP166" s="558"/>
      <c r="QRQ166" s="558"/>
      <c r="QRR166" s="558"/>
      <c r="QRS166" s="558"/>
      <c r="QRT166" s="558"/>
      <c r="QRU166" s="558"/>
      <c r="QRV166" s="558"/>
      <c r="QRW166" s="558"/>
      <c r="QRX166" s="558"/>
      <c r="QRY166" s="558"/>
      <c r="QRZ166" s="558"/>
      <c r="QSA166" s="558"/>
      <c r="QSB166" s="558"/>
      <c r="QSC166" s="558"/>
      <c r="QSD166" s="558"/>
      <c r="QSE166" s="558"/>
      <c r="QSF166" s="558"/>
      <c r="QSG166" s="558"/>
      <c r="QSH166" s="558"/>
      <c r="QSI166" s="558"/>
      <c r="QSJ166" s="558"/>
      <c r="QSK166" s="558"/>
      <c r="QSL166" s="558"/>
      <c r="QSM166" s="558"/>
      <c r="QSN166" s="558"/>
      <c r="QSO166" s="558"/>
      <c r="QSP166" s="558"/>
      <c r="QSQ166" s="558"/>
      <c r="QSR166" s="558"/>
      <c r="QSS166" s="558"/>
      <c r="QST166" s="558"/>
      <c r="QSU166" s="558"/>
      <c r="QSV166" s="558"/>
      <c r="QSW166" s="558"/>
      <c r="QSX166" s="558"/>
      <c r="QSY166" s="558"/>
      <c r="QSZ166" s="558"/>
      <c r="QTA166" s="558"/>
      <c r="QTB166" s="558"/>
      <c r="QTC166" s="558"/>
      <c r="QTD166" s="558"/>
      <c r="QTE166" s="558"/>
      <c r="QTF166" s="558"/>
      <c r="QTG166" s="558"/>
      <c r="QTH166" s="558"/>
      <c r="QTI166" s="558"/>
      <c r="QTJ166" s="558"/>
      <c r="QTK166" s="558"/>
      <c r="QTL166" s="558"/>
      <c r="QTM166" s="558"/>
      <c r="QTN166" s="558"/>
      <c r="QTO166" s="558"/>
      <c r="QTP166" s="558"/>
      <c r="QTQ166" s="558"/>
      <c r="QTR166" s="558"/>
      <c r="QTS166" s="558"/>
      <c r="QTT166" s="558"/>
      <c r="QTU166" s="558"/>
      <c r="QTV166" s="558"/>
      <c r="QTW166" s="558"/>
      <c r="QTX166" s="558"/>
      <c r="QTY166" s="558"/>
      <c r="QTZ166" s="558"/>
      <c r="QUA166" s="558"/>
      <c r="QUB166" s="558"/>
      <c r="QUC166" s="558"/>
      <c r="QUD166" s="558"/>
      <c r="QUE166" s="558"/>
      <c r="QUF166" s="558"/>
      <c r="QUG166" s="558"/>
      <c r="QUH166" s="558"/>
      <c r="QUI166" s="558"/>
      <c r="QUJ166" s="558"/>
      <c r="QUK166" s="558"/>
      <c r="QUL166" s="558"/>
      <c r="QUM166" s="558"/>
      <c r="QUN166" s="558"/>
      <c r="QUO166" s="558"/>
      <c r="QUP166" s="558"/>
      <c r="QUQ166" s="558"/>
      <c r="QUR166" s="558"/>
      <c r="QUS166" s="558"/>
      <c r="QUT166" s="558"/>
      <c r="QUU166" s="558"/>
      <c r="QUV166" s="558"/>
      <c r="QUW166" s="558"/>
      <c r="QUX166" s="558"/>
      <c r="QUY166" s="558"/>
      <c r="QUZ166" s="558"/>
      <c r="QVA166" s="558"/>
      <c r="QVB166" s="558"/>
      <c r="QVC166" s="558"/>
      <c r="QVD166" s="558"/>
      <c r="QVE166" s="558"/>
      <c r="QVF166" s="558"/>
      <c r="QVG166" s="558"/>
      <c r="QVH166" s="558"/>
      <c r="QVI166" s="558"/>
      <c r="QVJ166" s="558"/>
      <c r="QVK166" s="558"/>
      <c r="QVL166" s="558"/>
      <c r="QVM166" s="558"/>
      <c r="QVN166" s="558"/>
      <c r="QVO166" s="558"/>
      <c r="QVP166" s="558"/>
      <c r="QVQ166" s="558"/>
      <c r="QVR166" s="558"/>
      <c r="QVS166" s="558"/>
      <c r="QVT166" s="558"/>
      <c r="QVU166" s="558"/>
      <c r="QVV166" s="558"/>
      <c r="QVW166" s="558"/>
      <c r="QVX166" s="558"/>
      <c r="QVY166" s="558"/>
      <c r="QVZ166" s="558"/>
      <c r="QWA166" s="558"/>
      <c r="QWB166" s="558"/>
      <c r="QWC166" s="558"/>
      <c r="QWD166" s="558"/>
      <c r="QWE166" s="558"/>
      <c r="QWF166" s="558"/>
      <c r="QWG166" s="558"/>
      <c r="QWH166" s="558"/>
      <c r="QWI166" s="558"/>
      <c r="QWJ166" s="558"/>
      <c r="QWK166" s="558"/>
      <c r="QWL166" s="558"/>
      <c r="QWM166" s="558"/>
      <c r="QWN166" s="558"/>
      <c r="QWO166" s="558"/>
      <c r="QWP166" s="558"/>
      <c r="QWQ166" s="558"/>
      <c r="QWR166" s="558"/>
      <c r="QWS166" s="558"/>
      <c r="QWT166" s="558"/>
      <c r="QWU166" s="558"/>
      <c r="QWV166" s="558"/>
      <c r="QWW166" s="558"/>
      <c r="QWX166" s="558"/>
      <c r="QWY166" s="558"/>
      <c r="QWZ166" s="558"/>
      <c r="QXA166" s="558"/>
      <c r="QXB166" s="558"/>
      <c r="QXC166" s="558"/>
      <c r="QXD166" s="558"/>
      <c r="QXE166" s="558"/>
      <c r="QXF166" s="558"/>
      <c r="QXG166" s="558"/>
      <c r="QXH166" s="558"/>
      <c r="QXI166" s="558"/>
      <c r="QXJ166" s="558"/>
      <c r="QXK166" s="558"/>
      <c r="QXL166" s="558"/>
      <c r="QXM166" s="558"/>
      <c r="QXN166" s="558"/>
      <c r="QXO166" s="558"/>
      <c r="QXP166" s="558"/>
      <c r="QXQ166" s="558"/>
      <c r="QXR166" s="558"/>
      <c r="QXS166" s="558"/>
      <c r="QXT166" s="558"/>
      <c r="QXU166" s="558"/>
      <c r="QXV166" s="558"/>
      <c r="QXW166" s="558"/>
      <c r="QXX166" s="558"/>
      <c r="QXY166" s="558"/>
      <c r="QXZ166" s="558"/>
      <c r="QYA166" s="558"/>
      <c r="QYB166" s="558"/>
      <c r="QYC166" s="558"/>
      <c r="QYD166" s="558"/>
      <c r="QYE166" s="558"/>
      <c r="QYF166" s="558"/>
      <c r="QYG166" s="558"/>
      <c r="QYH166" s="558"/>
      <c r="QYI166" s="558"/>
      <c r="QYJ166" s="558"/>
      <c r="QYK166" s="558"/>
      <c r="QYL166" s="558"/>
      <c r="QYM166" s="558"/>
      <c r="QYN166" s="558"/>
      <c r="QYO166" s="558"/>
      <c r="QYP166" s="558"/>
      <c r="QYQ166" s="558"/>
      <c r="QYR166" s="558"/>
      <c r="QYS166" s="558"/>
      <c r="QYT166" s="558"/>
      <c r="QYU166" s="558"/>
      <c r="QYV166" s="558"/>
      <c r="QYW166" s="558"/>
      <c r="QYX166" s="558"/>
      <c r="QYY166" s="558"/>
      <c r="QYZ166" s="558"/>
      <c r="QZA166" s="558"/>
      <c r="QZB166" s="558"/>
      <c r="QZC166" s="558"/>
      <c r="QZD166" s="558"/>
      <c r="QZE166" s="558"/>
      <c r="QZF166" s="558"/>
      <c r="QZG166" s="558"/>
      <c r="QZH166" s="558"/>
      <c r="QZI166" s="558"/>
      <c r="QZJ166" s="558"/>
      <c r="QZK166" s="558"/>
      <c r="QZL166" s="558"/>
      <c r="QZM166" s="558"/>
      <c r="QZN166" s="558"/>
      <c r="QZO166" s="558"/>
      <c r="QZP166" s="558"/>
      <c r="QZQ166" s="558"/>
      <c r="QZR166" s="558"/>
      <c r="QZS166" s="558"/>
      <c r="QZT166" s="558"/>
      <c r="QZU166" s="558"/>
      <c r="QZV166" s="558"/>
      <c r="QZW166" s="558"/>
      <c r="QZX166" s="558"/>
      <c r="QZY166" s="558"/>
      <c r="QZZ166" s="558"/>
      <c r="RAA166" s="558"/>
      <c r="RAB166" s="558"/>
      <c r="RAC166" s="558"/>
      <c r="RAD166" s="558"/>
      <c r="RAE166" s="558"/>
      <c r="RAF166" s="558"/>
      <c r="RAG166" s="558"/>
      <c r="RAH166" s="558"/>
      <c r="RAI166" s="558"/>
      <c r="RAJ166" s="558"/>
      <c r="RAK166" s="558"/>
      <c r="RAL166" s="558"/>
      <c r="RAM166" s="558"/>
      <c r="RAN166" s="558"/>
      <c r="RAO166" s="558"/>
      <c r="RAP166" s="558"/>
      <c r="RAQ166" s="558"/>
      <c r="RAR166" s="558"/>
      <c r="RAS166" s="558"/>
      <c r="RAT166" s="558"/>
      <c r="RAU166" s="558"/>
      <c r="RAV166" s="558"/>
      <c r="RAW166" s="558"/>
      <c r="RAX166" s="558"/>
      <c r="RAY166" s="558"/>
      <c r="RAZ166" s="558"/>
      <c r="RBA166" s="558"/>
      <c r="RBB166" s="558"/>
      <c r="RBC166" s="558"/>
      <c r="RBD166" s="558"/>
      <c r="RBE166" s="558"/>
      <c r="RBF166" s="558"/>
      <c r="RBG166" s="558"/>
      <c r="RBH166" s="558"/>
      <c r="RBI166" s="558"/>
      <c r="RBJ166" s="558"/>
      <c r="RBK166" s="558"/>
      <c r="RBL166" s="558"/>
      <c r="RBM166" s="558"/>
      <c r="RBN166" s="558"/>
      <c r="RBO166" s="558"/>
      <c r="RBP166" s="558"/>
      <c r="RBQ166" s="558"/>
      <c r="RBR166" s="558"/>
      <c r="RBS166" s="558"/>
      <c r="RBT166" s="558"/>
      <c r="RBU166" s="558"/>
      <c r="RBV166" s="558"/>
      <c r="RBW166" s="558"/>
      <c r="RBX166" s="558"/>
      <c r="RBY166" s="558"/>
      <c r="RBZ166" s="558"/>
      <c r="RCA166" s="558"/>
      <c r="RCB166" s="558"/>
      <c r="RCC166" s="558"/>
      <c r="RCD166" s="558"/>
      <c r="RCE166" s="558"/>
      <c r="RCF166" s="558"/>
      <c r="RCG166" s="558"/>
      <c r="RCH166" s="558"/>
      <c r="RCI166" s="558"/>
      <c r="RCJ166" s="558"/>
      <c r="RCK166" s="558"/>
      <c r="RCL166" s="558"/>
      <c r="RCM166" s="558"/>
      <c r="RCN166" s="558"/>
      <c r="RCO166" s="558"/>
      <c r="RCP166" s="558"/>
      <c r="RCQ166" s="558"/>
      <c r="RCR166" s="558"/>
      <c r="RCS166" s="558"/>
      <c r="RCT166" s="558"/>
      <c r="RCU166" s="558"/>
      <c r="RCV166" s="558"/>
      <c r="RCW166" s="558"/>
      <c r="RCX166" s="558"/>
      <c r="RCY166" s="558"/>
      <c r="RCZ166" s="558"/>
      <c r="RDA166" s="558"/>
      <c r="RDB166" s="558"/>
      <c r="RDC166" s="558"/>
      <c r="RDD166" s="558"/>
      <c r="RDE166" s="558"/>
      <c r="RDF166" s="558"/>
      <c r="RDG166" s="558"/>
      <c r="RDH166" s="558"/>
      <c r="RDI166" s="558"/>
      <c r="RDJ166" s="558"/>
      <c r="RDK166" s="558"/>
      <c r="RDL166" s="558"/>
      <c r="RDM166" s="558"/>
      <c r="RDN166" s="558"/>
      <c r="RDO166" s="558"/>
      <c r="RDP166" s="558"/>
      <c r="RDQ166" s="558"/>
      <c r="RDR166" s="558"/>
      <c r="RDS166" s="558"/>
      <c r="RDT166" s="558"/>
      <c r="RDU166" s="558"/>
      <c r="RDV166" s="558"/>
      <c r="RDW166" s="558"/>
      <c r="RDX166" s="558"/>
      <c r="RDY166" s="558"/>
      <c r="RDZ166" s="558"/>
      <c r="REA166" s="558"/>
      <c r="REB166" s="558"/>
      <c r="REC166" s="558"/>
      <c r="RED166" s="558"/>
      <c r="REE166" s="558"/>
      <c r="REF166" s="558"/>
      <c r="REG166" s="558"/>
      <c r="REH166" s="558"/>
      <c r="REI166" s="558"/>
      <c r="REJ166" s="558"/>
      <c r="REK166" s="558"/>
      <c r="REL166" s="558"/>
      <c r="REM166" s="558"/>
      <c r="REN166" s="558"/>
      <c r="REO166" s="558"/>
      <c r="REP166" s="558"/>
      <c r="REQ166" s="558"/>
      <c r="RER166" s="558"/>
      <c r="RES166" s="558"/>
      <c r="RET166" s="558"/>
      <c r="REU166" s="558"/>
      <c r="REV166" s="558"/>
      <c r="REW166" s="558"/>
      <c r="REX166" s="558"/>
      <c r="REY166" s="558"/>
      <c r="REZ166" s="558"/>
      <c r="RFA166" s="558"/>
      <c r="RFB166" s="558"/>
      <c r="RFC166" s="558"/>
      <c r="RFD166" s="558"/>
      <c r="RFE166" s="558"/>
      <c r="RFF166" s="558"/>
      <c r="RFG166" s="558"/>
      <c r="RFH166" s="558"/>
      <c r="RFI166" s="558"/>
      <c r="RFJ166" s="558"/>
      <c r="RFK166" s="558"/>
      <c r="RFL166" s="558"/>
      <c r="RFM166" s="558"/>
      <c r="RFN166" s="558"/>
      <c r="RFO166" s="558"/>
      <c r="RFP166" s="558"/>
      <c r="RFQ166" s="558"/>
      <c r="RFR166" s="558"/>
      <c r="RFS166" s="558"/>
      <c r="RFT166" s="558"/>
      <c r="RFU166" s="558"/>
      <c r="RFV166" s="558"/>
      <c r="RFW166" s="558"/>
      <c r="RFX166" s="558"/>
      <c r="RFY166" s="558"/>
      <c r="RFZ166" s="558"/>
      <c r="RGA166" s="558"/>
      <c r="RGB166" s="558"/>
      <c r="RGC166" s="558"/>
      <c r="RGD166" s="558"/>
      <c r="RGE166" s="558"/>
      <c r="RGF166" s="558"/>
      <c r="RGG166" s="558"/>
      <c r="RGH166" s="558"/>
      <c r="RGI166" s="558"/>
      <c r="RGJ166" s="558"/>
      <c r="RGK166" s="558"/>
      <c r="RGL166" s="558"/>
      <c r="RGM166" s="558"/>
      <c r="RGN166" s="558"/>
      <c r="RGO166" s="558"/>
      <c r="RGP166" s="558"/>
      <c r="RGQ166" s="558"/>
      <c r="RGR166" s="558"/>
      <c r="RGS166" s="558"/>
      <c r="RGT166" s="558"/>
      <c r="RGU166" s="558"/>
      <c r="RGV166" s="558"/>
      <c r="RGW166" s="558"/>
      <c r="RGX166" s="558"/>
      <c r="RGY166" s="558"/>
      <c r="RGZ166" s="558"/>
      <c r="RHA166" s="558"/>
      <c r="RHB166" s="558"/>
      <c r="RHC166" s="558"/>
      <c r="RHD166" s="558"/>
      <c r="RHE166" s="558"/>
      <c r="RHF166" s="558"/>
      <c r="RHG166" s="558"/>
      <c r="RHH166" s="558"/>
      <c r="RHI166" s="558"/>
      <c r="RHJ166" s="558"/>
      <c r="RHK166" s="558"/>
      <c r="RHL166" s="558"/>
      <c r="RHM166" s="558"/>
      <c r="RHN166" s="558"/>
      <c r="RHO166" s="558"/>
      <c r="RHP166" s="558"/>
      <c r="RHQ166" s="558"/>
      <c r="RHR166" s="558"/>
      <c r="RHS166" s="558"/>
      <c r="RHT166" s="558"/>
      <c r="RHU166" s="558"/>
      <c r="RHV166" s="558"/>
      <c r="RHW166" s="558"/>
      <c r="RHX166" s="558"/>
      <c r="RHY166" s="558"/>
      <c r="RHZ166" s="558"/>
      <c r="RIA166" s="558"/>
      <c r="RIB166" s="558"/>
      <c r="RIC166" s="558"/>
      <c r="RID166" s="558"/>
      <c r="RIE166" s="558"/>
      <c r="RIF166" s="558"/>
      <c r="RIG166" s="558"/>
      <c r="RIH166" s="558"/>
      <c r="RII166" s="558"/>
      <c r="RIJ166" s="558"/>
      <c r="RIK166" s="558"/>
      <c r="RIL166" s="558"/>
      <c r="RIM166" s="558"/>
      <c r="RIN166" s="558"/>
      <c r="RIO166" s="558"/>
      <c r="RIP166" s="558"/>
      <c r="RIQ166" s="558"/>
      <c r="RIR166" s="558"/>
      <c r="RIS166" s="558"/>
      <c r="RIT166" s="558"/>
      <c r="RIU166" s="558"/>
      <c r="RIV166" s="558"/>
      <c r="RIW166" s="558"/>
      <c r="RIX166" s="558"/>
      <c r="RIY166" s="558"/>
      <c r="RIZ166" s="558"/>
      <c r="RJA166" s="558"/>
      <c r="RJB166" s="558"/>
      <c r="RJC166" s="558"/>
      <c r="RJD166" s="558"/>
      <c r="RJE166" s="558"/>
      <c r="RJF166" s="558"/>
      <c r="RJG166" s="558"/>
      <c r="RJH166" s="558"/>
      <c r="RJI166" s="558"/>
      <c r="RJJ166" s="558"/>
      <c r="RJK166" s="558"/>
      <c r="RJL166" s="558"/>
      <c r="RJM166" s="558"/>
      <c r="RJN166" s="558"/>
      <c r="RJO166" s="558"/>
      <c r="RJP166" s="558"/>
      <c r="RJQ166" s="558"/>
      <c r="RJR166" s="558"/>
      <c r="RJS166" s="558"/>
      <c r="RJT166" s="558"/>
      <c r="RJU166" s="558"/>
      <c r="RJV166" s="558"/>
      <c r="RJW166" s="558"/>
      <c r="RJX166" s="558"/>
      <c r="RJY166" s="558"/>
      <c r="RJZ166" s="558"/>
      <c r="RKA166" s="558"/>
      <c r="RKB166" s="558"/>
      <c r="RKC166" s="558"/>
      <c r="RKD166" s="558"/>
      <c r="RKE166" s="558"/>
      <c r="RKF166" s="558"/>
      <c r="RKG166" s="558"/>
      <c r="RKH166" s="558"/>
      <c r="RKI166" s="558"/>
      <c r="RKJ166" s="558"/>
      <c r="RKK166" s="558"/>
      <c r="RKL166" s="558"/>
      <c r="RKM166" s="558"/>
      <c r="RKN166" s="558"/>
      <c r="RKO166" s="558"/>
      <c r="RKP166" s="558"/>
      <c r="RKQ166" s="558"/>
      <c r="RKR166" s="558"/>
      <c r="RKS166" s="558"/>
      <c r="RKT166" s="558"/>
      <c r="RKU166" s="558"/>
      <c r="RKV166" s="558"/>
      <c r="RKW166" s="558"/>
      <c r="RKX166" s="558"/>
      <c r="RKY166" s="558"/>
      <c r="RKZ166" s="558"/>
      <c r="RLA166" s="558"/>
      <c r="RLB166" s="558"/>
      <c r="RLC166" s="558"/>
      <c r="RLD166" s="558"/>
      <c r="RLE166" s="558"/>
      <c r="RLF166" s="558"/>
      <c r="RLG166" s="558"/>
      <c r="RLH166" s="558"/>
      <c r="RLI166" s="558"/>
      <c r="RLJ166" s="558"/>
      <c r="RLK166" s="558"/>
      <c r="RLL166" s="558"/>
      <c r="RLM166" s="558"/>
      <c r="RLN166" s="558"/>
      <c r="RLO166" s="558"/>
      <c r="RLP166" s="558"/>
      <c r="RLQ166" s="558"/>
      <c r="RLR166" s="558"/>
      <c r="RLS166" s="558"/>
      <c r="RLT166" s="558"/>
      <c r="RLU166" s="558"/>
      <c r="RLV166" s="558"/>
      <c r="RLW166" s="558"/>
      <c r="RLX166" s="558"/>
      <c r="RLY166" s="558"/>
      <c r="RLZ166" s="558"/>
      <c r="RMA166" s="558"/>
      <c r="RMB166" s="558"/>
      <c r="RMC166" s="558"/>
      <c r="RMD166" s="558"/>
      <c r="RME166" s="558"/>
      <c r="RMF166" s="558"/>
      <c r="RMG166" s="558"/>
      <c r="RMH166" s="558"/>
      <c r="RMI166" s="558"/>
      <c r="RMJ166" s="558"/>
      <c r="RMK166" s="558"/>
      <c r="RML166" s="558"/>
      <c r="RMM166" s="558"/>
      <c r="RMN166" s="558"/>
      <c r="RMO166" s="558"/>
      <c r="RMP166" s="558"/>
      <c r="RMQ166" s="558"/>
      <c r="RMR166" s="558"/>
      <c r="RMS166" s="558"/>
      <c r="RMT166" s="558"/>
      <c r="RMU166" s="558"/>
      <c r="RMV166" s="558"/>
      <c r="RMW166" s="558"/>
      <c r="RMX166" s="558"/>
      <c r="RMY166" s="558"/>
      <c r="RMZ166" s="558"/>
      <c r="RNA166" s="558"/>
      <c r="RNB166" s="558"/>
      <c r="RNC166" s="558"/>
      <c r="RND166" s="558"/>
      <c r="RNE166" s="558"/>
      <c r="RNF166" s="558"/>
      <c r="RNG166" s="558"/>
      <c r="RNH166" s="558"/>
      <c r="RNI166" s="558"/>
      <c r="RNJ166" s="558"/>
      <c r="RNK166" s="558"/>
      <c r="RNL166" s="558"/>
      <c r="RNM166" s="558"/>
      <c r="RNN166" s="558"/>
      <c r="RNO166" s="558"/>
      <c r="RNP166" s="558"/>
      <c r="RNQ166" s="558"/>
      <c r="RNR166" s="558"/>
      <c r="RNS166" s="558"/>
      <c r="RNT166" s="558"/>
      <c r="RNU166" s="558"/>
      <c r="RNV166" s="558"/>
      <c r="RNW166" s="558"/>
      <c r="RNX166" s="558"/>
      <c r="RNY166" s="558"/>
      <c r="RNZ166" s="558"/>
      <c r="ROA166" s="558"/>
      <c r="ROB166" s="558"/>
      <c r="ROC166" s="558"/>
      <c r="ROD166" s="558"/>
      <c r="ROE166" s="558"/>
      <c r="ROF166" s="558"/>
      <c r="ROG166" s="558"/>
      <c r="ROH166" s="558"/>
      <c r="ROI166" s="558"/>
      <c r="ROJ166" s="558"/>
      <c r="ROK166" s="558"/>
      <c r="ROL166" s="558"/>
      <c r="ROM166" s="558"/>
      <c r="RON166" s="558"/>
      <c r="ROO166" s="558"/>
      <c r="ROP166" s="558"/>
      <c r="ROQ166" s="558"/>
      <c r="ROR166" s="558"/>
      <c r="ROS166" s="558"/>
      <c r="ROT166" s="558"/>
      <c r="ROU166" s="558"/>
      <c r="ROV166" s="558"/>
      <c r="ROW166" s="558"/>
      <c r="ROX166" s="558"/>
      <c r="ROY166" s="558"/>
      <c r="ROZ166" s="558"/>
      <c r="RPA166" s="558"/>
      <c r="RPB166" s="558"/>
      <c r="RPC166" s="558"/>
      <c r="RPD166" s="558"/>
      <c r="RPE166" s="558"/>
      <c r="RPF166" s="558"/>
      <c r="RPG166" s="558"/>
      <c r="RPH166" s="558"/>
      <c r="RPI166" s="558"/>
      <c r="RPJ166" s="558"/>
      <c r="RPK166" s="558"/>
      <c r="RPL166" s="558"/>
      <c r="RPM166" s="558"/>
      <c r="RPN166" s="558"/>
      <c r="RPO166" s="558"/>
      <c r="RPP166" s="558"/>
      <c r="RPQ166" s="558"/>
      <c r="RPR166" s="558"/>
      <c r="RPS166" s="558"/>
      <c r="RPT166" s="558"/>
      <c r="RPU166" s="558"/>
      <c r="RPV166" s="558"/>
      <c r="RPW166" s="558"/>
      <c r="RPX166" s="558"/>
      <c r="RPY166" s="558"/>
      <c r="RPZ166" s="558"/>
      <c r="RQA166" s="558"/>
      <c r="RQB166" s="558"/>
      <c r="RQC166" s="558"/>
      <c r="RQD166" s="558"/>
      <c r="RQE166" s="558"/>
      <c r="RQF166" s="558"/>
      <c r="RQG166" s="558"/>
      <c r="RQH166" s="558"/>
      <c r="RQI166" s="558"/>
      <c r="RQJ166" s="558"/>
      <c r="RQK166" s="558"/>
      <c r="RQL166" s="558"/>
      <c r="RQM166" s="558"/>
      <c r="RQN166" s="558"/>
      <c r="RQO166" s="558"/>
      <c r="RQP166" s="558"/>
      <c r="RQQ166" s="558"/>
      <c r="RQR166" s="558"/>
      <c r="RQS166" s="558"/>
      <c r="RQT166" s="558"/>
      <c r="RQU166" s="558"/>
      <c r="RQV166" s="558"/>
      <c r="RQW166" s="558"/>
      <c r="RQX166" s="558"/>
      <c r="RQY166" s="558"/>
      <c r="RQZ166" s="558"/>
      <c r="RRA166" s="558"/>
      <c r="RRB166" s="558"/>
      <c r="RRC166" s="558"/>
      <c r="RRD166" s="558"/>
      <c r="RRE166" s="558"/>
      <c r="RRF166" s="558"/>
      <c r="RRG166" s="558"/>
      <c r="RRH166" s="558"/>
      <c r="RRI166" s="558"/>
      <c r="RRJ166" s="558"/>
      <c r="RRK166" s="558"/>
      <c r="RRL166" s="558"/>
      <c r="RRM166" s="558"/>
      <c r="RRN166" s="558"/>
      <c r="RRO166" s="558"/>
      <c r="RRP166" s="558"/>
      <c r="RRQ166" s="558"/>
      <c r="RRR166" s="558"/>
      <c r="RRS166" s="558"/>
      <c r="RRT166" s="558"/>
      <c r="RRU166" s="558"/>
      <c r="RRV166" s="558"/>
      <c r="RRW166" s="558"/>
      <c r="RRX166" s="558"/>
      <c r="RRY166" s="558"/>
      <c r="RRZ166" s="558"/>
      <c r="RSA166" s="558"/>
      <c r="RSB166" s="558"/>
      <c r="RSC166" s="558"/>
      <c r="RSD166" s="558"/>
      <c r="RSE166" s="558"/>
      <c r="RSF166" s="558"/>
      <c r="RSG166" s="558"/>
      <c r="RSH166" s="558"/>
      <c r="RSI166" s="558"/>
      <c r="RSJ166" s="558"/>
      <c r="RSK166" s="558"/>
      <c r="RSL166" s="558"/>
      <c r="RSM166" s="558"/>
      <c r="RSN166" s="558"/>
      <c r="RSO166" s="558"/>
      <c r="RSP166" s="558"/>
      <c r="RSQ166" s="558"/>
      <c r="RSR166" s="558"/>
      <c r="RSS166" s="558"/>
      <c r="RST166" s="558"/>
      <c r="RSU166" s="558"/>
      <c r="RSV166" s="558"/>
      <c r="RSW166" s="558"/>
      <c r="RSX166" s="558"/>
      <c r="RSY166" s="558"/>
      <c r="RSZ166" s="558"/>
      <c r="RTA166" s="558"/>
      <c r="RTB166" s="558"/>
      <c r="RTC166" s="558"/>
      <c r="RTD166" s="558"/>
      <c r="RTE166" s="558"/>
      <c r="RTF166" s="558"/>
      <c r="RTG166" s="558"/>
      <c r="RTH166" s="558"/>
      <c r="RTI166" s="558"/>
      <c r="RTJ166" s="558"/>
      <c r="RTK166" s="558"/>
      <c r="RTL166" s="558"/>
      <c r="RTM166" s="558"/>
      <c r="RTN166" s="558"/>
      <c r="RTO166" s="558"/>
      <c r="RTP166" s="558"/>
      <c r="RTQ166" s="558"/>
      <c r="RTR166" s="558"/>
      <c r="RTS166" s="558"/>
      <c r="RTT166" s="558"/>
      <c r="RTU166" s="558"/>
      <c r="RTV166" s="558"/>
      <c r="RTW166" s="558"/>
      <c r="RTX166" s="558"/>
      <c r="RTY166" s="558"/>
      <c r="RTZ166" s="558"/>
      <c r="RUA166" s="558"/>
      <c r="RUB166" s="558"/>
      <c r="RUC166" s="558"/>
      <c r="RUD166" s="558"/>
      <c r="RUE166" s="558"/>
      <c r="RUF166" s="558"/>
      <c r="RUG166" s="558"/>
      <c r="RUH166" s="558"/>
      <c r="RUI166" s="558"/>
      <c r="RUJ166" s="558"/>
      <c r="RUK166" s="558"/>
      <c r="RUL166" s="558"/>
      <c r="RUM166" s="558"/>
      <c r="RUN166" s="558"/>
      <c r="RUO166" s="558"/>
      <c r="RUP166" s="558"/>
      <c r="RUQ166" s="558"/>
      <c r="RUR166" s="558"/>
      <c r="RUS166" s="558"/>
      <c r="RUT166" s="558"/>
      <c r="RUU166" s="558"/>
      <c r="RUV166" s="558"/>
      <c r="RUW166" s="558"/>
      <c r="RUX166" s="558"/>
      <c r="RUY166" s="558"/>
      <c r="RUZ166" s="558"/>
      <c r="RVA166" s="558"/>
      <c r="RVB166" s="558"/>
      <c r="RVC166" s="558"/>
      <c r="RVD166" s="558"/>
      <c r="RVE166" s="558"/>
      <c r="RVF166" s="558"/>
      <c r="RVG166" s="558"/>
      <c r="RVH166" s="558"/>
      <c r="RVI166" s="558"/>
      <c r="RVJ166" s="558"/>
      <c r="RVK166" s="558"/>
      <c r="RVL166" s="558"/>
      <c r="RVM166" s="558"/>
      <c r="RVN166" s="558"/>
      <c r="RVO166" s="558"/>
      <c r="RVP166" s="558"/>
      <c r="RVQ166" s="558"/>
      <c r="RVR166" s="558"/>
      <c r="RVS166" s="558"/>
      <c r="RVT166" s="558"/>
      <c r="RVU166" s="558"/>
      <c r="RVV166" s="558"/>
      <c r="RVW166" s="558"/>
      <c r="RVX166" s="558"/>
      <c r="RVY166" s="558"/>
      <c r="RVZ166" s="558"/>
      <c r="RWA166" s="558"/>
      <c r="RWB166" s="558"/>
      <c r="RWC166" s="558"/>
      <c r="RWD166" s="558"/>
      <c r="RWE166" s="558"/>
      <c r="RWF166" s="558"/>
      <c r="RWG166" s="558"/>
      <c r="RWH166" s="558"/>
      <c r="RWI166" s="558"/>
      <c r="RWJ166" s="558"/>
      <c r="RWK166" s="558"/>
      <c r="RWL166" s="558"/>
      <c r="RWM166" s="558"/>
      <c r="RWN166" s="558"/>
      <c r="RWO166" s="558"/>
      <c r="RWP166" s="558"/>
      <c r="RWQ166" s="558"/>
      <c r="RWR166" s="558"/>
      <c r="RWS166" s="558"/>
      <c r="RWT166" s="558"/>
      <c r="RWU166" s="558"/>
      <c r="RWV166" s="558"/>
      <c r="RWW166" s="558"/>
      <c r="RWX166" s="558"/>
      <c r="RWY166" s="558"/>
      <c r="RWZ166" s="558"/>
      <c r="RXA166" s="558"/>
      <c r="RXB166" s="558"/>
      <c r="RXC166" s="558"/>
      <c r="RXD166" s="558"/>
      <c r="RXE166" s="558"/>
      <c r="RXF166" s="558"/>
      <c r="RXG166" s="558"/>
      <c r="RXH166" s="558"/>
      <c r="RXI166" s="558"/>
      <c r="RXJ166" s="558"/>
      <c r="RXK166" s="558"/>
      <c r="RXL166" s="558"/>
      <c r="RXM166" s="558"/>
      <c r="RXN166" s="558"/>
      <c r="RXO166" s="558"/>
      <c r="RXP166" s="558"/>
      <c r="RXQ166" s="558"/>
      <c r="RXR166" s="558"/>
      <c r="RXS166" s="558"/>
      <c r="RXT166" s="558"/>
      <c r="RXU166" s="558"/>
      <c r="RXV166" s="558"/>
      <c r="RXW166" s="558"/>
      <c r="RXX166" s="558"/>
      <c r="RXY166" s="558"/>
      <c r="RXZ166" s="558"/>
      <c r="RYA166" s="558"/>
      <c r="RYB166" s="558"/>
      <c r="RYC166" s="558"/>
      <c r="RYD166" s="558"/>
      <c r="RYE166" s="558"/>
      <c r="RYF166" s="558"/>
      <c r="RYG166" s="558"/>
      <c r="RYH166" s="558"/>
      <c r="RYI166" s="558"/>
      <c r="RYJ166" s="558"/>
      <c r="RYK166" s="558"/>
      <c r="RYL166" s="558"/>
      <c r="RYM166" s="558"/>
      <c r="RYN166" s="558"/>
      <c r="RYO166" s="558"/>
      <c r="RYP166" s="558"/>
      <c r="RYQ166" s="558"/>
      <c r="RYR166" s="558"/>
      <c r="RYS166" s="558"/>
      <c r="RYT166" s="558"/>
      <c r="RYU166" s="558"/>
      <c r="RYV166" s="558"/>
      <c r="RYW166" s="558"/>
      <c r="RYX166" s="558"/>
      <c r="RYY166" s="558"/>
      <c r="RYZ166" s="558"/>
      <c r="RZA166" s="558"/>
      <c r="RZB166" s="558"/>
      <c r="RZC166" s="558"/>
      <c r="RZD166" s="558"/>
      <c r="RZE166" s="558"/>
      <c r="RZF166" s="558"/>
      <c r="RZG166" s="558"/>
      <c r="RZH166" s="558"/>
      <c r="RZI166" s="558"/>
      <c r="RZJ166" s="558"/>
      <c r="RZK166" s="558"/>
      <c r="RZL166" s="558"/>
      <c r="RZM166" s="558"/>
      <c r="RZN166" s="558"/>
      <c r="RZO166" s="558"/>
      <c r="RZP166" s="558"/>
      <c r="RZQ166" s="558"/>
      <c r="RZR166" s="558"/>
      <c r="RZS166" s="558"/>
      <c r="RZT166" s="558"/>
      <c r="RZU166" s="558"/>
      <c r="RZV166" s="558"/>
      <c r="RZW166" s="558"/>
      <c r="RZX166" s="558"/>
      <c r="RZY166" s="558"/>
      <c r="RZZ166" s="558"/>
      <c r="SAA166" s="558"/>
      <c r="SAB166" s="558"/>
      <c r="SAC166" s="558"/>
      <c r="SAD166" s="558"/>
      <c r="SAE166" s="558"/>
      <c r="SAF166" s="558"/>
      <c r="SAG166" s="558"/>
      <c r="SAH166" s="558"/>
      <c r="SAI166" s="558"/>
      <c r="SAJ166" s="558"/>
      <c r="SAK166" s="558"/>
      <c r="SAL166" s="558"/>
      <c r="SAM166" s="558"/>
      <c r="SAN166" s="558"/>
      <c r="SAO166" s="558"/>
      <c r="SAP166" s="558"/>
      <c r="SAQ166" s="558"/>
      <c r="SAR166" s="558"/>
      <c r="SAS166" s="558"/>
      <c r="SAT166" s="558"/>
      <c r="SAU166" s="558"/>
      <c r="SAV166" s="558"/>
      <c r="SAW166" s="558"/>
      <c r="SAX166" s="558"/>
      <c r="SAY166" s="558"/>
      <c r="SAZ166" s="558"/>
      <c r="SBA166" s="558"/>
      <c r="SBB166" s="558"/>
      <c r="SBC166" s="558"/>
      <c r="SBD166" s="558"/>
      <c r="SBE166" s="558"/>
      <c r="SBF166" s="558"/>
      <c r="SBG166" s="558"/>
      <c r="SBH166" s="558"/>
      <c r="SBI166" s="558"/>
      <c r="SBJ166" s="558"/>
      <c r="SBK166" s="558"/>
      <c r="SBL166" s="558"/>
      <c r="SBM166" s="558"/>
      <c r="SBN166" s="558"/>
      <c r="SBO166" s="558"/>
      <c r="SBP166" s="558"/>
      <c r="SBQ166" s="558"/>
      <c r="SBR166" s="558"/>
      <c r="SBS166" s="558"/>
      <c r="SBT166" s="558"/>
      <c r="SBU166" s="558"/>
      <c r="SBV166" s="558"/>
      <c r="SBW166" s="558"/>
      <c r="SBX166" s="558"/>
      <c r="SBY166" s="558"/>
      <c r="SBZ166" s="558"/>
      <c r="SCA166" s="558"/>
      <c r="SCB166" s="558"/>
      <c r="SCC166" s="558"/>
      <c r="SCD166" s="558"/>
      <c r="SCE166" s="558"/>
      <c r="SCF166" s="558"/>
      <c r="SCG166" s="558"/>
      <c r="SCH166" s="558"/>
      <c r="SCI166" s="558"/>
      <c r="SCJ166" s="558"/>
      <c r="SCK166" s="558"/>
      <c r="SCL166" s="558"/>
      <c r="SCM166" s="558"/>
      <c r="SCN166" s="558"/>
      <c r="SCO166" s="558"/>
      <c r="SCP166" s="558"/>
      <c r="SCQ166" s="558"/>
      <c r="SCR166" s="558"/>
      <c r="SCS166" s="558"/>
      <c r="SCT166" s="558"/>
      <c r="SCU166" s="558"/>
      <c r="SCV166" s="558"/>
      <c r="SCW166" s="558"/>
      <c r="SCX166" s="558"/>
      <c r="SCY166" s="558"/>
      <c r="SCZ166" s="558"/>
      <c r="SDA166" s="558"/>
      <c r="SDB166" s="558"/>
      <c r="SDC166" s="558"/>
      <c r="SDD166" s="558"/>
      <c r="SDE166" s="558"/>
      <c r="SDF166" s="558"/>
      <c r="SDG166" s="558"/>
      <c r="SDH166" s="558"/>
      <c r="SDI166" s="558"/>
      <c r="SDJ166" s="558"/>
      <c r="SDK166" s="558"/>
      <c r="SDL166" s="558"/>
      <c r="SDM166" s="558"/>
      <c r="SDN166" s="558"/>
      <c r="SDO166" s="558"/>
      <c r="SDP166" s="558"/>
      <c r="SDQ166" s="558"/>
      <c r="SDR166" s="558"/>
      <c r="SDS166" s="558"/>
      <c r="SDT166" s="558"/>
      <c r="SDU166" s="558"/>
      <c r="SDV166" s="558"/>
      <c r="SDW166" s="558"/>
      <c r="SDX166" s="558"/>
      <c r="SDY166" s="558"/>
      <c r="SDZ166" s="558"/>
      <c r="SEA166" s="558"/>
      <c r="SEB166" s="558"/>
      <c r="SEC166" s="558"/>
      <c r="SED166" s="558"/>
      <c r="SEE166" s="558"/>
      <c r="SEF166" s="558"/>
      <c r="SEG166" s="558"/>
      <c r="SEH166" s="558"/>
      <c r="SEI166" s="558"/>
      <c r="SEJ166" s="558"/>
      <c r="SEK166" s="558"/>
      <c r="SEL166" s="558"/>
      <c r="SEM166" s="558"/>
      <c r="SEN166" s="558"/>
      <c r="SEO166" s="558"/>
      <c r="SEP166" s="558"/>
      <c r="SEQ166" s="558"/>
      <c r="SER166" s="558"/>
      <c r="SES166" s="558"/>
      <c r="SET166" s="558"/>
      <c r="SEU166" s="558"/>
      <c r="SEV166" s="558"/>
      <c r="SEW166" s="558"/>
      <c r="SEX166" s="558"/>
      <c r="SEY166" s="558"/>
      <c r="SEZ166" s="558"/>
      <c r="SFA166" s="558"/>
      <c r="SFB166" s="558"/>
      <c r="SFC166" s="558"/>
      <c r="SFD166" s="558"/>
      <c r="SFE166" s="558"/>
      <c r="SFF166" s="558"/>
      <c r="SFG166" s="558"/>
      <c r="SFH166" s="558"/>
      <c r="SFI166" s="558"/>
      <c r="SFJ166" s="558"/>
      <c r="SFK166" s="558"/>
      <c r="SFL166" s="558"/>
      <c r="SFM166" s="558"/>
      <c r="SFN166" s="558"/>
      <c r="SFO166" s="558"/>
      <c r="SFP166" s="558"/>
      <c r="SFQ166" s="558"/>
      <c r="SFR166" s="558"/>
      <c r="SFS166" s="558"/>
      <c r="SFT166" s="558"/>
      <c r="SFU166" s="558"/>
      <c r="SFV166" s="558"/>
      <c r="SFW166" s="558"/>
      <c r="SFX166" s="558"/>
      <c r="SFY166" s="558"/>
      <c r="SFZ166" s="558"/>
      <c r="SGA166" s="558"/>
      <c r="SGB166" s="558"/>
      <c r="SGC166" s="558"/>
      <c r="SGD166" s="558"/>
      <c r="SGE166" s="558"/>
      <c r="SGF166" s="558"/>
      <c r="SGG166" s="558"/>
      <c r="SGH166" s="558"/>
      <c r="SGI166" s="558"/>
      <c r="SGJ166" s="558"/>
      <c r="SGK166" s="558"/>
      <c r="SGL166" s="558"/>
      <c r="SGM166" s="558"/>
      <c r="SGN166" s="558"/>
      <c r="SGO166" s="558"/>
      <c r="SGP166" s="558"/>
      <c r="SGQ166" s="558"/>
      <c r="SGR166" s="558"/>
      <c r="SGS166" s="558"/>
      <c r="SGT166" s="558"/>
      <c r="SGU166" s="558"/>
      <c r="SGV166" s="558"/>
      <c r="SGW166" s="558"/>
      <c r="SGX166" s="558"/>
      <c r="SGY166" s="558"/>
      <c r="SGZ166" s="558"/>
      <c r="SHA166" s="558"/>
      <c r="SHB166" s="558"/>
      <c r="SHC166" s="558"/>
      <c r="SHD166" s="558"/>
      <c r="SHE166" s="558"/>
      <c r="SHF166" s="558"/>
      <c r="SHG166" s="558"/>
      <c r="SHH166" s="558"/>
      <c r="SHI166" s="558"/>
      <c r="SHJ166" s="558"/>
      <c r="SHK166" s="558"/>
      <c r="SHL166" s="558"/>
      <c r="SHM166" s="558"/>
      <c r="SHN166" s="558"/>
      <c r="SHO166" s="558"/>
      <c r="SHP166" s="558"/>
      <c r="SHQ166" s="558"/>
      <c r="SHR166" s="558"/>
      <c r="SHS166" s="558"/>
      <c r="SHT166" s="558"/>
      <c r="SHU166" s="558"/>
      <c r="SHV166" s="558"/>
      <c r="SHW166" s="558"/>
      <c r="SHX166" s="558"/>
      <c r="SHY166" s="558"/>
      <c r="SHZ166" s="558"/>
      <c r="SIA166" s="558"/>
      <c r="SIB166" s="558"/>
      <c r="SIC166" s="558"/>
      <c r="SID166" s="558"/>
      <c r="SIE166" s="558"/>
      <c r="SIF166" s="558"/>
      <c r="SIG166" s="558"/>
      <c r="SIH166" s="558"/>
      <c r="SII166" s="558"/>
      <c r="SIJ166" s="558"/>
      <c r="SIK166" s="558"/>
      <c r="SIL166" s="558"/>
      <c r="SIM166" s="558"/>
      <c r="SIN166" s="558"/>
      <c r="SIO166" s="558"/>
      <c r="SIP166" s="558"/>
      <c r="SIQ166" s="558"/>
      <c r="SIR166" s="558"/>
      <c r="SIS166" s="558"/>
      <c r="SIT166" s="558"/>
      <c r="SIU166" s="558"/>
      <c r="SIV166" s="558"/>
      <c r="SIW166" s="558"/>
      <c r="SIX166" s="558"/>
      <c r="SIY166" s="558"/>
      <c r="SIZ166" s="558"/>
      <c r="SJA166" s="558"/>
      <c r="SJB166" s="558"/>
      <c r="SJC166" s="558"/>
      <c r="SJD166" s="558"/>
      <c r="SJE166" s="558"/>
      <c r="SJF166" s="558"/>
      <c r="SJG166" s="558"/>
      <c r="SJH166" s="558"/>
      <c r="SJI166" s="558"/>
      <c r="SJJ166" s="558"/>
      <c r="SJK166" s="558"/>
      <c r="SJL166" s="558"/>
      <c r="SJM166" s="558"/>
      <c r="SJN166" s="558"/>
      <c r="SJO166" s="558"/>
      <c r="SJP166" s="558"/>
      <c r="SJQ166" s="558"/>
      <c r="SJR166" s="558"/>
      <c r="SJS166" s="558"/>
      <c r="SJT166" s="558"/>
      <c r="SJU166" s="558"/>
      <c r="SJV166" s="558"/>
      <c r="SJW166" s="558"/>
      <c r="SJX166" s="558"/>
      <c r="SJY166" s="558"/>
      <c r="SJZ166" s="558"/>
      <c r="SKA166" s="558"/>
      <c r="SKB166" s="558"/>
      <c r="SKC166" s="558"/>
      <c r="SKD166" s="558"/>
      <c r="SKE166" s="558"/>
      <c r="SKF166" s="558"/>
      <c r="SKG166" s="558"/>
      <c r="SKH166" s="558"/>
      <c r="SKI166" s="558"/>
      <c r="SKJ166" s="558"/>
      <c r="SKK166" s="558"/>
      <c r="SKL166" s="558"/>
      <c r="SKM166" s="558"/>
      <c r="SKN166" s="558"/>
      <c r="SKO166" s="558"/>
      <c r="SKP166" s="558"/>
      <c r="SKQ166" s="558"/>
      <c r="SKR166" s="558"/>
      <c r="SKS166" s="558"/>
      <c r="SKT166" s="558"/>
      <c r="SKU166" s="558"/>
      <c r="SKV166" s="558"/>
      <c r="SKW166" s="558"/>
      <c r="SKX166" s="558"/>
      <c r="SKY166" s="558"/>
      <c r="SKZ166" s="558"/>
      <c r="SLA166" s="558"/>
      <c r="SLB166" s="558"/>
      <c r="SLC166" s="558"/>
      <c r="SLD166" s="558"/>
      <c r="SLE166" s="558"/>
      <c r="SLF166" s="558"/>
      <c r="SLG166" s="558"/>
      <c r="SLH166" s="558"/>
      <c r="SLI166" s="558"/>
      <c r="SLJ166" s="558"/>
      <c r="SLK166" s="558"/>
      <c r="SLL166" s="558"/>
      <c r="SLM166" s="558"/>
      <c r="SLN166" s="558"/>
      <c r="SLO166" s="558"/>
      <c r="SLP166" s="558"/>
      <c r="SLQ166" s="558"/>
      <c r="SLR166" s="558"/>
      <c r="SLS166" s="558"/>
      <c r="SLT166" s="558"/>
      <c r="SLU166" s="558"/>
      <c r="SLV166" s="558"/>
      <c r="SLW166" s="558"/>
      <c r="SLX166" s="558"/>
      <c r="SLY166" s="558"/>
      <c r="SLZ166" s="558"/>
      <c r="SMA166" s="558"/>
      <c r="SMB166" s="558"/>
      <c r="SMC166" s="558"/>
      <c r="SMD166" s="558"/>
      <c r="SME166" s="558"/>
      <c r="SMF166" s="558"/>
      <c r="SMG166" s="558"/>
      <c r="SMH166" s="558"/>
      <c r="SMI166" s="558"/>
      <c r="SMJ166" s="558"/>
      <c r="SMK166" s="558"/>
      <c r="SML166" s="558"/>
      <c r="SMM166" s="558"/>
      <c r="SMN166" s="558"/>
      <c r="SMO166" s="558"/>
      <c r="SMP166" s="558"/>
      <c r="SMQ166" s="558"/>
      <c r="SMR166" s="558"/>
      <c r="SMS166" s="558"/>
      <c r="SMT166" s="558"/>
      <c r="SMU166" s="558"/>
      <c r="SMV166" s="558"/>
      <c r="SMW166" s="558"/>
      <c r="SMX166" s="558"/>
      <c r="SMY166" s="558"/>
      <c r="SMZ166" s="558"/>
      <c r="SNA166" s="558"/>
      <c r="SNB166" s="558"/>
      <c r="SNC166" s="558"/>
      <c r="SND166" s="558"/>
      <c r="SNE166" s="558"/>
      <c r="SNF166" s="558"/>
      <c r="SNG166" s="558"/>
      <c r="SNH166" s="558"/>
      <c r="SNI166" s="558"/>
      <c r="SNJ166" s="558"/>
      <c r="SNK166" s="558"/>
      <c r="SNL166" s="558"/>
      <c r="SNM166" s="558"/>
      <c r="SNN166" s="558"/>
      <c r="SNO166" s="558"/>
      <c r="SNP166" s="558"/>
      <c r="SNQ166" s="558"/>
      <c r="SNR166" s="558"/>
      <c r="SNS166" s="558"/>
      <c r="SNT166" s="558"/>
      <c r="SNU166" s="558"/>
      <c r="SNV166" s="558"/>
      <c r="SNW166" s="558"/>
      <c r="SNX166" s="558"/>
      <c r="SNY166" s="558"/>
      <c r="SNZ166" s="558"/>
      <c r="SOA166" s="558"/>
      <c r="SOB166" s="558"/>
      <c r="SOC166" s="558"/>
      <c r="SOD166" s="558"/>
      <c r="SOE166" s="558"/>
      <c r="SOF166" s="558"/>
      <c r="SOG166" s="558"/>
      <c r="SOH166" s="558"/>
      <c r="SOI166" s="558"/>
      <c r="SOJ166" s="558"/>
      <c r="SOK166" s="558"/>
      <c r="SOL166" s="558"/>
      <c r="SOM166" s="558"/>
      <c r="SON166" s="558"/>
      <c r="SOO166" s="558"/>
      <c r="SOP166" s="558"/>
      <c r="SOQ166" s="558"/>
      <c r="SOR166" s="558"/>
      <c r="SOS166" s="558"/>
      <c r="SOT166" s="558"/>
      <c r="SOU166" s="558"/>
      <c r="SOV166" s="558"/>
      <c r="SOW166" s="558"/>
      <c r="SOX166" s="558"/>
      <c r="SOY166" s="558"/>
      <c r="SOZ166" s="558"/>
      <c r="SPA166" s="558"/>
      <c r="SPB166" s="558"/>
      <c r="SPC166" s="558"/>
      <c r="SPD166" s="558"/>
      <c r="SPE166" s="558"/>
      <c r="SPF166" s="558"/>
      <c r="SPG166" s="558"/>
      <c r="SPH166" s="558"/>
      <c r="SPI166" s="558"/>
      <c r="SPJ166" s="558"/>
      <c r="SPK166" s="558"/>
      <c r="SPL166" s="558"/>
      <c r="SPM166" s="558"/>
      <c r="SPN166" s="558"/>
      <c r="SPO166" s="558"/>
      <c r="SPP166" s="558"/>
      <c r="SPQ166" s="558"/>
      <c r="SPR166" s="558"/>
      <c r="SPS166" s="558"/>
      <c r="SPT166" s="558"/>
      <c r="SPU166" s="558"/>
      <c r="SPV166" s="558"/>
      <c r="SPW166" s="558"/>
      <c r="SPX166" s="558"/>
      <c r="SPY166" s="558"/>
      <c r="SPZ166" s="558"/>
      <c r="SQA166" s="558"/>
      <c r="SQB166" s="558"/>
      <c r="SQC166" s="558"/>
      <c r="SQD166" s="558"/>
      <c r="SQE166" s="558"/>
      <c r="SQF166" s="558"/>
      <c r="SQG166" s="558"/>
      <c r="SQH166" s="558"/>
      <c r="SQI166" s="558"/>
      <c r="SQJ166" s="558"/>
      <c r="SQK166" s="558"/>
      <c r="SQL166" s="558"/>
      <c r="SQM166" s="558"/>
      <c r="SQN166" s="558"/>
      <c r="SQO166" s="558"/>
      <c r="SQP166" s="558"/>
      <c r="SQQ166" s="558"/>
      <c r="SQR166" s="558"/>
      <c r="SQS166" s="558"/>
      <c r="SQT166" s="558"/>
      <c r="SQU166" s="558"/>
      <c r="SQV166" s="558"/>
      <c r="SQW166" s="558"/>
      <c r="SQX166" s="558"/>
      <c r="SQY166" s="558"/>
      <c r="SQZ166" s="558"/>
      <c r="SRA166" s="558"/>
      <c r="SRB166" s="558"/>
      <c r="SRC166" s="558"/>
      <c r="SRD166" s="558"/>
      <c r="SRE166" s="558"/>
      <c r="SRF166" s="558"/>
      <c r="SRG166" s="558"/>
      <c r="SRH166" s="558"/>
      <c r="SRI166" s="558"/>
      <c r="SRJ166" s="558"/>
      <c r="SRK166" s="558"/>
      <c r="SRL166" s="558"/>
      <c r="SRM166" s="558"/>
      <c r="SRN166" s="558"/>
      <c r="SRO166" s="558"/>
      <c r="SRP166" s="558"/>
      <c r="SRQ166" s="558"/>
      <c r="SRR166" s="558"/>
      <c r="SRS166" s="558"/>
      <c r="SRT166" s="558"/>
      <c r="SRU166" s="558"/>
      <c r="SRV166" s="558"/>
      <c r="SRW166" s="558"/>
      <c r="SRX166" s="558"/>
      <c r="SRY166" s="558"/>
      <c r="SRZ166" s="558"/>
      <c r="SSA166" s="558"/>
      <c r="SSB166" s="558"/>
      <c r="SSC166" s="558"/>
      <c r="SSD166" s="558"/>
      <c r="SSE166" s="558"/>
      <c r="SSF166" s="558"/>
      <c r="SSG166" s="558"/>
      <c r="SSH166" s="558"/>
      <c r="SSI166" s="558"/>
      <c r="SSJ166" s="558"/>
      <c r="SSK166" s="558"/>
      <c r="SSL166" s="558"/>
      <c r="SSM166" s="558"/>
      <c r="SSN166" s="558"/>
      <c r="SSO166" s="558"/>
      <c r="SSP166" s="558"/>
      <c r="SSQ166" s="558"/>
      <c r="SSR166" s="558"/>
      <c r="SSS166" s="558"/>
      <c r="SST166" s="558"/>
      <c r="SSU166" s="558"/>
      <c r="SSV166" s="558"/>
      <c r="SSW166" s="558"/>
      <c r="SSX166" s="558"/>
      <c r="SSY166" s="558"/>
      <c r="SSZ166" s="558"/>
      <c r="STA166" s="558"/>
      <c r="STB166" s="558"/>
      <c r="STC166" s="558"/>
      <c r="STD166" s="558"/>
      <c r="STE166" s="558"/>
      <c r="STF166" s="558"/>
      <c r="STG166" s="558"/>
      <c r="STH166" s="558"/>
      <c r="STI166" s="558"/>
      <c r="STJ166" s="558"/>
      <c r="STK166" s="558"/>
      <c r="STL166" s="558"/>
      <c r="STM166" s="558"/>
      <c r="STN166" s="558"/>
      <c r="STO166" s="558"/>
      <c r="STP166" s="558"/>
      <c r="STQ166" s="558"/>
      <c r="STR166" s="558"/>
      <c r="STS166" s="558"/>
      <c r="STT166" s="558"/>
      <c r="STU166" s="558"/>
      <c r="STV166" s="558"/>
      <c r="STW166" s="558"/>
      <c r="STX166" s="558"/>
      <c r="STY166" s="558"/>
      <c r="STZ166" s="558"/>
      <c r="SUA166" s="558"/>
      <c r="SUB166" s="558"/>
      <c r="SUC166" s="558"/>
      <c r="SUD166" s="558"/>
      <c r="SUE166" s="558"/>
      <c r="SUF166" s="558"/>
      <c r="SUG166" s="558"/>
      <c r="SUH166" s="558"/>
      <c r="SUI166" s="558"/>
      <c r="SUJ166" s="558"/>
      <c r="SUK166" s="558"/>
      <c r="SUL166" s="558"/>
      <c r="SUM166" s="558"/>
      <c r="SUN166" s="558"/>
      <c r="SUO166" s="558"/>
      <c r="SUP166" s="558"/>
      <c r="SUQ166" s="558"/>
      <c r="SUR166" s="558"/>
      <c r="SUS166" s="558"/>
      <c r="SUT166" s="558"/>
      <c r="SUU166" s="558"/>
      <c r="SUV166" s="558"/>
      <c r="SUW166" s="558"/>
      <c r="SUX166" s="558"/>
      <c r="SUY166" s="558"/>
      <c r="SUZ166" s="558"/>
      <c r="SVA166" s="558"/>
      <c r="SVB166" s="558"/>
      <c r="SVC166" s="558"/>
      <c r="SVD166" s="558"/>
      <c r="SVE166" s="558"/>
      <c r="SVF166" s="558"/>
      <c r="SVG166" s="558"/>
      <c r="SVH166" s="558"/>
      <c r="SVI166" s="558"/>
      <c r="SVJ166" s="558"/>
      <c r="SVK166" s="558"/>
      <c r="SVL166" s="558"/>
      <c r="SVM166" s="558"/>
      <c r="SVN166" s="558"/>
      <c r="SVO166" s="558"/>
      <c r="SVP166" s="558"/>
      <c r="SVQ166" s="558"/>
      <c r="SVR166" s="558"/>
      <c r="SVS166" s="558"/>
      <c r="SVT166" s="558"/>
      <c r="SVU166" s="558"/>
      <c r="SVV166" s="558"/>
      <c r="SVW166" s="558"/>
      <c r="SVX166" s="558"/>
      <c r="SVY166" s="558"/>
      <c r="SVZ166" s="558"/>
      <c r="SWA166" s="558"/>
      <c r="SWB166" s="558"/>
      <c r="SWC166" s="558"/>
      <c r="SWD166" s="558"/>
      <c r="SWE166" s="558"/>
      <c r="SWF166" s="558"/>
      <c r="SWG166" s="558"/>
      <c r="SWH166" s="558"/>
      <c r="SWI166" s="558"/>
      <c r="SWJ166" s="558"/>
      <c r="SWK166" s="558"/>
      <c r="SWL166" s="558"/>
      <c r="SWM166" s="558"/>
      <c r="SWN166" s="558"/>
      <c r="SWO166" s="558"/>
      <c r="SWP166" s="558"/>
      <c r="SWQ166" s="558"/>
      <c r="SWR166" s="558"/>
      <c r="SWS166" s="558"/>
      <c r="SWT166" s="558"/>
      <c r="SWU166" s="558"/>
      <c r="SWV166" s="558"/>
      <c r="SWW166" s="558"/>
      <c r="SWX166" s="558"/>
      <c r="SWY166" s="558"/>
      <c r="SWZ166" s="558"/>
      <c r="SXA166" s="558"/>
      <c r="SXB166" s="558"/>
      <c r="SXC166" s="558"/>
      <c r="SXD166" s="558"/>
      <c r="SXE166" s="558"/>
      <c r="SXF166" s="558"/>
      <c r="SXG166" s="558"/>
      <c r="SXH166" s="558"/>
      <c r="SXI166" s="558"/>
      <c r="SXJ166" s="558"/>
      <c r="SXK166" s="558"/>
      <c r="SXL166" s="558"/>
      <c r="SXM166" s="558"/>
      <c r="SXN166" s="558"/>
      <c r="SXO166" s="558"/>
      <c r="SXP166" s="558"/>
      <c r="SXQ166" s="558"/>
      <c r="SXR166" s="558"/>
      <c r="SXS166" s="558"/>
      <c r="SXT166" s="558"/>
      <c r="SXU166" s="558"/>
      <c r="SXV166" s="558"/>
      <c r="SXW166" s="558"/>
      <c r="SXX166" s="558"/>
      <c r="SXY166" s="558"/>
      <c r="SXZ166" s="558"/>
      <c r="SYA166" s="558"/>
      <c r="SYB166" s="558"/>
      <c r="SYC166" s="558"/>
      <c r="SYD166" s="558"/>
      <c r="SYE166" s="558"/>
      <c r="SYF166" s="558"/>
      <c r="SYG166" s="558"/>
      <c r="SYH166" s="558"/>
      <c r="SYI166" s="558"/>
      <c r="SYJ166" s="558"/>
      <c r="SYK166" s="558"/>
      <c r="SYL166" s="558"/>
      <c r="SYM166" s="558"/>
      <c r="SYN166" s="558"/>
      <c r="SYO166" s="558"/>
      <c r="SYP166" s="558"/>
      <c r="SYQ166" s="558"/>
      <c r="SYR166" s="558"/>
      <c r="SYS166" s="558"/>
      <c r="SYT166" s="558"/>
      <c r="SYU166" s="558"/>
      <c r="SYV166" s="558"/>
      <c r="SYW166" s="558"/>
      <c r="SYX166" s="558"/>
      <c r="SYY166" s="558"/>
      <c r="SYZ166" s="558"/>
      <c r="SZA166" s="558"/>
      <c r="SZB166" s="558"/>
      <c r="SZC166" s="558"/>
      <c r="SZD166" s="558"/>
      <c r="SZE166" s="558"/>
      <c r="SZF166" s="558"/>
      <c r="SZG166" s="558"/>
      <c r="SZH166" s="558"/>
      <c r="SZI166" s="558"/>
      <c r="SZJ166" s="558"/>
      <c r="SZK166" s="558"/>
      <c r="SZL166" s="558"/>
      <c r="SZM166" s="558"/>
      <c r="SZN166" s="558"/>
      <c r="SZO166" s="558"/>
      <c r="SZP166" s="558"/>
      <c r="SZQ166" s="558"/>
      <c r="SZR166" s="558"/>
      <c r="SZS166" s="558"/>
      <c r="SZT166" s="558"/>
      <c r="SZU166" s="558"/>
      <c r="SZV166" s="558"/>
      <c r="SZW166" s="558"/>
      <c r="SZX166" s="558"/>
      <c r="SZY166" s="558"/>
      <c r="SZZ166" s="558"/>
      <c r="TAA166" s="558"/>
      <c r="TAB166" s="558"/>
      <c r="TAC166" s="558"/>
      <c r="TAD166" s="558"/>
      <c r="TAE166" s="558"/>
      <c r="TAF166" s="558"/>
      <c r="TAG166" s="558"/>
      <c r="TAH166" s="558"/>
      <c r="TAI166" s="558"/>
      <c r="TAJ166" s="558"/>
      <c r="TAK166" s="558"/>
      <c r="TAL166" s="558"/>
      <c r="TAM166" s="558"/>
      <c r="TAN166" s="558"/>
      <c r="TAO166" s="558"/>
      <c r="TAP166" s="558"/>
      <c r="TAQ166" s="558"/>
      <c r="TAR166" s="558"/>
      <c r="TAS166" s="558"/>
      <c r="TAT166" s="558"/>
      <c r="TAU166" s="558"/>
      <c r="TAV166" s="558"/>
      <c r="TAW166" s="558"/>
      <c r="TAX166" s="558"/>
      <c r="TAY166" s="558"/>
      <c r="TAZ166" s="558"/>
      <c r="TBA166" s="558"/>
      <c r="TBB166" s="558"/>
      <c r="TBC166" s="558"/>
      <c r="TBD166" s="558"/>
      <c r="TBE166" s="558"/>
      <c r="TBF166" s="558"/>
      <c r="TBG166" s="558"/>
      <c r="TBH166" s="558"/>
      <c r="TBI166" s="558"/>
      <c r="TBJ166" s="558"/>
      <c r="TBK166" s="558"/>
      <c r="TBL166" s="558"/>
      <c r="TBM166" s="558"/>
      <c r="TBN166" s="558"/>
      <c r="TBO166" s="558"/>
      <c r="TBP166" s="558"/>
      <c r="TBQ166" s="558"/>
      <c r="TBR166" s="558"/>
      <c r="TBS166" s="558"/>
      <c r="TBT166" s="558"/>
      <c r="TBU166" s="558"/>
      <c r="TBV166" s="558"/>
      <c r="TBW166" s="558"/>
      <c r="TBX166" s="558"/>
      <c r="TBY166" s="558"/>
      <c r="TBZ166" s="558"/>
      <c r="TCA166" s="558"/>
      <c r="TCB166" s="558"/>
      <c r="TCC166" s="558"/>
      <c r="TCD166" s="558"/>
      <c r="TCE166" s="558"/>
      <c r="TCF166" s="558"/>
      <c r="TCG166" s="558"/>
      <c r="TCH166" s="558"/>
      <c r="TCI166" s="558"/>
      <c r="TCJ166" s="558"/>
      <c r="TCK166" s="558"/>
      <c r="TCL166" s="558"/>
      <c r="TCM166" s="558"/>
      <c r="TCN166" s="558"/>
      <c r="TCO166" s="558"/>
      <c r="TCP166" s="558"/>
      <c r="TCQ166" s="558"/>
      <c r="TCR166" s="558"/>
      <c r="TCS166" s="558"/>
      <c r="TCT166" s="558"/>
      <c r="TCU166" s="558"/>
      <c r="TCV166" s="558"/>
      <c r="TCW166" s="558"/>
      <c r="TCX166" s="558"/>
      <c r="TCY166" s="558"/>
      <c r="TCZ166" s="558"/>
      <c r="TDA166" s="558"/>
      <c r="TDB166" s="558"/>
      <c r="TDC166" s="558"/>
      <c r="TDD166" s="558"/>
      <c r="TDE166" s="558"/>
      <c r="TDF166" s="558"/>
      <c r="TDG166" s="558"/>
      <c r="TDH166" s="558"/>
      <c r="TDI166" s="558"/>
      <c r="TDJ166" s="558"/>
      <c r="TDK166" s="558"/>
      <c r="TDL166" s="558"/>
      <c r="TDM166" s="558"/>
      <c r="TDN166" s="558"/>
      <c r="TDO166" s="558"/>
      <c r="TDP166" s="558"/>
      <c r="TDQ166" s="558"/>
      <c r="TDR166" s="558"/>
      <c r="TDS166" s="558"/>
      <c r="TDT166" s="558"/>
      <c r="TDU166" s="558"/>
      <c r="TDV166" s="558"/>
      <c r="TDW166" s="558"/>
      <c r="TDX166" s="558"/>
      <c r="TDY166" s="558"/>
      <c r="TDZ166" s="558"/>
      <c r="TEA166" s="558"/>
      <c r="TEB166" s="558"/>
      <c r="TEC166" s="558"/>
      <c r="TED166" s="558"/>
      <c r="TEE166" s="558"/>
      <c r="TEF166" s="558"/>
      <c r="TEG166" s="558"/>
      <c r="TEH166" s="558"/>
      <c r="TEI166" s="558"/>
      <c r="TEJ166" s="558"/>
      <c r="TEK166" s="558"/>
      <c r="TEL166" s="558"/>
      <c r="TEM166" s="558"/>
      <c r="TEN166" s="558"/>
      <c r="TEO166" s="558"/>
      <c r="TEP166" s="558"/>
      <c r="TEQ166" s="558"/>
      <c r="TER166" s="558"/>
      <c r="TES166" s="558"/>
      <c r="TET166" s="558"/>
      <c r="TEU166" s="558"/>
      <c r="TEV166" s="558"/>
      <c r="TEW166" s="558"/>
      <c r="TEX166" s="558"/>
      <c r="TEY166" s="558"/>
      <c r="TEZ166" s="558"/>
      <c r="TFA166" s="558"/>
      <c r="TFB166" s="558"/>
      <c r="TFC166" s="558"/>
      <c r="TFD166" s="558"/>
      <c r="TFE166" s="558"/>
      <c r="TFF166" s="558"/>
      <c r="TFG166" s="558"/>
      <c r="TFH166" s="558"/>
      <c r="TFI166" s="558"/>
      <c r="TFJ166" s="558"/>
      <c r="TFK166" s="558"/>
      <c r="TFL166" s="558"/>
      <c r="TFM166" s="558"/>
      <c r="TFN166" s="558"/>
      <c r="TFO166" s="558"/>
      <c r="TFP166" s="558"/>
      <c r="TFQ166" s="558"/>
      <c r="TFR166" s="558"/>
      <c r="TFS166" s="558"/>
      <c r="TFT166" s="558"/>
      <c r="TFU166" s="558"/>
      <c r="TFV166" s="558"/>
      <c r="TFW166" s="558"/>
      <c r="TFX166" s="558"/>
      <c r="TFY166" s="558"/>
      <c r="TFZ166" s="558"/>
      <c r="TGA166" s="558"/>
      <c r="TGB166" s="558"/>
      <c r="TGC166" s="558"/>
      <c r="TGD166" s="558"/>
      <c r="TGE166" s="558"/>
      <c r="TGF166" s="558"/>
      <c r="TGG166" s="558"/>
      <c r="TGH166" s="558"/>
      <c r="TGI166" s="558"/>
      <c r="TGJ166" s="558"/>
      <c r="TGK166" s="558"/>
      <c r="TGL166" s="558"/>
      <c r="TGM166" s="558"/>
      <c r="TGN166" s="558"/>
      <c r="TGO166" s="558"/>
      <c r="TGP166" s="558"/>
      <c r="TGQ166" s="558"/>
      <c r="TGR166" s="558"/>
      <c r="TGS166" s="558"/>
      <c r="TGT166" s="558"/>
      <c r="TGU166" s="558"/>
      <c r="TGV166" s="558"/>
      <c r="TGW166" s="558"/>
      <c r="TGX166" s="558"/>
      <c r="TGY166" s="558"/>
      <c r="TGZ166" s="558"/>
      <c r="THA166" s="558"/>
      <c r="THB166" s="558"/>
      <c r="THC166" s="558"/>
      <c r="THD166" s="558"/>
      <c r="THE166" s="558"/>
      <c r="THF166" s="558"/>
      <c r="THG166" s="558"/>
      <c r="THH166" s="558"/>
      <c r="THI166" s="558"/>
      <c r="THJ166" s="558"/>
      <c r="THK166" s="558"/>
      <c r="THL166" s="558"/>
      <c r="THM166" s="558"/>
      <c r="THN166" s="558"/>
      <c r="THO166" s="558"/>
      <c r="THP166" s="558"/>
      <c r="THQ166" s="558"/>
      <c r="THR166" s="558"/>
      <c r="THS166" s="558"/>
      <c r="THT166" s="558"/>
      <c r="THU166" s="558"/>
      <c r="THV166" s="558"/>
      <c r="THW166" s="558"/>
      <c r="THX166" s="558"/>
      <c r="THY166" s="558"/>
      <c r="THZ166" s="558"/>
      <c r="TIA166" s="558"/>
      <c r="TIB166" s="558"/>
      <c r="TIC166" s="558"/>
      <c r="TID166" s="558"/>
      <c r="TIE166" s="558"/>
      <c r="TIF166" s="558"/>
      <c r="TIG166" s="558"/>
      <c r="TIH166" s="558"/>
      <c r="TII166" s="558"/>
      <c r="TIJ166" s="558"/>
      <c r="TIK166" s="558"/>
      <c r="TIL166" s="558"/>
      <c r="TIM166" s="558"/>
      <c r="TIN166" s="558"/>
      <c r="TIO166" s="558"/>
      <c r="TIP166" s="558"/>
      <c r="TIQ166" s="558"/>
      <c r="TIR166" s="558"/>
      <c r="TIS166" s="558"/>
      <c r="TIT166" s="558"/>
      <c r="TIU166" s="558"/>
      <c r="TIV166" s="558"/>
      <c r="TIW166" s="558"/>
      <c r="TIX166" s="558"/>
      <c r="TIY166" s="558"/>
      <c r="TIZ166" s="558"/>
      <c r="TJA166" s="558"/>
      <c r="TJB166" s="558"/>
      <c r="TJC166" s="558"/>
      <c r="TJD166" s="558"/>
      <c r="TJE166" s="558"/>
      <c r="TJF166" s="558"/>
      <c r="TJG166" s="558"/>
      <c r="TJH166" s="558"/>
      <c r="TJI166" s="558"/>
      <c r="TJJ166" s="558"/>
      <c r="TJK166" s="558"/>
      <c r="TJL166" s="558"/>
      <c r="TJM166" s="558"/>
      <c r="TJN166" s="558"/>
      <c r="TJO166" s="558"/>
      <c r="TJP166" s="558"/>
      <c r="TJQ166" s="558"/>
      <c r="TJR166" s="558"/>
      <c r="TJS166" s="558"/>
      <c r="TJT166" s="558"/>
      <c r="TJU166" s="558"/>
      <c r="TJV166" s="558"/>
      <c r="TJW166" s="558"/>
      <c r="TJX166" s="558"/>
      <c r="TJY166" s="558"/>
      <c r="TJZ166" s="558"/>
      <c r="TKA166" s="558"/>
      <c r="TKB166" s="558"/>
      <c r="TKC166" s="558"/>
      <c r="TKD166" s="558"/>
      <c r="TKE166" s="558"/>
      <c r="TKF166" s="558"/>
      <c r="TKG166" s="558"/>
      <c r="TKH166" s="558"/>
      <c r="TKI166" s="558"/>
      <c r="TKJ166" s="558"/>
      <c r="TKK166" s="558"/>
      <c r="TKL166" s="558"/>
      <c r="TKM166" s="558"/>
      <c r="TKN166" s="558"/>
      <c r="TKO166" s="558"/>
      <c r="TKP166" s="558"/>
      <c r="TKQ166" s="558"/>
      <c r="TKR166" s="558"/>
      <c r="TKS166" s="558"/>
      <c r="TKT166" s="558"/>
      <c r="TKU166" s="558"/>
      <c r="TKV166" s="558"/>
      <c r="TKW166" s="558"/>
      <c r="TKX166" s="558"/>
      <c r="TKY166" s="558"/>
      <c r="TKZ166" s="558"/>
      <c r="TLA166" s="558"/>
      <c r="TLB166" s="558"/>
      <c r="TLC166" s="558"/>
      <c r="TLD166" s="558"/>
      <c r="TLE166" s="558"/>
      <c r="TLF166" s="558"/>
      <c r="TLG166" s="558"/>
      <c r="TLH166" s="558"/>
      <c r="TLI166" s="558"/>
      <c r="TLJ166" s="558"/>
      <c r="TLK166" s="558"/>
      <c r="TLL166" s="558"/>
      <c r="TLM166" s="558"/>
      <c r="TLN166" s="558"/>
      <c r="TLO166" s="558"/>
      <c r="TLP166" s="558"/>
      <c r="TLQ166" s="558"/>
      <c r="TLR166" s="558"/>
      <c r="TLS166" s="558"/>
      <c r="TLT166" s="558"/>
      <c r="TLU166" s="558"/>
      <c r="TLV166" s="558"/>
      <c r="TLW166" s="558"/>
      <c r="TLX166" s="558"/>
      <c r="TLY166" s="558"/>
      <c r="TLZ166" s="558"/>
      <c r="TMA166" s="558"/>
      <c r="TMB166" s="558"/>
      <c r="TMC166" s="558"/>
      <c r="TMD166" s="558"/>
      <c r="TME166" s="558"/>
      <c r="TMF166" s="558"/>
      <c r="TMG166" s="558"/>
      <c r="TMH166" s="558"/>
      <c r="TMI166" s="558"/>
      <c r="TMJ166" s="558"/>
      <c r="TMK166" s="558"/>
      <c r="TML166" s="558"/>
      <c r="TMM166" s="558"/>
      <c r="TMN166" s="558"/>
      <c r="TMO166" s="558"/>
      <c r="TMP166" s="558"/>
      <c r="TMQ166" s="558"/>
      <c r="TMR166" s="558"/>
      <c r="TMS166" s="558"/>
      <c r="TMT166" s="558"/>
      <c r="TMU166" s="558"/>
      <c r="TMV166" s="558"/>
      <c r="TMW166" s="558"/>
      <c r="TMX166" s="558"/>
      <c r="TMY166" s="558"/>
      <c r="TMZ166" s="558"/>
      <c r="TNA166" s="558"/>
      <c r="TNB166" s="558"/>
      <c r="TNC166" s="558"/>
      <c r="TND166" s="558"/>
      <c r="TNE166" s="558"/>
      <c r="TNF166" s="558"/>
      <c r="TNG166" s="558"/>
      <c r="TNH166" s="558"/>
      <c r="TNI166" s="558"/>
      <c r="TNJ166" s="558"/>
      <c r="TNK166" s="558"/>
      <c r="TNL166" s="558"/>
      <c r="TNM166" s="558"/>
      <c r="TNN166" s="558"/>
      <c r="TNO166" s="558"/>
      <c r="TNP166" s="558"/>
      <c r="TNQ166" s="558"/>
      <c r="TNR166" s="558"/>
      <c r="TNS166" s="558"/>
      <c r="TNT166" s="558"/>
      <c r="TNU166" s="558"/>
      <c r="TNV166" s="558"/>
      <c r="TNW166" s="558"/>
      <c r="TNX166" s="558"/>
      <c r="TNY166" s="558"/>
      <c r="TNZ166" s="558"/>
      <c r="TOA166" s="558"/>
      <c r="TOB166" s="558"/>
      <c r="TOC166" s="558"/>
      <c r="TOD166" s="558"/>
      <c r="TOE166" s="558"/>
      <c r="TOF166" s="558"/>
      <c r="TOG166" s="558"/>
      <c r="TOH166" s="558"/>
      <c r="TOI166" s="558"/>
      <c r="TOJ166" s="558"/>
      <c r="TOK166" s="558"/>
      <c r="TOL166" s="558"/>
      <c r="TOM166" s="558"/>
      <c r="TON166" s="558"/>
      <c r="TOO166" s="558"/>
      <c r="TOP166" s="558"/>
      <c r="TOQ166" s="558"/>
      <c r="TOR166" s="558"/>
      <c r="TOS166" s="558"/>
      <c r="TOT166" s="558"/>
      <c r="TOU166" s="558"/>
      <c r="TOV166" s="558"/>
      <c r="TOW166" s="558"/>
      <c r="TOX166" s="558"/>
      <c r="TOY166" s="558"/>
      <c r="TOZ166" s="558"/>
      <c r="TPA166" s="558"/>
      <c r="TPB166" s="558"/>
      <c r="TPC166" s="558"/>
      <c r="TPD166" s="558"/>
      <c r="TPE166" s="558"/>
      <c r="TPF166" s="558"/>
      <c r="TPG166" s="558"/>
      <c r="TPH166" s="558"/>
      <c r="TPI166" s="558"/>
      <c r="TPJ166" s="558"/>
      <c r="TPK166" s="558"/>
      <c r="TPL166" s="558"/>
      <c r="TPM166" s="558"/>
      <c r="TPN166" s="558"/>
      <c r="TPO166" s="558"/>
      <c r="TPP166" s="558"/>
      <c r="TPQ166" s="558"/>
      <c r="TPR166" s="558"/>
      <c r="TPS166" s="558"/>
      <c r="TPT166" s="558"/>
      <c r="TPU166" s="558"/>
      <c r="TPV166" s="558"/>
      <c r="TPW166" s="558"/>
      <c r="TPX166" s="558"/>
      <c r="TPY166" s="558"/>
      <c r="TPZ166" s="558"/>
      <c r="TQA166" s="558"/>
      <c r="TQB166" s="558"/>
      <c r="TQC166" s="558"/>
      <c r="TQD166" s="558"/>
      <c r="TQE166" s="558"/>
      <c r="TQF166" s="558"/>
      <c r="TQG166" s="558"/>
      <c r="TQH166" s="558"/>
      <c r="TQI166" s="558"/>
      <c r="TQJ166" s="558"/>
      <c r="TQK166" s="558"/>
      <c r="TQL166" s="558"/>
      <c r="TQM166" s="558"/>
      <c r="TQN166" s="558"/>
      <c r="TQO166" s="558"/>
      <c r="TQP166" s="558"/>
      <c r="TQQ166" s="558"/>
      <c r="TQR166" s="558"/>
      <c r="TQS166" s="558"/>
      <c r="TQT166" s="558"/>
      <c r="TQU166" s="558"/>
      <c r="TQV166" s="558"/>
      <c r="TQW166" s="558"/>
      <c r="TQX166" s="558"/>
      <c r="TQY166" s="558"/>
      <c r="TQZ166" s="558"/>
      <c r="TRA166" s="558"/>
      <c r="TRB166" s="558"/>
      <c r="TRC166" s="558"/>
      <c r="TRD166" s="558"/>
      <c r="TRE166" s="558"/>
      <c r="TRF166" s="558"/>
      <c r="TRG166" s="558"/>
      <c r="TRH166" s="558"/>
      <c r="TRI166" s="558"/>
      <c r="TRJ166" s="558"/>
      <c r="TRK166" s="558"/>
      <c r="TRL166" s="558"/>
      <c r="TRM166" s="558"/>
      <c r="TRN166" s="558"/>
      <c r="TRO166" s="558"/>
      <c r="TRP166" s="558"/>
      <c r="TRQ166" s="558"/>
      <c r="TRR166" s="558"/>
      <c r="TRS166" s="558"/>
      <c r="TRT166" s="558"/>
      <c r="TRU166" s="558"/>
      <c r="TRV166" s="558"/>
      <c r="TRW166" s="558"/>
      <c r="TRX166" s="558"/>
      <c r="TRY166" s="558"/>
      <c r="TRZ166" s="558"/>
      <c r="TSA166" s="558"/>
      <c r="TSB166" s="558"/>
      <c r="TSC166" s="558"/>
      <c r="TSD166" s="558"/>
      <c r="TSE166" s="558"/>
      <c r="TSF166" s="558"/>
      <c r="TSG166" s="558"/>
      <c r="TSH166" s="558"/>
      <c r="TSI166" s="558"/>
      <c r="TSJ166" s="558"/>
      <c r="TSK166" s="558"/>
      <c r="TSL166" s="558"/>
      <c r="TSM166" s="558"/>
      <c r="TSN166" s="558"/>
      <c r="TSO166" s="558"/>
      <c r="TSP166" s="558"/>
      <c r="TSQ166" s="558"/>
      <c r="TSR166" s="558"/>
      <c r="TSS166" s="558"/>
      <c r="TST166" s="558"/>
      <c r="TSU166" s="558"/>
      <c r="TSV166" s="558"/>
      <c r="TSW166" s="558"/>
      <c r="TSX166" s="558"/>
      <c r="TSY166" s="558"/>
      <c r="TSZ166" s="558"/>
      <c r="TTA166" s="558"/>
      <c r="TTB166" s="558"/>
      <c r="TTC166" s="558"/>
      <c r="TTD166" s="558"/>
      <c r="TTE166" s="558"/>
      <c r="TTF166" s="558"/>
      <c r="TTG166" s="558"/>
      <c r="TTH166" s="558"/>
      <c r="TTI166" s="558"/>
      <c r="TTJ166" s="558"/>
      <c r="TTK166" s="558"/>
      <c r="TTL166" s="558"/>
      <c r="TTM166" s="558"/>
      <c r="TTN166" s="558"/>
      <c r="TTO166" s="558"/>
      <c r="TTP166" s="558"/>
      <c r="TTQ166" s="558"/>
      <c r="TTR166" s="558"/>
      <c r="TTS166" s="558"/>
      <c r="TTT166" s="558"/>
      <c r="TTU166" s="558"/>
      <c r="TTV166" s="558"/>
      <c r="TTW166" s="558"/>
      <c r="TTX166" s="558"/>
      <c r="TTY166" s="558"/>
      <c r="TTZ166" s="558"/>
      <c r="TUA166" s="558"/>
      <c r="TUB166" s="558"/>
      <c r="TUC166" s="558"/>
      <c r="TUD166" s="558"/>
      <c r="TUE166" s="558"/>
      <c r="TUF166" s="558"/>
      <c r="TUG166" s="558"/>
      <c r="TUH166" s="558"/>
      <c r="TUI166" s="558"/>
      <c r="TUJ166" s="558"/>
      <c r="TUK166" s="558"/>
      <c r="TUL166" s="558"/>
      <c r="TUM166" s="558"/>
      <c r="TUN166" s="558"/>
      <c r="TUO166" s="558"/>
      <c r="TUP166" s="558"/>
      <c r="TUQ166" s="558"/>
      <c r="TUR166" s="558"/>
      <c r="TUS166" s="558"/>
      <c r="TUT166" s="558"/>
      <c r="TUU166" s="558"/>
      <c r="TUV166" s="558"/>
      <c r="TUW166" s="558"/>
      <c r="TUX166" s="558"/>
      <c r="TUY166" s="558"/>
      <c r="TUZ166" s="558"/>
      <c r="TVA166" s="558"/>
      <c r="TVB166" s="558"/>
      <c r="TVC166" s="558"/>
      <c r="TVD166" s="558"/>
      <c r="TVE166" s="558"/>
      <c r="TVF166" s="558"/>
      <c r="TVG166" s="558"/>
      <c r="TVH166" s="558"/>
      <c r="TVI166" s="558"/>
      <c r="TVJ166" s="558"/>
      <c r="TVK166" s="558"/>
      <c r="TVL166" s="558"/>
      <c r="TVM166" s="558"/>
      <c r="TVN166" s="558"/>
      <c r="TVO166" s="558"/>
      <c r="TVP166" s="558"/>
      <c r="TVQ166" s="558"/>
      <c r="TVR166" s="558"/>
      <c r="TVS166" s="558"/>
      <c r="TVT166" s="558"/>
      <c r="TVU166" s="558"/>
      <c r="TVV166" s="558"/>
      <c r="TVW166" s="558"/>
      <c r="TVX166" s="558"/>
      <c r="TVY166" s="558"/>
      <c r="TVZ166" s="558"/>
      <c r="TWA166" s="558"/>
      <c r="TWB166" s="558"/>
      <c r="TWC166" s="558"/>
      <c r="TWD166" s="558"/>
      <c r="TWE166" s="558"/>
      <c r="TWF166" s="558"/>
      <c r="TWG166" s="558"/>
      <c r="TWH166" s="558"/>
      <c r="TWI166" s="558"/>
      <c r="TWJ166" s="558"/>
      <c r="TWK166" s="558"/>
      <c r="TWL166" s="558"/>
      <c r="TWM166" s="558"/>
      <c r="TWN166" s="558"/>
      <c r="TWO166" s="558"/>
      <c r="TWP166" s="558"/>
      <c r="TWQ166" s="558"/>
      <c r="TWR166" s="558"/>
      <c r="TWS166" s="558"/>
      <c r="TWT166" s="558"/>
      <c r="TWU166" s="558"/>
      <c r="TWV166" s="558"/>
      <c r="TWW166" s="558"/>
      <c r="TWX166" s="558"/>
      <c r="TWY166" s="558"/>
      <c r="TWZ166" s="558"/>
      <c r="TXA166" s="558"/>
      <c r="TXB166" s="558"/>
      <c r="TXC166" s="558"/>
      <c r="TXD166" s="558"/>
      <c r="TXE166" s="558"/>
      <c r="TXF166" s="558"/>
      <c r="TXG166" s="558"/>
      <c r="TXH166" s="558"/>
      <c r="TXI166" s="558"/>
      <c r="TXJ166" s="558"/>
      <c r="TXK166" s="558"/>
      <c r="TXL166" s="558"/>
      <c r="TXM166" s="558"/>
      <c r="TXN166" s="558"/>
      <c r="TXO166" s="558"/>
      <c r="TXP166" s="558"/>
      <c r="TXQ166" s="558"/>
      <c r="TXR166" s="558"/>
      <c r="TXS166" s="558"/>
      <c r="TXT166" s="558"/>
      <c r="TXU166" s="558"/>
      <c r="TXV166" s="558"/>
      <c r="TXW166" s="558"/>
      <c r="TXX166" s="558"/>
      <c r="TXY166" s="558"/>
      <c r="TXZ166" s="558"/>
      <c r="TYA166" s="558"/>
      <c r="TYB166" s="558"/>
      <c r="TYC166" s="558"/>
      <c r="TYD166" s="558"/>
      <c r="TYE166" s="558"/>
      <c r="TYF166" s="558"/>
      <c r="TYG166" s="558"/>
      <c r="TYH166" s="558"/>
      <c r="TYI166" s="558"/>
      <c r="TYJ166" s="558"/>
      <c r="TYK166" s="558"/>
      <c r="TYL166" s="558"/>
      <c r="TYM166" s="558"/>
      <c r="TYN166" s="558"/>
      <c r="TYO166" s="558"/>
      <c r="TYP166" s="558"/>
      <c r="TYQ166" s="558"/>
      <c r="TYR166" s="558"/>
      <c r="TYS166" s="558"/>
      <c r="TYT166" s="558"/>
      <c r="TYU166" s="558"/>
      <c r="TYV166" s="558"/>
      <c r="TYW166" s="558"/>
      <c r="TYX166" s="558"/>
      <c r="TYY166" s="558"/>
      <c r="TYZ166" s="558"/>
      <c r="TZA166" s="558"/>
      <c r="TZB166" s="558"/>
      <c r="TZC166" s="558"/>
      <c r="TZD166" s="558"/>
      <c r="TZE166" s="558"/>
      <c r="TZF166" s="558"/>
      <c r="TZG166" s="558"/>
      <c r="TZH166" s="558"/>
      <c r="TZI166" s="558"/>
      <c r="TZJ166" s="558"/>
      <c r="TZK166" s="558"/>
      <c r="TZL166" s="558"/>
      <c r="TZM166" s="558"/>
      <c r="TZN166" s="558"/>
      <c r="TZO166" s="558"/>
      <c r="TZP166" s="558"/>
      <c r="TZQ166" s="558"/>
      <c r="TZR166" s="558"/>
      <c r="TZS166" s="558"/>
      <c r="TZT166" s="558"/>
      <c r="TZU166" s="558"/>
      <c r="TZV166" s="558"/>
      <c r="TZW166" s="558"/>
      <c r="TZX166" s="558"/>
      <c r="TZY166" s="558"/>
      <c r="TZZ166" s="558"/>
      <c r="UAA166" s="558"/>
      <c r="UAB166" s="558"/>
      <c r="UAC166" s="558"/>
      <c r="UAD166" s="558"/>
      <c r="UAE166" s="558"/>
      <c r="UAF166" s="558"/>
      <c r="UAG166" s="558"/>
      <c r="UAH166" s="558"/>
      <c r="UAI166" s="558"/>
      <c r="UAJ166" s="558"/>
      <c r="UAK166" s="558"/>
      <c r="UAL166" s="558"/>
      <c r="UAM166" s="558"/>
      <c r="UAN166" s="558"/>
      <c r="UAO166" s="558"/>
      <c r="UAP166" s="558"/>
      <c r="UAQ166" s="558"/>
      <c r="UAR166" s="558"/>
      <c r="UAS166" s="558"/>
      <c r="UAT166" s="558"/>
      <c r="UAU166" s="558"/>
      <c r="UAV166" s="558"/>
      <c r="UAW166" s="558"/>
      <c r="UAX166" s="558"/>
      <c r="UAY166" s="558"/>
      <c r="UAZ166" s="558"/>
      <c r="UBA166" s="558"/>
      <c r="UBB166" s="558"/>
      <c r="UBC166" s="558"/>
      <c r="UBD166" s="558"/>
      <c r="UBE166" s="558"/>
      <c r="UBF166" s="558"/>
      <c r="UBG166" s="558"/>
      <c r="UBH166" s="558"/>
      <c r="UBI166" s="558"/>
      <c r="UBJ166" s="558"/>
      <c r="UBK166" s="558"/>
      <c r="UBL166" s="558"/>
      <c r="UBM166" s="558"/>
      <c r="UBN166" s="558"/>
      <c r="UBO166" s="558"/>
      <c r="UBP166" s="558"/>
      <c r="UBQ166" s="558"/>
      <c r="UBR166" s="558"/>
      <c r="UBS166" s="558"/>
      <c r="UBT166" s="558"/>
      <c r="UBU166" s="558"/>
      <c r="UBV166" s="558"/>
      <c r="UBW166" s="558"/>
      <c r="UBX166" s="558"/>
      <c r="UBY166" s="558"/>
      <c r="UBZ166" s="558"/>
      <c r="UCA166" s="558"/>
      <c r="UCB166" s="558"/>
      <c r="UCC166" s="558"/>
      <c r="UCD166" s="558"/>
      <c r="UCE166" s="558"/>
      <c r="UCF166" s="558"/>
      <c r="UCG166" s="558"/>
      <c r="UCH166" s="558"/>
      <c r="UCI166" s="558"/>
      <c r="UCJ166" s="558"/>
      <c r="UCK166" s="558"/>
      <c r="UCL166" s="558"/>
      <c r="UCM166" s="558"/>
      <c r="UCN166" s="558"/>
      <c r="UCO166" s="558"/>
      <c r="UCP166" s="558"/>
      <c r="UCQ166" s="558"/>
      <c r="UCR166" s="558"/>
      <c r="UCS166" s="558"/>
      <c r="UCT166" s="558"/>
      <c r="UCU166" s="558"/>
      <c r="UCV166" s="558"/>
      <c r="UCW166" s="558"/>
      <c r="UCX166" s="558"/>
      <c r="UCY166" s="558"/>
      <c r="UCZ166" s="558"/>
      <c r="UDA166" s="558"/>
      <c r="UDB166" s="558"/>
      <c r="UDC166" s="558"/>
      <c r="UDD166" s="558"/>
      <c r="UDE166" s="558"/>
      <c r="UDF166" s="558"/>
      <c r="UDG166" s="558"/>
      <c r="UDH166" s="558"/>
      <c r="UDI166" s="558"/>
      <c r="UDJ166" s="558"/>
      <c r="UDK166" s="558"/>
      <c r="UDL166" s="558"/>
      <c r="UDM166" s="558"/>
      <c r="UDN166" s="558"/>
      <c r="UDO166" s="558"/>
      <c r="UDP166" s="558"/>
      <c r="UDQ166" s="558"/>
      <c r="UDR166" s="558"/>
      <c r="UDS166" s="558"/>
      <c r="UDT166" s="558"/>
      <c r="UDU166" s="558"/>
      <c r="UDV166" s="558"/>
      <c r="UDW166" s="558"/>
      <c r="UDX166" s="558"/>
      <c r="UDY166" s="558"/>
      <c r="UDZ166" s="558"/>
      <c r="UEA166" s="558"/>
      <c r="UEB166" s="558"/>
      <c r="UEC166" s="558"/>
      <c r="UED166" s="558"/>
      <c r="UEE166" s="558"/>
      <c r="UEF166" s="558"/>
      <c r="UEG166" s="558"/>
      <c r="UEH166" s="558"/>
      <c r="UEI166" s="558"/>
      <c r="UEJ166" s="558"/>
      <c r="UEK166" s="558"/>
      <c r="UEL166" s="558"/>
      <c r="UEM166" s="558"/>
      <c r="UEN166" s="558"/>
      <c r="UEO166" s="558"/>
      <c r="UEP166" s="558"/>
      <c r="UEQ166" s="558"/>
      <c r="UER166" s="558"/>
      <c r="UES166" s="558"/>
      <c r="UET166" s="558"/>
      <c r="UEU166" s="558"/>
      <c r="UEV166" s="558"/>
      <c r="UEW166" s="558"/>
      <c r="UEX166" s="558"/>
      <c r="UEY166" s="558"/>
      <c r="UEZ166" s="558"/>
      <c r="UFA166" s="558"/>
      <c r="UFB166" s="558"/>
      <c r="UFC166" s="558"/>
      <c r="UFD166" s="558"/>
      <c r="UFE166" s="558"/>
      <c r="UFF166" s="558"/>
      <c r="UFG166" s="558"/>
      <c r="UFH166" s="558"/>
      <c r="UFI166" s="558"/>
      <c r="UFJ166" s="558"/>
      <c r="UFK166" s="558"/>
      <c r="UFL166" s="558"/>
      <c r="UFM166" s="558"/>
      <c r="UFN166" s="558"/>
      <c r="UFO166" s="558"/>
      <c r="UFP166" s="558"/>
      <c r="UFQ166" s="558"/>
      <c r="UFR166" s="558"/>
      <c r="UFS166" s="558"/>
      <c r="UFT166" s="558"/>
      <c r="UFU166" s="558"/>
      <c r="UFV166" s="558"/>
      <c r="UFW166" s="558"/>
      <c r="UFX166" s="558"/>
      <c r="UFY166" s="558"/>
      <c r="UFZ166" s="558"/>
      <c r="UGA166" s="558"/>
      <c r="UGB166" s="558"/>
      <c r="UGC166" s="558"/>
      <c r="UGD166" s="558"/>
      <c r="UGE166" s="558"/>
      <c r="UGF166" s="558"/>
      <c r="UGG166" s="558"/>
      <c r="UGH166" s="558"/>
      <c r="UGI166" s="558"/>
      <c r="UGJ166" s="558"/>
      <c r="UGK166" s="558"/>
      <c r="UGL166" s="558"/>
      <c r="UGM166" s="558"/>
      <c r="UGN166" s="558"/>
      <c r="UGO166" s="558"/>
      <c r="UGP166" s="558"/>
      <c r="UGQ166" s="558"/>
      <c r="UGR166" s="558"/>
      <c r="UGS166" s="558"/>
      <c r="UGT166" s="558"/>
      <c r="UGU166" s="558"/>
      <c r="UGV166" s="558"/>
      <c r="UGW166" s="558"/>
      <c r="UGX166" s="558"/>
      <c r="UGY166" s="558"/>
      <c r="UGZ166" s="558"/>
      <c r="UHA166" s="558"/>
      <c r="UHB166" s="558"/>
      <c r="UHC166" s="558"/>
      <c r="UHD166" s="558"/>
      <c r="UHE166" s="558"/>
      <c r="UHF166" s="558"/>
      <c r="UHG166" s="558"/>
      <c r="UHH166" s="558"/>
      <c r="UHI166" s="558"/>
      <c r="UHJ166" s="558"/>
      <c r="UHK166" s="558"/>
      <c r="UHL166" s="558"/>
      <c r="UHM166" s="558"/>
      <c r="UHN166" s="558"/>
      <c r="UHO166" s="558"/>
      <c r="UHP166" s="558"/>
      <c r="UHQ166" s="558"/>
      <c r="UHR166" s="558"/>
      <c r="UHS166" s="558"/>
      <c r="UHT166" s="558"/>
      <c r="UHU166" s="558"/>
      <c r="UHV166" s="558"/>
      <c r="UHW166" s="558"/>
      <c r="UHX166" s="558"/>
      <c r="UHY166" s="558"/>
      <c r="UHZ166" s="558"/>
      <c r="UIA166" s="558"/>
      <c r="UIB166" s="558"/>
      <c r="UIC166" s="558"/>
      <c r="UID166" s="558"/>
      <c r="UIE166" s="558"/>
      <c r="UIF166" s="558"/>
      <c r="UIG166" s="558"/>
      <c r="UIH166" s="558"/>
      <c r="UII166" s="558"/>
      <c r="UIJ166" s="558"/>
      <c r="UIK166" s="558"/>
      <c r="UIL166" s="558"/>
      <c r="UIM166" s="558"/>
      <c r="UIN166" s="558"/>
      <c r="UIO166" s="558"/>
      <c r="UIP166" s="558"/>
      <c r="UIQ166" s="558"/>
      <c r="UIR166" s="558"/>
      <c r="UIS166" s="558"/>
      <c r="UIT166" s="558"/>
      <c r="UIU166" s="558"/>
      <c r="UIV166" s="558"/>
      <c r="UIW166" s="558"/>
      <c r="UIX166" s="558"/>
      <c r="UIY166" s="558"/>
      <c r="UIZ166" s="558"/>
      <c r="UJA166" s="558"/>
      <c r="UJB166" s="558"/>
      <c r="UJC166" s="558"/>
      <c r="UJD166" s="558"/>
      <c r="UJE166" s="558"/>
      <c r="UJF166" s="558"/>
      <c r="UJG166" s="558"/>
      <c r="UJH166" s="558"/>
      <c r="UJI166" s="558"/>
      <c r="UJJ166" s="558"/>
      <c r="UJK166" s="558"/>
      <c r="UJL166" s="558"/>
      <c r="UJM166" s="558"/>
      <c r="UJN166" s="558"/>
      <c r="UJO166" s="558"/>
      <c r="UJP166" s="558"/>
      <c r="UJQ166" s="558"/>
      <c r="UJR166" s="558"/>
      <c r="UJS166" s="558"/>
      <c r="UJT166" s="558"/>
      <c r="UJU166" s="558"/>
      <c r="UJV166" s="558"/>
      <c r="UJW166" s="558"/>
      <c r="UJX166" s="558"/>
      <c r="UJY166" s="558"/>
      <c r="UJZ166" s="558"/>
      <c r="UKA166" s="558"/>
      <c r="UKB166" s="558"/>
      <c r="UKC166" s="558"/>
      <c r="UKD166" s="558"/>
      <c r="UKE166" s="558"/>
      <c r="UKF166" s="558"/>
      <c r="UKG166" s="558"/>
      <c r="UKH166" s="558"/>
      <c r="UKI166" s="558"/>
      <c r="UKJ166" s="558"/>
      <c r="UKK166" s="558"/>
      <c r="UKL166" s="558"/>
      <c r="UKM166" s="558"/>
      <c r="UKN166" s="558"/>
      <c r="UKO166" s="558"/>
      <c r="UKP166" s="558"/>
      <c r="UKQ166" s="558"/>
      <c r="UKR166" s="558"/>
      <c r="UKS166" s="558"/>
      <c r="UKT166" s="558"/>
      <c r="UKU166" s="558"/>
      <c r="UKV166" s="558"/>
      <c r="UKW166" s="558"/>
      <c r="UKX166" s="558"/>
      <c r="UKY166" s="558"/>
      <c r="UKZ166" s="558"/>
      <c r="ULA166" s="558"/>
      <c r="ULB166" s="558"/>
      <c r="ULC166" s="558"/>
      <c r="ULD166" s="558"/>
      <c r="ULE166" s="558"/>
      <c r="ULF166" s="558"/>
      <c r="ULG166" s="558"/>
      <c r="ULH166" s="558"/>
      <c r="ULI166" s="558"/>
      <c r="ULJ166" s="558"/>
      <c r="ULK166" s="558"/>
      <c r="ULL166" s="558"/>
      <c r="ULM166" s="558"/>
      <c r="ULN166" s="558"/>
      <c r="ULO166" s="558"/>
      <c r="ULP166" s="558"/>
      <c r="ULQ166" s="558"/>
      <c r="ULR166" s="558"/>
      <c r="ULS166" s="558"/>
      <c r="ULT166" s="558"/>
      <c r="ULU166" s="558"/>
      <c r="ULV166" s="558"/>
      <c r="ULW166" s="558"/>
      <c r="ULX166" s="558"/>
      <c r="ULY166" s="558"/>
      <c r="ULZ166" s="558"/>
      <c r="UMA166" s="558"/>
      <c r="UMB166" s="558"/>
      <c r="UMC166" s="558"/>
      <c r="UMD166" s="558"/>
      <c r="UME166" s="558"/>
      <c r="UMF166" s="558"/>
      <c r="UMG166" s="558"/>
      <c r="UMH166" s="558"/>
      <c r="UMI166" s="558"/>
      <c r="UMJ166" s="558"/>
      <c r="UMK166" s="558"/>
      <c r="UML166" s="558"/>
      <c r="UMM166" s="558"/>
      <c r="UMN166" s="558"/>
      <c r="UMO166" s="558"/>
      <c r="UMP166" s="558"/>
      <c r="UMQ166" s="558"/>
      <c r="UMR166" s="558"/>
      <c r="UMS166" s="558"/>
      <c r="UMT166" s="558"/>
      <c r="UMU166" s="558"/>
      <c r="UMV166" s="558"/>
      <c r="UMW166" s="558"/>
      <c r="UMX166" s="558"/>
      <c r="UMY166" s="558"/>
      <c r="UMZ166" s="558"/>
      <c r="UNA166" s="558"/>
      <c r="UNB166" s="558"/>
      <c r="UNC166" s="558"/>
      <c r="UND166" s="558"/>
      <c r="UNE166" s="558"/>
      <c r="UNF166" s="558"/>
      <c r="UNG166" s="558"/>
      <c r="UNH166" s="558"/>
      <c r="UNI166" s="558"/>
      <c r="UNJ166" s="558"/>
      <c r="UNK166" s="558"/>
      <c r="UNL166" s="558"/>
      <c r="UNM166" s="558"/>
      <c r="UNN166" s="558"/>
      <c r="UNO166" s="558"/>
      <c r="UNP166" s="558"/>
      <c r="UNQ166" s="558"/>
      <c r="UNR166" s="558"/>
      <c r="UNS166" s="558"/>
      <c r="UNT166" s="558"/>
      <c r="UNU166" s="558"/>
      <c r="UNV166" s="558"/>
      <c r="UNW166" s="558"/>
      <c r="UNX166" s="558"/>
      <c r="UNY166" s="558"/>
      <c r="UNZ166" s="558"/>
      <c r="UOA166" s="558"/>
      <c r="UOB166" s="558"/>
      <c r="UOC166" s="558"/>
      <c r="UOD166" s="558"/>
      <c r="UOE166" s="558"/>
      <c r="UOF166" s="558"/>
      <c r="UOG166" s="558"/>
      <c r="UOH166" s="558"/>
      <c r="UOI166" s="558"/>
      <c r="UOJ166" s="558"/>
      <c r="UOK166" s="558"/>
      <c r="UOL166" s="558"/>
      <c r="UOM166" s="558"/>
      <c r="UON166" s="558"/>
      <c r="UOO166" s="558"/>
      <c r="UOP166" s="558"/>
      <c r="UOQ166" s="558"/>
      <c r="UOR166" s="558"/>
      <c r="UOS166" s="558"/>
      <c r="UOT166" s="558"/>
      <c r="UOU166" s="558"/>
      <c r="UOV166" s="558"/>
      <c r="UOW166" s="558"/>
      <c r="UOX166" s="558"/>
      <c r="UOY166" s="558"/>
      <c r="UOZ166" s="558"/>
      <c r="UPA166" s="558"/>
      <c r="UPB166" s="558"/>
      <c r="UPC166" s="558"/>
      <c r="UPD166" s="558"/>
      <c r="UPE166" s="558"/>
      <c r="UPF166" s="558"/>
      <c r="UPG166" s="558"/>
      <c r="UPH166" s="558"/>
      <c r="UPI166" s="558"/>
      <c r="UPJ166" s="558"/>
      <c r="UPK166" s="558"/>
      <c r="UPL166" s="558"/>
      <c r="UPM166" s="558"/>
      <c r="UPN166" s="558"/>
      <c r="UPO166" s="558"/>
      <c r="UPP166" s="558"/>
      <c r="UPQ166" s="558"/>
      <c r="UPR166" s="558"/>
      <c r="UPS166" s="558"/>
      <c r="UPT166" s="558"/>
      <c r="UPU166" s="558"/>
      <c r="UPV166" s="558"/>
      <c r="UPW166" s="558"/>
      <c r="UPX166" s="558"/>
      <c r="UPY166" s="558"/>
      <c r="UPZ166" s="558"/>
      <c r="UQA166" s="558"/>
      <c r="UQB166" s="558"/>
      <c r="UQC166" s="558"/>
      <c r="UQD166" s="558"/>
      <c r="UQE166" s="558"/>
      <c r="UQF166" s="558"/>
      <c r="UQG166" s="558"/>
      <c r="UQH166" s="558"/>
      <c r="UQI166" s="558"/>
      <c r="UQJ166" s="558"/>
      <c r="UQK166" s="558"/>
      <c r="UQL166" s="558"/>
      <c r="UQM166" s="558"/>
      <c r="UQN166" s="558"/>
      <c r="UQO166" s="558"/>
      <c r="UQP166" s="558"/>
      <c r="UQQ166" s="558"/>
      <c r="UQR166" s="558"/>
      <c r="UQS166" s="558"/>
      <c r="UQT166" s="558"/>
      <c r="UQU166" s="558"/>
      <c r="UQV166" s="558"/>
      <c r="UQW166" s="558"/>
      <c r="UQX166" s="558"/>
      <c r="UQY166" s="558"/>
      <c r="UQZ166" s="558"/>
      <c r="URA166" s="558"/>
      <c r="URB166" s="558"/>
      <c r="URC166" s="558"/>
      <c r="URD166" s="558"/>
      <c r="URE166" s="558"/>
      <c r="URF166" s="558"/>
      <c r="URG166" s="558"/>
      <c r="URH166" s="558"/>
      <c r="URI166" s="558"/>
      <c r="URJ166" s="558"/>
      <c r="URK166" s="558"/>
      <c r="URL166" s="558"/>
      <c r="URM166" s="558"/>
      <c r="URN166" s="558"/>
      <c r="URO166" s="558"/>
      <c r="URP166" s="558"/>
      <c r="URQ166" s="558"/>
      <c r="URR166" s="558"/>
      <c r="URS166" s="558"/>
      <c r="URT166" s="558"/>
      <c r="URU166" s="558"/>
      <c r="URV166" s="558"/>
      <c r="URW166" s="558"/>
      <c r="URX166" s="558"/>
      <c r="URY166" s="558"/>
      <c r="URZ166" s="558"/>
      <c r="USA166" s="558"/>
      <c r="USB166" s="558"/>
      <c r="USC166" s="558"/>
      <c r="USD166" s="558"/>
      <c r="USE166" s="558"/>
      <c r="USF166" s="558"/>
      <c r="USG166" s="558"/>
      <c r="USH166" s="558"/>
      <c r="USI166" s="558"/>
      <c r="USJ166" s="558"/>
      <c r="USK166" s="558"/>
      <c r="USL166" s="558"/>
      <c r="USM166" s="558"/>
      <c r="USN166" s="558"/>
      <c r="USO166" s="558"/>
      <c r="USP166" s="558"/>
      <c r="USQ166" s="558"/>
      <c r="USR166" s="558"/>
      <c r="USS166" s="558"/>
      <c r="UST166" s="558"/>
      <c r="USU166" s="558"/>
      <c r="USV166" s="558"/>
      <c r="USW166" s="558"/>
      <c r="USX166" s="558"/>
      <c r="USY166" s="558"/>
      <c r="USZ166" s="558"/>
      <c r="UTA166" s="558"/>
      <c r="UTB166" s="558"/>
      <c r="UTC166" s="558"/>
      <c r="UTD166" s="558"/>
      <c r="UTE166" s="558"/>
      <c r="UTF166" s="558"/>
      <c r="UTG166" s="558"/>
      <c r="UTH166" s="558"/>
      <c r="UTI166" s="558"/>
      <c r="UTJ166" s="558"/>
      <c r="UTK166" s="558"/>
      <c r="UTL166" s="558"/>
      <c r="UTM166" s="558"/>
      <c r="UTN166" s="558"/>
      <c r="UTO166" s="558"/>
      <c r="UTP166" s="558"/>
      <c r="UTQ166" s="558"/>
      <c r="UTR166" s="558"/>
      <c r="UTS166" s="558"/>
      <c r="UTT166" s="558"/>
      <c r="UTU166" s="558"/>
      <c r="UTV166" s="558"/>
      <c r="UTW166" s="558"/>
      <c r="UTX166" s="558"/>
      <c r="UTY166" s="558"/>
      <c r="UTZ166" s="558"/>
      <c r="UUA166" s="558"/>
      <c r="UUB166" s="558"/>
      <c r="UUC166" s="558"/>
      <c r="UUD166" s="558"/>
      <c r="UUE166" s="558"/>
      <c r="UUF166" s="558"/>
      <c r="UUG166" s="558"/>
      <c r="UUH166" s="558"/>
      <c r="UUI166" s="558"/>
      <c r="UUJ166" s="558"/>
      <c r="UUK166" s="558"/>
      <c r="UUL166" s="558"/>
      <c r="UUM166" s="558"/>
      <c r="UUN166" s="558"/>
      <c r="UUO166" s="558"/>
      <c r="UUP166" s="558"/>
      <c r="UUQ166" s="558"/>
      <c r="UUR166" s="558"/>
      <c r="UUS166" s="558"/>
      <c r="UUT166" s="558"/>
      <c r="UUU166" s="558"/>
      <c r="UUV166" s="558"/>
      <c r="UUW166" s="558"/>
      <c r="UUX166" s="558"/>
      <c r="UUY166" s="558"/>
      <c r="UUZ166" s="558"/>
      <c r="UVA166" s="558"/>
      <c r="UVB166" s="558"/>
      <c r="UVC166" s="558"/>
      <c r="UVD166" s="558"/>
      <c r="UVE166" s="558"/>
      <c r="UVF166" s="558"/>
      <c r="UVG166" s="558"/>
      <c r="UVH166" s="558"/>
      <c r="UVI166" s="558"/>
      <c r="UVJ166" s="558"/>
      <c r="UVK166" s="558"/>
      <c r="UVL166" s="558"/>
      <c r="UVM166" s="558"/>
      <c r="UVN166" s="558"/>
      <c r="UVO166" s="558"/>
      <c r="UVP166" s="558"/>
      <c r="UVQ166" s="558"/>
      <c r="UVR166" s="558"/>
      <c r="UVS166" s="558"/>
      <c r="UVT166" s="558"/>
      <c r="UVU166" s="558"/>
      <c r="UVV166" s="558"/>
      <c r="UVW166" s="558"/>
      <c r="UVX166" s="558"/>
      <c r="UVY166" s="558"/>
      <c r="UVZ166" s="558"/>
      <c r="UWA166" s="558"/>
      <c r="UWB166" s="558"/>
      <c r="UWC166" s="558"/>
      <c r="UWD166" s="558"/>
      <c r="UWE166" s="558"/>
      <c r="UWF166" s="558"/>
      <c r="UWG166" s="558"/>
      <c r="UWH166" s="558"/>
      <c r="UWI166" s="558"/>
      <c r="UWJ166" s="558"/>
      <c r="UWK166" s="558"/>
      <c r="UWL166" s="558"/>
      <c r="UWM166" s="558"/>
      <c r="UWN166" s="558"/>
      <c r="UWO166" s="558"/>
      <c r="UWP166" s="558"/>
      <c r="UWQ166" s="558"/>
      <c r="UWR166" s="558"/>
      <c r="UWS166" s="558"/>
      <c r="UWT166" s="558"/>
      <c r="UWU166" s="558"/>
      <c r="UWV166" s="558"/>
      <c r="UWW166" s="558"/>
      <c r="UWX166" s="558"/>
      <c r="UWY166" s="558"/>
      <c r="UWZ166" s="558"/>
      <c r="UXA166" s="558"/>
      <c r="UXB166" s="558"/>
      <c r="UXC166" s="558"/>
      <c r="UXD166" s="558"/>
      <c r="UXE166" s="558"/>
      <c r="UXF166" s="558"/>
      <c r="UXG166" s="558"/>
      <c r="UXH166" s="558"/>
      <c r="UXI166" s="558"/>
      <c r="UXJ166" s="558"/>
      <c r="UXK166" s="558"/>
      <c r="UXL166" s="558"/>
      <c r="UXM166" s="558"/>
      <c r="UXN166" s="558"/>
      <c r="UXO166" s="558"/>
      <c r="UXP166" s="558"/>
      <c r="UXQ166" s="558"/>
      <c r="UXR166" s="558"/>
      <c r="UXS166" s="558"/>
      <c r="UXT166" s="558"/>
      <c r="UXU166" s="558"/>
      <c r="UXV166" s="558"/>
      <c r="UXW166" s="558"/>
      <c r="UXX166" s="558"/>
      <c r="UXY166" s="558"/>
      <c r="UXZ166" s="558"/>
      <c r="UYA166" s="558"/>
      <c r="UYB166" s="558"/>
      <c r="UYC166" s="558"/>
      <c r="UYD166" s="558"/>
      <c r="UYE166" s="558"/>
      <c r="UYF166" s="558"/>
      <c r="UYG166" s="558"/>
      <c r="UYH166" s="558"/>
      <c r="UYI166" s="558"/>
      <c r="UYJ166" s="558"/>
      <c r="UYK166" s="558"/>
      <c r="UYL166" s="558"/>
      <c r="UYM166" s="558"/>
      <c r="UYN166" s="558"/>
      <c r="UYO166" s="558"/>
      <c r="UYP166" s="558"/>
      <c r="UYQ166" s="558"/>
      <c r="UYR166" s="558"/>
      <c r="UYS166" s="558"/>
      <c r="UYT166" s="558"/>
      <c r="UYU166" s="558"/>
      <c r="UYV166" s="558"/>
      <c r="UYW166" s="558"/>
      <c r="UYX166" s="558"/>
      <c r="UYY166" s="558"/>
      <c r="UYZ166" s="558"/>
      <c r="UZA166" s="558"/>
      <c r="UZB166" s="558"/>
      <c r="UZC166" s="558"/>
      <c r="UZD166" s="558"/>
      <c r="UZE166" s="558"/>
      <c r="UZF166" s="558"/>
      <c r="UZG166" s="558"/>
      <c r="UZH166" s="558"/>
      <c r="UZI166" s="558"/>
      <c r="UZJ166" s="558"/>
      <c r="UZK166" s="558"/>
      <c r="UZL166" s="558"/>
      <c r="UZM166" s="558"/>
      <c r="UZN166" s="558"/>
      <c r="UZO166" s="558"/>
      <c r="UZP166" s="558"/>
      <c r="UZQ166" s="558"/>
      <c r="UZR166" s="558"/>
      <c r="UZS166" s="558"/>
      <c r="UZT166" s="558"/>
      <c r="UZU166" s="558"/>
      <c r="UZV166" s="558"/>
      <c r="UZW166" s="558"/>
      <c r="UZX166" s="558"/>
      <c r="UZY166" s="558"/>
      <c r="UZZ166" s="558"/>
      <c r="VAA166" s="558"/>
      <c r="VAB166" s="558"/>
      <c r="VAC166" s="558"/>
      <c r="VAD166" s="558"/>
      <c r="VAE166" s="558"/>
      <c r="VAF166" s="558"/>
      <c r="VAG166" s="558"/>
      <c r="VAH166" s="558"/>
      <c r="VAI166" s="558"/>
      <c r="VAJ166" s="558"/>
      <c r="VAK166" s="558"/>
      <c r="VAL166" s="558"/>
      <c r="VAM166" s="558"/>
      <c r="VAN166" s="558"/>
      <c r="VAO166" s="558"/>
      <c r="VAP166" s="558"/>
      <c r="VAQ166" s="558"/>
      <c r="VAR166" s="558"/>
      <c r="VAS166" s="558"/>
      <c r="VAT166" s="558"/>
      <c r="VAU166" s="558"/>
      <c r="VAV166" s="558"/>
      <c r="VAW166" s="558"/>
      <c r="VAX166" s="558"/>
      <c r="VAY166" s="558"/>
      <c r="VAZ166" s="558"/>
      <c r="VBA166" s="558"/>
      <c r="VBB166" s="558"/>
      <c r="VBC166" s="558"/>
      <c r="VBD166" s="558"/>
      <c r="VBE166" s="558"/>
      <c r="VBF166" s="558"/>
      <c r="VBG166" s="558"/>
      <c r="VBH166" s="558"/>
      <c r="VBI166" s="558"/>
      <c r="VBJ166" s="558"/>
      <c r="VBK166" s="558"/>
      <c r="VBL166" s="558"/>
      <c r="VBM166" s="558"/>
      <c r="VBN166" s="558"/>
      <c r="VBO166" s="558"/>
      <c r="VBP166" s="558"/>
      <c r="VBQ166" s="558"/>
      <c r="VBR166" s="558"/>
      <c r="VBS166" s="558"/>
      <c r="VBT166" s="558"/>
      <c r="VBU166" s="558"/>
      <c r="VBV166" s="558"/>
      <c r="VBW166" s="558"/>
      <c r="VBX166" s="558"/>
      <c r="VBY166" s="558"/>
      <c r="VBZ166" s="558"/>
      <c r="VCA166" s="558"/>
      <c r="VCB166" s="558"/>
      <c r="VCC166" s="558"/>
      <c r="VCD166" s="558"/>
      <c r="VCE166" s="558"/>
      <c r="VCF166" s="558"/>
      <c r="VCG166" s="558"/>
      <c r="VCH166" s="558"/>
      <c r="VCI166" s="558"/>
      <c r="VCJ166" s="558"/>
      <c r="VCK166" s="558"/>
      <c r="VCL166" s="558"/>
      <c r="VCM166" s="558"/>
      <c r="VCN166" s="558"/>
      <c r="VCO166" s="558"/>
      <c r="VCP166" s="558"/>
      <c r="VCQ166" s="558"/>
      <c r="VCR166" s="558"/>
      <c r="VCS166" s="558"/>
      <c r="VCT166" s="558"/>
      <c r="VCU166" s="558"/>
      <c r="VCV166" s="558"/>
      <c r="VCW166" s="558"/>
      <c r="VCX166" s="558"/>
      <c r="VCY166" s="558"/>
      <c r="VCZ166" s="558"/>
      <c r="VDA166" s="558"/>
      <c r="VDB166" s="558"/>
      <c r="VDC166" s="558"/>
      <c r="VDD166" s="558"/>
      <c r="VDE166" s="558"/>
      <c r="VDF166" s="558"/>
      <c r="VDG166" s="558"/>
      <c r="VDH166" s="558"/>
      <c r="VDI166" s="558"/>
      <c r="VDJ166" s="558"/>
      <c r="VDK166" s="558"/>
      <c r="VDL166" s="558"/>
      <c r="VDM166" s="558"/>
      <c r="VDN166" s="558"/>
      <c r="VDO166" s="558"/>
      <c r="VDP166" s="558"/>
      <c r="VDQ166" s="558"/>
      <c r="VDR166" s="558"/>
      <c r="VDS166" s="558"/>
      <c r="VDT166" s="558"/>
      <c r="VDU166" s="558"/>
      <c r="VDV166" s="558"/>
      <c r="VDW166" s="558"/>
      <c r="VDX166" s="558"/>
      <c r="VDY166" s="558"/>
      <c r="VDZ166" s="558"/>
      <c r="VEA166" s="558"/>
      <c r="VEB166" s="558"/>
      <c r="VEC166" s="558"/>
      <c r="VED166" s="558"/>
      <c r="VEE166" s="558"/>
      <c r="VEF166" s="558"/>
      <c r="VEG166" s="558"/>
      <c r="VEH166" s="558"/>
      <c r="VEI166" s="558"/>
      <c r="VEJ166" s="558"/>
      <c r="VEK166" s="558"/>
      <c r="VEL166" s="558"/>
      <c r="VEM166" s="558"/>
      <c r="VEN166" s="558"/>
      <c r="VEO166" s="558"/>
      <c r="VEP166" s="558"/>
      <c r="VEQ166" s="558"/>
      <c r="VER166" s="558"/>
      <c r="VES166" s="558"/>
      <c r="VET166" s="558"/>
      <c r="VEU166" s="558"/>
      <c r="VEV166" s="558"/>
      <c r="VEW166" s="558"/>
      <c r="VEX166" s="558"/>
      <c r="VEY166" s="558"/>
      <c r="VEZ166" s="558"/>
      <c r="VFA166" s="558"/>
      <c r="VFB166" s="558"/>
      <c r="VFC166" s="558"/>
      <c r="VFD166" s="558"/>
      <c r="VFE166" s="558"/>
      <c r="VFF166" s="558"/>
      <c r="VFG166" s="558"/>
      <c r="VFH166" s="558"/>
      <c r="VFI166" s="558"/>
      <c r="VFJ166" s="558"/>
      <c r="VFK166" s="558"/>
      <c r="VFL166" s="558"/>
      <c r="VFM166" s="558"/>
      <c r="VFN166" s="558"/>
      <c r="VFO166" s="558"/>
      <c r="VFP166" s="558"/>
      <c r="VFQ166" s="558"/>
      <c r="VFR166" s="558"/>
      <c r="VFS166" s="558"/>
      <c r="VFT166" s="558"/>
      <c r="VFU166" s="558"/>
      <c r="VFV166" s="558"/>
      <c r="VFW166" s="558"/>
      <c r="VFX166" s="558"/>
      <c r="VFY166" s="558"/>
      <c r="VFZ166" s="558"/>
      <c r="VGA166" s="558"/>
      <c r="VGB166" s="558"/>
      <c r="VGC166" s="558"/>
      <c r="VGD166" s="558"/>
      <c r="VGE166" s="558"/>
      <c r="VGF166" s="558"/>
      <c r="VGG166" s="558"/>
      <c r="VGH166" s="558"/>
      <c r="VGI166" s="558"/>
      <c r="VGJ166" s="558"/>
      <c r="VGK166" s="558"/>
      <c r="VGL166" s="558"/>
      <c r="VGM166" s="558"/>
      <c r="VGN166" s="558"/>
      <c r="VGO166" s="558"/>
      <c r="VGP166" s="558"/>
      <c r="VGQ166" s="558"/>
      <c r="VGR166" s="558"/>
      <c r="VGS166" s="558"/>
      <c r="VGT166" s="558"/>
      <c r="VGU166" s="558"/>
      <c r="VGV166" s="558"/>
      <c r="VGW166" s="558"/>
      <c r="VGX166" s="558"/>
      <c r="VGY166" s="558"/>
      <c r="VGZ166" s="558"/>
      <c r="VHA166" s="558"/>
      <c r="VHB166" s="558"/>
      <c r="VHC166" s="558"/>
      <c r="VHD166" s="558"/>
      <c r="VHE166" s="558"/>
      <c r="VHF166" s="558"/>
      <c r="VHG166" s="558"/>
      <c r="VHH166" s="558"/>
      <c r="VHI166" s="558"/>
      <c r="VHJ166" s="558"/>
      <c r="VHK166" s="558"/>
      <c r="VHL166" s="558"/>
      <c r="VHM166" s="558"/>
      <c r="VHN166" s="558"/>
      <c r="VHO166" s="558"/>
      <c r="VHP166" s="558"/>
      <c r="VHQ166" s="558"/>
      <c r="VHR166" s="558"/>
      <c r="VHS166" s="558"/>
      <c r="VHT166" s="558"/>
      <c r="VHU166" s="558"/>
      <c r="VHV166" s="558"/>
      <c r="VHW166" s="558"/>
      <c r="VHX166" s="558"/>
      <c r="VHY166" s="558"/>
      <c r="VHZ166" s="558"/>
      <c r="VIA166" s="558"/>
      <c r="VIB166" s="558"/>
      <c r="VIC166" s="558"/>
      <c r="VID166" s="558"/>
      <c r="VIE166" s="558"/>
      <c r="VIF166" s="558"/>
      <c r="VIG166" s="558"/>
      <c r="VIH166" s="558"/>
      <c r="VII166" s="558"/>
      <c r="VIJ166" s="558"/>
      <c r="VIK166" s="558"/>
      <c r="VIL166" s="558"/>
      <c r="VIM166" s="558"/>
      <c r="VIN166" s="558"/>
      <c r="VIO166" s="558"/>
      <c r="VIP166" s="558"/>
      <c r="VIQ166" s="558"/>
      <c r="VIR166" s="558"/>
      <c r="VIS166" s="558"/>
      <c r="VIT166" s="558"/>
      <c r="VIU166" s="558"/>
      <c r="VIV166" s="558"/>
      <c r="VIW166" s="558"/>
      <c r="VIX166" s="558"/>
      <c r="VIY166" s="558"/>
      <c r="VIZ166" s="558"/>
      <c r="VJA166" s="558"/>
      <c r="VJB166" s="558"/>
      <c r="VJC166" s="558"/>
      <c r="VJD166" s="558"/>
      <c r="VJE166" s="558"/>
      <c r="VJF166" s="558"/>
      <c r="VJG166" s="558"/>
      <c r="VJH166" s="558"/>
      <c r="VJI166" s="558"/>
      <c r="VJJ166" s="558"/>
      <c r="VJK166" s="558"/>
      <c r="VJL166" s="558"/>
      <c r="VJM166" s="558"/>
      <c r="VJN166" s="558"/>
      <c r="VJO166" s="558"/>
      <c r="VJP166" s="558"/>
      <c r="VJQ166" s="558"/>
      <c r="VJR166" s="558"/>
      <c r="VJS166" s="558"/>
      <c r="VJT166" s="558"/>
      <c r="VJU166" s="558"/>
      <c r="VJV166" s="558"/>
      <c r="VJW166" s="558"/>
      <c r="VJX166" s="558"/>
      <c r="VJY166" s="558"/>
      <c r="VJZ166" s="558"/>
      <c r="VKA166" s="558"/>
      <c r="VKB166" s="558"/>
      <c r="VKC166" s="558"/>
      <c r="VKD166" s="558"/>
      <c r="VKE166" s="558"/>
      <c r="VKF166" s="558"/>
      <c r="VKG166" s="558"/>
      <c r="VKH166" s="558"/>
      <c r="VKI166" s="558"/>
      <c r="VKJ166" s="558"/>
      <c r="VKK166" s="558"/>
      <c r="VKL166" s="558"/>
      <c r="VKM166" s="558"/>
      <c r="VKN166" s="558"/>
      <c r="VKO166" s="558"/>
      <c r="VKP166" s="558"/>
      <c r="VKQ166" s="558"/>
      <c r="VKR166" s="558"/>
      <c r="VKS166" s="558"/>
      <c r="VKT166" s="558"/>
      <c r="VKU166" s="558"/>
      <c r="VKV166" s="558"/>
      <c r="VKW166" s="558"/>
      <c r="VKX166" s="558"/>
      <c r="VKY166" s="558"/>
      <c r="VKZ166" s="558"/>
      <c r="VLA166" s="558"/>
      <c r="VLB166" s="558"/>
      <c r="VLC166" s="558"/>
      <c r="VLD166" s="558"/>
      <c r="VLE166" s="558"/>
      <c r="VLF166" s="558"/>
      <c r="VLG166" s="558"/>
      <c r="VLH166" s="558"/>
      <c r="VLI166" s="558"/>
      <c r="VLJ166" s="558"/>
      <c r="VLK166" s="558"/>
      <c r="VLL166" s="558"/>
      <c r="VLM166" s="558"/>
      <c r="VLN166" s="558"/>
      <c r="VLO166" s="558"/>
      <c r="VLP166" s="558"/>
      <c r="VLQ166" s="558"/>
      <c r="VLR166" s="558"/>
      <c r="VLS166" s="558"/>
      <c r="VLT166" s="558"/>
      <c r="VLU166" s="558"/>
      <c r="VLV166" s="558"/>
      <c r="VLW166" s="558"/>
      <c r="VLX166" s="558"/>
      <c r="VLY166" s="558"/>
      <c r="VLZ166" s="558"/>
      <c r="VMA166" s="558"/>
      <c r="VMB166" s="558"/>
      <c r="VMC166" s="558"/>
      <c r="VMD166" s="558"/>
      <c r="VME166" s="558"/>
      <c r="VMF166" s="558"/>
      <c r="VMG166" s="558"/>
      <c r="VMH166" s="558"/>
      <c r="VMI166" s="558"/>
      <c r="VMJ166" s="558"/>
      <c r="VMK166" s="558"/>
      <c r="VML166" s="558"/>
      <c r="VMM166" s="558"/>
      <c r="VMN166" s="558"/>
      <c r="VMO166" s="558"/>
      <c r="VMP166" s="558"/>
      <c r="VMQ166" s="558"/>
      <c r="VMR166" s="558"/>
      <c r="VMS166" s="558"/>
      <c r="VMT166" s="558"/>
      <c r="VMU166" s="558"/>
      <c r="VMV166" s="558"/>
      <c r="VMW166" s="558"/>
      <c r="VMX166" s="558"/>
      <c r="VMY166" s="558"/>
      <c r="VMZ166" s="558"/>
      <c r="VNA166" s="558"/>
      <c r="VNB166" s="558"/>
      <c r="VNC166" s="558"/>
      <c r="VND166" s="558"/>
      <c r="VNE166" s="558"/>
      <c r="VNF166" s="558"/>
      <c r="VNG166" s="558"/>
      <c r="VNH166" s="558"/>
      <c r="VNI166" s="558"/>
      <c r="VNJ166" s="558"/>
      <c r="VNK166" s="558"/>
      <c r="VNL166" s="558"/>
      <c r="VNM166" s="558"/>
      <c r="VNN166" s="558"/>
      <c r="VNO166" s="558"/>
      <c r="VNP166" s="558"/>
      <c r="VNQ166" s="558"/>
      <c r="VNR166" s="558"/>
      <c r="VNS166" s="558"/>
      <c r="VNT166" s="558"/>
      <c r="VNU166" s="558"/>
      <c r="VNV166" s="558"/>
      <c r="VNW166" s="558"/>
      <c r="VNX166" s="558"/>
      <c r="VNY166" s="558"/>
      <c r="VNZ166" s="558"/>
      <c r="VOA166" s="558"/>
      <c r="VOB166" s="558"/>
      <c r="VOC166" s="558"/>
      <c r="VOD166" s="558"/>
      <c r="VOE166" s="558"/>
      <c r="VOF166" s="558"/>
      <c r="VOG166" s="558"/>
      <c r="VOH166" s="558"/>
      <c r="VOI166" s="558"/>
      <c r="VOJ166" s="558"/>
      <c r="VOK166" s="558"/>
      <c r="VOL166" s="558"/>
      <c r="VOM166" s="558"/>
      <c r="VON166" s="558"/>
      <c r="VOO166" s="558"/>
      <c r="VOP166" s="558"/>
      <c r="VOQ166" s="558"/>
      <c r="VOR166" s="558"/>
      <c r="VOS166" s="558"/>
      <c r="VOT166" s="558"/>
      <c r="VOU166" s="558"/>
      <c r="VOV166" s="558"/>
      <c r="VOW166" s="558"/>
      <c r="VOX166" s="558"/>
      <c r="VOY166" s="558"/>
      <c r="VOZ166" s="558"/>
      <c r="VPA166" s="558"/>
      <c r="VPB166" s="558"/>
      <c r="VPC166" s="558"/>
      <c r="VPD166" s="558"/>
      <c r="VPE166" s="558"/>
      <c r="VPF166" s="558"/>
      <c r="VPG166" s="558"/>
      <c r="VPH166" s="558"/>
      <c r="VPI166" s="558"/>
      <c r="VPJ166" s="558"/>
      <c r="VPK166" s="558"/>
      <c r="VPL166" s="558"/>
      <c r="VPM166" s="558"/>
      <c r="VPN166" s="558"/>
      <c r="VPO166" s="558"/>
      <c r="VPP166" s="558"/>
      <c r="VPQ166" s="558"/>
      <c r="VPR166" s="558"/>
      <c r="VPS166" s="558"/>
      <c r="VPT166" s="558"/>
      <c r="VPU166" s="558"/>
      <c r="VPV166" s="558"/>
      <c r="VPW166" s="558"/>
      <c r="VPX166" s="558"/>
      <c r="VPY166" s="558"/>
      <c r="VPZ166" s="558"/>
      <c r="VQA166" s="558"/>
      <c r="VQB166" s="558"/>
      <c r="VQC166" s="558"/>
      <c r="VQD166" s="558"/>
      <c r="VQE166" s="558"/>
      <c r="VQF166" s="558"/>
      <c r="VQG166" s="558"/>
      <c r="VQH166" s="558"/>
      <c r="VQI166" s="558"/>
      <c r="VQJ166" s="558"/>
      <c r="VQK166" s="558"/>
      <c r="VQL166" s="558"/>
      <c r="VQM166" s="558"/>
      <c r="VQN166" s="558"/>
      <c r="VQO166" s="558"/>
      <c r="VQP166" s="558"/>
      <c r="VQQ166" s="558"/>
      <c r="VQR166" s="558"/>
      <c r="VQS166" s="558"/>
      <c r="VQT166" s="558"/>
      <c r="VQU166" s="558"/>
      <c r="VQV166" s="558"/>
      <c r="VQW166" s="558"/>
      <c r="VQX166" s="558"/>
      <c r="VQY166" s="558"/>
      <c r="VQZ166" s="558"/>
      <c r="VRA166" s="558"/>
      <c r="VRB166" s="558"/>
      <c r="VRC166" s="558"/>
      <c r="VRD166" s="558"/>
      <c r="VRE166" s="558"/>
      <c r="VRF166" s="558"/>
      <c r="VRG166" s="558"/>
      <c r="VRH166" s="558"/>
      <c r="VRI166" s="558"/>
      <c r="VRJ166" s="558"/>
      <c r="VRK166" s="558"/>
      <c r="VRL166" s="558"/>
      <c r="VRM166" s="558"/>
      <c r="VRN166" s="558"/>
      <c r="VRO166" s="558"/>
      <c r="VRP166" s="558"/>
      <c r="VRQ166" s="558"/>
      <c r="VRR166" s="558"/>
      <c r="VRS166" s="558"/>
      <c r="VRT166" s="558"/>
      <c r="VRU166" s="558"/>
      <c r="VRV166" s="558"/>
      <c r="VRW166" s="558"/>
      <c r="VRX166" s="558"/>
      <c r="VRY166" s="558"/>
      <c r="VRZ166" s="558"/>
      <c r="VSA166" s="558"/>
      <c r="VSB166" s="558"/>
      <c r="VSC166" s="558"/>
      <c r="VSD166" s="558"/>
      <c r="VSE166" s="558"/>
      <c r="VSF166" s="558"/>
      <c r="VSG166" s="558"/>
      <c r="VSH166" s="558"/>
      <c r="VSI166" s="558"/>
      <c r="VSJ166" s="558"/>
      <c r="VSK166" s="558"/>
      <c r="VSL166" s="558"/>
      <c r="VSM166" s="558"/>
      <c r="VSN166" s="558"/>
      <c r="VSO166" s="558"/>
      <c r="VSP166" s="558"/>
      <c r="VSQ166" s="558"/>
      <c r="VSR166" s="558"/>
      <c r="VSS166" s="558"/>
      <c r="VST166" s="558"/>
      <c r="VSU166" s="558"/>
      <c r="VSV166" s="558"/>
      <c r="VSW166" s="558"/>
      <c r="VSX166" s="558"/>
      <c r="VSY166" s="558"/>
      <c r="VSZ166" s="558"/>
      <c r="VTA166" s="558"/>
      <c r="VTB166" s="558"/>
      <c r="VTC166" s="558"/>
      <c r="VTD166" s="558"/>
      <c r="VTE166" s="558"/>
      <c r="VTF166" s="558"/>
      <c r="VTG166" s="558"/>
      <c r="VTH166" s="558"/>
      <c r="VTI166" s="558"/>
      <c r="VTJ166" s="558"/>
      <c r="VTK166" s="558"/>
      <c r="VTL166" s="558"/>
      <c r="VTM166" s="558"/>
      <c r="VTN166" s="558"/>
      <c r="VTO166" s="558"/>
      <c r="VTP166" s="558"/>
      <c r="VTQ166" s="558"/>
      <c r="VTR166" s="558"/>
      <c r="VTS166" s="558"/>
      <c r="VTT166" s="558"/>
      <c r="VTU166" s="558"/>
      <c r="VTV166" s="558"/>
      <c r="VTW166" s="558"/>
      <c r="VTX166" s="558"/>
      <c r="VTY166" s="558"/>
      <c r="VTZ166" s="558"/>
      <c r="VUA166" s="558"/>
      <c r="VUB166" s="558"/>
      <c r="VUC166" s="558"/>
      <c r="VUD166" s="558"/>
      <c r="VUE166" s="558"/>
      <c r="VUF166" s="558"/>
      <c r="VUG166" s="558"/>
      <c r="VUH166" s="558"/>
      <c r="VUI166" s="558"/>
      <c r="VUJ166" s="558"/>
      <c r="VUK166" s="558"/>
      <c r="VUL166" s="558"/>
      <c r="VUM166" s="558"/>
      <c r="VUN166" s="558"/>
      <c r="VUO166" s="558"/>
      <c r="VUP166" s="558"/>
      <c r="VUQ166" s="558"/>
      <c r="VUR166" s="558"/>
      <c r="VUS166" s="558"/>
      <c r="VUT166" s="558"/>
      <c r="VUU166" s="558"/>
      <c r="VUV166" s="558"/>
      <c r="VUW166" s="558"/>
      <c r="VUX166" s="558"/>
      <c r="VUY166" s="558"/>
      <c r="VUZ166" s="558"/>
      <c r="VVA166" s="558"/>
      <c r="VVB166" s="558"/>
      <c r="VVC166" s="558"/>
      <c r="VVD166" s="558"/>
      <c r="VVE166" s="558"/>
      <c r="VVF166" s="558"/>
      <c r="VVG166" s="558"/>
      <c r="VVH166" s="558"/>
      <c r="VVI166" s="558"/>
      <c r="VVJ166" s="558"/>
      <c r="VVK166" s="558"/>
      <c r="VVL166" s="558"/>
      <c r="VVM166" s="558"/>
      <c r="VVN166" s="558"/>
      <c r="VVO166" s="558"/>
      <c r="VVP166" s="558"/>
      <c r="VVQ166" s="558"/>
      <c r="VVR166" s="558"/>
      <c r="VVS166" s="558"/>
      <c r="VVT166" s="558"/>
      <c r="VVU166" s="558"/>
      <c r="VVV166" s="558"/>
      <c r="VVW166" s="558"/>
      <c r="VVX166" s="558"/>
      <c r="VVY166" s="558"/>
      <c r="VVZ166" s="558"/>
      <c r="VWA166" s="558"/>
      <c r="VWB166" s="558"/>
      <c r="VWC166" s="558"/>
      <c r="VWD166" s="558"/>
      <c r="VWE166" s="558"/>
      <c r="VWF166" s="558"/>
      <c r="VWG166" s="558"/>
      <c r="VWH166" s="558"/>
      <c r="VWI166" s="558"/>
      <c r="VWJ166" s="558"/>
      <c r="VWK166" s="558"/>
      <c r="VWL166" s="558"/>
      <c r="VWM166" s="558"/>
      <c r="VWN166" s="558"/>
      <c r="VWO166" s="558"/>
      <c r="VWP166" s="558"/>
      <c r="VWQ166" s="558"/>
      <c r="VWR166" s="558"/>
      <c r="VWS166" s="558"/>
      <c r="VWT166" s="558"/>
      <c r="VWU166" s="558"/>
      <c r="VWV166" s="558"/>
      <c r="VWW166" s="558"/>
      <c r="VWX166" s="558"/>
      <c r="VWY166" s="558"/>
      <c r="VWZ166" s="558"/>
      <c r="VXA166" s="558"/>
      <c r="VXB166" s="558"/>
      <c r="VXC166" s="558"/>
      <c r="VXD166" s="558"/>
      <c r="VXE166" s="558"/>
      <c r="VXF166" s="558"/>
      <c r="VXG166" s="558"/>
      <c r="VXH166" s="558"/>
      <c r="VXI166" s="558"/>
      <c r="VXJ166" s="558"/>
      <c r="VXK166" s="558"/>
      <c r="VXL166" s="558"/>
      <c r="VXM166" s="558"/>
      <c r="VXN166" s="558"/>
      <c r="VXO166" s="558"/>
      <c r="VXP166" s="558"/>
      <c r="VXQ166" s="558"/>
      <c r="VXR166" s="558"/>
      <c r="VXS166" s="558"/>
      <c r="VXT166" s="558"/>
      <c r="VXU166" s="558"/>
      <c r="VXV166" s="558"/>
      <c r="VXW166" s="558"/>
      <c r="VXX166" s="558"/>
      <c r="VXY166" s="558"/>
      <c r="VXZ166" s="558"/>
      <c r="VYA166" s="558"/>
      <c r="VYB166" s="558"/>
      <c r="VYC166" s="558"/>
      <c r="VYD166" s="558"/>
      <c r="VYE166" s="558"/>
      <c r="VYF166" s="558"/>
      <c r="VYG166" s="558"/>
      <c r="VYH166" s="558"/>
      <c r="VYI166" s="558"/>
      <c r="VYJ166" s="558"/>
      <c r="VYK166" s="558"/>
      <c r="VYL166" s="558"/>
      <c r="VYM166" s="558"/>
      <c r="VYN166" s="558"/>
      <c r="VYO166" s="558"/>
      <c r="VYP166" s="558"/>
      <c r="VYQ166" s="558"/>
      <c r="VYR166" s="558"/>
      <c r="VYS166" s="558"/>
      <c r="VYT166" s="558"/>
      <c r="VYU166" s="558"/>
      <c r="VYV166" s="558"/>
      <c r="VYW166" s="558"/>
      <c r="VYX166" s="558"/>
      <c r="VYY166" s="558"/>
      <c r="VYZ166" s="558"/>
      <c r="VZA166" s="558"/>
      <c r="VZB166" s="558"/>
      <c r="VZC166" s="558"/>
      <c r="VZD166" s="558"/>
      <c r="VZE166" s="558"/>
      <c r="VZF166" s="558"/>
      <c r="VZG166" s="558"/>
      <c r="VZH166" s="558"/>
      <c r="VZI166" s="558"/>
      <c r="VZJ166" s="558"/>
      <c r="VZK166" s="558"/>
      <c r="VZL166" s="558"/>
      <c r="VZM166" s="558"/>
      <c r="VZN166" s="558"/>
      <c r="VZO166" s="558"/>
      <c r="VZP166" s="558"/>
      <c r="VZQ166" s="558"/>
      <c r="VZR166" s="558"/>
      <c r="VZS166" s="558"/>
      <c r="VZT166" s="558"/>
      <c r="VZU166" s="558"/>
      <c r="VZV166" s="558"/>
      <c r="VZW166" s="558"/>
      <c r="VZX166" s="558"/>
      <c r="VZY166" s="558"/>
      <c r="VZZ166" s="558"/>
      <c r="WAA166" s="558"/>
      <c r="WAB166" s="558"/>
      <c r="WAC166" s="558"/>
      <c r="WAD166" s="558"/>
      <c r="WAE166" s="558"/>
      <c r="WAF166" s="558"/>
      <c r="WAG166" s="558"/>
      <c r="WAH166" s="558"/>
      <c r="WAI166" s="558"/>
      <c r="WAJ166" s="558"/>
      <c r="WAK166" s="558"/>
      <c r="WAL166" s="558"/>
      <c r="WAM166" s="558"/>
      <c r="WAN166" s="558"/>
      <c r="WAO166" s="558"/>
      <c r="WAP166" s="558"/>
      <c r="WAQ166" s="558"/>
      <c r="WAR166" s="558"/>
      <c r="WAS166" s="558"/>
      <c r="WAT166" s="558"/>
      <c r="WAU166" s="558"/>
      <c r="WAV166" s="558"/>
      <c r="WAW166" s="558"/>
      <c r="WAX166" s="558"/>
      <c r="WAY166" s="558"/>
      <c r="WAZ166" s="558"/>
      <c r="WBA166" s="558"/>
      <c r="WBB166" s="558"/>
      <c r="WBC166" s="558"/>
      <c r="WBD166" s="558"/>
      <c r="WBE166" s="558"/>
      <c r="WBF166" s="558"/>
      <c r="WBG166" s="558"/>
      <c r="WBH166" s="558"/>
      <c r="WBI166" s="558"/>
      <c r="WBJ166" s="558"/>
      <c r="WBK166" s="558"/>
      <c r="WBL166" s="558"/>
      <c r="WBM166" s="558"/>
      <c r="WBN166" s="558"/>
      <c r="WBO166" s="558"/>
      <c r="WBP166" s="558"/>
      <c r="WBQ166" s="558"/>
      <c r="WBR166" s="558"/>
      <c r="WBS166" s="558"/>
      <c r="WBT166" s="558"/>
      <c r="WBU166" s="558"/>
      <c r="WBV166" s="558"/>
      <c r="WBW166" s="558"/>
      <c r="WBX166" s="558"/>
      <c r="WBY166" s="558"/>
      <c r="WBZ166" s="558"/>
      <c r="WCA166" s="558"/>
      <c r="WCB166" s="558"/>
      <c r="WCC166" s="558"/>
      <c r="WCD166" s="558"/>
      <c r="WCE166" s="558"/>
      <c r="WCF166" s="558"/>
      <c r="WCG166" s="558"/>
      <c r="WCH166" s="558"/>
      <c r="WCI166" s="558"/>
      <c r="WCJ166" s="558"/>
      <c r="WCK166" s="558"/>
      <c r="WCL166" s="558"/>
      <c r="WCM166" s="558"/>
      <c r="WCN166" s="558"/>
      <c r="WCO166" s="558"/>
      <c r="WCP166" s="558"/>
      <c r="WCQ166" s="558"/>
      <c r="WCR166" s="558"/>
      <c r="WCS166" s="558"/>
      <c r="WCT166" s="558"/>
      <c r="WCU166" s="558"/>
      <c r="WCV166" s="558"/>
      <c r="WCW166" s="558"/>
      <c r="WCX166" s="558"/>
      <c r="WCY166" s="558"/>
      <c r="WCZ166" s="558"/>
      <c r="WDA166" s="558"/>
      <c r="WDB166" s="558"/>
      <c r="WDC166" s="558"/>
      <c r="WDD166" s="558"/>
      <c r="WDE166" s="558"/>
      <c r="WDF166" s="558"/>
      <c r="WDG166" s="558"/>
      <c r="WDH166" s="558"/>
      <c r="WDI166" s="558"/>
      <c r="WDJ166" s="558"/>
      <c r="WDK166" s="558"/>
      <c r="WDL166" s="558"/>
      <c r="WDM166" s="558"/>
      <c r="WDN166" s="558"/>
      <c r="WDO166" s="558"/>
      <c r="WDP166" s="558"/>
      <c r="WDQ166" s="558"/>
      <c r="WDR166" s="558"/>
      <c r="WDS166" s="558"/>
      <c r="WDT166" s="558"/>
      <c r="WDU166" s="558"/>
      <c r="WDV166" s="558"/>
      <c r="WDW166" s="558"/>
      <c r="WDX166" s="558"/>
      <c r="WDY166" s="558"/>
      <c r="WDZ166" s="558"/>
      <c r="WEA166" s="558"/>
      <c r="WEB166" s="558"/>
      <c r="WEC166" s="558"/>
      <c r="WED166" s="558"/>
      <c r="WEE166" s="558"/>
      <c r="WEF166" s="558"/>
      <c r="WEG166" s="558"/>
      <c r="WEH166" s="558"/>
      <c r="WEI166" s="558"/>
      <c r="WEJ166" s="558"/>
      <c r="WEK166" s="558"/>
      <c r="WEL166" s="558"/>
      <c r="WEM166" s="558"/>
      <c r="WEN166" s="558"/>
      <c r="WEO166" s="558"/>
      <c r="WEP166" s="558"/>
      <c r="WEQ166" s="558"/>
      <c r="WER166" s="558"/>
      <c r="WES166" s="558"/>
      <c r="WET166" s="558"/>
      <c r="WEU166" s="558"/>
      <c r="WEV166" s="558"/>
      <c r="WEW166" s="558"/>
      <c r="WEX166" s="558"/>
      <c r="WEY166" s="558"/>
      <c r="WEZ166" s="558"/>
      <c r="WFA166" s="558"/>
      <c r="WFB166" s="558"/>
      <c r="WFC166" s="558"/>
      <c r="WFD166" s="558"/>
      <c r="WFE166" s="558"/>
      <c r="WFF166" s="558"/>
      <c r="WFG166" s="558"/>
      <c r="WFH166" s="558"/>
      <c r="WFI166" s="558"/>
      <c r="WFJ166" s="558"/>
      <c r="WFK166" s="558"/>
      <c r="WFL166" s="558"/>
      <c r="WFM166" s="558"/>
      <c r="WFN166" s="558"/>
      <c r="WFO166" s="558"/>
      <c r="WFP166" s="558"/>
      <c r="WFQ166" s="558"/>
      <c r="WFR166" s="558"/>
      <c r="WFS166" s="558"/>
      <c r="WFT166" s="558"/>
      <c r="WFU166" s="558"/>
      <c r="WFV166" s="558"/>
      <c r="WFW166" s="558"/>
      <c r="WFX166" s="558"/>
      <c r="WFY166" s="558"/>
      <c r="WFZ166" s="558"/>
      <c r="WGA166" s="558"/>
      <c r="WGB166" s="558"/>
      <c r="WGC166" s="558"/>
      <c r="WGD166" s="558"/>
      <c r="WGE166" s="558"/>
      <c r="WGF166" s="558"/>
      <c r="WGG166" s="558"/>
      <c r="WGH166" s="558"/>
      <c r="WGI166" s="558"/>
      <c r="WGJ166" s="558"/>
      <c r="WGK166" s="558"/>
      <c r="WGL166" s="558"/>
      <c r="WGM166" s="558"/>
      <c r="WGN166" s="558"/>
      <c r="WGO166" s="558"/>
      <c r="WGP166" s="558"/>
      <c r="WGQ166" s="558"/>
      <c r="WGR166" s="558"/>
      <c r="WGS166" s="558"/>
      <c r="WGT166" s="558"/>
      <c r="WGU166" s="558"/>
      <c r="WGV166" s="558"/>
      <c r="WGW166" s="558"/>
      <c r="WGX166" s="558"/>
      <c r="WGY166" s="558"/>
      <c r="WGZ166" s="558"/>
      <c r="WHA166" s="558"/>
      <c r="WHB166" s="558"/>
      <c r="WHC166" s="558"/>
      <c r="WHD166" s="558"/>
      <c r="WHE166" s="558"/>
      <c r="WHF166" s="558"/>
      <c r="WHG166" s="558"/>
      <c r="WHH166" s="558"/>
      <c r="WHI166" s="558"/>
      <c r="WHJ166" s="558"/>
      <c r="WHK166" s="558"/>
      <c r="WHL166" s="558"/>
      <c r="WHM166" s="558"/>
      <c r="WHN166" s="558"/>
      <c r="WHO166" s="558"/>
      <c r="WHP166" s="558"/>
      <c r="WHQ166" s="558"/>
      <c r="WHR166" s="558"/>
      <c r="WHS166" s="558"/>
      <c r="WHT166" s="558"/>
      <c r="WHU166" s="558"/>
      <c r="WHV166" s="558"/>
      <c r="WHW166" s="558"/>
      <c r="WHX166" s="558"/>
      <c r="WHY166" s="558"/>
      <c r="WHZ166" s="558"/>
      <c r="WIA166" s="558"/>
      <c r="WIB166" s="558"/>
      <c r="WIC166" s="558"/>
      <c r="WID166" s="558"/>
      <c r="WIE166" s="558"/>
      <c r="WIF166" s="558"/>
      <c r="WIG166" s="558"/>
      <c r="WIH166" s="558"/>
      <c r="WII166" s="558"/>
      <c r="WIJ166" s="558"/>
      <c r="WIK166" s="558"/>
      <c r="WIL166" s="558"/>
      <c r="WIM166" s="558"/>
      <c r="WIN166" s="558"/>
      <c r="WIO166" s="558"/>
      <c r="WIP166" s="558"/>
      <c r="WIQ166" s="558"/>
      <c r="WIR166" s="558"/>
      <c r="WIS166" s="558"/>
      <c r="WIT166" s="558"/>
      <c r="WIU166" s="558"/>
      <c r="WIV166" s="558"/>
      <c r="WIW166" s="558"/>
      <c r="WIX166" s="558"/>
      <c r="WIY166" s="558"/>
      <c r="WIZ166" s="558"/>
      <c r="WJA166" s="558"/>
      <c r="WJB166" s="558"/>
      <c r="WJC166" s="558"/>
      <c r="WJD166" s="558"/>
      <c r="WJE166" s="558"/>
      <c r="WJF166" s="558"/>
      <c r="WJG166" s="558"/>
      <c r="WJH166" s="558"/>
      <c r="WJI166" s="558"/>
      <c r="WJJ166" s="558"/>
      <c r="WJK166" s="558"/>
      <c r="WJL166" s="558"/>
      <c r="WJM166" s="558"/>
      <c r="WJN166" s="558"/>
      <c r="WJO166" s="558"/>
      <c r="WJP166" s="558"/>
      <c r="WJQ166" s="558"/>
      <c r="WJR166" s="558"/>
      <c r="WJS166" s="558"/>
      <c r="WJT166" s="558"/>
      <c r="WJU166" s="558"/>
      <c r="WJV166" s="558"/>
      <c r="WJW166" s="558"/>
      <c r="WJX166" s="558"/>
      <c r="WJY166" s="558"/>
      <c r="WJZ166" s="558"/>
      <c r="WKA166" s="558"/>
      <c r="WKB166" s="558"/>
      <c r="WKC166" s="558"/>
      <c r="WKD166" s="558"/>
      <c r="WKE166" s="558"/>
      <c r="WKF166" s="558"/>
      <c r="WKG166" s="558"/>
      <c r="WKH166" s="558"/>
      <c r="WKI166" s="558"/>
      <c r="WKJ166" s="558"/>
      <c r="WKK166" s="558"/>
      <c r="WKL166" s="558"/>
      <c r="WKM166" s="558"/>
      <c r="WKN166" s="558"/>
      <c r="WKO166" s="558"/>
      <c r="WKP166" s="558"/>
      <c r="WKQ166" s="558"/>
      <c r="WKR166" s="558"/>
      <c r="WKS166" s="558"/>
      <c r="WKT166" s="558"/>
      <c r="WKU166" s="558"/>
      <c r="WKV166" s="558"/>
      <c r="WKW166" s="558"/>
      <c r="WKX166" s="558"/>
      <c r="WKY166" s="558"/>
      <c r="WKZ166" s="558"/>
      <c r="WLA166" s="558"/>
      <c r="WLB166" s="558"/>
      <c r="WLC166" s="558"/>
      <c r="WLD166" s="558"/>
      <c r="WLE166" s="558"/>
      <c r="WLF166" s="558"/>
      <c r="WLG166" s="558"/>
      <c r="WLH166" s="558"/>
      <c r="WLI166" s="558"/>
      <c r="WLJ166" s="558"/>
      <c r="WLK166" s="558"/>
      <c r="WLL166" s="558"/>
      <c r="WLM166" s="558"/>
      <c r="WLN166" s="558"/>
      <c r="WLO166" s="558"/>
      <c r="WLP166" s="558"/>
      <c r="WLQ166" s="558"/>
      <c r="WLR166" s="558"/>
      <c r="WLS166" s="558"/>
      <c r="WLT166" s="558"/>
      <c r="WLU166" s="558"/>
      <c r="WLV166" s="558"/>
      <c r="WLW166" s="558"/>
      <c r="WLX166" s="558"/>
      <c r="WLY166" s="558"/>
      <c r="WLZ166" s="558"/>
      <c r="WMA166" s="558"/>
      <c r="WMB166" s="558"/>
      <c r="WMC166" s="558"/>
      <c r="WMD166" s="558"/>
      <c r="WME166" s="558"/>
      <c r="WMF166" s="558"/>
      <c r="WMG166" s="558"/>
      <c r="WMH166" s="558"/>
      <c r="WMI166" s="558"/>
      <c r="WMJ166" s="558"/>
      <c r="WMK166" s="558"/>
      <c r="WML166" s="558"/>
      <c r="WMM166" s="558"/>
      <c r="WMN166" s="558"/>
      <c r="WMO166" s="558"/>
      <c r="WMP166" s="558"/>
      <c r="WMQ166" s="558"/>
      <c r="WMR166" s="558"/>
      <c r="WMS166" s="558"/>
      <c r="WMT166" s="558"/>
      <c r="WMU166" s="558"/>
      <c r="WMV166" s="558"/>
      <c r="WMW166" s="558"/>
      <c r="WMX166" s="558"/>
      <c r="WMY166" s="558"/>
      <c r="WMZ166" s="558"/>
      <c r="WNA166" s="558"/>
      <c r="WNB166" s="558"/>
      <c r="WNC166" s="558"/>
      <c r="WND166" s="558"/>
      <c r="WNE166" s="558"/>
      <c r="WNF166" s="558"/>
      <c r="WNG166" s="558"/>
      <c r="WNH166" s="558"/>
      <c r="WNI166" s="558"/>
      <c r="WNJ166" s="558"/>
      <c r="WNK166" s="558"/>
      <c r="WNL166" s="558"/>
      <c r="WNM166" s="558"/>
      <c r="WNN166" s="558"/>
      <c r="WNO166" s="558"/>
      <c r="WNP166" s="558"/>
      <c r="WNQ166" s="558"/>
      <c r="WNR166" s="558"/>
      <c r="WNS166" s="558"/>
      <c r="WNT166" s="558"/>
      <c r="WNU166" s="558"/>
      <c r="WNV166" s="558"/>
      <c r="WNW166" s="558"/>
      <c r="WNX166" s="558"/>
      <c r="WNY166" s="558"/>
      <c r="WNZ166" s="558"/>
      <c r="WOA166" s="558"/>
      <c r="WOB166" s="558"/>
      <c r="WOC166" s="558"/>
      <c r="WOD166" s="558"/>
      <c r="WOE166" s="558"/>
      <c r="WOF166" s="558"/>
      <c r="WOG166" s="558"/>
      <c r="WOH166" s="558"/>
      <c r="WOI166" s="558"/>
      <c r="WOJ166" s="558"/>
      <c r="WOK166" s="558"/>
      <c r="WOL166" s="558"/>
      <c r="WOM166" s="558"/>
      <c r="WON166" s="558"/>
      <c r="WOO166" s="558"/>
      <c r="WOP166" s="558"/>
      <c r="WOQ166" s="558"/>
      <c r="WOR166" s="558"/>
      <c r="WOS166" s="558"/>
      <c r="WOT166" s="558"/>
      <c r="WOU166" s="558"/>
      <c r="WOV166" s="558"/>
      <c r="WOW166" s="558"/>
      <c r="WOX166" s="558"/>
      <c r="WOY166" s="558"/>
      <c r="WOZ166" s="558"/>
      <c r="WPA166" s="558"/>
      <c r="WPB166" s="558"/>
      <c r="WPC166" s="558"/>
      <c r="WPD166" s="558"/>
      <c r="WPE166" s="558"/>
      <c r="WPF166" s="558"/>
      <c r="WPG166" s="558"/>
      <c r="WPH166" s="558"/>
      <c r="WPI166" s="558"/>
      <c r="WPJ166" s="558"/>
      <c r="WPK166" s="558"/>
      <c r="WPL166" s="558"/>
      <c r="WPM166" s="558"/>
      <c r="WPN166" s="558"/>
      <c r="WPO166" s="558"/>
      <c r="WPP166" s="558"/>
      <c r="WPQ166" s="558"/>
      <c r="WPR166" s="558"/>
      <c r="WPS166" s="558"/>
      <c r="WPT166" s="558"/>
      <c r="WPU166" s="558"/>
      <c r="WPV166" s="558"/>
      <c r="WPW166" s="558"/>
      <c r="WPX166" s="558"/>
      <c r="WPY166" s="558"/>
      <c r="WPZ166" s="558"/>
      <c r="WQA166" s="558"/>
      <c r="WQB166" s="558"/>
      <c r="WQC166" s="558"/>
      <c r="WQD166" s="558"/>
      <c r="WQE166" s="558"/>
      <c r="WQF166" s="558"/>
      <c r="WQG166" s="558"/>
      <c r="WQH166" s="558"/>
      <c r="WQI166" s="558"/>
      <c r="WQJ166" s="558"/>
      <c r="WQK166" s="558"/>
      <c r="WQL166" s="558"/>
      <c r="WQM166" s="558"/>
      <c r="WQN166" s="558"/>
      <c r="WQO166" s="558"/>
      <c r="WQP166" s="558"/>
      <c r="WQQ166" s="558"/>
      <c r="WQR166" s="558"/>
      <c r="WQS166" s="558"/>
      <c r="WQT166" s="558"/>
      <c r="WQU166" s="558"/>
      <c r="WQV166" s="558"/>
      <c r="WQW166" s="558"/>
      <c r="WQX166" s="558"/>
      <c r="WQY166" s="558"/>
      <c r="WQZ166" s="558"/>
      <c r="WRA166" s="558"/>
      <c r="WRB166" s="558"/>
      <c r="WRC166" s="558"/>
      <c r="WRD166" s="558"/>
      <c r="WRE166" s="558"/>
      <c r="WRF166" s="558"/>
      <c r="WRG166" s="558"/>
      <c r="WRH166" s="558"/>
      <c r="WRI166" s="558"/>
      <c r="WRJ166" s="558"/>
      <c r="WRK166" s="558"/>
      <c r="WRL166" s="558"/>
      <c r="WRM166" s="558"/>
      <c r="WRN166" s="558"/>
      <c r="WRO166" s="558"/>
      <c r="WRP166" s="558"/>
      <c r="WRQ166" s="558"/>
      <c r="WRR166" s="558"/>
      <c r="WRS166" s="558"/>
      <c r="WRT166" s="558"/>
      <c r="WRU166" s="558"/>
      <c r="WRV166" s="558"/>
      <c r="WRW166" s="558"/>
      <c r="WRX166" s="558"/>
      <c r="WRY166" s="558"/>
      <c r="WRZ166" s="558"/>
      <c r="WSA166" s="558"/>
      <c r="WSB166" s="558"/>
      <c r="WSC166" s="558"/>
      <c r="WSD166" s="558"/>
      <c r="WSE166" s="558"/>
      <c r="WSF166" s="558"/>
      <c r="WSG166" s="558"/>
      <c r="WSH166" s="558"/>
      <c r="WSI166" s="558"/>
      <c r="WSJ166" s="558"/>
      <c r="WSK166" s="558"/>
      <c r="WSL166" s="558"/>
      <c r="WSM166" s="558"/>
      <c r="WSN166" s="558"/>
      <c r="WSO166" s="558"/>
      <c r="WSP166" s="558"/>
      <c r="WSQ166" s="558"/>
      <c r="WSR166" s="558"/>
      <c r="WSS166" s="558"/>
      <c r="WST166" s="558"/>
      <c r="WSU166" s="558"/>
      <c r="WSV166" s="558"/>
      <c r="WSW166" s="558"/>
      <c r="WSX166" s="558"/>
      <c r="WSY166" s="558"/>
      <c r="WSZ166" s="558"/>
      <c r="WTA166" s="558"/>
      <c r="WTB166" s="558"/>
      <c r="WTC166" s="558"/>
      <c r="WTD166" s="558"/>
      <c r="WTE166" s="558"/>
      <c r="WTF166" s="558"/>
      <c r="WTG166" s="558"/>
      <c r="WTH166" s="558"/>
      <c r="WTI166" s="558"/>
      <c r="WTJ166" s="558"/>
      <c r="WTK166" s="558"/>
      <c r="WTL166" s="558"/>
      <c r="WTM166" s="558"/>
      <c r="WTN166" s="558"/>
      <c r="WTO166" s="558"/>
      <c r="WTP166" s="558"/>
      <c r="WTQ166" s="558"/>
      <c r="WTR166" s="558"/>
      <c r="WTS166" s="558"/>
      <c r="WTT166" s="558"/>
      <c r="WTU166" s="558"/>
      <c r="WTV166" s="558"/>
      <c r="WTW166" s="558"/>
      <c r="WTX166" s="558"/>
      <c r="WTY166" s="558"/>
      <c r="WTZ166" s="558"/>
      <c r="WUA166" s="558"/>
      <c r="WUB166" s="558"/>
      <c r="WUC166" s="558"/>
      <c r="WUD166" s="558"/>
      <c r="WUE166" s="558"/>
      <c r="WUF166" s="558"/>
      <c r="WUG166" s="558"/>
      <c r="WUH166" s="558"/>
      <c r="WUI166" s="558"/>
      <c r="WUJ166" s="558"/>
      <c r="WUK166" s="558"/>
      <c r="WUL166" s="558"/>
      <c r="WUM166" s="558"/>
      <c r="WUN166" s="558"/>
      <c r="WUO166" s="558"/>
      <c r="WUP166" s="558"/>
      <c r="WUQ166" s="558"/>
      <c r="WUR166" s="558"/>
      <c r="WUS166" s="558"/>
      <c r="WUT166" s="558"/>
      <c r="WUU166" s="558"/>
      <c r="WUV166" s="558"/>
      <c r="WUW166" s="558"/>
      <c r="WUX166" s="558"/>
      <c r="WUY166" s="558"/>
      <c r="WUZ166" s="558"/>
      <c r="WVA166" s="558"/>
      <c r="WVB166" s="558"/>
      <c r="WVC166" s="558"/>
      <c r="WVD166" s="558"/>
      <c r="WVE166" s="558"/>
      <c r="WVF166" s="558"/>
      <c r="WVG166" s="558"/>
      <c r="WVH166" s="558"/>
      <c r="WVI166" s="558"/>
      <c r="WVJ166" s="558"/>
      <c r="WVK166" s="558"/>
      <c r="WVL166" s="558"/>
      <c r="WVM166" s="558"/>
      <c r="WVN166" s="558"/>
      <c r="WVO166" s="558"/>
      <c r="WVP166" s="558"/>
      <c r="WVQ166" s="558"/>
      <c r="WVR166" s="558"/>
      <c r="WVS166" s="558"/>
      <c r="WVT166" s="558"/>
      <c r="WVU166" s="558"/>
      <c r="WVV166" s="558"/>
      <c r="WVW166" s="558"/>
      <c r="WVX166" s="558"/>
      <c r="WVY166" s="558"/>
      <c r="WVZ166" s="558"/>
      <c r="WWA166" s="558"/>
      <c r="WWB166" s="558"/>
      <c r="WWC166" s="558"/>
      <c r="WWD166" s="558"/>
      <c r="WWE166" s="558"/>
      <c r="WWF166" s="558"/>
      <c r="WWG166" s="558"/>
      <c r="WWH166" s="558"/>
      <c r="WWI166" s="558"/>
      <c r="WWJ166" s="558"/>
      <c r="WWK166" s="558"/>
      <c r="WWL166" s="558"/>
      <c r="WWM166" s="558"/>
      <c r="WWN166" s="558"/>
      <c r="WWO166" s="558"/>
      <c r="WWP166" s="558"/>
      <c r="WWQ166" s="558"/>
      <c r="WWR166" s="558"/>
      <c r="WWS166" s="558"/>
      <c r="WWT166" s="558"/>
      <c r="WWU166" s="558"/>
      <c r="WWV166" s="558"/>
      <c r="WWW166" s="558"/>
      <c r="WWX166" s="558"/>
      <c r="WWY166" s="558"/>
      <c r="WWZ166" s="558"/>
      <c r="WXA166" s="558"/>
      <c r="WXB166" s="558"/>
      <c r="WXC166" s="558"/>
      <c r="WXD166" s="558"/>
      <c r="WXE166" s="558"/>
      <c r="WXF166" s="558"/>
      <c r="WXG166" s="558"/>
      <c r="WXH166" s="558"/>
      <c r="WXI166" s="558"/>
      <c r="WXJ166" s="558"/>
      <c r="WXK166" s="558"/>
      <c r="WXL166" s="558"/>
      <c r="WXM166" s="558"/>
      <c r="WXN166" s="558"/>
      <c r="WXO166" s="558"/>
      <c r="WXP166" s="558"/>
      <c r="WXQ166" s="558"/>
      <c r="WXR166" s="558"/>
      <c r="WXS166" s="558"/>
      <c r="WXT166" s="558"/>
      <c r="WXU166" s="558"/>
      <c r="WXV166" s="558"/>
      <c r="WXW166" s="558"/>
      <c r="WXX166" s="558"/>
      <c r="WXY166" s="558"/>
      <c r="WXZ166" s="558"/>
      <c r="WYA166" s="558"/>
      <c r="WYB166" s="558"/>
      <c r="WYC166" s="558"/>
      <c r="WYD166" s="558"/>
      <c r="WYE166" s="558"/>
      <c r="WYF166" s="558"/>
      <c r="WYG166" s="558"/>
      <c r="WYH166" s="558"/>
      <c r="WYI166" s="558"/>
      <c r="WYJ166" s="558"/>
      <c r="WYK166" s="558"/>
      <c r="WYL166" s="558"/>
      <c r="WYM166" s="558"/>
      <c r="WYN166" s="558"/>
      <c r="WYO166" s="558"/>
      <c r="WYP166" s="558"/>
      <c r="WYQ166" s="558"/>
      <c r="WYR166" s="558"/>
      <c r="WYS166" s="558"/>
      <c r="WYT166" s="558"/>
      <c r="WYU166" s="558"/>
      <c r="WYV166" s="558"/>
      <c r="WYW166" s="558"/>
      <c r="WYX166" s="558"/>
      <c r="WYY166" s="558"/>
      <c r="WYZ166" s="558"/>
      <c r="WZA166" s="558"/>
      <c r="WZB166" s="558"/>
      <c r="WZC166" s="558"/>
      <c r="WZD166" s="558"/>
      <c r="WZE166" s="558"/>
      <c r="WZF166" s="558"/>
      <c r="WZG166" s="558"/>
      <c r="WZH166" s="558"/>
      <c r="WZI166" s="558"/>
      <c r="WZJ166" s="558"/>
      <c r="WZK166" s="558"/>
      <c r="WZL166" s="558"/>
      <c r="WZM166" s="558"/>
      <c r="WZN166" s="558"/>
      <c r="WZO166" s="558"/>
      <c r="WZP166" s="558"/>
      <c r="WZQ166" s="558"/>
      <c r="WZR166" s="558"/>
      <c r="WZS166" s="558"/>
      <c r="WZT166" s="558"/>
      <c r="WZU166" s="558"/>
      <c r="WZV166" s="558"/>
      <c r="WZW166" s="558"/>
      <c r="WZX166" s="558"/>
      <c r="WZY166" s="558"/>
      <c r="WZZ166" s="558"/>
      <c r="XAA166" s="558"/>
      <c r="XAB166" s="558"/>
      <c r="XAC166" s="558"/>
      <c r="XAD166" s="558"/>
      <c r="XAE166" s="558"/>
      <c r="XAF166" s="558"/>
      <c r="XAG166" s="558"/>
      <c r="XAH166" s="558"/>
      <c r="XAI166" s="558"/>
      <c r="XAJ166" s="558"/>
      <c r="XAK166" s="558"/>
      <c r="XAL166" s="558"/>
      <c r="XAM166" s="558"/>
      <c r="XAN166" s="558"/>
      <c r="XAO166" s="558"/>
      <c r="XAP166" s="558"/>
      <c r="XAQ166" s="558"/>
      <c r="XAR166" s="558"/>
      <c r="XAS166" s="558"/>
      <c r="XAT166" s="558"/>
      <c r="XAU166" s="558"/>
      <c r="XAV166" s="558"/>
      <c r="XAW166" s="558"/>
      <c r="XAX166" s="558"/>
      <c r="XAY166" s="558"/>
      <c r="XAZ166" s="558"/>
      <c r="XBA166" s="558"/>
      <c r="XBB166" s="558"/>
      <c r="XBC166" s="558"/>
      <c r="XBD166" s="558"/>
      <c r="XBE166" s="558"/>
      <c r="XBF166" s="558"/>
      <c r="XBG166" s="558"/>
      <c r="XBH166" s="558"/>
      <c r="XBI166" s="558"/>
      <c r="XBJ166" s="558"/>
      <c r="XBK166" s="558"/>
      <c r="XBL166" s="558"/>
      <c r="XBM166" s="558"/>
      <c r="XBN166" s="558"/>
      <c r="XBO166" s="558"/>
      <c r="XBP166" s="558"/>
      <c r="XBQ166" s="558"/>
      <c r="XBR166" s="558"/>
      <c r="XBS166" s="558"/>
      <c r="XBT166" s="558"/>
      <c r="XBU166" s="558"/>
      <c r="XBV166" s="558"/>
      <c r="XBW166" s="558"/>
      <c r="XBX166" s="558"/>
      <c r="XBY166" s="558"/>
      <c r="XBZ166" s="558"/>
      <c r="XCA166" s="558"/>
      <c r="XCB166" s="558"/>
      <c r="XCC166" s="558"/>
      <c r="XCD166" s="558"/>
      <c r="XCE166" s="558"/>
      <c r="XCF166" s="558"/>
      <c r="XCG166" s="558"/>
      <c r="XCH166" s="558"/>
      <c r="XCI166" s="558"/>
      <c r="XCJ166" s="558"/>
      <c r="XCK166" s="558"/>
      <c r="XCL166" s="558"/>
      <c r="XCM166" s="558"/>
      <c r="XCN166" s="558"/>
      <c r="XCO166" s="558"/>
      <c r="XCP166" s="558"/>
      <c r="XCQ166" s="558"/>
      <c r="XCR166" s="558"/>
      <c r="XCS166" s="558"/>
      <c r="XCT166" s="558"/>
      <c r="XCU166" s="558"/>
      <c r="XCV166" s="558"/>
      <c r="XCW166" s="558"/>
      <c r="XCX166" s="558"/>
      <c r="XCY166" s="558"/>
      <c r="XCZ166" s="558"/>
      <c r="XDA166" s="558"/>
      <c r="XDB166" s="558"/>
      <c r="XDC166" s="558"/>
      <c r="XDD166" s="558"/>
      <c r="XDE166" s="558"/>
      <c r="XDF166" s="558"/>
      <c r="XDG166" s="558"/>
      <c r="XDH166" s="558"/>
      <c r="XDI166" s="558"/>
      <c r="XDJ166" s="558"/>
      <c r="XDK166" s="558"/>
      <c r="XDL166" s="558"/>
      <c r="XDM166" s="558"/>
      <c r="XDN166" s="558"/>
      <c r="XDO166" s="558"/>
      <c r="XDP166" s="558"/>
      <c r="XDQ166" s="558"/>
      <c r="XDR166" s="558"/>
      <c r="XDS166" s="558"/>
      <c r="XDT166" s="558"/>
      <c r="XDU166" s="558"/>
      <c r="XDV166" s="558"/>
      <c r="XDW166" s="558"/>
      <c r="XDX166" s="558"/>
      <c r="XDY166" s="558"/>
      <c r="XDZ166" s="558"/>
      <c r="XEA166" s="558"/>
      <c r="XEB166" s="558"/>
      <c r="XEC166" s="558"/>
      <c r="XED166" s="558"/>
      <c r="XEE166" s="558"/>
      <c r="XEF166" s="558"/>
      <c r="XEG166" s="558"/>
      <c r="XEH166" s="558"/>
      <c r="XEI166" s="558"/>
      <c r="XEJ166" s="558"/>
      <c r="XEK166" s="558"/>
      <c r="XEL166" s="558"/>
      <c r="XEM166" s="558"/>
      <c r="XEN166" s="558"/>
      <c r="XEO166" s="558"/>
      <c r="XEP166" s="558"/>
      <c r="XEQ166" s="558"/>
      <c r="XER166" s="558"/>
      <c r="XES166" s="558"/>
      <c r="XET166" s="558"/>
      <c r="XEU166" s="558"/>
      <c r="XEV166" s="558"/>
      <c r="XEW166" s="558"/>
      <c r="XEX166" s="558"/>
      <c r="XEY166" s="558"/>
      <c r="XEZ166" s="558"/>
      <c r="XFA166" s="558"/>
      <c r="XFB166" s="558"/>
      <c r="XFC166" s="558"/>
    </row>
    <row r="167" spans="1:16383">
      <c r="A167" s="3070" t="s">
        <v>2814</v>
      </c>
      <c r="B167" s="3070" t="s">
        <v>343</v>
      </c>
      <c r="C167" s="3070" t="s">
        <v>1763</v>
      </c>
      <c r="D167" s="3070">
        <v>62168.34</v>
      </c>
      <c r="E167" s="3070">
        <v>186162</v>
      </c>
      <c r="F167" s="3070" t="s">
        <v>2815</v>
      </c>
      <c r="G167" s="3070" t="s">
        <v>1797</v>
      </c>
      <c r="H167" s="3070" t="s">
        <v>1765</v>
      </c>
      <c r="I167" s="3070" t="s">
        <v>2816</v>
      </c>
      <c r="J167" s="3070" t="s">
        <v>2816</v>
      </c>
      <c r="K167" s="3070" t="s">
        <v>1767</v>
      </c>
      <c r="L167" s="3070">
        <v>434800</v>
      </c>
      <c r="M167" s="3070">
        <v>23356</v>
      </c>
      <c r="N167" s="3070" t="s">
        <v>1767</v>
      </c>
      <c r="O167" s="3070" t="s">
        <v>2817</v>
      </c>
      <c r="P167" s="3070" t="s">
        <v>1772</v>
      </c>
    </row>
    <row r="168" spans="1:16383">
      <c r="A168" s="3070" t="s">
        <v>2818</v>
      </c>
      <c r="B168" s="3070" t="s">
        <v>343</v>
      </c>
      <c r="C168" s="3070" t="s">
        <v>1763</v>
      </c>
      <c r="D168" s="3070">
        <v>74642.399999999994</v>
      </c>
      <c r="E168" s="3070">
        <v>82107</v>
      </c>
      <c r="F168" s="3070" t="s">
        <v>1831</v>
      </c>
      <c r="G168" s="3070" t="s">
        <v>1764</v>
      </c>
      <c r="H168" s="3070" t="s">
        <v>1765</v>
      </c>
      <c r="I168" s="3070" t="s">
        <v>2819</v>
      </c>
      <c r="J168" s="3070" t="s">
        <v>2819</v>
      </c>
      <c r="K168" s="3070">
        <v>260000</v>
      </c>
      <c r="L168" s="3070">
        <v>260000</v>
      </c>
      <c r="M168" s="3070">
        <v>31666</v>
      </c>
      <c r="N168" s="3070">
        <v>0</v>
      </c>
      <c r="O168" s="3070" t="s">
        <v>2820</v>
      </c>
      <c r="P168" s="3070" t="s">
        <v>2821</v>
      </c>
    </row>
    <row r="169" spans="1:16383" s="3073" customFormat="1">
      <c r="A169" s="3072" t="s">
        <v>2822</v>
      </c>
      <c r="B169" s="3072" t="s">
        <v>343</v>
      </c>
      <c r="C169" s="3072" t="s">
        <v>1774</v>
      </c>
      <c r="D169" s="3072">
        <v>21023.4</v>
      </c>
      <c r="E169" s="3072">
        <v>63070</v>
      </c>
      <c r="F169" s="3072" t="s">
        <v>2815</v>
      </c>
      <c r="G169" s="3072" t="s">
        <v>1764</v>
      </c>
      <c r="H169" s="3072" t="s">
        <v>1814</v>
      </c>
      <c r="I169" s="3072" t="s">
        <v>2823</v>
      </c>
      <c r="J169" s="3072" t="s">
        <v>2823</v>
      </c>
      <c r="K169" s="3072">
        <v>266900</v>
      </c>
      <c r="L169" s="3072">
        <v>282000</v>
      </c>
      <c r="M169" s="3072">
        <v>44712.22</v>
      </c>
      <c r="N169" s="3072">
        <v>5.66</v>
      </c>
      <c r="O169" s="3072" t="s">
        <v>2824</v>
      </c>
      <c r="P169" s="3072" t="s">
        <v>1772</v>
      </c>
      <c r="Q169" s="558">
        <v>48430</v>
      </c>
      <c r="R169" s="558">
        <v>58228</v>
      </c>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c r="AO169" s="558"/>
      <c r="AP169" s="558"/>
      <c r="AQ169" s="558"/>
      <c r="AR169" s="558"/>
      <c r="AS169" s="558"/>
      <c r="AT169" s="558"/>
      <c r="AU169" s="558"/>
      <c r="AV169" s="558"/>
      <c r="AW169" s="558"/>
      <c r="AX169" s="558"/>
      <c r="AY169" s="558"/>
      <c r="AZ169" s="558"/>
      <c r="BA169" s="558"/>
      <c r="BB169" s="558"/>
      <c r="BC169" s="558"/>
      <c r="BD169" s="558"/>
      <c r="BE169" s="558"/>
      <c r="BF169" s="558"/>
      <c r="BG169" s="558"/>
      <c r="BH169" s="558"/>
      <c r="BI169" s="558"/>
      <c r="BJ169" s="558"/>
      <c r="BK169" s="558"/>
      <c r="BL169" s="558"/>
      <c r="BM169" s="558"/>
      <c r="BN169" s="558"/>
      <c r="BO169" s="558"/>
      <c r="BP169" s="558"/>
      <c r="BQ169" s="558"/>
      <c r="BR169" s="558"/>
      <c r="BS169" s="558"/>
      <c r="BT169" s="558"/>
      <c r="BU169" s="558"/>
      <c r="BV169" s="558"/>
      <c r="BW169" s="558"/>
      <c r="BX169" s="558"/>
      <c r="BY169" s="558"/>
      <c r="BZ169" s="558"/>
      <c r="CA169" s="558"/>
      <c r="CB169" s="558"/>
      <c r="CC169" s="558"/>
      <c r="CD169" s="558"/>
      <c r="CE169" s="558"/>
      <c r="CF169" s="558"/>
      <c r="CG169" s="558"/>
      <c r="CH169" s="558"/>
      <c r="CI169" s="558"/>
      <c r="CJ169" s="558"/>
      <c r="CK169" s="558"/>
      <c r="CL169" s="558"/>
      <c r="CM169" s="558"/>
      <c r="CN169" s="558"/>
      <c r="CO169" s="558"/>
      <c r="CP169" s="558"/>
      <c r="CQ169" s="558"/>
      <c r="CR169" s="558"/>
      <c r="CS169" s="558"/>
      <c r="CT169" s="558"/>
      <c r="CU169" s="558"/>
      <c r="CV169" s="558"/>
      <c r="CW169" s="558"/>
      <c r="CX169" s="558"/>
      <c r="CY169" s="558"/>
      <c r="CZ169" s="558"/>
      <c r="DA169" s="558"/>
      <c r="DB169" s="558"/>
      <c r="DC169" s="558"/>
      <c r="DD169" s="558"/>
      <c r="DE169" s="558"/>
      <c r="DF169" s="558"/>
      <c r="DG169" s="558"/>
      <c r="DH169" s="558"/>
      <c r="DI169" s="558"/>
      <c r="DJ169" s="558"/>
      <c r="DK169" s="558"/>
      <c r="DL169" s="558"/>
      <c r="DM169" s="558"/>
      <c r="DN169" s="558"/>
      <c r="DO169" s="558"/>
      <c r="DP169" s="558"/>
      <c r="DQ169" s="558"/>
      <c r="DR169" s="558"/>
      <c r="DS169" s="558"/>
      <c r="DT169" s="558"/>
      <c r="DU169" s="558"/>
      <c r="DV169" s="558"/>
      <c r="DW169" s="558"/>
      <c r="DX169" s="558"/>
      <c r="DY169" s="558"/>
      <c r="DZ169" s="558"/>
      <c r="EA169" s="558"/>
      <c r="EB169" s="558"/>
      <c r="EC169" s="558"/>
      <c r="ED169" s="558"/>
      <c r="EE169" s="558"/>
      <c r="EF169" s="558"/>
      <c r="EG169" s="558"/>
      <c r="EH169" s="558"/>
      <c r="EI169" s="558"/>
      <c r="EJ169" s="558"/>
      <c r="EK169" s="558"/>
      <c r="EL169" s="558"/>
      <c r="EM169" s="558"/>
      <c r="EN169" s="558"/>
      <c r="EO169" s="558"/>
      <c r="EP169" s="558"/>
      <c r="EQ169" s="558"/>
      <c r="ER169" s="558"/>
      <c r="ES169" s="558"/>
      <c r="ET169" s="558"/>
      <c r="EU169" s="558"/>
      <c r="EV169" s="558"/>
      <c r="EW169" s="558"/>
      <c r="EX169" s="558"/>
      <c r="EY169" s="558"/>
      <c r="EZ169" s="558"/>
      <c r="FA169" s="558"/>
      <c r="FB169" s="558"/>
      <c r="FC169" s="558"/>
      <c r="FD169" s="558"/>
      <c r="FE169" s="558"/>
      <c r="FF169" s="558"/>
      <c r="FG169" s="558"/>
      <c r="FH169" s="558"/>
      <c r="FI169" s="558"/>
      <c r="FJ169" s="558"/>
      <c r="FK169" s="558"/>
      <c r="FL169" s="558"/>
      <c r="FM169" s="558"/>
      <c r="FN169" s="558"/>
      <c r="FO169" s="558"/>
      <c r="FP169" s="558"/>
      <c r="FQ169" s="558"/>
      <c r="FR169" s="558"/>
      <c r="FS169" s="558"/>
      <c r="FT169" s="558"/>
      <c r="FU169" s="558"/>
      <c r="FV169" s="558"/>
      <c r="FW169" s="558"/>
      <c r="FX169" s="558"/>
      <c r="FY169" s="558"/>
      <c r="FZ169" s="558"/>
      <c r="GA169" s="558"/>
      <c r="GB169" s="558"/>
      <c r="GC169" s="558"/>
      <c r="GD169" s="558"/>
      <c r="GE169" s="558"/>
      <c r="GF169" s="558"/>
      <c r="GG169" s="558"/>
      <c r="GH169" s="558"/>
      <c r="GI169" s="558"/>
      <c r="GJ169" s="558"/>
      <c r="GK169" s="558"/>
      <c r="GL169" s="558"/>
      <c r="GM169" s="558"/>
      <c r="GN169" s="558"/>
      <c r="GO169" s="558"/>
      <c r="GP169" s="558"/>
      <c r="GQ169" s="558"/>
      <c r="GR169" s="558"/>
      <c r="GS169" s="558"/>
      <c r="GT169" s="558"/>
      <c r="GU169" s="558"/>
      <c r="GV169" s="558"/>
      <c r="GW169" s="558"/>
      <c r="GX169" s="558"/>
      <c r="GY169" s="558"/>
      <c r="GZ169" s="558"/>
      <c r="HA169" s="558"/>
      <c r="HB169" s="558"/>
      <c r="HC169" s="558"/>
      <c r="HD169" s="558"/>
      <c r="HE169" s="558"/>
      <c r="HF169" s="558"/>
      <c r="HG169" s="558"/>
      <c r="HH169" s="558"/>
      <c r="HI169" s="558"/>
      <c r="HJ169" s="558"/>
      <c r="HK169" s="558"/>
      <c r="HL169" s="558"/>
      <c r="HM169" s="558"/>
      <c r="HN169" s="558"/>
      <c r="HO169" s="558"/>
      <c r="HP169" s="558"/>
      <c r="HQ169" s="558"/>
      <c r="HR169" s="558"/>
      <c r="HS169" s="558"/>
      <c r="HT169" s="558"/>
      <c r="HU169" s="558"/>
      <c r="HV169" s="558"/>
      <c r="HW169" s="558"/>
      <c r="HX169" s="558"/>
      <c r="HY169" s="558"/>
      <c r="HZ169" s="558"/>
      <c r="IA169" s="558"/>
      <c r="IB169" s="558"/>
      <c r="IC169" s="558"/>
      <c r="ID169" s="558"/>
      <c r="IE169" s="558"/>
      <c r="IF169" s="558"/>
      <c r="IG169" s="558"/>
      <c r="IH169" s="558"/>
      <c r="II169" s="558"/>
      <c r="IJ169" s="558"/>
      <c r="IK169" s="558"/>
      <c r="IL169" s="558"/>
      <c r="IM169" s="558"/>
      <c r="IN169" s="558"/>
      <c r="IO169" s="558"/>
      <c r="IP169" s="558"/>
      <c r="IQ169" s="558"/>
      <c r="IR169" s="558"/>
      <c r="IS169" s="558"/>
      <c r="IT169" s="558"/>
      <c r="IU169" s="558"/>
      <c r="IV169" s="558"/>
      <c r="IW169" s="558"/>
      <c r="IX169" s="558"/>
      <c r="IY169" s="558"/>
      <c r="IZ169" s="558"/>
      <c r="JA169" s="558"/>
      <c r="JB169" s="558"/>
      <c r="JC169" s="558"/>
      <c r="JD169" s="558"/>
      <c r="JE169" s="558"/>
      <c r="JF169" s="558"/>
      <c r="JG169" s="558"/>
      <c r="JH169" s="558"/>
      <c r="JI169" s="558"/>
      <c r="JJ169" s="558"/>
      <c r="JK169" s="558"/>
      <c r="JL169" s="558"/>
      <c r="JM169" s="558"/>
      <c r="JN169" s="558"/>
      <c r="JO169" s="558"/>
      <c r="JP169" s="558"/>
      <c r="JQ169" s="558"/>
      <c r="JR169" s="558"/>
      <c r="JS169" s="558"/>
      <c r="JT169" s="558"/>
      <c r="JU169" s="558"/>
      <c r="JV169" s="558"/>
      <c r="JW169" s="558"/>
      <c r="JX169" s="558"/>
      <c r="JY169" s="558"/>
      <c r="JZ169" s="558"/>
      <c r="KA169" s="558"/>
      <c r="KB169" s="558"/>
      <c r="KC169" s="558"/>
      <c r="KD169" s="558"/>
      <c r="KE169" s="558"/>
      <c r="KF169" s="558"/>
      <c r="KG169" s="558"/>
      <c r="KH169" s="558"/>
      <c r="KI169" s="558"/>
      <c r="KJ169" s="558"/>
      <c r="KK169" s="558"/>
      <c r="KL169" s="558"/>
      <c r="KM169" s="558"/>
      <c r="KN169" s="558"/>
      <c r="KO169" s="558"/>
      <c r="KP169" s="558"/>
      <c r="KQ169" s="558"/>
      <c r="KR169" s="558"/>
      <c r="KS169" s="558"/>
      <c r="KT169" s="558"/>
      <c r="KU169" s="558"/>
      <c r="KV169" s="558"/>
      <c r="KW169" s="558"/>
      <c r="KX169" s="558"/>
      <c r="KY169" s="558"/>
      <c r="KZ169" s="558"/>
      <c r="LA169" s="558"/>
      <c r="LB169" s="558"/>
      <c r="LC169" s="558"/>
      <c r="LD169" s="558"/>
      <c r="LE169" s="558"/>
      <c r="LF169" s="558"/>
      <c r="LG169" s="558"/>
      <c r="LH169" s="558"/>
      <c r="LI169" s="558"/>
      <c r="LJ169" s="558"/>
      <c r="LK169" s="558"/>
      <c r="LL169" s="558"/>
      <c r="LM169" s="558"/>
      <c r="LN169" s="558"/>
      <c r="LO169" s="558"/>
      <c r="LP169" s="558"/>
      <c r="LQ169" s="558"/>
      <c r="LR169" s="558"/>
      <c r="LS169" s="558"/>
      <c r="LT169" s="558"/>
      <c r="LU169" s="558"/>
      <c r="LV169" s="558"/>
      <c r="LW169" s="558"/>
      <c r="LX169" s="558"/>
      <c r="LY169" s="558"/>
      <c r="LZ169" s="558"/>
      <c r="MA169" s="558"/>
      <c r="MB169" s="558"/>
      <c r="MC169" s="558"/>
      <c r="MD169" s="558"/>
      <c r="ME169" s="558"/>
      <c r="MF169" s="558"/>
      <c r="MG169" s="558"/>
      <c r="MH169" s="558"/>
      <c r="MI169" s="558"/>
      <c r="MJ169" s="558"/>
      <c r="MK169" s="558"/>
      <c r="ML169" s="558"/>
      <c r="MM169" s="558"/>
      <c r="MN169" s="558"/>
      <c r="MO169" s="558"/>
      <c r="MP169" s="558"/>
      <c r="MQ169" s="558"/>
      <c r="MR169" s="558"/>
      <c r="MS169" s="558"/>
      <c r="MT169" s="558"/>
      <c r="MU169" s="558"/>
      <c r="MV169" s="558"/>
      <c r="MW169" s="558"/>
      <c r="MX169" s="558"/>
      <c r="MY169" s="558"/>
      <c r="MZ169" s="558"/>
      <c r="NA169" s="558"/>
      <c r="NB169" s="558"/>
      <c r="NC169" s="558"/>
      <c r="ND169" s="558"/>
      <c r="NE169" s="558"/>
      <c r="NF169" s="558"/>
      <c r="NG169" s="558"/>
      <c r="NH169" s="558"/>
      <c r="NI169" s="558"/>
      <c r="NJ169" s="558"/>
      <c r="NK169" s="558"/>
      <c r="NL169" s="558"/>
      <c r="NM169" s="558"/>
      <c r="NN169" s="558"/>
      <c r="NO169" s="558"/>
      <c r="NP169" s="558"/>
      <c r="NQ169" s="558"/>
      <c r="NR169" s="558"/>
      <c r="NS169" s="558"/>
      <c r="NT169" s="558"/>
      <c r="NU169" s="558"/>
      <c r="NV169" s="558"/>
      <c r="NW169" s="558"/>
      <c r="NX169" s="558"/>
      <c r="NY169" s="558"/>
      <c r="NZ169" s="558"/>
      <c r="OA169" s="558"/>
      <c r="OB169" s="558"/>
      <c r="OC169" s="558"/>
      <c r="OD169" s="558"/>
      <c r="OE169" s="558"/>
      <c r="OF169" s="558"/>
      <c r="OG169" s="558"/>
      <c r="OH169" s="558"/>
      <c r="OI169" s="558"/>
      <c r="OJ169" s="558"/>
      <c r="OK169" s="558"/>
      <c r="OL169" s="558"/>
      <c r="OM169" s="558"/>
      <c r="ON169" s="558"/>
      <c r="OO169" s="558"/>
      <c r="OP169" s="558"/>
      <c r="OQ169" s="558"/>
      <c r="OR169" s="558"/>
      <c r="OS169" s="558"/>
      <c r="OT169" s="558"/>
      <c r="OU169" s="558"/>
      <c r="OV169" s="558"/>
      <c r="OW169" s="558"/>
      <c r="OX169" s="558"/>
      <c r="OY169" s="558"/>
      <c r="OZ169" s="558"/>
      <c r="PA169" s="558"/>
      <c r="PB169" s="558"/>
      <c r="PC169" s="558"/>
      <c r="PD169" s="558"/>
      <c r="PE169" s="558"/>
      <c r="PF169" s="558"/>
      <c r="PG169" s="558"/>
      <c r="PH169" s="558"/>
      <c r="PI169" s="558"/>
      <c r="PJ169" s="558"/>
      <c r="PK169" s="558"/>
      <c r="PL169" s="558"/>
      <c r="PM169" s="558"/>
      <c r="PN169" s="558"/>
      <c r="PO169" s="558"/>
      <c r="PP169" s="558"/>
      <c r="PQ169" s="558"/>
      <c r="PR169" s="558"/>
      <c r="PS169" s="558"/>
      <c r="PT169" s="558"/>
      <c r="PU169" s="558"/>
      <c r="PV169" s="558"/>
      <c r="PW169" s="558"/>
      <c r="PX169" s="558"/>
      <c r="PY169" s="558"/>
      <c r="PZ169" s="558"/>
      <c r="QA169" s="558"/>
      <c r="QB169" s="558"/>
      <c r="QC169" s="558"/>
      <c r="QD169" s="558"/>
      <c r="QE169" s="558"/>
      <c r="QF169" s="558"/>
      <c r="QG169" s="558"/>
      <c r="QH169" s="558"/>
      <c r="QI169" s="558"/>
      <c r="QJ169" s="558"/>
      <c r="QK169" s="558"/>
      <c r="QL169" s="558"/>
      <c r="QM169" s="558"/>
      <c r="QN169" s="558"/>
      <c r="QO169" s="558"/>
      <c r="QP169" s="558"/>
      <c r="QQ169" s="558"/>
      <c r="QR169" s="558"/>
      <c r="QS169" s="558"/>
      <c r="QT169" s="558"/>
      <c r="QU169" s="558"/>
      <c r="QV169" s="558"/>
      <c r="QW169" s="558"/>
      <c r="QX169" s="558"/>
      <c r="QY169" s="558"/>
      <c r="QZ169" s="558"/>
      <c r="RA169" s="558"/>
      <c r="RB169" s="558"/>
      <c r="RC169" s="558"/>
      <c r="RD169" s="558"/>
      <c r="RE169" s="558"/>
      <c r="RF169" s="558"/>
      <c r="RG169" s="558"/>
      <c r="RH169" s="558"/>
      <c r="RI169" s="558"/>
      <c r="RJ169" s="558"/>
      <c r="RK169" s="558"/>
      <c r="RL169" s="558"/>
      <c r="RM169" s="558"/>
      <c r="RN169" s="558"/>
      <c r="RO169" s="558"/>
      <c r="RP169" s="558"/>
      <c r="RQ169" s="558"/>
      <c r="RR169" s="558"/>
      <c r="RS169" s="558"/>
      <c r="RT169" s="558"/>
      <c r="RU169" s="558"/>
      <c r="RV169" s="558"/>
      <c r="RW169" s="558"/>
      <c r="RX169" s="558"/>
      <c r="RY169" s="558"/>
      <c r="RZ169" s="558"/>
      <c r="SA169" s="558"/>
      <c r="SB169" s="558"/>
      <c r="SC169" s="558"/>
      <c r="SD169" s="558"/>
      <c r="SE169" s="558"/>
      <c r="SF169" s="558"/>
      <c r="SG169" s="558"/>
      <c r="SH169" s="558"/>
      <c r="SI169" s="558"/>
      <c r="SJ169" s="558"/>
      <c r="SK169" s="558"/>
      <c r="SL169" s="558"/>
      <c r="SM169" s="558"/>
      <c r="SN169" s="558"/>
      <c r="SO169" s="558"/>
      <c r="SP169" s="558"/>
      <c r="SQ169" s="558"/>
      <c r="SR169" s="558"/>
      <c r="SS169" s="558"/>
      <c r="ST169" s="558"/>
      <c r="SU169" s="558"/>
      <c r="SV169" s="558"/>
      <c r="SW169" s="558"/>
      <c r="SX169" s="558"/>
      <c r="SY169" s="558"/>
      <c r="SZ169" s="558"/>
      <c r="TA169" s="558"/>
      <c r="TB169" s="558"/>
      <c r="TC169" s="558"/>
      <c r="TD169" s="558"/>
      <c r="TE169" s="558"/>
      <c r="TF169" s="558"/>
      <c r="TG169" s="558"/>
      <c r="TH169" s="558"/>
      <c r="TI169" s="558"/>
      <c r="TJ169" s="558"/>
      <c r="TK169" s="558"/>
      <c r="TL169" s="558"/>
      <c r="TM169" s="558"/>
      <c r="TN169" s="558"/>
      <c r="TO169" s="558"/>
      <c r="TP169" s="558"/>
      <c r="TQ169" s="558"/>
      <c r="TR169" s="558"/>
      <c r="TS169" s="558"/>
      <c r="TT169" s="558"/>
      <c r="TU169" s="558"/>
      <c r="TV169" s="558"/>
      <c r="TW169" s="558"/>
      <c r="TX169" s="558"/>
      <c r="TY169" s="558"/>
      <c r="TZ169" s="558"/>
      <c r="UA169" s="558"/>
      <c r="UB169" s="558"/>
      <c r="UC169" s="558"/>
      <c r="UD169" s="558"/>
      <c r="UE169" s="558"/>
      <c r="UF169" s="558"/>
      <c r="UG169" s="558"/>
      <c r="UH169" s="558"/>
      <c r="UI169" s="558"/>
      <c r="UJ169" s="558"/>
      <c r="UK169" s="558"/>
      <c r="UL169" s="558"/>
      <c r="UM169" s="558"/>
      <c r="UN169" s="558"/>
      <c r="UO169" s="558"/>
      <c r="UP169" s="558"/>
      <c r="UQ169" s="558"/>
      <c r="UR169" s="558"/>
      <c r="US169" s="558"/>
      <c r="UT169" s="558"/>
      <c r="UU169" s="558"/>
      <c r="UV169" s="558"/>
      <c r="UW169" s="558"/>
      <c r="UX169" s="558"/>
      <c r="UY169" s="558"/>
      <c r="UZ169" s="558"/>
      <c r="VA169" s="558"/>
      <c r="VB169" s="558"/>
      <c r="VC169" s="558"/>
      <c r="VD169" s="558"/>
      <c r="VE169" s="558"/>
      <c r="VF169" s="558"/>
      <c r="VG169" s="558"/>
      <c r="VH169" s="558"/>
      <c r="VI169" s="558"/>
      <c r="VJ169" s="558"/>
      <c r="VK169" s="558"/>
      <c r="VL169" s="558"/>
      <c r="VM169" s="558"/>
      <c r="VN169" s="558"/>
      <c r="VO169" s="558"/>
      <c r="VP169" s="558"/>
      <c r="VQ169" s="558"/>
      <c r="VR169" s="558"/>
      <c r="VS169" s="558"/>
      <c r="VT169" s="558"/>
      <c r="VU169" s="558"/>
      <c r="VV169" s="558"/>
      <c r="VW169" s="558"/>
      <c r="VX169" s="558"/>
      <c r="VY169" s="558"/>
      <c r="VZ169" s="558"/>
      <c r="WA169" s="558"/>
      <c r="WB169" s="558"/>
      <c r="WC169" s="558"/>
      <c r="WD169" s="558"/>
      <c r="WE169" s="558"/>
      <c r="WF169" s="558"/>
      <c r="WG169" s="558"/>
      <c r="WH169" s="558"/>
      <c r="WI169" s="558"/>
      <c r="WJ169" s="558"/>
      <c r="WK169" s="558"/>
      <c r="WL169" s="558"/>
      <c r="WM169" s="558"/>
      <c r="WN169" s="558"/>
      <c r="WO169" s="558"/>
      <c r="WP169" s="558"/>
      <c r="WQ169" s="558"/>
      <c r="WR169" s="558"/>
      <c r="WS169" s="558"/>
      <c r="WT169" s="558"/>
      <c r="WU169" s="558"/>
      <c r="WV169" s="558"/>
      <c r="WW169" s="558"/>
      <c r="WX169" s="558"/>
      <c r="WY169" s="558"/>
      <c r="WZ169" s="558"/>
      <c r="XA169" s="558"/>
      <c r="XB169" s="558"/>
      <c r="XC169" s="558"/>
      <c r="XD169" s="558"/>
      <c r="XE169" s="558"/>
      <c r="XF169" s="558"/>
      <c r="XG169" s="558"/>
      <c r="XH169" s="558"/>
      <c r="XI169" s="558"/>
      <c r="XJ169" s="558"/>
      <c r="XK169" s="558"/>
      <c r="XL169" s="558"/>
      <c r="XM169" s="558"/>
      <c r="XN169" s="558"/>
      <c r="XO169" s="558"/>
      <c r="XP169" s="558"/>
      <c r="XQ169" s="558"/>
      <c r="XR169" s="558"/>
      <c r="XS169" s="558"/>
      <c r="XT169" s="558"/>
      <c r="XU169" s="558"/>
      <c r="XV169" s="558"/>
      <c r="XW169" s="558"/>
      <c r="XX169" s="558"/>
      <c r="XY169" s="558"/>
      <c r="XZ169" s="558"/>
      <c r="YA169" s="558"/>
      <c r="YB169" s="558"/>
      <c r="YC169" s="558"/>
      <c r="YD169" s="558"/>
      <c r="YE169" s="558"/>
      <c r="YF169" s="558"/>
      <c r="YG169" s="558"/>
      <c r="YH169" s="558"/>
      <c r="YI169" s="558"/>
      <c r="YJ169" s="558"/>
      <c r="YK169" s="558"/>
      <c r="YL169" s="558"/>
      <c r="YM169" s="558"/>
      <c r="YN169" s="558"/>
      <c r="YO169" s="558"/>
      <c r="YP169" s="558"/>
      <c r="YQ169" s="558"/>
      <c r="YR169" s="558"/>
      <c r="YS169" s="558"/>
      <c r="YT169" s="558"/>
      <c r="YU169" s="558"/>
      <c r="YV169" s="558"/>
      <c r="YW169" s="558"/>
      <c r="YX169" s="558"/>
      <c r="YY169" s="558"/>
      <c r="YZ169" s="558"/>
      <c r="ZA169" s="558"/>
      <c r="ZB169" s="558"/>
      <c r="ZC169" s="558"/>
      <c r="ZD169" s="558"/>
      <c r="ZE169" s="558"/>
      <c r="ZF169" s="558"/>
      <c r="ZG169" s="558"/>
      <c r="ZH169" s="558"/>
      <c r="ZI169" s="558"/>
      <c r="ZJ169" s="558"/>
      <c r="ZK169" s="558"/>
      <c r="ZL169" s="558"/>
      <c r="ZM169" s="558"/>
      <c r="ZN169" s="558"/>
      <c r="ZO169" s="558"/>
      <c r="ZP169" s="558"/>
      <c r="ZQ169" s="558"/>
      <c r="ZR169" s="558"/>
      <c r="ZS169" s="558"/>
      <c r="ZT169" s="558"/>
      <c r="ZU169" s="558"/>
      <c r="ZV169" s="558"/>
      <c r="ZW169" s="558"/>
      <c r="ZX169" s="558"/>
      <c r="ZY169" s="558"/>
      <c r="ZZ169" s="558"/>
      <c r="AAA169" s="558"/>
      <c r="AAB169" s="558"/>
      <c r="AAC169" s="558"/>
      <c r="AAD169" s="558"/>
      <c r="AAE169" s="558"/>
      <c r="AAF169" s="558"/>
      <c r="AAG169" s="558"/>
      <c r="AAH169" s="558"/>
      <c r="AAI169" s="558"/>
      <c r="AAJ169" s="558"/>
      <c r="AAK169" s="558"/>
      <c r="AAL169" s="558"/>
      <c r="AAM169" s="558"/>
      <c r="AAN169" s="558"/>
      <c r="AAO169" s="558"/>
      <c r="AAP169" s="558"/>
      <c r="AAQ169" s="558"/>
      <c r="AAR169" s="558"/>
      <c r="AAS169" s="558"/>
      <c r="AAT169" s="558"/>
      <c r="AAU169" s="558"/>
      <c r="AAV169" s="558"/>
      <c r="AAW169" s="558"/>
      <c r="AAX169" s="558"/>
      <c r="AAY169" s="558"/>
      <c r="AAZ169" s="558"/>
      <c r="ABA169" s="558"/>
      <c r="ABB169" s="558"/>
      <c r="ABC169" s="558"/>
      <c r="ABD169" s="558"/>
      <c r="ABE169" s="558"/>
      <c r="ABF169" s="558"/>
      <c r="ABG169" s="558"/>
      <c r="ABH169" s="558"/>
      <c r="ABI169" s="558"/>
      <c r="ABJ169" s="558"/>
      <c r="ABK169" s="558"/>
      <c r="ABL169" s="558"/>
      <c r="ABM169" s="558"/>
      <c r="ABN169" s="558"/>
      <c r="ABO169" s="558"/>
      <c r="ABP169" s="558"/>
      <c r="ABQ169" s="558"/>
      <c r="ABR169" s="558"/>
      <c r="ABS169" s="558"/>
      <c r="ABT169" s="558"/>
      <c r="ABU169" s="558"/>
      <c r="ABV169" s="558"/>
      <c r="ABW169" s="558"/>
      <c r="ABX169" s="558"/>
      <c r="ABY169" s="558"/>
      <c r="ABZ169" s="558"/>
      <c r="ACA169" s="558"/>
      <c r="ACB169" s="558"/>
      <c r="ACC169" s="558"/>
      <c r="ACD169" s="558"/>
      <c r="ACE169" s="558"/>
      <c r="ACF169" s="558"/>
      <c r="ACG169" s="558"/>
      <c r="ACH169" s="558"/>
      <c r="ACI169" s="558"/>
      <c r="ACJ169" s="558"/>
      <c r="ACK169" s="558"/>
      <c r="ACL169" s="558"/>
      <c r="ACM169" s="558"/>
      <c r="ACN169" s="558"/>
      <c r="ACO169" s="558"/>
      <c r="ACP169" s="558"/>
      <c r="ACQ169" s="558"/>
      <c r="ACR169" s="558"/>
      <c r="ACS169" s="558"/>
      <c r="ACT169" s="558"/>
      <c r="ACU169" s="558"/>
      <c r="ACV169" s="558"/>
      <c r="ACW169" s="558"/>
      <c r="ACX169" s="558"/>
      <c r="ACY169" s="558"/>
      <c r="ACZ169" s="558"/>
      <c r="ADA169" s="558"/>
      <c r="ADB169" s="558"/>
      <c r="ADC169" s="558"/>
      <c r="ADD169" s="558"/>
      <c r="ADE169" s="558"/>
      <c r="ADF169" s="558"/>
      <c r="ADG169" s="558"/>
      <c r="ADH169" s="558"/>
      <c r="ADI169" s="558"/>
      <c r="ADJ169" s="558"/>
      <c r="ADK169" s="558"/>
      <c r="ADL169" s="558"/>
      <c r="ADM169" s="558"/>
      <c r="ADN169" s="558"/>
      <c r="ADO169" s="558"/>
      <c r="ADP169" s="558"/>
      <c r="ADQ169" s="558"/>
      <c r="ADR169" s="558"/>
      <c r="ADS169" s="558"/>
      <c r="ADT169" s="558"/>
      <c r="ADU169" s="558"/>
      <c r="ADV169" s="558"/>
      <c r="ADW169" s="558"/>
      <c r="ADX169" s="558"/>
      <c r="ADY169" s="558"/>
      <c r="ADZ169" s="558"/>
      <c r="AEA169" s="558"/>
      <c r="AEB169" s="558"/>
      <c r="AEC169" s="558"/>
      <c r="AED169" s="558"/>
      <c r="AEE169" s="558"/>
      <c r="AEF169" s="558"/>
      <c r="AEG169" s="558"/>
      <c r="AEH169" s="558"/>
      <c r="AEI169" s="558"/>
      <c r="AEJ169" s="558"/>
      <c r="AEK169" s="558"/>
      <c r="AEL169" s="558"/>
      <c r="AEM169" s="558"/>
      <c r="AEN169" s="558"/>
      <c r="AEO169" s="558"/>
      <c r="AEP169" s="558"/>
      <c r="AEQ169" s="558"/>
      <c r="AER169" s="558"/>
      <c r="AES169" s="558"/>
      <c r="AET169" s="558"/>
      <c r="AEU169" s="558"/>
      <c r="AEV169" s="558"/>
      <c r="AEW169" s="558"/>
      <c r="AEX169" s="558"/>
      <c r="AEY169" s="558"/>
      <c r="AEZ169" s="558"/>
      <c r="AFA169" s="558"/>
      <c r="AFB169" s="558"/>
      <c r="AFC169" s="558"/>
      <c r="AFD169" s="558"/>
      <c r="AFE169" s="558"/>
      <c r="AFF169" s="558"/>
      <c r="AFG169" s="558"/>
      <c r="AFH169" s="558"/>
      <c r="AFI169" s="558"/>
      <c r="AFJ169" s="558"/>
      <c r="AFK169" s="558"/>
      <c r="AFL169" s="558"/>
      <c r="AFM169" s="558"/>
      <c r="AFN169" s="558"/>
      <c r="AFO169" s="558"/>
      <c r="AFP169" s="558"/>
      <c r="AFQ169" s="558"/>
      <c r="AFR169" s="558"/>
      <c r="AFS169" s="558"/>
      <c r="AFT169" s="558"/>
      <c r="AFU169" s="558"/>
      <c r="AFV169" s="558"/>
      <c r="AFW169" s="558"/>
      <c r="AFX169" s="558"/>
      <c r="AFY169" s="558"/>
      <c r="AFZ169" s="558"/>
      <c r="AGA169" s="558"/>
      <c r="AGB169" s="558"/>
      <c r="AGC169" s="558"/>
      <c r="AGD169" s="558"/>
      <c r="AGE169" s="558"/>
      <c r="AGF169" s="558"/>
      <c r="AGG169" s="558"/>
      <c r="AGH169" s="558"/>
      <c r="AGI169" s="558"/>
      <c r="AGJ169" s="558"/>
      <c r="AGK169" s="558"/>
      <c r="AGL169" s="558"/>
      <c r="AGM169" s="558"/>
      <c r="AGN169" s="558"/>
      <c r="AGO169" s="558"/>
      <c r="AGP169" s="558"/>
      <c r="AGQ169" s="558"/>
      <c r="AGR169" s="558"/>
      <c r="AGS169" s="558"/>
      <c r="AGT169" s="558"/>
      <c r="AGU169" s="558"/>
      <c r="AGV169" s="558"/>
      <c r="AGW169" s="558"/>
      <c r="AGX169" s="558"/>
      <c r="AGY169" s="558"/>
      <c r="AGZ169" s="558"/>
      <c r="AHA169" s="558"/>
      <c r="AHB169" s="558"/>
      <c r="AHC169" s="558"/>
      <c r="AHD169" s="558"/>
      <c r="AHE169" s="558"/>
      <c r="AHF169" s="558"/>
      <c r="AHG169" s="558"/>
      <c r="AHH169" s="558"/>
      <c r="AHI169" s="558"/>
      <c r="AHJ169" s="558"/>
      <c r="AHK169" s="558"/>
      <c r="AHL169" s="558"/>
      <c r="AHM169" s="558"/>
      <c r="AHN169" s="558"/>
      <c r="AHO169" s="558"/>
      <c r="AHP169" s="558"/>
      <c r="AHQ169" s="558"/>
      <c r="AHR169" s="558"/>
      <c r="AHS169" s="558"/>
      <c r="AHT169" s="558"/>
      <c r="AHU169" s="558"/>
      <c r="AHV169" s="558"/>
      <c r="AHW169" s="558"/>
      <c r="AHX169" s="558"/>
      <c r="AHY169" s="558"/>
      <c r="AHZ169" s="558"/>
      <c r="AIA169" s="558"/>
      <c r="AIB169" s="558"/>
      <c r="AIC169" s="558"/>
      <c r="AID169" s="558"/>
      <c r="AIE169" s="558"/>
      <c r="AIF169" s="558"/>
      <c r="AIG169" s="558"/>
      <c r="AIH169" s="558"/>
      <c r="AII169" s="558"/>
      <c r="AIJ169" s="558"/>
      <c r="AIK169" s="558"/>
      <c r="AIL169" s="558"/>
      <c r="AIM169" s="558"/>
      <c r="AIN169" s="558"/>
      <c r="AIO169" s="558"/>
      <c r="AIP169" s="558"/>
      <c r="AIQ169" s="558"/>
      <c r="AIR169" s="558"/>
      <c r="AIS169" s="558"/>
      <c r="AIT169" s="558"/>
      <c r="AIU169" s="558"/>
      <c r="AIV169" s="558"/>
      <c r="AIW169" s="558"/>
      <c r="AIX169" s="558"/>
      <c r="AIY169" s="558"/>
      <c r="AIZ169" s="558"/>
      <c r="AJA169" s="558"/>
      <c r="AJB169" s="558"/>
      <c r="AJC169" s="558"/>
      <c r="AJD169" s="558"/>
      <c r="AJE169" s="558"/>
      <c r="AJF169" s="558"/>
      <c r="AJG169" s="558"/>
      <c r="AJH169" s="558"/>
      <c r="AJI169" s="558"/>
      <c r="AJJ169" s="558"/>
      <c r="AJK169" s="558"/>
      <c r="AJL169" s="558"/>
      <c r="AJM169" s="558"/>
      <c r="AJN169" s="558"/>
      <c r="AJO169" s="558"/>
      <c r="AJP169" s="558"/>
      <c r="AJQ169" s="558"/>
      <c r="AJR169" s="558"/>
      <c r="AJS169" s="558"/>
      <c r="AJT169" s="558"/>
      <c r="AJU169" s="558"/>
      <c r="AJV169" s="558"/>
      <c r="AJW169" s="558"/>
      <c r="AJX169" s="558"/>
      <c r="AJY169" s="558"/>
      <c r="AJZ169" s="558"/>
      <c r="AKA169" s="558"/>
      <c r="AKB169" s="558"/>
      <c r="AKC169" s="558"/>
      <c r="AKD169" s="558"/>
      <c r="AKE169" s="558"/>
      <c r="AKF169" s="558"/>
      <c r="AKG169" s="558"/>
      <c r="AKH169" s="558"/>
      <c r="AKI169" s="558"/>
      <c r="AKJ169" s="558"/>
      <c r="AKK169" s="558"/>
      <c r="AKL169" s="558"/>
      <c r="AKM169" s="558"/>
      <c r="AKN169" s="558"/>
      <c r="AKO169" s="558"/>
      <c r="AKP169" s="558"/>
      <c r="AKQ169" s="558"/>
      <c r="AKR169" s="558"/>
      <c r="AKS169" s="558"/>
      <c r="AKT169" s="558"/>
      <c r="AKU169" s="558"/>
      <c r="AKV169" s="558"/>
      <c r="AKW169" s="558"/>
      <c r="AKX169" s="558"/>
      <c r="AKY169" s="558"/>
      <c r="AKZ169" s="558"/>
      <c r="ALA169" s="558"/>
      <c r="ALB169" s="558"/>
      <c r="ALC169" s="558"/>
      <c r="ALD169" s="558"/>
      <c r="ALE169" s="558"/>
      <c r="ALF169" s="558"/>
      <c r="ALG169" s="558"/>
      <c r="ALH169" s="558"/>
      <c r="ALI169" s="558"/>
      <c r="ALJ169" s="558"/>
      <c r="ALK169" s="558"/>
      <c r="ALL169" s="558"/>
      <c r="ALM169" s="558"/>
      <c r="ALN169" s="558"/>
      <c r="ALO169" s="558"/>
      <c r="ALP169" s="558"/>
      <c r="ALQ169" s="558"/>
      <c r="ALR169" s="558"/>
      <c r="ALS169" s="558"/>
      <c r="ALT169" s="558"/>
      <c r="ALU169" s="558"/>
      <c r="ALV169" s="558"/>
      <c r="ALW169" s="558"/>
      <c r="ALX169" s="558"/>
      <c r="ALY169" s="558"/>
      <c r="ALZ169" s="558"/>
      <c r="AMA169" s="558"/>
      <c r="AMB169" s="558"/>
      <c r="AMC169" s="558"/>
      <c r="AMD169" s="558"/>
      <c r="AME169" s="558"/>
      <c r="AMF169" s="558"/>
      <c r="AMG169" s="558"/>
      <c r="AMH169" s="558"/>
      <c r="AMI169" s="558"/>
      <c r="AMJ169" s="558"/>
      <c r="AMK169" s="558"/>
      <c r="AML169" s="558"/>
      <c r="AMM169" s="558"/>
      <c r="AMN169" s="558"/>
      <c r="AMO169" s="558"/>
      <c r="AMP169" s="558"/>
      <c r="AMQ169" s="558"/>
      <c r="AMR169" s="558"/>
      <c r="AMS169" s="558"/>
      <c r="AMT169" s="558"/>
      <c r="AMU169" s="558"/>
      <c r="AMV169" s="558"/>
      <c r="AMW169" s="558"/>
      <c r="AMX169" s="558"/>
      <c r="AMY169" s="558"/>
      <c r="AMZ169" s="558"/>
      <c r="ANA169" s="558"/>
      <c r="ANB169" s="558"/>
      <c r="ANC169" s="558"/>
      <c r="AND169" s="558"/>
      <c r="ANE169" s="558"/>
      <c r="ANF169" s="558"/>
      <c r="ANG169" s="558"/>
      <c r="ANH169" s="558"/>
      <c r="ANI169" s="558"/>
      <c r="ANJ169" s="558"/>
      <c r="ANK169" s="558"/>
      <c r="ANL169" s="558"/>
      <c r="ANM169" s="558"/>
      <c r="ANN169" s="558"/>
      <c r="ANO169" s="558"/>
      <c r="ANP169" s="558"/>
      <c r="ANQ169" s="558"/>
      <c r="ANR169" s="558"/>
      <c r="ANS169" s="558"/>
      <c r="ANT169" s="558"/>
      <c r="ANU169" s="558"/>
      <c r="ANV169" s="558"/>
      <c r="ANW169" s="558"/>
      <c r="ANX169" s="558"/>
      <c r="ANY169" s="558"/>
      <c r="ANZ169" s="558"/>
      <c r="AOA169" s="558"/>
      <c r="AOB169" s="558"/>
      <c r="AOC169" s="558"/>
      <c r="AOD169" s="558"/>
      <c r="AOE169" s="558"/>
      <c r="AOF169" s="558"/>
      <c r="AOG169" s="558"/>
      <c r="AOH169" s="558"/>
      <c r="AOI169" s="558"/>
      <c r="AOJ169" s="558"/>
      <c r="AOK169" s="558"/>
      <c r="AOL169" s="558"/>
      <c r="AOM169" s="558"/>
      <c r="AON169" s="558"/>
      <c r="AOO169" s="558"/>
      <c r="AOP169" s="558"/>
      <c r="AOQ169" s="558"/>
      <c r="AOR169" s="558"/>
      <c r="AOS169" s="558"/>
      <c r="AOT169" s="558"/>
      <c r="AOU169" s="558"/>
      <c r="AOV169" s="558"/>
      <c r="AOW169" s="558"/>
      <c r="AOX169" s="558"/>
      <c r="AOY169" s="558"/>
      <c r="AOZ169" s="558"/>
      <c r="APA169" s="558"/>
      <c r="APB169" s="558"/>
      <c r="APC169" s="558"/>
      <c r="APD169" s="558"/>
      <c r="APE169" s="558"/>
      <c r="APF169" s="558"/>
      <c r="APG169" s="558"/>
      <c r="APH169" s="558"/>
      <c r="API169" s="558"/>
      <c r="APJ169" s="558"/>
      <c r="APK169" s="558"/>
      <c r="APL169" s="558"/>
      <c r="APM169" s="558"/>
      <c r="APN169" s="558"/>
      <c r="APO169" s="558"/>
      <c r="APP169" s="558"/>
      <c r="APQ169" s="558"/>
      <c r="APR169" s="558"/>
      <c r="APS169" s="558"/>
      <c r="APT169" s="558"/>
      <c r="APU169" s="558"/>
      <c r="APV169" s="558"/>
      <c r="APW169" s="558"/>
      <c r="APX169" s="558"/>
      <c r="APY169" s="558"/>
      <c r="APZ169" s="558"/>
      <c r="AQA169" s="558"/>
      <c r="AQB169" s="558"/>
      <c r="AQC169" s="558"/>
      <c r="AQD169" s="558"/>
      <c r="AQE169" s="558"/>
      <c r="AQF169" s="558"/>
      <c r="AQG169" s="558"/>
      <c r="AQH169" s="558"/>
      <c r="AQI169" s="558"/>
      <c r="AQJ169" s="558"/>
      <c r="AQK169" s="558"/>
      <c r="AQL169" s="558"/>
      <c r="AQM169" s="558"/>
      <c r="AQN169" s="558"/>
      <c r="AQO169" s="558"/>
      <c r="AQP169" s="558"/>
      <c r="AQQ169" s="558"/>
      <c r="AQR169" s="558"/>
      <c r="AQS169" s="558"/>
      <c r="AQT169" s="558"/>
      <c r="AQU169" s="558"/>
      <c r="AQV169" s="558"/>
      <c r="AQW169" s="558"/>
      <c r="AQX169" s="558"/>
      <c r="AQY169" s="558"/>
      <c r="AQZ169" s="558"/>
      <c r="ARA169" s="558"/>
      <c r="ARB169" s="558"/>
      <c r="ARC169" s="558"/>
      <c r="ARD169" s="558"/>
      <c r="ARE169" s="558"/>
      <c r="ARF169" s="558"/>
      <c r="ARG169" s="558"/>
      <c r="ARH169" s="558"/>
      <c r="ARI169" s="558"/>
      <c r="ARJ169" s="558"/>
      <c r="ARK169" s="558"/>
      <c r="ARL169" s="558"/>
      <c r="ARM169" s="558"/>
      <c r="ARN169" s="558"/>
      <c r="ARO169" s="558"/>
      <c r="ARP169" s="558"/>
      <c r="ARQ169" s="558"/>
      <c r="ARR169" s="558"/>
      <c r="ARS169" s="558"/>
      <c r="ART169" s="558"/>
      <c r="ARU169" s="558"/>
      <c r="ARV169" s="558"/>
      <c r="ARW169" s="558"/>
      <c r="ARX169" s="558"/>
      <c r="ARY169" s="558"/>
      <c r="ARZ169" s="558"/>
      <c r="ASA169" s="558"/>
      <c r="ASB169" s="558"/>
      <c r="ASC169" s="558"/>
      <c r="ASD169" s="558"/>
      <c r="ASE169" s="558"/>
      <c r="ASF169" s="558"/>
      <c r="ASG169" s="558"/>
      <c r="ASH169" s="558"/>
      <c r="ASI169" s="558"/>
      <c r="ASJ169" s="558"/>
      <c r="ASK169" s="558"/>
      <c r="ASL169" s="558"/>
      <c r="ASM169" s="558"/>
      <c r="ASN169" s="558"/>
      <c r="ASO169" s="558"/>
      <c r="ASP169" s="558"/>
      <c r="ASQ169" s="558"/>
      <c r="ASR169" s="558"/>
      <c r="ASS169" s="558"/>
      <c r="AST169" s="558"/>
      <c r="ASU169" s="558"/>
      <c r="ASV169" s="558"/>
      <c r="ASW169" s="558"/>
      <c r="ASX169" s="558"/>
      <c r="ASY169" s="558"/>
      <c r="ASZ169" s="558"/>
      <c r="ATA169" s="558"/>
      <c r="ATB169" s="558"/>
      <c r="ATC169" s="558"/>
      <c r="ATD169" s="558"/>
      <c r="ATE169" s="558"/>
      <c r="ATF169" s="558"/>
      <c r="ATG169" s="558"/>
      <c r="ATH169" s="558"/>
      <c r="ATI169" s="558"/>
      <c r="ATJ169" s="558"/>
      <c r="ATK169" s="558"/>
      <c r="ATL169" s="558"/>
      <c r="ATM169" s="558"/>
      <c r="ATN169" s="558"/>
      <c r="ATO169" s="558"/>
      <c r="ATP169" s="558"/>
      <c r="ATQ169" s="558"/>
      <c r="ATR169" s="558"/>
      <c r="ATS169" s="558"/>
      <c r="ATT169" s="558"/>
      <c r="ATU169" s="558"/>
      <c r="ATV169" s="558"/>
      <c r="ATW169" s="558"/>
      <c r="ATX169" s="558"/>
      <c r="ATY169" s="558"/>
      <c r="ATZ169" s="558"/>
      <c r="AUA169" s="558"/>
      <c r="AUB169" s="558"/>
      <c r="AUC169" s="558"/>
      <c r="AUD169" s="558"/>
      <c r="AUE169" s="558"/>
      <c r="AUF169" s="558"/>
      <c r="AUG169" s="558"/>
      <c r="AUH169" s="558"/>
      <c r="AUI169" s="558"/>
      <c r="AUJ169" s="558"/>
      <c r="AUK169" s="558"/>
      <c r="AUL169" s="558"/>
      <c r="AUM169" s="558"/>
      <c r="AUN169" s="558"/>
      <c r="AUO169" s="558"/>
      <c r="AUP169" s="558"/>
      <c r="AUQ169" s="558"/>
      <c r="AUR169" s="558"/>
      <c r="AUS169" s="558"/>
      <c r="AUT169" s="558"/>
      <c r="AUU169" s="558"/>
      <c r="AUV169" s="558"/>
      <c r="AUW169" s="558"/>
      <c r="AUX169" s="558"/>
      <c r="AUY169" s="558"/>
      <c r="AUZ169" s="558"/>
      <c r="AVA169" s="558"/>
      <c r="AVB169" s="558"/>
      <c r="AVC169" s="558"/>
      <c r="AVD169" s="558"/>
      <c r="AVE169" s="558"/>
      <c r="AVF169" s="558"/>
      <c r="AVG169" s="558"/>
      <c r="AVH169" s="558"/>
      <c r="AVI169" s="558"/>
      <c r="AVJ169" s="558"/>
      <c r="AVK169" s="558"/>
      <c r="AVL169" s="558"/>
      <c r="AVM169" s="558"/>
      <c r="AVN169" s="558"/>
      <c r="AVO169" s="558"/>
      <c r="AVP169" s="558"/>
      <c r="AVQ169" s="558"/>
      <c r="AVR169" s="558"/>
      <c r="AVS169" s="558"/>
      <c r="AVT169" s="558"/>
      <c r="AVU169" s="558"/>
      <c r="AVV169" s="558"/>
      <c r="AVW169" s="558"/>
      <c r="AVX169" s="558"/>
      <c r="AVY169" s="558"/>
      <c r="AVZ169" s="558"/>
      <c r="AWA169" s="558"/>
      <c r="AWB169" s="558"/>
      <c r="AWC169" s="558"/>
      <c r="AWD169" s="558"/>
      <c r="AWE169" s="558"/>
      <c r="AWF169" s="558"/>
      <c r="AWG169" s="558"/>
      <c r="AWH169" s="558"/>
      <c r="AWI169" s="558"/>
      <c r="AWJ169" s="558"/>
      <c r="AWK169" s="558"/>
      <c r="AWL169" s="558"/>
      <c r="AWM169" s="558"/>
      <c r="AWN169" s="558"/>
      <c r="AWO169" s="558"/>
      <c r="AWP169" s="558"/>
      <c r="AWQ169" s="558"/>
      <c r="AWR169" s="558"/>
      <c r="AWS169" s="558"/>
      <c r="AWT169" s="558"/>
      <c r="AWU169" s="558"/>
      <c r="AWV169" s="558"/>
      <c r="AWW169" s="558"/>
      <c r="AWX169" s="558"/>
      <c r="AWY169" s="558"/>
      <c r="AWZ169" s="558"/>
      <c r="AXA169" s="558"/>
      <c r="AXB169" s="558"/>
      <c r="AXC169" s="558"/>
      <c r="AXD169" s="558"/>
      <c r="AXE169" s="558"/>
      <c r="AXF169" s="558"/>
      <c r="AXG169" s="558"/>
      <c r="AXH169" s="558"/>
      <c r="AXI169" s="558"/>
      <c r="AXJ169" s="558"/>
      <c r="AXK169" s="558"/>
      <c r="AXL169" s="558"/>
      <c r="AXM169" s="558"/>
      <c r="AXN169" s="558"/>
      <c r="AXO169" s="558"/>
      <c r="AXP169" s="558"/>
      <c r="AXQ169" s="558"/>
      <c r="AXR169" s="558"/>
      <c r="AXS169" s="558"/>
      <c r="AXT169" s="558"/>
      <c r="AXU169" s="558"/>
      <c r="AXV169" s="558"/>
      <c r="AXW169" s="558"/>
      <c r="AXX169" s="558"/>
      <c r="AXY169" s="558"/>
      <c r="AXZ169" s="558"/>
      <c r="AYA169" s="558"/>
      <c r="AYB169" s="558"/>
      <c r="AYC169" s="558"/>
      <c r="AYD169" s="558"/>
      <c r="AYE169" s="558"/>
      <c r="AYF169" s="558"/>
      <c r="AYG169" s="558"/>
      <c r="AYH169" s="558"/>
      <c r="AYI169" s="558"/>
      <c r="AYJ169" s="558"/>
      <c r="AYK169" s="558"/>
      <c r="AYL169" s="558"/>
      <c r="AYM169" s="558"/>
      <c r="AYN169" s="558"/>
      <c r="AYO169" s="558"/>
      <c r="AYP169" s="558"/>
      <c r="AYQ169" s="558"/>
      <c r="AYR169" s="558"/>
      <c r="AYS169" s="558"/>
      <c r="AYT169" s="558"/>
      <c r="AYU169" s="558"/>
      <c r="AYV169" s="558"/>
      <c r="AYW169" s="558"/>
      <c r="AYX169" s="558"/>
      <c r="AYY169" s="558"/>
      <c r="AYZ169" s="558"/>
      <c r="AZA169" s="558"/>
      <c r="AZB169" s="558"/>
      <c r="AZC169" s="558"/>
      <c r="AZD169" s="558"/>
      <c r="AZE169" s="558"/>
      <c r="AZF169" s="558"/>
      <c r="AZG169" s="558"/>
      <c r="AZH169" s="558"/>
      <c r="AZI169" s="558"/>
      <c r="AZJ169" s="558"/>
      <c r="AZK169" s="558"/>
      <c r="AZL169" s="558"/>
      <c r="AZM169" s="558"/>
      <c r="AZN169" s="558"/>
      <c r="AZO169" s="558"/>
      <c r="AZP169" s="558"/>
      <c r="AZQ169" s="558"/>
      <c r="AZR169" s="558"/>
      <c r="AZS169" s="558"/>
      <c r="AZT169" s="558"/>
      <c r="AZU169" s="558"/>
      <c r="AZV169" s="558"/>
      <c r="AZW169" s="558"/>
      <c r="AZX169" s="558"/>
      <c r="AZY169" s="558"/>
      <c r="AZZ169" s="558"/>
      <c r="BAA169" s="558"/>
      <c r="BAB169" s="558"/>
      <c r="BAC169" s="558"/>
      <c r="BAD169" s="558"/>
      <c r="BAE169" s="558"/>
      <c r="BAF169" s="558"/>
      <c r="BAG169" s="558"/>
      <c r="BAH169" s="558"/>
      <c r="BAI169" s="558"/>
      <c r="BAJ169" s="558"/>
      <c r="BAK169" s="558"/>
      <c r="BAL169" s="558"/>
      <c r="BAM169" s="558"/>
      <c r="BAN169" s="558"/>
      <c r="BAO169" s="558"/>
      <c r="BAP169" s="558"/>
      <c r="BAQ169" s="558"/>
      <c r="BAR169" s="558"/>
      <c r="BAS169" s="558"/>
      <c r="BAT169" s="558"/>
      <c r="BAU169" s="558"/>
      <c r="BAV169" s="558"/>
      <c r="BAW169" s="558"/>
      <c r="BAX169" s="558"/>
      <c r="BAY169" s="558"/>
      <c r="BAZ169" s="558"/>
      <c r="BBA169" s="558"/>
      <c r="BBB169" s="558"/>
      <c r="BBC169" s="558"/>
      <c r="BBD169" s="558"/>
      <c r="BBE169" s="558"/>
      <c r="BBF169" s="558"/>
      <c r="BBG169" s="558"/>
      <c r="BBH169" s="558"/>
      <c r="BBI169" s="558"/>
      <c r="BBJ169" s="558"/>
      <c r="BBK169" s="558"/>
      <c r="BBL169" s="558"/>
      <c r="BBM169" s="558"/>
      <c r="BBN169" s="558"/>
      <c r="BBO169" s="558"/>
      <c r="BBP169" s="558"/>
      <c r="BBQ169" s="558"/>
      <c r="BBR169" s="558"/>
      <c r="BBS169" s="558"/>
      <c r="BBT169" s="558"/>
      <c r="BBU169" s="558"/>
      <c r="BBV169" s="558"/>
      <c r="BBW169" s="558"/>
      <c r="BBX169" s="558"/>
      <c r="BBY169" s="558"/>
      <c r="BBZ169" s="558"/>
      <c r="BCA169" s="558"/>
      <c r="BCB169" s="558"/>
      <c r="BCC169" s="558"/>
      <c r="BCD169" s="558"/>
      <c r="BCE169" s="558"/>
      <c r="BCF169" s="558"/>
      <c r="BCG169" s="558"/>
      <c r="BCH169" s="558"/>
      <c r="BCI169" s="558"/>
      <c r="BCJ169" s="558"/>
      <c r="BCK169" s="558"/>
      <c r="BCL169" s="558"/>
      <c r="BCM169" s="558"/>
      <c r="BCN169" s="558"/>
      <c r="BCO169" s="558"/>
      <c r="BCP169" s="558"/>
      <c r="BCQ169" s="558"/>
      <c r="BCR169" s="558"/>
      <c r="BCS169" s="558"/>
      <c r="BCT169" s="558"/>
      <c r="BCU169" s="558"/>
      <c r="BCV169" s="558"/>
      <c r="BCW169" s="558"/>
      <c r="BCX169" s="558"/>
      <c r="BCY169" s="558"/>
      <c r="BCZ169" s="558"/>
      <c r="BDA169" s="558"/>
      <c r="BDB169" s="558"/>
      <c r="BDC169" s="558"/>
      <c r="BDD169" s="558"/>
      <c r="BDE169" s="558"/>
      <c r="BDF169" s="558"/>
      <c r="BDG169" s="558"/>
      <c r="BDH169" s="558"/>
      <c r="BDI169" s="558"/>
      <c r="BDJ169" s="558"/>
      <c r="BDK169" s="558"/>
      <c r="BDL169" s="558"/>
      <c r="BDM169" s="558"/>
      <c r="BDN169" s="558"/>
      <c r="BDO169" s="558"/>
      <c r="BDP169" s="558"/>
      <c r="BDQ169" s="558"/>
      <c r="BDR169" s="558"/>
      <c r="BDS169" s="558"/>
      <c r="BDT169" s="558"/>
      <c r="BDU169" s="558"/>
      <c r="BDV169" s="558"/>
      <c r="BDW169" s="558"/>
      <c r="BDX169" s="558"/>
      <c r="BDY169" s="558"/>
      <c r="BDZ169" s="558"/>
      <c r="BEA169" s="558"/>
      <c r="BEB169" s="558"/>
      <c r="BEC169" s="558"/>
      <c r="BED169" s="558"/>
      <c r="BEE169" s="558"/>
      <c r="BEF169" s="558"/>
      <c r="BEG169" s="558"/>
      <c r="BEH169" s="558"/>
      <c r="BEI169" s="558"/>
      <c r="BEJ169" s="558"/>
      <c r="BEK169" s="558"/>
      <c r="BEL169" s="558"/>
      <c r="BEM169" s="558"/>
      <c r="BEN169" s="558"/>
      <c r="BEO169" s="558"/>
      <c r="BEP169" s="558"/>
      <c r="BEQ169" s="558"/>
      <c r="BER169" s="558"/>
      <c r="BES169" s="558"/>
      <c r="BET169" s="558"/>
      <c r="BEU169" s="558"/>
      <c r="BEV169" s="558"/>
      <c r="BEW169" s="558"/>
      <c r="BEX169" s="558"/>
      <c r="BEY169" s="558"/>
      <c r="BEZ169" s="558"/>
      <c r="BFA169" s="558"/>
      <c r="BFB169" s="558"/>
      <c r="BFC169" s="558"/>
      <c r="BFD169" s="558"/>
      <c r="BFE169" s="558"/>
      <c r="BFF169" s="558"/>
      <c r="BFG169" s="558"/>
      <c r="BFH169" s="558"/>
      <c r="BFI169" s="558"/>
      <c r="BFJ169" s="558"/>
      <c r="BFK169" s="558"/>
      <c r="BFL169" s="558"/>
      <c r="BFM169" s="558"/>
      <c r="BFN169" s="558"/>
      <c r="BFO169" s="558"/>
      <c r="BFP169" s="558"/>
      <c r="BFQ169" s="558"/>
      <c r="BFR169" s="558"/>
      <c r="BFS169" s="558"/>
      <c r="BFT169" s="558"/>
      <c r="BFU169" s="558"/>
      <c r="BFV169" s="558"/>
      <c r="BFW169" s="558"/>
      <c r="BFX169" s="558"/>
      <c r="BFY169" s="558"/>
      <c r="BFZ169" s="558"/>
      <c r="BGA169" s="558"/>
      <c r="BGB169" s="558"/>
      <c r="BGC169" s="558"/>
      <c r="BGD169" s="558"/>
      <c r="BGE169" s="558"/>
      <c r="BGF169" s="558"/>
      <c r="BGG169" s="558"/>
      <c r="BGH169" s="558"/>
      <c r="BGI169" s="558"/>
      <c r="BGJ169" s="558"/>
      <c r="BGK169" s="558"/>
      <c r="BGL169" s="558"/>
      <c r="BGM169" s="558"/>
      <c r="BGN169" s="558"/>
      <c r="BGO169" s="558"/>
      <c r="BGP169" s="558"/>
      <c r="BGQ169" s="558"/>
      <c r="BGR169" s="558"/>
      <c r="BGS169" s="558"/>
      <c r="BGT169" s="558"/>
      <c r="BGU169" s="558"/>
      <c r="BGV169" s="558"/>
      <c r="BGW169" s="558"/>
      <c r="BGX169" s="558"/>
      <c r="BGY169" s="558"/>
      <c r="BGZ169" s="558"/>
      <c r="BHA169" s="558"/>
      <c r="BHB169" s="558"/>
      <c r="BHC169" s="558"/>
      <c r="BHD169" s="558"/>
      <c r="BHE169" s="558"/>
      <c r="BHF169" s="558"/>
      <c r="BHG169" s="558"/>
      <c r="BHH169" s="558"/>
      <c r="BHI169" s="558"/>
      <c r="BHJ169" s="558"/>
      <c r="BHK169" s="558"/>
      <c r="BHL169" s="558"/>
      <c r="BHM169" s="558"/>
      <c r="BHN169" s="558"/>
      <c r="BHO169" s="558"/>
      <c r="BHP169" s="558"/>
      <c r="BHQ169" s="558"/>
      <c r="BHR169" s="558"/>
      <c r="BHS169" s="558"/>
      <c r="BHT169" s="558"/>
      <c r="BHU169" s="558"/>
      <c r="BHV169" s="558"/>
      <c r="BHW169" s="558"/>
      <c r="BHX169" s="558"/>
      <c r="BHY169" s="558"/>
      <c r="BHZ169" s="558"/>
      <c r="BIA169" s="558"/>
      <c r="BIB169" s="558"/>
      <c r="BIC169" s="558"/>
      <c r="BID169" s="558"/>
      <c r="BIE169" s="558"/>
      <c r="BIF169" s="558"/>
      <c r="BIG169" s="558"/>
      <c r="BIH169" s="558"/>
      <c r="BII169" s="558"/>
      <c r="BIJ169" s="558"/>
      <c r="BIK169" s="558"/>
      <c r="BIL169" s="558"/>
      <c r="BIM169" s="558"/>
      <c r="BIN169" s="558"/>
      <c r="BIO169" s="558"/>
      <c r="BIP169" s="558"/>
      <c r="BIQ169" s="558"/>
      <c r="BIR169" s="558"/>
      <c r="BIS169" s="558"/>
      <c r="BIT169" s="558"/>
      <c r="BIU169" s="558"/>
      <c r="BIV169" s="558"/>
      <c r="BIW169" s="558"/>
      <c r="BIX169" s="558"/>
      <c r="BIY169" s="558"/>
      <c r="BIZ169" s="558"/>
      <c r="BJA169" s="558"/>
      <c r="BJB169" s="558"/>
      <c r="BJC169" s="558"/>
      <c r="BJD169" s="558"/>
      <c r="BJE169" s="558"/>
      <c r="BJF169" s="558"/>
      <c r="BJG169" s="558"/>
      <c r="BJH169" s="558"/>
      <c r="BJI169" s="558"/>
      <c r="BJJ169" s="558"/>
      <c r="BJK169" s="558"/>
      <c r="BJL169" s="558"/>
      <c r="BJM169" s="558"/>
      <c r="BJN169" s="558"/>
      <c r="BJO169" s="558"/>
      <c r="BJP169" s="558"/>
      <c r="BJQ169" s="558"/>
      <c r="BJR169" s="558"/>
      <c r="BJS169" s="558"/>
      <c r="BJT169" s="558"/>
      <c r="BJU169" s="558"/>
      <c r="BJV169" s="558"/>
      <c r="BJW169" s="558"/>
      <c r="BJX169" s="558"/>
      <c r="BJY169" s="558"/>
      <c r="BJZ169" s="558"/>
      <c r="BKA169" s="558"/>
      <c r="BKB169" s="558"/>
      <c r="BKC169" s="558"/>
      <c r="BKD169" s="558"/>
      <c r="BKE169" s="558"/>
      <c r="BKF169" s="558"/>
      <c r="BKG169" s="558"/>
      <c r="BKH169" s="558"/>
      <c r="BKI169" s="558"/>
      <c r="BKJ169" s="558"/>
      <c r="BKK169" s="558"/>
      <c r="BKL169" s="558"/>
      <c r="BKM169" s="558"/>
      <c r="BKN169" s="558"/>
      <c r="BKO169" s="558"/>
      <c r="BKP169" s="558"/>
      <c r="BKQ169" s="558"/>
      <c r="BKR169" s="558"/>
      <c r="BKS169" s="558"/>
      <c r="BKT169" s="558"/>
      <c r="BKU169" s="558"/>
      <c r="BKV169" s="558"/>
      <c r="BKW169" s="558"/>
      <c r="BKX169" s="558"/>
      <c r="BKY169" s="558"/>
      <c r="BKZ169" s="558"/>
      <c r="BLA169" s="558"/>
      <c r="BLB169" s="558"/>
      <c r="BLC169" s="558"/>
      <c r="BLD169" s="558"/>
      <c r="BLE169" s="558"/>
      <c r="BLF169" s="558"/>
      <c r="BLG169" s="558"/>
      <c r="BLH169" s="558"/>
      <c r="BLI169" s="558"/>
      <c r="BLJ169" s="558"/>
      <c r="BLK169" s="558"/>
      <c r="BLL169" s="558"/>
      <c r="BLM169" s="558"/>
      <c r="BLN169" s="558"/>
      <c r="BLO169" s="558"/>
      <c r="BLP169" s="558"/>
      <c r="BLQ169" s="558"/>
      <c r="BLR169" s="558"/>
      <c r="BLS169" s="558"/>
      <c r="BLT169" s="558"/>
      <c r="BLU169" s="558"/>
      <c r="BLV169" s="558"/>
      <c r="BLW169" s="558"/>
      <c r="BLX169" s="558"/>
      <c r="BLY169" s="558"/>
      <c r="BLZ169" s="558"/>
      <c r="BMA169" s="558"/>
      <c r="BMB169" s="558"/>
      <c r="BMC169" s="558"/>
      <c r="BMD169" s="558"/>
      <c r="BME169" s="558"/>
      <c r="BMF169" s="558"/>
      <c r="BMG169" s="558"/>
      <c r="BMH169" s="558"/>
      <c r="BMI169" s="558"/>
      <c r="BMJ169" s="558"/>
      <c r="BMK169" s="558"/>
      <c r="BML169" s="558"/>
      <c r="BMM169" s="558"/>
      <c r="BMN169" s="558"/>
      <c r="BMO169" s="558"/>
      <c r="BMP169" s="558"/>
      <c r="BMQ169" s="558"/>
      <c r="BMR169" s="558"/>
      <c r="BMS169" s="558"/>
      <c r="BMT169" s="558"/>
      <c r="BMU169" s="558"/>
      <c r="BMV169" s="558"/>
      <c r="BMW169" s="558"/>
      <c r="BMX169" s="558"/>
      <c r="BMY169" s="558"/>
      <c r="BMZ169" s="558"/>
      <c r="BNA169" s="558"/>
      <c r="BNB169" s="558"/>
      <c r="BNC169" s="558"/>
      <c r="BND169" s="558"/>
      <c r="BNE169" s="558"/>
      <c r="BNF169" s="558"/>
      <c r="BNG169" s="558"/>
      <c r="BNH169" s="558"/>
      <c r="BNI169" s="558"/>
      <c r="BNJ169" s="558"/>
      <c r="BNK169" s="558"/>
      <c r="BNL169" s="558"/>
      <c r="BNM169" s="558"/>
      <c r="BNN169" s="558"/>
      <c r="BNO169" s="558"/>
      <c r="BNP169" s="558"/>
      <c r="BNQ169" s="558"/>
      <c r="BNR169" s="558"/>
      <c r="BNS169" s="558"/>
      <c r="BNT169" s="558"/>
      <c r="BNU169" s="558"/>
      <c r="BNV169" s="558"/>
      <c r="BNW169" s="558"/>
      <c r="BNX169" s="558"/>
      <c r="BNY169" s="558"/>
      <c r="BNZ169" s="558"/>
      <c r="BOA169" s="558"/>
      <c r="BOB169" s="558"/>
      <c r="BOC169" s="558"/>
      <c r="BOD169" s="558"/>
      <c r="BOE169" s="558"/>
      <c r="BOF169" s="558"/>
      <c r="BOG169" s="558"/>
      <c r="BOH169" s="558"/>
      <c r="BOI169" s="558"/>
      <c r="BOJ169" s="558"/>
      <c r="BOK169" s="558"/>
      <c r="BOL169" s="558"/>
      <c r="BOM169" s="558"/>
      <c r="BON169" s="558"/>
      <c r="BOO169" s="558"/>
      <c r="BOP169" s="558"/>
      <c r="BOQ169" s="558"/>
      <c r="BOR169" s="558"/>
      <c r="BOS169" s="558"/>
      <c r="BOT169" s="558"/>
      <c r="BOU169" s="558"/>
      <c r="BOV169" s="558"/>
      <c r="BOW169" s="558"/>
      <c r="BOX169" s="558"/>
      <c r="BOY169" s="558"/>
      <c r="BOZ169" s="558"/>
      <c r="BPA169" s="558"/>
      <c r="BPB169" s="558"/>
      <c r="BPC169" s="558"/>
      <c r="BPD169" s="558"/>
      <c r="BPE169" s="558"/>
      <c r="BPF169" s="558"/>
      <c r="BPG169" s="558"/>
      <c r="BPH169" s="558"/>
      <c r="BPI169" s="558"/>
      <c r="BPJ169" s="558"/>
      <c r="BPK169" s="558"/>
      <c r="BPL169" s="558"/>
      <c r="BPM169" s="558"/>
      <c r="BPN169" s="558"/>
      <c r="BPO169" s="558"/>
      <c r="BPP169" s="558"/>
      <c r="BPQ169" s="558"/>
      <c r="BPR169" s="558"/>
      <c r="BPS169" s="558"/>
      <c r="BPT169" s="558"/>
      <c r="BPU169" s="558"/>
      <c r="BPV169" s="558"/>
      <c r="BPW169" s="558"/>
      <c r="BPX169" s="558"/>
      <c r="BPY169" s="558"/>
      <c r="BPZ169" s="558"/>
      <c r="BQA169" s="558"/>
      <c r="BQB169" s="558"/>
      <c r="BQC169" s="558"/>
      <c r="BQD169" s="558"/>
      <c r="BQE169" s="558"/>
      <c r="BQF169" s="558"/>
      <c r="BQG169" s="558"/>
      <c r="BQH169" s="558"/>
      <c r="BQI169" s="558"/>
      <c r="BQJ169" s="558"/>
      <c r="BQK169" s="558"/>
      <c r="BQL169" s="558"/>
      <c r="BQM169" s="558"/>
      <c r="BQN169" s="558"/>
      <c r="BQO169" s="558"/>
      <c r="BQP169" s="558"/>
      <c r="BQQ169" s="558"/>
      <c r="BQR169" s="558"/>
      <c r="BQS169" s="558"/>
      <c r="BQT169" s="558"/>
      <c r="BQU169" s="558"/>
      <c r="BQV169" s="558"/>
      <c r="BQW169" s="558"/>
      <c r="BQX169" s="558"/>
      <c r="BQY169" s="558"/>
      <c r="BQZ169" s="558"/>
      <c r="BRA169" s="558"/>
      <c r="BRB169" s="558"/>
      <c r="BRC169" s="558"/>
      <c r="BRD169" s="558"/>
      <c r="BRE169" s="558"/>
      <c r="BRF169" s="558"/>
      <c r="BRG169" s="558"/>
      <c r="BRH169" s="558"/>
      <c r="BRI169" s="558"/>
      <c r="BRJ169" s="558"/>
      <c r="BRK169" s="558"/>
      <c r="BRL169" s="558"/>
      <c r="BRM169" s="558"/>
      <c r="BRN169" s="558"/>
      <c r="BRO169" s="558"/>
      <c r="BRP169" s="558"/>
      <c r="BRQ169" s="558"/>
      <c r="BRR169" s="558"/>
      <c r="BRS169" s="558"/>
      <c r="BRT169" s="558"/>
      <c r="BRU169" s="558"/>
      <c r="BRV169" s="558"/>
      <c r="BRW169" s="558"/>
      <c r="BRX169" s="558"/>
      <c r="BRY169" s="558"/>
      <c r="BRZ169" s="558"/>
      <c r="BSA169" s="558"/>
      <c r="BSB169" s="558"/>
      <c r="BSC169" s="558"/>
      <c r="BSD169" s="558"/>
      <c r="BSE169" s="558"/>
      <c r="BSF169" s="558"/>
      <c r="BSG169" s="558"/>
      <c r="BSH169" s="558"/>
      <c r="BSI169" s="558"/>
      <c r="BSJ169" s="558"/>
      <c r="BSK169" s="558"/>
      <c r="BSL169" s="558"/>
      <c r="BSM169" s="558"/>
      <c r="BSN169" s="558"/>
      <c r="BSO169" s="558"/>
      <c r="BSP169" s="558"/>
      <c r="BSQ169" s="558"/>
      <c r="BSR169" s="558"/>
      <c r="BSS169" s="558"/>
      <c r="BST169" s="558"/>
      <c r="BSU169" s="558"/>
      <c r="BSV169" s="558"/>
      <c r="BSW169" s="558"/>
      <c r="BSX169" s="558"/>
      <c r="BSY169" s="558"/>
      <c r="BSZ169" s="558"/>
      <c r="BTA169" s="558"/>
      <c r="BTB169" s="558"/>
      <c r="BTC169" s="558"/>
      <c r="BTD169" s="558"/>
      <c r="BTE169" s="558"/>
      <c r="BTF169" s="558"/>
      <c r="BTG169" s="558"/>
      <c r="BTH169" s="558"/>
      <c r="BTI169" s="558"/>
      <c r="BTJ169" s="558"/>
      <c r="BTK169" s="558"/>
      <c r="BTL169" s="558"/>
      <c r="BTM169" s="558"/>
      <c r="BTN169" s="558"/>
      <c r="BTO169" s="558"/>
      <c r="BTP169" s="558"/>
      <c r="BTQ169" s="558"/>
      <c r="BTR169" s="558"/>
      <c r="BTS169" s="558"/>
      <c r="BTT169" s="558"/>
      <c r="BTU169" s="558"/>
      <c r="BTV169" s="558"/>
      <c r="BTW169" s="558"/>
      <c r="BTX169" s="558"/>
      <c r="BTY169" s="558"/>
      <c r="BTZ169" s="558"/>
      <c r="BUA169" s="558"/>
      <c r="BUB169" s="558"/>
      <c r="BUC169" s="558"/>
      <c r="BUD169" s="558"/>
      <c r="BUE169" s="558"/>
      <c r="BUF169" s="558"/>
      <c r="BUG169" s="558"/>
      <c r="BUH169" s="558"/>
      <c r="BUI169" s="558"/>
      <c r="BUJ169" s="558"/>
      <c r="BUK169" s="558"/>
      <c r="BUL169" s="558"/>
      <c r="BUM169" s="558"/>
      <c r="BUN169" s="558"/>
      <c r="BUO169" s="558"/>
      <c r="BUP169" s="558"/>
      <c r="BUQ169" s="558"/>
      <c r="BUR169" s="558"/>
      <c r="BUS169" s="558"/>
      <c r="BUT169" s="558"/>
      <c r="BUU169" s="558"/>
      <c r="BUV169" s="558"/>
      <c r="BUW169" s="558"/>
      <c r="BUX169" s="558"/>
      <c r="BUY169" s="558"/>
      <c r="BUZ169" s="558"/>
      <c r="BVA169" s="558"/>
      <c r="BVB169" s="558"/>
      <c r="BVC169" s="558"/>
      <c r="BVD169" s="558"/>
      <c r="BVE169" s="558"/>
      <c r="BVF169" s="558"/>
      <c r="BVG169" s="558"/>
      <c r="BVH169" s="558"/>
      <c r="BVI169" s="558"/>
      <c r="BVJ169" s="558"/>
      <c r="BVK169" s="558"/>
      <c r="BVL169" s="558"/>
      <c r="BVM169" s="558"/>
      <c r="BVN169" s="558"/>
      <c r="BVO169" s="558"/>
      <c r="BVP169" s="558"/>
      <c r="BVQ169" s="558"/>
      <c r="BVR169" s="558"/>
      <c r="BVS169" s="558"/>
      <c r="BVT169" s="558"/>
      <c r="BVU169" s="558"/>
      <c r="BVV169" s="558"/>
      <c r="BVW169" s="558"/>
      <c r="BVX169" s="558"/>
      <c r="BVY169" s="558"/>
      <c r="BVZ169" s="558"/>
      <c r="BWA169" s="558"/>
      <c r="BWB169" s="558"/>
      <c r="BWC169" s="558"/>
      <c r="BWD169" s="558"/>
      <c r="BWE169" s="558"/>
      <c r="BWF169" s="558"/>
      <c r="BWG169" s="558"/>
      <c r="BWH169" s="558"/>
      <c r="BWI169" s="558"/>
      <c r="BWJ169" s="558"/>
      <c r="BWK169" s="558"/>
      <c r="BWL169" s="558"/>
      <c r="BWM169" s="558"/>
      <c r="BWN169" s="558"/>
      <c r="BWO169" s="558"/>
      <c r="BWP169" s="558"/>
      <c r="BWQ169" s="558"/>
      <c r="BWR169" s="558"/>
      <c r="BWS169" s="558"/>
      <c r="BWT169" s="558"/>
      <c r="BWU169" s="558"/>
      <c r="BWV169" s="558"/>
      <c r="BWW169" s="558"/>
      <c r="BWX169" s="558"/>
      <c r="BWY169" s="558"/>
      <c r="BWZ169" s="558"/>
      <c r="BXA169" s="558"/>
      <c r="BXB169" s="558"/>
      <c r="BXC169" s="558"/>
      <c r="BXD169" s="558"/>
      <c r="BXE169" s="558"/>
      <c r="BXF169" s="558"/>
      <c r="BXG169" s="558"/>
      <c r="BXH169" s="558"/>
      <c r="BXI169" s="558"/>
      <c r="BXJ169" s="558"/>
      <c r="BXK169" s="558"/>
      <c r="BXL169" s="558"/>
      <c r="BXM169" s="558"/>
      <c r="BXN169" s="558"/>
      <c r="BXO169" s="558"/>
      <c r="BXP169" s="558"/>
      <c r="BXQ169" s="558"/>
      <c r="BXR169" s="558"/>
      <c r="BXS169" s="558"/>
      <c r="BXT169" s="558"/>
      <c r="BXU169" s="558"/>
      <c r="BXV169" s="558"/>
      <c r="BXW169" s="558"/>
      <c r="BXX169" s="558"/>
      <c r="BXY169" s="558"/>
      <c r="BXZ169" s="558"/>
      <c r="BYA169" s="558"/>
      <c r="BYB169" s="558"/>
      <c r="BYC169" s="558"/>
      <c r="BYD169" s="558"/>
      <c r="BYE169" s="558"/>
      <c r="BYF169" s="558"/>
      <c r="BYG169" s="558"/>
      <c r="BYH169" s="558"/>
      <c r="BYI169" s="558"/>
      <c r="BYJ169" s="558"/>
      <c r="BYK169" s="558"/>
      <c r="BYL169" s="558"/>
      <c r="BYM169" s="558"/>
      <c r="BYN169" s="558"/>
      <c r="BYO169" s="558"/>
      <c r="BYP169" s="558"/>
      <c r="BYQ169" s="558"/>
      <c r="BYR169" s="558"/>
      <c r="BYS169" s="558"/>
      <c r="BYT169" s="558"/>
      <c r="BYU169" s="558"/>
      <c r="BYV169" s="558"/>
      <c r="BYW169" s="558"/>
      <c r="BYX169" s="558"/>
      <c r="BYY169" s="558"/>
      <c r="BYZ169" s="558"/>
      <c r="BZA169" s="558"/>
      <c r="BZB169" s="558"/>
      <c r="BZC169" s="558"/>
      <c r="BZD169" s="558"/>
      <c r="BZE169" s="558"/>
      <c r="BZF169" s="558"/>
      <c r="BZG169" s="558"/>
      <c r="BZH169" s="558"/>
      <c r="BZI169" s="558"/>
      <c r="BZJ169" s="558"/>
      <c r="BZK169" s="558"/>
      <c r="BZL169" s="558"/>
      <c r="BZM169" s="558"/>
      <c r="BZN169" s="558"/>
      <c r="BZO169" s="558"/>
      <c r="BZP169" s="558"/>
      <c r="BZQ169" s="558"/>
      <c r="BZR169" s="558"/>
      <c r="BZS169" s="558"/>
      <c r="BZT169" s="558"/>
      <c r="BZU169" s="558"/>
      <c r="BZV169" s="558"/>
      <c r="BZW169" s="558"/>
      <c r="BZX169" s="558"/>
      <c r="BZY169" s="558"/>
      <c r="BZZ169" s="558"/>
      <c r="CAA169" s="558"/>
      <c r="CAB169" s="558"/>
      <c r="CAC169" s="558"/>
      <c r="CAD169" s="558"/>
      <c r="CAE169" s="558"/>
      <c r="CAF169" s="558"/>
      <c r="CAG169" s="558"/>
      <c r="CAH169" s="558"/>
      <c r="CAI169" s="558"/>
      <c r="CAJ169" s="558"/>
      <c r="CAK169" s="558"/>
      <c r="CAL169" s="558"/>
      <c r="CAM169" s="558"/>
      <c r="CAN169" s="558"/>
      <c r="CAO169" s="558"/>
      <c r="CAP169" s="558"/>
      <c r="CAQ169" s="558"/>
      <c r="CAR169" s="558"/>
      <c r="CAS169" s="558"/>
      <c r="CAT169" s="558"/>
      <c r="CAU169" s="558"/>
      <c r="CAV169" s="558"/>
      <c r="CAW169" s="558"/>
      <c r="CAX169" s="558"/>
      <c r="CAY169" s="558"/>
      <c r="CAZ169" s="558"/>
      <c r="CBA169" s="558"/>
      <c r="CBB169" s="558"/>
      <c r="CBC169" s="558"/>
      <c r="CBD169" s="558"/>
      <c r="CBE169" s="558"/>
      <c r="CBF169" s="558"/>
      <c r="CBG169" s="558"/>
      <c r="CBH169" s="558"/>
      <c r="CBI169" s="558"/>
      <c r="CBJ169" s="558"/>
      <c r="CBK169" s="558"/>
      <c r="CBL169" s="558"/>
      <c r="CBM169" s="558"/>
      <c r="CBN169" s="558"/>
      <c r="CBO169" s="558"/>
      <c r="CBP169" s="558"/>
      <c r="CBQ169" s="558"/>
      <c r="CBR169" s="558"/>
      <c r="CBS169" s="558"/>
      <c r="CBT169" s="558"/>
      <c r="CBU169" s="558"/>
      <c r="CBV169" s="558"/>
      <c r="CBW169" s="558"/>
      <c r="CBX169" s="558"/>
      <c r="CBY169" s="558"/>
      <c r="CBZ169" s="558"/>
      <c r="CCA169" s="558"/>
      <c r="CCB169" s="558"/>
      <c r="CCC169" s="558"/>
      <c r="CCD169" s="558"/>
      <c r="CCE169" s="558"/>
      <c r="CCF169" s="558"/>
      <c r="CCG169" s="558"/>
      <c r="CCH169" s="558"/>
      <c r="CCI169" s="558"/>
      <c r="CCJ169" s="558"/>
      <c r="CCK169" s="558"/>
      <c r="CCL169" s="558"/>
      <c r="CCM169" s="558"/>
      <c r="CCN169" s="558"/>
      <c r="CCO169" s="558"/>
      <c r="CCP169" s="558"/>
      <c r="CCQ169" s="558"/>
      <c r="CCR169" s="558"/>
      <c r="CCS169" s="558"/>
      <c r="CCT169" s="558"/>
      <c r="CCU169" s="558"/>
      <c r="CCV169" s="558"/>
      <c r="CCW169" s="558"/>
      <c r="CCX169" s="558"/>
      <c r="CCY169" s="558"/>
      <c r="CCZ169" s="558"/>
      <c r="CDA169" s="558"/>
      <c r="CDB169" s="558"/>
      <c r="CDC169" s="558"/>
      <c r="CDD169" s="558"/>
      <c r="CDE169" s="558"/>
      <c r="CDF169" s="558"/>
      <c r="CDG169" s="558"/>
      <c r="CDH169" s="558"/>
      <c r="CDI169" s="558"/>
      <c r="CDJ169" s="558"/>
      <c r="CDK169" s="558"/>
      <c r="CDL169" s="558"/>
      <c r="CDM169" s="558"/>
      <c r="CDN169" s="558"/>
      <c r="CDO169" s="558"/>
      <c r="CDP169" s="558"/>
      <c r="CDQ169" s="558"/>
      <c r="CDR169" s="558"/>
      <c r="CDS169" s="558"/>
      <c r="CDT169" s="558"/>
      <c r="CDU169" s="558"/>
      <c r="CDV169" s="558"/>
      <c r="CDW169" s="558"/>
      <c r="CDX169" s="558"/>
      <c r="CDY169" s="558"/>
      <c r="CDZ169" s="558"/>
      <c r="CEA169" s="558"/>
      <c r="CEB169" s="558"/>
      <c r="CEC169" s="558"/>
      <c r="CED169" s="558"/>
      <c r="CEE169" s="558"/>
      <c r="CEF169" s="558"/>
      <c r="CEG169" s="558"/>
      <c r="CEH169" s="558"/>
      <c r="CEI169" s="558"/>
      <c r="CEJ169" s="558"/>
      <c r="CEK169" s="558"/>
      <c r="CEL169" s="558"/>
      <c r="CEM169" s="558"/>
      <c r="CEN169" s="558"/>
      <c r="CEO169" s="558"/>
      <c r="CEP169" s="558"/>
      <c r="CEQ169" s="558"/>
      <c r="CER169" s="558"/>
      <c r="CES169" s="558"/>
      <c r="CET169" s="558"/>
      <c r="CEU169" s="558"/>
      <c r="CEV169" s="558"/>
      <c r="CEW169" s="558"/>
      <c r="CEX169" s="558"/>
      <c r="CEY169" s="558"/>
      <c r="CEZ169" s="558"/>
      <c r="CFA169" s="558"/>
      <c r="CFB169" s="558"/>
      <c r="CFC169" s="558"/>
      <c r="CFD169" s="558"/>
      <c r="CFE169" s="558"/>
      <c r="CFF169" s="558"/>
      <c r="CFG169" s="558"/>
      <c r="CFH169" s="558"/>
      <c r="CFI169" s="558"/>
      <c r="CFJ169" s="558"/>
      <c r="CFK169" s="558"/>
      <c r="CFL169" s="558"/>
      <c r="CFM169" s="558"/>
      <c r="CFN169" s="558"/>
      <c r="CFO169" s="558"/>
      <c r="CFP169" s="558"/>
      <c r="CFQ169" s="558"/>
      <c r="CFR169" s="558"/>
      <c r="CFS169" s="558"/>
      <c r="CFT169" s="558"/>
      <c r="CFU169" s="558"/>
      <c r="CFV169" s="558"/>
      <c r="CFW169" s="558"/>
      <c r="CFX169" s="558"/>
      <c r="CFY169" s="558"/>
      <c r="CFZ169" s="558"/>
      <c r="CGA169" s="558"/>
      <c r="CGB169" s="558"/>
      <c r="CGC169" s="558"/>
      <c r="CGD169" s="558"/>
      <c r="CGE169" s="558"/>
      <c r="CGF169" s="558"/>
      <c r="CGG169" s="558"/>
      <c r="CGH169" s="558"/>
      <c r="CGI169" s="558"/>
      <c r="CGJ169" s="558"/>
      <c r="CGK169" s="558"/>
      <c r="CGL169" s="558"/>
      <c r="CGM169" s="558"/>
      <c r="CGN169" s="558"/>
      <c r="CGO169" s="558"/>
      <c r="CGP169" s="558"/>
      <c r="CGQ169" s="558"/>
      <c r="CGR169" s="558"/>
      <c r="CGS169" s="558"/>
      <c r="CGT169" s="558"/>
      <c r="CGU169" s="558"/>
      <c r="CGV169" s="558"/>
      <c r="CGW169" s="558"/>
      <c r="CGX169" s="558"/>
      <c r="CGY169" s="558"/>
      <c r="CGZ169" s="558"/>
      <c r="CHA169" s="558"/>
      <c r="CHB169" s="558"/>
      <c r="CHC169" s="558"/>
      <c r="CHD169" s="558"/>
      <c r="CHE169" s="558"/>
      <c r="CHF169" s="558"/>
      <c r="CHG169" s="558"/>
      <c r="CHH169" s="558"/>
      <c r="CHI169" s="558"/>
      <c r="CHJ169" s="558"/>
      <c r="CHK169" s="558"/>
      <c r="CHL169" s="558"/>
      <c r="CHM169" s="558"/>
      <c r="CHN169" s="558"/>
      <c r="CHO169" s="558"/>
      <c r="CHP169" s="558"/>
      <c r="CHQ169" s="558"/>
      <c r="CHR169" s="558"/>
      <c r="CHS169" s="558"/>
      <c r="CHT169" s="558"/>
      <c r="CHU169" s="558"/>
      <c r="CHV169" s="558"/>
      <c r="CHW169" s="558"/>
      <c r="CHX169" s="558"/>
      <c r="CHY169" s="558"/>
      <c r="CHZ169" s="558"/>
      <c r="CIA169" s="558"/>
      <c r="CIB169" s="558"/>
      <c r="CIC169" s="558"/>
      <c r="CID169" s="558"/>
      <c r="CIE169" s="558"/>
      <c r="CIF169" s="558"/>
      <c r="CIG169" s="558"/>
      <c r="CIH169" s="558"/>
      <c r="CII169" s="558"/>
      <c r="CIJ169" s="558"/>
      <c r="CIK169" s="558"/>
      <c r="CIL169" s="558"/>
      <c r="CIM169" s="558"/>
      <c r="CIN169" s="558"/>
      <c r="CIO169" s="558"/>
      <c r="CIP169" s="558"/>
      <c r="CIQ169" s="558"/>
      <c r="CIR169" s="558"/>
      <c r="CIS169" s="558"/>
      <c r="CIT169" s="558"/>
      <c r="CIU169" s="558"/>
      <c r="CIV169" s="558"/>
      <c r="CIW169" s="558"/>
      <c r="CIX169" s="558"/>
      <c r="CIY169" s="558"/>
      <c r="CIZ169" s="558"/>
      <c r="CJA169" s="558"/>
      <c r="CJB169" s="558"/>
      <c r="CJC169" s="558"/>
      <c r="CJD169" s="558"/>
      <c r="CJE169" s="558"/>
      <c r="CJF169" s="558"/>
      <c r="CJG169" s="558"/>
      <c r="CJH169" s="558"/>
      <c r="CJI169" s="558"/>
      <c r="CJJ169" s="558"/>
      <c r="CJK169" s="558"/>
      <c r="CJL169" s="558"/>
      <c r="CJM169" s="558"/>
      <c r="CJN169" s="558"/>
      <c r="CJO169" s="558"/>
      <c r="CJP169" s="558"/>
      <c r="CJQ169" s="558"/>
      <c r="CJR169" s="558"/>
      <c r="CJS169" s="558"/>
      <c r="CJT169" s="558"/>
      <c r="CJU169" s="558"/>
      <c r="CJV169" s="558"/>
      <c r="CJW169" s="558"/>
      <c r="CJX169" s="558"/>
      <c r="CJY169" s="558"/>
      <c r="CJZ169" s="558"/>
      <c r="CKA169" s="558"/>
      <c r="CKB169" s="558"/>
      <c r="CKC169" s="558"/>
      <c r="CKD169" s="558"/>
      <c r="CKE169" s="558"/>
      <c r="CKF169" s="558"/>
      <c r="CKG169" s="558"/>
      <c r="CKH169" s="558"/>
      <c r="CKI169" s="558"/>
      <c r="CKJ169" s="558"/>
      <c r="CKK169" s="558"/>
      <c r="CKL169" s="558"/>
      <c r="CKM169" s="558"/>
      <c r="CKN169" s="558"/>
      <c r="CKO169" s="558"/>
      <c r="CKP169" s="558"/>
      <c r="CKQ169" s="558"/>
      <c r="CKR169" s="558"/>
      <c r="CKS169" s="558"/>
      <c r="CKT169" s="558"/>
      <c r="CKU169" s="558"/>
      <c r="CKV169" s="558"/>
      <c r="CKW169" s="558"/>
      <c r="CKX169" s="558"/>
      <c r="CKY169" s="558"/>
      <c r="CKZ169" s="558"/>
      <c r="CLA169" s="558"/>
      <c r="CLB169" s="558"/>
      <c r="CLC169" s="558"/>
      <c r="CLD169" s="558"/>
      <c r="CLE169" s="558"/>
      <c r="CLF169" s="558"/>
      <c r="CLG169" s="558"/>
      <c r="CLH169" s="558"/>
      <c r="CLI169" s="558"/>
      <c r="CLJ169" s="558"/>
      <c r="CLK169" s="558"/>
      <c r="CLL169" s="558"/>
      <c r="CLM169" s="558"/>
      <c r="CLN169" s="558"/>
      <c r="CLO169" s="558"/>
      <c r="CLP169" s="558"/>
      <c r="CLQ169" s="558"/>
      <c r="CLR169" s="558"/>
      <c r="CLS169" s="558"/>
      <c r="CLT169" s="558"/>
      <c r="CLU169" s="558"/>
      <c r="CLV169" s="558"/>
      <c r="CLW169" s="558"/>
      <c r="CLX169" s="558"/>
      <c r="CLY169" s="558"/>
      <c r="CLZ169" s="558"/>
      <c r="CMA169" s="558"/>
      <c r="CMB169" s="558"/>
      <c r="CMC169" s="558"/>
      <c r="CMD169" s="558"/>
      <c r="CME169" s="558"/>
      <c r="CMF169" s="558"/>
      <c r="CMG169" s="558"/>
      <c r="CMH169" s="558"/>
      <c r="CMI169" s="558"/>
      <c r="CMJ169" s="558"/>
      <c r="CMK169" s="558"/>
      <c r="CML169" s="558"/>
      <c r="CMM169" s="558"/>
      <c r="CMN169" s="558"/>
      <c r="CMO169" s="558"/>
      <c r="CMP169" s="558"/>
      <c r="CMQ169" s="558"/>
      <c r="CMR169" s="558"/>
      <c r="CMS169" s="558"/>
      <c r="CMT169" s="558"/>
      <c r="CMU169" s="558"/>
      <c r="CMV169" s="558"/>
      <c r="CMW169" s="558"/>
      <c r="CMX169" s="558"/>
      <c r="CMY169" s="558"/>
      <c r="CMZ169" s="558"/>
      <c r="CNA169" s="558"/>
      <c r="CNB169" s="558"/>
      <c r="CNC169" s="558"/>
      <c r="CND169" s="558"/>
      <c r="CNE169" s="558"/>
      <c r="CNF169" s="558"/>
      <c r="CNG169" s="558"/>
      <c r="CNH169" s="558"/>
      <c r="CNI169" s="558"/>
      <c r="CNJ169" s="558"/>
      <c r="CNK169" s="558"/>
      <c r="CNL169" s="558"/>
      <c r="CNM169" s="558"/>
      <c r="CNN169" s="558"/>
      <c r="CNO169" s="558"/>
      <c r="CNP169" s="558"/>
      <c r="CNQ169" s="558"/>
      <c r="CNR169" s="558"/>
      <c r="CNS169" s="558"/>
      <c r="CNT169" s="558"/>
      <c r="CNU169" s="558"/>
      <c r="CNV169" s="558"/>
      <c r="CNW169" s="558"/>
      <c r="CNX169" s="558"/>
      <c r="CNY169" s="558"/>
      <c r="CNZ169" s="558"/>
      <c r="COA169" s="558"/>
      <c r="COB169" s="558"/>
      <c r="COC169" s="558"/>
      <c r="COD169" s="558"/>
      <c r="COE169" s="558"/>
      <c r="COF169" s="558"/>
      <c r="COG169" s="558"/>
      <c r="COH169" s="558"/>
      <c r="COI169" s="558"/>
      <c r="COJ169" s="558"/>
      <c r="COK169" s="558"/>
      <c r="COL169" s="558"/>
      <c r="COM169" s="558"/>
      <c r="CON169" s="558"/>
      <c r="COO169" s="558"/>
      <c r="COP169" s="558"/>
      <c r="COQ169" s="558"/>
      <c r="COR169" s="558"/>
      <c r="COS169" s="558"/>
      <c r="COT169" s="558"/>
      <c r="COU169" s="558"/>
      <c r="COV169" s="558"/>
      <c r="COW169" s="558"/>
      <c r="COX169" s="558"/>
      <c r="COY169" s="558"/>
      <c r="COZ169" s="558"/>
      <c r="CPA169" s="558"/>
      <c r="CPB169" s="558"/>
      <c r="CPC169" s="558"/>
      <c r="CPD169" s="558"/>
      <c r="CPE169" s="558"/>
      <c r="CPF169" s="558"/>
      <c r="CPG169" s="558"/>
      <c r="CPH169" s="558"/>
      <c r="CPI169" s="558"/>
      <c r="CPJ169" s="558"/>
      <c r="CPK169" s="558"/>
      <c r="CPL169" s="558"/>
      <c r="CPM169" s="558"/>
      <c r="CPN169" s="558"/>
      <c r="CPO169" s="558"/>
      <c r="CPP169" s="558"/>
      <c r="CPQ169" s="558"/>
      <c r="CPR169" s="558"/>
      <c r="CPS169" s="558"/>
      <c r="CPT169" s="558"/>
      <c r="CPU169" s="558"/>
      <c r="CPV169" s="558"/>
      <c r="CPW169" s="558"/>
      <c r="CPX169" s="558"/>
      <c r="CPY169" s="558"/>
      <c r="CPZ169" s="558"/>
      <c r="CQA169" s="558"/>
      <c r="CQB169" s="558"/>
      <c r="CQC169" s="558"/>
      <c r="CQD169" s="558"/>
      <c r="CQE169" s="558"/>
      <c r="CQF169" s="558"/>
      <c r="CQG169" s="558"/>
      <c r="CQH169" s="558"/>
      <c r="CQI169" s="558"/>
      <c r="CQJ169" s="558"/>
      <c r="CQK169" s="558"/>
      <c r="CQL169" s="558"/>
      <c r="CQM169" s="558"/>
      <c r="CQN169" s="558"/>
      <c r="CQO169" s="558"/>
      <c r="CQP169" s="558"/>
      <c r="CQQ169" s="558"/>
      <c r="CQR169" s="558"/>
      <c r="CQS169" s="558"/>
      <c r="CQT169" s="558"/>
      <c r="CQU169" s="558"/>
      <c r="CQV169" s="558"/>
      <c r="CQW169" s="558"/>
      <c r="CQX169" s="558"/>
      <c r="CQY169" s="558"/>
      <c r="CQZ169" s="558"/>
      <c r="CRA169" s="558"/>
      <c r="CRB169" s="558"/>
      <c r="CRC169" s="558"/>
      <c r="CRD169" s="558"/>
      <c r="CRE169" s="558"/>
      <c r="CRF169" s="558"/>
      <c r="CRG169" s="558"/>
      <c r="CRH169" s="558"/>
      <c r="CRI169" s="558"/>
      <c r="CRJ169" s="558"/>
      <c r="CRK169" s="558"/>
      <c r="CRL169" s="558"/>
      <c r="CRM169" s="558"/>
      <c r="CRN169" s="558"/>
      <c r="CRO169" s="558"/>
      <c r="CRP169" s="558"/>
      <c r="CRQ169" s="558"/>
      <c r="CRR169" s="558"/>
      <c r="CRS169" s="558"/>
      <c r="CRT169" s="558"/>
      <c r="CRU169" s="558"/>
      <c r="CRV169" s="558"/>
      <c r="CRW169" s="558"/>
      <c r="CRX169" s="558"/>
      <c r="CRY169" s="558"/>
      <c r="CRZ169" s="558"/>
      <c r="CSA169" s="558"/>
      <c r="CSB169" s="558"/>
      <c r="CSC169" s="558"/>
      <c r="CSD169" s="558"/>
      <c r="CSE169" s="558"/>
      <c r="CSF169" s="558"/>
      <c r="CSG169" s="558"/>
      <c r="CSH169" s="558"/>
      <c r="CSI169" s="558"/>
      <c r="CSJ169" s="558"/>
      <c r="CSK169" s="558"/>
      <c r="CSL169" s="558"/>
      <c r="CSM169" s="558"/>
      <c r="CSN169" s="558"/>
      <c r="CSO169" s="558"/>
      <c r="CSP169" s="558"/>
      <c r="CSQ169" s="558"/>
      <c r="CSR169" s="558"/>
      <c r="CSS169" s="558"/>
      <c r="CST169" s="558"/>
      <c r="CSU169" s="558"/>
      <c r="CSV169" s="558"/>
      <c r="CSW169" s="558"/>
      <c r="CSX169" s="558"/>
      <c r="CSY169" s="558"/>
      <c r="CSZ169" s="558"/>
      <c r="CTA169" s="558"/>
      <c r="CTB169" s="558"/>
      <c r="CTC169" s="558"/>
      <c r="CTD169" s="558"/>
      <c r="CTE169" s="558"/>
      <c r="CTF169" s="558"/>
      <c r="CTG169" s="558"/>
      <c r="CTH169" s="558"/>
      <c r="CTI169" s="558"/>
      <c r="CTJ169" s="558"/>
      <c r="CTK169" s="558"/>
      <c r="CTL169" s="558"/>
      <c r="CTM169" s="558"/>
      <c r="CTN169" s="558"/>
      <c r="CTO169" s="558"/>
      <c r="CTP169" s="558"/>
      <c r="CTQ169" s="558"/>
      <c r="CTR169" s="558"/>
      <c r="CTS169" s="558"/>
      <c r="CTT169" s="558"/>
      <c r="CTU169" s="558"/>
      <c r="CTV169" s="558"/>
      <c r="CTW169" s="558"/>
      <c r="CTX169" s="558"/>
      <c r="CTY169" s="558"/>
      <c r="CTZ169" s="558"/>
      <c r="CUA169" s="558"/>
      <c r="CUB169" s="558"/>
      <c r="CUC169" s="558"/>
      <c r="CUD169" s="558"/>
      <c r="CUE169" s="558"/>
      <c r="CUF169" s="558"/>
      <c r="CUG169" s="558"/>
      <c r="CUH169" s="558"/>
      <c r="CUI169" s="558"/>
      <c r="CUJ169" s="558"/>
      <c r="CUK169" s="558"/>
      <c r="CUL169" s="558"/>
      <c r="CUM169" s="558"/>
      <c r="CUN169" s="558"/>
      <c r="CUO169" s="558"/>
      <c r="CUP169" s="558"/>
      <c r="CUQ169" s="558"/>
      <c r="CUR169" s="558"/>
      <c r="CUS169" s="558"/>
      <c r="CUT169" s="558"/>
      <c r="CUU169" s="558"/>
      <c r="CUV169" s="558"/>
      <c r="CUW169" s="558"/>
      <c r="CUX169" s="558"/>
      <c r="CUY169" s="558"/>
      <c r="CUZ169" s="558"/>
      <c r="CVA169" s="558"/>
      <c r="CVB169" s="558"/>
      <c r="CVC169" s="558"/>
      <c r="CVD169" s="558"/>
      <c r="CVE169" s="558"/>
      <c r="CVF169" s="558"/>
      <c r="CVG169" s="558"/>
      <c r="CVH169" s="558"/>
      <c r="CVI169" s="558"/>
      <c r="CVJ169" s="558"/>
      <c r="CVK169" s="558"/>
      <c r="CVL169" s="558"/>
      <c r="CVM169" s="558"/>
      <c r="CVN169" s="558"/>
      <c r="CVO169" s="558"/>
      <c r="CVP169" s="558"/>
      <c r="CVQ169" s="558"/>
      <c r="CVR169" s="558"/>
      <c r="CVS169" s="558"/>
      <c r="CVT169" s="558"/>
      <c r="CVU169" s="558"/>
      <c r="CVV169" s="558"/>
      <c r="CVW169" s="558"/>
      <c r="CVX169" s="558"/>
      <c r="CVY169" s="558"/>
      <c r="CVZ169" s="558"/>
      <c r="CWA169" s="558"/>
      <c r="CWB169" s="558"/>
      <c r="CWC169" s="558"/>
      <c r="CWD169" s="558"/>
      <c r="CWE169" s="558"/>
      <c r="CWF169" s="558"/>
      <c r="CWG169" s="558"/>
      <c r="CWH169" s="558"/>
      <c r="CWI169" s="558"/>
      <c r="CWJ169" s="558"/>
      <c r="CWK169" s="558"/>
      <c r="CWL169" s="558"/>
      <c r="CWM169" s="558"/>
      <c r="CWN169" s="558"/>
      <c r="CWO169" s="558"/>
      <c r="CWP169" s="558"/>
      <c r="CWQ169" s="558"/>
      <c r="CWR169" s="558"/>
      <c r="CWS169" s="558"/>
      <c r="CWT169" s="558"/>
      <c r="CWU169" s="558"/>
      <c r="CWV169" s="558"/>
      <c r="CWW169" s="558"/>
      <c r="CWX169" s="558"/>
      <c r="CWY169" s="558"/>
      <c r="CWZ169" s="558"/>
      <c r="CXA169" s="558"/>
      <c r="CXB169" s="558"/>
      <c r="CXC169" s="558"/>
      <c r="CXD169" s="558"/>
      <c r="CXE169" s="558"/>
      <c r="CXF169" s="558"/>
      <c r="CXG169" s="558"/>
      <c r="CXH169" s="558"/>
      <c r="CXI169" s="558"/>
      <c r="CXJ169" s="558"/>
      <c r="CXK169" s="558"/>
      <c r="CXL169" s="558"/>
      <c r="CXM169" s="558"/>
      <c r="CXN169" s="558"/>
      <c r="CXO169" s="558"/>
      <c r="CXP169" s="558"/>
      <c r="CXQ169" s="558"/>
      <c r="CXR169" s="558"/>
      <c r="CXS169" s="558"/>
      <c r="CXT169" s="558"/>
      <c r="CXU169" s="558"/>
      <c r="CXV169" s="558"/>
      <c r="CXW169" s="558"/>
      <c r="CXX169" s="558"/>
      <c r="CXY169" s="558"/>
      <c r="CXZ169" s="558"/>
      <c r="CYA169" s="558"/>
      <c r="CYB169" s="558"/>
      <c r="CYC169" s="558"/>
      <c r="CYD169" s="558"/>
      <c r="CYE169" s="558"/>
      <c r="CYF169" s="558"/>
      <c r="CYG169" s="558"/>
      <c r="CYH169" s="558"/>
      <c r="CYI169" s="558"/>
      <c r="CYJ169" s="558"/>
      <c r="CYK169" s="558"/>
      <c r="CYL169" s="558"/>
      <c r="CYM169" s="558"/>
      <c r="CYN169" s="558"/>
      <c r="CYO169" s="558"/>
      <c r="CYP169" s="558"/>
      <c r="CYQ169" s="558"/>
      <c r="CYR169" s="558"/>
      <c r="CYS169" s="558"/>
      <c r="CYT169" s="558"/>
      <c r="CYU169" s="558"/>
      <c r="CYV169" s="558"/>
      <c r="CYW169" s="558"/>
      <c r="CYX169" s="558"/>
      <c r="CYY169" s="558"/>
      <c r="CYZ169" s="558"/>
      <c r="CZA169" s="558"/>
      <c r="CZB169" s="558"/>
      <c r="CZC169" s="558"/>
      <c r="CZD169" s="558"/>
      <c r="CZE169" s="558"/>
      <c r="CZF169" s="558"/>
      <c r="CZG169" s="558"/>
      <c r="CZH169" s="558"/>
      <c r="CZI169" s="558"/>
      <c r="CZJ169" s="558"/>
      <c r="CZK169" s="558"/>
      <c r="CZL169" s="558"/>
      <c r="CZM169" s="558"/>
      <c r="CZN169" s="558"/>
      <c r="CZO169" s="558"/>
      <c r="CZP169" s="558"/>
      <c r="CZQ169" s="558"/>
      <c r="CZR169" s="558"/>
      <c r="CZS169" s="558"/>
      <c r="CZT169" s="558"/>
      <c r="CZU169" s="558"/>
      <c r="CZV169" s="558"/>
      <c r="CZW169" s="558"/>
      <c r="CZX169" s="558"/>
      <c r="CZY169" s="558"/>
      <c r="CZZ169" s="558"/>
      <c r="DAA169" s="558"/>
      <c r="DAB169" s="558"/>
      <c r="DAC169" s="558"/>
      <c r="DAD169" s="558"/>
      <c r="DAE169" s="558"/>
      <c r="DAF169" s="558"/>
      <c r="DAG169" s="558"/>
      <c r="DAH169" s="558"/>
      <c r="DAI169" s="558"/>
      <c r="DAJ169" s="558"/>
      <c r="DAK169" s="558"/>
      <c r="DAL169" s="558"/>
      <c r="DAM169" s="558"/>
      <c r="DAN169" s="558"/>
      <c r="DAO169" s="558"/>
      <c r="DAP169" s="558"/>
      <c r="DAQ169" s="558"/>
      <c r="DAR169" s="558"/>
      <c r="DAS169" s="558"/>
      <c r="DAT169" s="558"/>
      <c r="DAU169" s="558"/>
      <c r="DAV169" s="558"/>
      <c r="DAW169" s="558"/>
      <c r="DAX169" s="558"/>
      <c r="DAY169" s="558"/>
      <c r="DAZ169" s="558"/>
      <c r="DBA169" s="558"/>
      <c r="DBB169" s="558"/>
      <c r="DBC169" s="558"/>
      <c r="DBD169" s="558"/>
      <c r="DBE169" s="558"/>
      <c r="DBF169" s="558"/>
      <c r="DBG169" s="558"/>
      <c r="DBH169" s="558"/>
      <c r="DBI169" s="558"/>
      <c r="DBJ169" s="558"/>
      <c r="DBK169" s="558"/>
      <c r="DBL169" s="558"/>
      <c r="DBM169" s="558"/>
      <c r="DBN169" s="558"/>
      <c r="DBO169" s="558"/>
      <c r="DBP169" s="558"/>
      <c r="DBQ169" s="558"/>
      <c r="DBR169" s="558"/>
      <c r="DBS169" s="558"/>
      <c r="DBT169" s="558"/>
      <c r="DBU169" s="558"/>
      <c r="DBV169" s="558"/>
      <c r="DBW169" s="558"/>
      <c r="DBX169" s="558"/>
      <c r="DBY169" s="558"/>
      <c r="DBZ169" s="558"/>
      <c r="DCA169" s="558"/>
      <c r="DCB169" s="558"/>
      <c r="DCC169" s="558"/>
      <c r="DCD169" s="558"/>
      <c r="DCE169" s="558"/>
      <c r="DCF169" s="558"/>
      <c r="DCG169" s="558"/>
      <c r="DCH169" s="558"/>
      <c r="DCI169" s="558"/>
      <c r="DCJ169" s="558"/>
      <c r="DCK169" s="558"/>
      <c r="DCL169" s="558"/>
      <c r="DCM169" s="558"/>
      <c r="DCN169" s="558"/>
      <c r="DCO169" s="558"/>
      <c r="DCP169" s="558"/>
      <c r="DCQ169" s="558"/>
      <c r="DCR169" s="558"/>
      <c r="DCS169" s="558"/>
      <c r="DCT169" s="558"/>
      <c r="DCU169" s="558"/>
      <c r="DCV169" s="558"/>
      <c r="DCW169" s="558"/>
      <c r="DCX169" s="558"/>
      <c r="DCY169" s="558"/>
      <c r="DCZ169" s="558"/>
      <c r="DDA169" s="558"/>
      <c r="DDB169" s="558"/>
      <c r="DDC169" s="558"/>
      <c r="DDD169" s="558"/>
      <c r="DDE169" s="558"/>
      <c r="DDF169" s="558"/>
      <c r="DDG169" s="558"/>
      <c r="DDH169" s="558"/>
      <c r="DDI169" s="558"/>
      <c r="DDJ169" s="558"/>
      <c r="DDK169" s="558"/>
      <c r="DDL169" s="558"/>
      <c r="DDM169" s="558"/>
      <c r="DDN169" s="558"/>
      <c r="DDO169" s="558"/>
      <c r="DDP169" s="558"/>
      <c r="DDQ169" s="558"/>
      <c r="DDR169" s="558"/>
      <c r="DDS169" s="558"/>
      <c r="DDT169" s="558"/>
      <c r="DDU169" s="558"/>
      <c r="DDV169" s="558"/>
      <c r="DDW169" s="558"/>
      <c r="DDX169" s="558"/>
      <c r="DDY169" s="558"/>
      <c r="DDZ169" s="558"/>
      <c r="DEA169" s="558"/>
      <c r="DEB169" s="558"/>
      <c r="DEC169" s="558"/>
      <c r="DED169" s="558"/>
      <c r="DEE169" s="558"/>
      <c r="DEF169" s="558"/>
      <c r="DEG169" s="558"/>
      <c r="DEH169" s="558"/>
      <c r="DEI169" s="558"/>
      <c r="DEJ169" s="558"/>
      <c r="DEK169" s="558"/>
      <c r="DEL169" s="558"/>
      <c r="DEM169" s="558"/>
      <c r="DEN169" s="558"/>
      <c r="DEO169" s="558"/>
      <c r="DEP169" s="558"/>
      <c r="DEQ169" s="558"/>
      <c r="DER169" s="558"/>
      <c r="DES169" s="558"/>
      <c r="DET169" s="558"/>
      <c r="DEU169" s="558"/>
      <c r="DEV169" s="558"/>
      <c r="DEW169" s="558"/>
      <c r="DEX169" s="558"/>
      <c r="DEY169" s="558"/>
      <c r="DEZ169" s="558"/>
      <c r="DFA169" s="558"/>
      <c r="DFB169" s="558"/>
      <c r="DFC169" s="558"/>
      <c r="DFD169" s="558"/>
      <c r="DFE169" s="558"/>
      <c r="DFF169" s="558"/>
      <c r="DFG169" s="558"/>
      <c r="DFH169" s="558"/>
      <c r="DFI169" s="558"/>
      <c r="DFJ169" s="558"/>
      <c r="DFK169" s="558"/>
      <c r="DFL169" s="558"/>
      <c r="DFM169" s="558"/>
      <c r="DFN169" s="558"/>
      <c r="DFO169" s="558"/>
      <c r="DFP169" s="558"/>
      <c r="DFQ169" s="558"/>
      <c r="DFR169" s="558"/>
      <c r="DFS169" s="558"/>
      <c r="DFT169" s="558"/>
      <c r="DFU169" s="558"/>
      <c r="DFV169" s="558"/>
      <c r="DFW169" s="558"/>
      <c r="DFX169" s="558"/>
      <c r="DFY169" s="558"/>
      <c r="DFZ169" s="558"/>
      <c r="DGA169" s="558"/>
      <c r="DGB169" s="558"/>
      <c r="DGC169" s="558"/>
      <c r="DGD169" s="558"/>
      <c r="DGE169" s="558"/>
      <c r="DGF169" s="558"/>
      <c r="DGG169" s="558"/>
      <c r="DGH169" s="558"/>
      <c r="DGI169" s="558"/>
      <c r="DGJ169" s="558"/>
      <c r="DGK169" s="558"/>
      <c r="DGL169" s="558"/>
      <c r="DGM169" s="558"/>
      <c r="DGN169" s="558"/>
      <c r="DGO169" s="558"/>
      <c r="DGP169" s="558"/>
      <c r="DGQ169" s="558"/>
      <c r="DGR169" s="558"/>
      <c r="DGS169" s="558"/>
      <c r="DGT169" s="558"/>
      <c r="DGU169" s="558"/>
      <c r="DGV169" s="558"/>
      <c r="DGW169" s="558"/>
      <c r="DGX169" s="558"/>
      <c r="DGY169" s="558"/>
      <c r="DGZ169" s="558"/>
      <c r="DHA169" s="558"/>
      <c r="DHB169" s="558"/>
      <c r="DHC169" s="558"/>
      <c r="DHD169" s="558"/>
      <c r="DHE169" s="558"/>
      <c r="DHF169" s="558"/>
      <c r="DHG169" s="558"/>
      <c r="DHH169" s="558"/>
      <c r="DHI169" s="558"/>
      <c r="DHJ169" s="558"/>
      <c r="DHK169" s="558"/>
      <c r="DHL169" s="558"/>
      <c r="DHM169" s="558"/>
      <c r="DHN169" s="558"/>
      <c r="DHO169" s="558"/>
      <c r="DHP169" s="558"/>
      <c r="DHQ169" s="558"/>
      <c r="DHR169" s="558"/>
      <c r="DHS169" s="558"/>
      <c r="DHT169" s="558"/>
      <c r="DHU169" s="558"/>
      <c r="DHV169" s="558"/>
      <c r="DHW169" s="558"/>
      <c r="DHX169" s="558"/>
      <c r="DHY169" s="558"/>
      <c r="DHZ169" s="558"/>
      <c r="DIA169" s="558"/>
      <c r="DIB169" s="558"/>
      <c r="DIC169" s="558"/>
      <c r="DID169" s="558"/>
      <c r="DIE169" s="558"/>
      <c r="DIF169" s="558"/>
      <c r="DIG169" s="558"/>
      <c r="DIH169" s="558"/>
      <c r="DII169" s="558"/>
      <c r="DIJ169" s="558"/>
      <c r="DIK169" s="558"/>
      <c r="DIL169" s="558"/>
      <c r="DIM169" s="558"/>
      <c r="DIN169" s="558"/>
      <c r="DIO169" s="558"/>
      <c r="DIP169" s="558"/>
      <c r="DIQ169" s="558"/>
      <c r="DIR169" s="558"/>
      <c r="DIS169" s="558"/>
      <c r="DIT169" s="558"/>
      <c r="DIU169" s="558"/>
      <c r="DIV169" s="558"/>
      <c r="DIW169" s="558"/>
      <c r="DIX169" s="558"/>
      <c r="DIY169" s="558"/>
      <c r="DIZ169" s="558"/>
      <c r="DJA169" s="558"/>
      <c r="DJB169" s="558"/>
      <c r="DJC169" s="558"/>
      <c r="DJD169" s="558"/>
      <c r="DJE169" s="558"/>
      <c r="DJF169" s="558"/>
      <c r="DJG169" s="558"/>
      <c r="DJH169" s="558"/>
      <c r="DJI169" s="558"/>
      <c r="DJJ169" s="558"/>
      <c r="DJK169" s="558"/>
      <c r="DJL169" s="558"/>
      <c r="DJM169" s="558"/>
      <c r="DJN169" s="558"/>
      <c r="DJO169" s="558"/>
      <c r="DJP169" s="558"/>
      <c r="DJQ169" s="558"/>
      <c r="DJR169" s="558"/>
      <c r="DJS169" s="558"/>
      <c r="DJT169" s="558"/>
      <c r="DJU169" s="558"/>
      <c r="DJV169" s="558"/>
      <c r="DJW169" s="558"/>
      <c r="DJX169" s="558"/>
      <c r="DJY169" s="558"/>
      <c r="DJZ169" s="558"/>
      <c r="DKA169" s="558"/>
      <c r="DKB169" s="558"/>
      <c r="DKC169" s="558"/>
      <c r="DKD169" s="558"/>
      <c r="DKE169" s="558"/>
      <c r="DKF169" s="558"/>
      <c r="DKG169" s="558"/>
      <c r="DKH169" s="558"/>
      <c r="DKI169" s="558"/>
      <c r="DKJ169" s="558"/>
      <c r="DKK169" s="558"/>
      <c r="DKL169" s="558"/>
      <c r="DKM169" s="558"/>
      <c r="DKN169" s="558"/>
      <c r="DKO169" s="558"/>
      <c r="DKP169" s="558"/>
      <c r="DKQ169" s="558"/>
      <c r="DKR169" s="558"/>
      <c r="DKS169" s="558"/>
      <c r="DKT169" s="558"/>
      <c r="DKU169" s="558"/>
      <c r="DKV169" s="558"/>
      <c r="DKW169" s="558"/>
      <c r="DKX169" s="558"/>
      <c r="DKY169" s="558"/>
      <c r="DKZ169" s="558"/>
      <c r="DLA169" s="558"/>
      <c r="DLB169" s="558"/>
      <c r="DLC169" s="558"/>
      <c r="DLD169" s="558"/>
      <c r="DLE169" s="558"/>
      <c r="DLF169" s="558"/>
      <c r="DLG169" s="558"/>
      <c r="DLH169" s="558"/>
      <c r="DLI169" s="558"/>
      <c r="DLJ169" s="558"/>
      <c r="DLK169" s="558"/>
      <c r="DLL169" s="558"/>
      <c r="DLM169" s="558"/>
      <c r="DLN169" s="558"/>
      <c r="DLO169" s="558"/>
      <c r="DLP169" s="558"/>
      <c r="DLQ169" s="558"/>
      <c r="DLR169" s="558"/>
      <c r="DLS169" s="558"/>
      <c r="DLT169" s="558"/>
      <c r="DLU169" s="558"/>
      <c r="DLV169" s="558"/>
      <c r="DLW169" s="558"/>
      <c r="DLX169" s="558"/>
      <c r="DLY169" s="558"/>
      <c r="DLZ169" s="558"/>
      <c r="DMA169" s="558"/>
      <c r="DMB169" s="558"/>
      <c r="DMC169" s="558"/>
      <c r="DMD169" s="558"/>
      <c r="DME169" s="558"/>
      <c r="DMF169" s="558"/>
      <c r="DMG169" s="558"/>
      <c r="DMH169" s="558"/>
      <c r="DMI169" s="558"/>
      <c r="DMJ169" s="558"/>
      <c r="DMK169" s="558"/>
      <c r="DML169" s="558"/>
      <c r="DMM169" s="558"/>
      <c r="DMN169" s="558"/>
      <c r="DMO169" s="558"/>
      <c r="DMP169" s="558"/>
      <c r="DMQ169" s="558"/>
      <c r="DMR169" s="558"/>
      <c r="DMS169" s="558"/>
      <c r="DMT169" s="558"/>
      <c r="DMU169" s="558"/>
      <c r="DMV169" s="558"/>
      <c r="DMW169" s="558"/>
      <c r="DMX169" s="558"/>
      <c r="DMY169" s="558"/>
      <c r="DMZ169" s="558"/>
      <c r="DNA169" s="558"/>
      <c r="DNB169" s="558"/>
      <c r="DNC169" s="558"/>
      <c r="DND169" s="558"/>
      <c r="DNE169" s="558"/>
      <c r="DNF169" s="558"/>
      <c r="DNG169" s="558"/>
      <c r="DNH169" s="558"/>
      <c r="DNI169" s="558"/>
      <c r="DNJ169" s="558"/>
      <c r="DNK169" s="558"/>
      <c r="DNL169" s="558"/>
      <c r="DNM169" s="558"/>
      <c r="DNN169" s="558"/>
      <c r="DNO169" s="558"/>
      <c r="DNP169" s="558"/>
      <c r="DNQ169" s="558"/>
      <c r="DNR169" s="558"/>
      <c r="DNS169" s="558"/>
      <c r="DNT169" s="558"/>
      <c r="DNU169" s="558"/>
      <c r="DNV169" s="558"/>
      <c r="DNW169" s="558"/>
      <c r="DNX169" s="558"/>
      <c r="DNY169" s="558"/>
      <c r="DNZ169" s="558"/>
      <c r="DOA169" s="558"/>
      <c r="DOB169" s="558"/>
      <c r="DOC169" s="558"/>
      <c r="DOD169" s="558"/>
      <c r="DOE169" s="558"/>
      <c r="DOF169" s="558"/>
      <c r="DOG169" s="558"/>
      <c r="DOH169" s="558"/>
      <c r="DOI169" s="558"/>
      <c r="DOJ169" s="558"/>
      <c r="DOK169" s="558"/>
      <c r="DOL169" s="558"/>
      <c r="DOM169" s="558"/>
      <c r="DON169" s="558"/>
      <c r="DOO169" s="558"/>
      <c r="DOP169" s="558"/>
      <c r="DOQ169" s="558"/>
      <c r="DOR169" s="558"/>
      <c r="DOS169" s="558"/>
      <c r="DOT169" s="558"/>
      <c r="DOU169" s="558"/>
      <c r="DOV169" s="558"/>
      <c r="DOW169" s="558"/>
      <c r="DOX169" s="558"/>
      <c r="DOY169" s="558"/>
      <c r="DOZ169" s="558"/>
      <c r="DPA169" s="558"/>
      <c r="DPB169" s="558"/>
      <c r="DPC169" s="558"/>
      <c r="DPD169" s="558"/>
      <c r="DPE169" s="558"/>
      <c r="DPF169" s="558"/>
      <c r="DPG169" s="558"/>
      <c r="DPH169" s="558"/>
      <c r="DPI169" s="558"/>
      <c r="DPJ169" s="558"/>
      <c r="DPK169" s="558"/>
      <c r="DPL169" s="558"/>
      <c r="DPM169" s="558"/>
      <c r="DPN169" s="558"/>
      <c r="DPO169" s="558"/>
      <c r="DPP169" s="558"/>
      <c r="DPQ169" s="558"/>
      <c r="DPR169" s="558"/>
      <c r="DPS169" s="558"/>
      <c r="DPT169" s="558"/>
      <c r="DPU169" s="558"/>
      <c r="DPV169" s="558"/>
      <c r="DPW169" s="558"/>
      <c r="DPX169" s="558"/>
      <c r="DPY169" s="558"/>
      <c r="DPZ169" s="558"/>
      <c r="DQA169" s="558"/>
      <c r="DQB169" s="558"/>
      <c r="DQC169" s="558"/>
      <c r="DQD169" s="558"/>
      <c r="DQE169" s="558"/>
      <c r="DQF169" s="558"/>
      <c r="DQG169" s="558"/>
      <c r="DQH169" s="558"/>
      <c r="DQI169" s="558"/>
      <c r="DQJ169" s="558"/>
      <c r="DQK169" s="558"/>
      <c r="DQL169" s="558"/>
      <c r="DQM169" s="558"/>
      <c r="DQN169" s="558"/>
      <c r="DQO169" s="558"/>
      <c r="DQP169" s="558"/>
      <c r="DQQ169" s="558"/>
      <c r="DQR169" s="558"/>
      <c r="DQS169" s="558"/>
      <c r="DQT169" s="558"/>
      <c r="DQU169" s="558"/>
      <c r="DQV169" s="558"/>
      <c r="DQW169" s="558"/>
      <c r="DQX169" s="558"/>
      <c r="DQY169" s="558"/>
      <c r="DQZ169" s="558"/>
      <c r="DRA169" s="558"/>
      <c r="DRB169" s="558"/>
      <c r="DRC169" s="558"/>
      <c r="DRD169" s="558"/>
      <c r="DRE169" s="558"/>
      <c r="DRF169" s="558"/>
      <c r="DRG169" s="558"/>
      <c r="DRH169" s="558"/>
      <c r="DRI169" s="558"/>
      <c r="DRJ169" s="558"/>
      <c r="DRK169" s="558"/>
      <c r="DRL169" s="558"/>
      <c r="DRM169" s="558"/>
      <c r="DRN169" s="558"/>
      <c r="DRO169" s="558"/>
      <c r="DRP169" s="558"/>
      <c r="DRQ169" s="558"/>
      <c r="DRR169" s="558"/>
      <c r="DRS169" s="558"/>
      <c r="DRT169" s="558"/>
      <c r="DRU169" s="558"/>
      <c r="DRV169" s="558"/>
      <c r="DRW169" s="558"/>
      <c r="DRX169" s="558"/>
      <c r="DRY169" s="558"/>
      <c r="DRZ169" s="558"/>
      <c r="DSA169" s="558"/>
      <c r="DSB169" s="558"/>
      <c r="DSC169" s="558"/>
      <c r="DSD169" s="558"/>
      <c r="DSE169" s="558"/>
      <c r="DSF169" s="558"/>
      <c r="DSG169" s="558"/>
      <c r="DSH169" s="558"/>
      <c r="DSI169" s="558"/>
      <c r="DSJ169" s="558"/>
      <c r="DSK169" s="558"/>
      <c r="DSL169" s="558"/>
      <c r="DSM169" s="558"/>
      <c r="DSN169" s="558"/>
      <c r="DSO169" s="558"/>
      <c r="DSP169" s="558"/>
      <c r="DSQ169" s="558"/>
      <c r="DSR169" s="558"/>
      <c r="DSS169" s="558"/>
      <c r="DST169" s="558"/>
      <c r="DSU169" s="558"/>
      <c r="DSV169" s="558"/>
      <c r="DSW169" s="558"/>
      <c r="DSX169" s="558"/>
      <c r="DSY169" s="558"/>
      <c r="DSZ169" s="558"/>
      <c r="DTA169" s="558"/>
      <c r="DTB169" s="558"/>
      <c r="DTC169" s="558"/>
      <c r="DTD169" s="558"/>
      <c r="DTE169" s="558"/>
      <c r="DTF169" s="558"/>
      <c r="DTG169" s="558"/>
      <c r="DTH169" s="558"/>
      <c r="DTI169" s="558"/>
      <c r="DTJ169" s="558"/>
      <c r="DTK169" s="558"/>
      <c r="DTL169" s="558"/>
      <c r="DTM169" s="558"/>
      <c r="DTN169" s="558"/>
      <c r="DTO169" s="558"/>
      <c r="DTP169" s="558"/>
      <c r="DTQ169" s="558"/>
      <c r="DTR169" s="558"/>
      <c r="DTS169" s="558"/>
      <c r="DTT169" s="558"/>
      <c r="DTU169" s="558"/>
      <c r="DTV169" s="558"/>
      <c r="DTW169" s="558"/>
      <c r="DTX169" s="558"/>
      <c r="DTY169" s="558"/>
      <c r="DTZ169" s="558"/>
      <c r="DUA169" s="558"/>
      <c r="DUB169" s="558"/>
      <c r="DUC169" s="558"/>
      <c r="DUD169" s="558"/>
      <c r="DUE169" s="558"/>
      <c r="DUF169" s="558"/>
      <c r="DUG169" s="558"/>
      <c r="DUH169" s="558"/>
      <c r="DUI169" s="558"/>
      <c r="DUJ169" s="558"/>
      <c r="DUK169" s="558"/>
      <c r="DUL169" s="558"/>
      <c r="DUM169" s="558"/>
      <c r="DUN169" s="558"/>
      <c r="DUO169" s="558"/>
      <c r="DUP169" s="558"/>
      <c r="DUQ169" s="558"/>
      <c r="DUR169" s="558"/>
      <c r="DUS169" s="558"/>
      <c r="DUT169" s="558"/>
      <c r="DUU169" s="558"/>
      <c r="DUV169" s="558"/>
      <c r="DUW169" s="558"/>
      <c r="DUX169" s="558"/>
      <c r="DUY169" s="558"/>
      <c r="DUZ169" s="558"/>
      <c r="DVA169" s="558"/>
      <c r="DVB169" s="558"/>
      <c r="DVC169" s="558"/>
      <c r="DVD169" s="558"/>
      <c r="DVE169" s="558"/>
      <c r="DVF169" s="558"/>
      <c r="DVG169" s="558"/>
      <c r="DVH169" s="558"/>
      <c r="DVI169" s="558"/>
      <c r="DVJ169" s="558"/>
      <c r="DVK169" s="558"/>
      <c r="DVL169" s="558"/>
      <c r="DVM169" s="558"/>
      <c r="DVN169" s="558"/>
      <c r="DVO169" s="558"/>
      <c r="DVP169" s="558"/>
      <c r="DVQ169" s="558"/>
      <c r="DVR169" s="558"/>
      <c r="DVS169" s="558"/>
      <c r="DVT169" s="558"/>
      <c r="DVU169" s="558"/>
      <c r="DVV169" s="558"/>
      <c r="DVW169" s="558"/>
      <c r="DVX169" s="558"/>
      <c r="DVY169" s="558"/>
      <c r="DVZ169" s="558"/>
      <c r="DWA169" s="558"/>
      <c r="DWB169" s="558"/>
      <c r="DWC169" s="558"/>
      <c r="DWD169" s="558"/>
      <c r="DWE169" s="558"/>
      <c r="DWF169" s="558"/>
      <c r="DWG169" s="558"/>
      <c r="DWH169" s="558"/>
      <c r="DWI169" s="558"/>
      <c r="DWJ169" s="558"/>
      <c r="DWK169" s="558"/>
      <c r="DWL169" s="558"/>
      <c r="DWM169" s="558"/>
      <c r="DWN169" s="558"/>
      <c r="DWO169" s="558"/>
      <c r="DWP169" s="558"/>
      <c r="DWQ169" s="558"/>
      <c r="DWR169" s="558"/>
      <c r="DWS169" s="558"/>
      <c r="DWT169" s="558"/>
      <c r="DWU169" s="558"/>
      <c r="DWV169" s="558"/>
      <c r="DWW169" s="558"/>
      <c r="DWX169" s="558"/>
      <c r="DWY169" s="558"/>
      <c r="DWZ169" s="558"/>
      <c r="DXA169" s="558"/>
      <c r="DXB169" s="558"/>
      <c r="DXC169" s="558"/>
      <c r="DXD169" s="558"/>
      <c r="DXE169" s="558"/>
      <c r="DXF169" s="558"/>
      <c r="DXG169" s="558"/>
      <c r="DXH169" s="558"/>
      <c r="DXI169" s="558"/>
      <c r="DXJ169" s="558"/>
      <c r="DXK169" s="558"/>
      <c r="DXL169" s="558"/>
      <c r="DXM169" s="558"/>
      <c r="DXN169" s="558"/>
      <c r="DXO169" s="558"/>
      <c r="DXP169" s="558"/>
      <c r="DXQ169" s="558"/>
      <c r="DXR169" s="558"/>
      <c r="DXS169" s="558"/>
      <c r="DXT169" s="558"/>
      <c r="DXU169" s="558"/>
      <c r="DXV169" s="558"/>
      <c r="DXW169" s="558"/>
      <c r="DXX169" s="558"/>
      <c r="DXY169" s="558"/>
      <c r="DXZ169" s="558"/>
      <c r="DYA169" s="558"/>
      <c r="DYB169" s="558"/>
      <c r="DYC169" s="558"/>
      <c r="DYD169" s="558"/>
      <c r="DYE169" s="558"/>
      <c r="DYF169" s="558"/>
      <c r="DYG169" s="558"/>
      <c r="DYH169" s="558"/>
      <c r="DYI169" s="558"/>
      <c r="DYJ169" s="558"/>
      <c r="DYK169" s="558"/>
      <c r="DYL169" s="558"/>
      <c r="DYM169" s="558"/>
      <c r="DYN169" s="558"/>
      <c r="DYO169" s="558"/>
      <c r="DYP169" s="558"/>
      <c r="DYQ169" s="558"/>
      <c r="DYR169" s="558"/>
      <c r="DYS169" s="558"/>
      <c r="DYT169" s="558"/>
      <c r="DYU169" s="558"/>
      <c r="DYV169" s="558"/>
      <c r="DYW169" s="558"/>
      <c r="DYX169" s="558"/>
      <c r="DYY169" s="558"/>
      <c r="DYZ169" s="558"/>
      <c r="DZA169" s="558"/>
      <c r="DZB169" s="558"/>
      <c r="DZC169" s="558"/>
      <c r="DZD169" s="558"/>
      <c r="DZE169" s="558"/>
      <c r="DZF169" s="558"/>
      <c r="DZG169" s="558"/>
      <c r="DZH169" s="558"/>
      <c r="DZI169" s="558"/>
      <c r="DZJ169" s="558"/>
      <c r="DZK169" s="558"/>
      <c r="DZL169" s="558"/>
      <c r="DZM169" s="558"/>
      <c r="DZN169" s="558"/>
      <c r="DZO169" s="558"/>
      <c r="DZP169" s="558"/>
      <c r="DZQ169" s="558"/>
      <c r="DZR169" s="558"/>
      <c r="DZS169" s="558"/>
      <c r="DZT169" s="558"/>
      <c r="DZU169" s="558"/>
      <c r="DZV169" s="558"/>
      <c r="DZW169" s="558"/>
      <c r="DZX169" s="558"/>
      <c r="DZY169" s="558"/>
      <c r="DZZ169" s="558"/>
      <c r="EAA169" s="558"/>
      <c r="EAB169" s="558"/>
      <c r="EAC169" s="558"/>
      <c r="EAD169" s="558"/>
      <c r="EAE169" s="558"/>
      <c r="EAF169" s="558"/>
      <c r="EAG169" s="558"/>
      <c r="EAH169" s="558"/>
      <c r="EAI169" s="558"/>
      <c r="EAJ169" s="558"/>
      <c r="EAK169" s="558"/>
      <c r="EAL169" s="558"/>
      <c r="EAM169" s="558"/>
      <c r="EAN169" s="558"/>
      <c r="EAO169" s="558"/>
      <c r="EAP169" s="558"/>
      <c r="EAQ169" s="558"/>
      <c r="EAR169" s="558"/>
      <c r="EAS169" s="558"/>
      <c r="EAT169" s="558"/>
      <c r="EAU169" s="558"/>
      <c r="EAV169" s="558"/>
      <c r="EAW169" s="558"/>
      <c r="EAX169" s="558"/>
      <c r="EAY169" s="558"/>
      <c r="EAZ169" s="558"/>
      <c r="EBA169" s="558"/>
      <c r="EBB169" s="558"/>
      <c r="EBC169" s="558"/>
      <c r="EBD169" s="558"/>
      <c r="EBE169" s="558"/>
      <c r="EBF169" s="558"/>
      <c r="EBG169" s="558"/>
      <c r="EBH169" s="558"/>
      <c r="EBI169" s="558"/>
      <c r="EBJ169" s="558"/>
      <c r="EBK169" s="558"/>
      <c r="EBL169" s="558"/>
      <c r="EBM169" s="558"/>
      <c r="EBN169" s="558"/>
      <c r="EBO169" s="558"/>
      <c r="EBP169" s="558"/>
      <c r="EBQ169" s="558"/>
      <c r="EBR169" s="558"/>
      <c r="EBS169" s="558"/>
      <c r="EBT169" s="558"/>
      <c r="EBU169" s="558"/>
      <c r="EBV169" s="558"/>
      <c r="EBW169" s="558"/>
      <c r="EBX169" s="558"/>
      <c r="EBY169" s="558"/>
      <c r="EBZ169" s="558"/>
      <c r="ECA169" s="558"/>
      <c r="ECB169" s="558"/>
      <c r="ECC169" s="558"/>
      <c r="ECD169" s="558"/>
      <c r="ECE169" s="558"/>
      <c r="ECF169" s="558"/>
      <c r="ECG169" s="558"/>
      <c r="ECH169" s="558"/>
      <c r="ECI169" s="558"/>
      <c r="ECJ169" s="558"/>
      <c r="ECK169" s="558"/>
      <c r="ECL169" s="558"/>
      <c r="ECM169" s="558"/>
      <c r="ECN169" s="558"/>
      <c r="ECO169" s="558"/>
      <c r="ECP169" s="558"/>
      <c r="ECQ169" s="558"/>
      <c r="ECR169" s="558"/>
      <c r="ECS169" s="558"/>
      <c r="ECT169" s="558"/>
      <c r="ECU169" s="558"/>
      <c r="ECV169" s="558"/>
      <c r="ECW169" s="558"/>
      <c r="ECX169" s="558"/>
      <c r="ECY169" s="558"/>
      <c r="ECZ169" s="558"/>
      <c r="EDA169" s="558"/>
      <c r="EDB169" s="558"/>
      <c r="EDC169" s="558"/>
      <c r="EDD169" s="558"/>
      <c r="EDE169" s="558"/>
      <c r="EDF169" s="558"/>
      <c r="EDG169" s="558"/>
      <c r="EDH169" s="558"/>
      <c r="EDI169" s="558"/>
      <c r="EDJ169" s="558"/>
      <c r="EDK169" s="558"/>
      <c r="EDL169" s="558"/>
      <c r="EDM169" s="558"/>
      <c r="EDN169" s="558"/>
      <c r="EDO169" s="558"/>
      <c r="EDP169" s="558"/>
      <c r="EDQ169" s="558"/>
      <c r="EDR169" s="558"/>
      <c r="EDS169" s="558"/>
      <c r="EDT169" s="558"/>
      <c r="EDU169" s="558"/>
      <c r="EDV169" s="558"/>
      <c r="EDW169" s="558"/>
      <c r="EDX169" s="558"/>
      <c r="EDY169" s="558"/>
      <c r="EDZ169" s="558"/>
      <c r="EEA169" s="558"/>
      <c r="EEB169" s="558"/>
      <c r="EEC169" s="558"/>
      <c r="EED169" s="558"/>
      <c r="EEE169" s="558"/>
      <c r="EEF169" s="558"/>
      <c r="EEG169" s="558"/>
      <c r="EEH169" s="558"/>
      <c r="EEI169" s="558"/>
      <c r="EEJ169" s="558"/>
      <c r="EEK169" s="558"/>
      <c r="EEL169" s="558"/>
      <c r="EEM169" s="558"/>
      <c r="EEN169" s="558"/>
      <c r="EEO169" s="558"/>
      <c r="EEP169" s="558"/>
      <c r="EEQ169" s="558"/>
      <c r="EER169" s="558"/>
      <c r="EES169" s="558"/>
      <c r="EET169" s="558"/>
      <c r="EEU169" s="558"/>
      <c r="EEV169" s="558"/>
      <c r="EEW169" s="558"/>
      <c r="EEX169" s="558"/>
      <c r="EEY169" s="558"/>
      <c r="EEZ169" s="558"/>
      <c r="EFA169" s="558"/>
      <c r="EFB169" s="558"/>
      <c r="EFC169" s="558"/>
      <c r="EFD169" s="558"/>
      <c r="EFE169" s="558"/>
      <c r="EFF169" s="558"/>
      <c r="EFG169" s="558"/>
      <c r="EFH169" s="558"/>
      <c r="EFI169" s="558"/>
      <c r="EFJ169" s="558"/>
      <c r="EFK169" s="558"/>
      <c r="EFL169" s="558"/>
      <c r="EFM169" s="558"/>
      <c r="EFN169" s="558"/>
      <c r="EFO169" s="558"/>
      <c r="EFP169" s="558"/>
      <c r="EFQ169" s="558"/>
      <c r="EFR169" s="558"/>
      <c r="EFS169" s="558"/>
      <c r="EFT169" s="558"/>
      <c r="EFU169" s="558"/>
      <c r="EFV169" s="558"/>
      <c r="EFW169" s="558"/>
      <c r="EFX169" s="558"/>
      <c r="EFY169" s="558"/>
      <c r="EFZ169" s="558"/>
      <c r="EGA169" s="558"/>
      <c r="EGB169" s="558"/>
      <c r="EGC169" s="558"/>
      <c r="EGD169" s="558"/>
      <c r="EGE169" s="558"/>
      <c r="EGF169" s="558"/>
      <c r="EGG169" s="558"/>
      <c r="EGH169" s="558"/>
      <c r="EGI169" s="558"/>
      <c r="EGJ169" s="558"/>
      <c r="EGK169" s="558"/>
      <c r="EGL169" s="558"/>
      <c r="EGM169" s="558"/>
      <c r="EGN169" s="558"/>
      <c r="EGO169" s="558"/>
      <c r="EGP169" s="558"/>
      <c r="EGQ169" s="558"/>
      <c r="EGR169" s="558"/>
      <c r="EGS169" s="558"/>
      <c r="EGT169" s="558"/>
      <c r="EGU169" s="558"/>
      <c r="EGV169" s="558"/>
      <c r="EGW169" s="558"/>
      <c r="EGX169" s="558"/>
      <c r="EGY169" s="558"/>
      <c r="EGZ169" s="558"/>
      <c r="EHA169" s="558"/>
      <c r="EHB169" s="558"/>
      <c r="EHC169" s="558"/>
      <c r="EHD169" s="558"/>
      <c r="EHE169" s="558"/>
      <c r="EHF169" s="558"/>
      <c r="EHG169" s="558"/>
      <c r="EHH169" s="558"/>
      <c r="EHI169" s="558"/>
      <c r="EHJ169" s="558"/>
      <c r="EHK169" s="558"/>
      <c r="EHL169" s="558"/>
      <c r="EHM169" s="558"/>
      <c r="EHN169" s="558"/>
      <c r="EHO169" s="558"/>
      <c r="EHP169" s="558"/>
      <c r="EHQ169" s="558"/>
      <c r="EHR169" s="558"/>
      <c r="EHS169" s="558"/>
      <c r="EHT169" s="558"/>
      <c r="EHU169" s="558"/>
      <c r="EHV169" s="558"/>
      <c r="EHW169" s="558"/>
      <c r="EHX169" s="558"/>
      <c r="EHY169" s="558"/>
      <c r="EHZ169" s="558"/>
      <c r="EIA169" s="558"/>
      <c r="EIB169" s="558"/>
      <c r="EIC169" s="558"/>
      <c r="EID169" s="558"/>
      <c r="EIE169" s="558"/>
      <c r="EIF169" s="558"/>
      <c r="EIG169" s="558"/>
      <c r="EIH169" s="558"/>
      <c r="EII169" s="558"/>
      <c r="EIJ169" s="558"/>
      <c r="EIK169" s="558"/>
      <c r="EIL169" s="558"/>
      <c r="EIM169" s="558"/>
      <c r="EIN169" s="558"/>
      <c r="EIO169" s="558"/>
      <c r="EIP169" s="558"/>
      <c r="EIQ169" s="558"/>
      <c r="EIR169" s="558"/>
      <c r="EIS169" s="558"/>
      <c r="EIT169" s="558"/>
      <c r="EIU169" s="558"/>
      <c r="EIV169" s="558"/>
      <c r="EIW169" s="558"/>
      <c r="EIX169" s="558"/>
      <c r="EIY169" s="558"/>
      <c r="EIZ169" s="558"/>
      <c r="EJA169" s="558"/>
      <c r="EJB169" s="558"/>
      <c r="EJC169" s="558"/>
      <c r="EJD169" s="558"/>
      <c r="EJE169" s="558"/>
      <c r="EJF169" s="558"/>
      <c r="EJG169" s="558"/>
      <c r="EJH169" s="558"/>
      <c r="EJI169" s="558"/>
      <c r="EJJ169" s="558"/>
      <c r="EJK169" s="558"/>
      <c r="EJL169" s="558"/>
      <c r="EJM169" s="558"/>
      <c r="EJN169" s="558"/>
      <c r="EJO169" s="558"/>
      <c r="EJP169" s="558"/>
      <c r="EJQ169" s="558"/>
      <c r="EJR169" s="558"/>
      <c r="EJS169" s="558"/>
      <c r="EJT169" s="558"/>
      <c r="EJU169" s="558"/>
      <c r="EJV169" s="558"/>
      <c r="EJW169" s="558"/>
      <c r="EJX169" s="558"/>
      <c r="EJY169" s="558"/>
      <c r="EJZ169" s="558"/>
      <c r="EKA169" s="558"/>
      <c r="EKB169" s="558"/>
      <c r="EKC169" s="558"/>
      <c r="EKD169" s="558"/>
      <c r="EKE169" s="558"/>
      <c r="EKF169" s="558"/>
      <c r="EKG169" s="558"/>
      <c r="EKH169" s="558"/>
      <c r="EKI169" s="558"/>
      <c r="EKJ169" s="558"/>
      <c r="EKK169" s="558"/>
      <c r="EKL169" s="558"/>
      <c r="EKM169" s="558"/>
      <c r="EKN169" s="558"/>
      <c r="EKO169" s="558"/>
      <c r="EKP169" s="558"/>
      <c r="EKQ169" s="558"/>
      <c r="EKR169" s="558"/>
      <c r="EKS169" s="558"/>
      <c r="EKT169" s="558"/>
      <c r="EKU169" s="558"/>
      <c r="EKV169" s="558"/>
      <c r="EKW169" s="558"/>
      <c r="EKX169" s="558"/>
      <c r="EKY169" s="558"/>
      <c r="EKZ169" s="558"/>
      <c r="ELA169" s="558"/>
      <c r="ELB169" s="558"/>
      <c r="ELC169" s="558"/>
      <c r="ELD169" s="558"/>
      <c r="ELE169" s="558"/>
      <c r="ELF169" s="558"/>
      <c r="ELG169" s="558"/>
      <c r="ELH169" s="558"/>
      <c r="ELI169" s="558"/>
      <c r="ELJ169" s="558"/>
      <c r="ELK169" s="558"/>
      <c r="ELL169" s="558"/>
      <c r="ELM169" s="558"/>
      <c r="ELN169" s="558"/>
      <c r="ELO169" s="558"/>
      <c r="ELP169" s="558"/>
      <c r="ELQ169" s="558"/>
      <c r="ELR169" s="558"/>
      <c r="ELS169" s="558"/>
      <c r="ELT169" s="558"/>
      <c r="ELU169" s="558"/>
      <c r="ELV169" s="558"/>
      <c r="ELW169" s="558"/>
      <c r="ELX169" s="558"/>
      <c r="ELY169" s="558"/>
      <c r="ELZ169" s="558"/>
      <c r="EMA169" s="558"/>
      <c r="EMB169" s="558"/>
      <c r="EMC169" s="558"/>
      <c r="EMD169" s="558"/>
      <c r="EME169" s="558"/>
      <c r="EMF169" s="558"/>
      <c r="EMG169" s="558"/>
      <c r="EMH169" s="558"/>
      <c r="EMI169" s="558"/>
      <c r="EMJ169" s="558"/>
      <c r="EMK169" s="558"/>
      <c r="EML169" s="558"/>
      <c r="EMM169" s="558"/>
      <c r="EMN169" s="558"/>
      <c r="EMO169" s="558"/>
      <c r="EMP169" s="558"/>
      <c r="EMQ169" s="558"/>
      <c r="EMR169" s="558"/>
      <c r="EMS169" s="558"/>
      <c r="EMT169" s="558"/>
      <c r="EMU169" s="558"/>
      <c r="EMV169" s="558"/>
      <c r="EMW169" s="558"/>
      <c r="EMX169" s="558"/>
      <c r="EMY169" s="558"/>
      <c r="EMZ169" s="558"/>
      <c r="ENA169" s="558"/>
      <c r="ENB169" s="558"/>
      <c r="ENC169" s="558"/>
      <c r="END169" s="558"/>
      <c r="ENE169" s="558"/>
      <c r="ENF169" s="558"/>
      <c r="ENG169" s="558"/>
      <c r="ENH169" s="558"/>
      <c r="ENI169" s="558"/>
      <c r="ENJ169" s="558"/>
      <c r="ENK169" s="558"/>
      <c r="ENL169" s="558"/>
      <c r="ENM169" s="558"/>
      <c r="ENN169" s="558"/>
      <c r="ENO169" s="558"/>
      <c r="ENP169" s="558"/>
      <c r="ENQ169" s="558"/>
      <c r="ENR169" s="558"/>
      <c r="ENS169" s="558"/>
      <c r="ENT169" s="558"/>
      <c r="ENU169" s="558"/>
      <c r="ENV169" s="558"/>
      <c r="ENW169" s="558"/>
      <c r="ENX169" s="558"/>
      <c r="ENY169" s="558"/>
      <c r="ENZ169" s="558"/>
      <c r="EOA169" s="558"/>
      <c r="EOB169" s="558"/>
      <c r="EOC169" s="558"/>
      <c r="EOD169" s="558"/>
      <c r="EOE169" s="558"/>
      <c r="EOF169" s="558"/>
      <c r="EOG169" s="558"/>
      <c r="EOH169" s="558"/>
      <c r="EOI169" s="558"/>
      <c r="EOJ169" s="558"/>
      <c r="EOK169" s="558"/>
      <c r="EOL169" s="558"/>
      <c r="EOM169" s="558"/>
      <c r="EON169" s="558"/>
      <c r="EOO169" s="558"/>
      <c r="EOP169" s="558"/>
      <c r="EOQ169" s="558"/>
      <c r="EOR169" s="558"/>
      <c r="EOS169" s="558"/>
      <c r="EOT169" s="558"/>
      <c r="EOU169" s="558"/>
      <c r="EOV169" s="558"/>
      <c r="EOW169" s="558"/>
      <c r="EOX169" s="558"/>
      <c r="EOY169" s="558"/>
      <c r="EOZ169" s="558"/>
      <c r="EPA169" s="558"/>
      <c r="EPB169" s="558"/>
      <c r="EPC169" s="558"/>
      <c r="EPD169" s="558"/>
      <c r="EPE169" s="558"/>
      <c r="EPF169" s="558"/>
      <c r="EPG169" s="558"/>
      <c r="EPH169" s="558"/>
      <c r="EPI169" s="558"/>
      <c r="EPJ169" s="558"/>
      <c r="EPK169" s="558"/>
      <c r="EPL169" s="558"/>
      <c r="EPM169" s="558"/>
      <c r="EPN169" s="558"/>
      <c r="EPO169" s="558"/>
      <c r="EPP169" s="558"/>
      <c r="EPQ169" s="558"/>
      <c r="EPR169" s="558"/>
      <c r="EPS169" s="558"/>
      <c r="EPT169" s="558"/>
      <c r="EPU169" s="558"/>
      <c r="EPV169" s="558"/>
      <c r="EPW169" s="558"/>
      <c r="EPX169" s="558"/>
      <c r="EPY169" s="558"/>
      <c r="EPZ169" s="558"/>
      <c r="EQA169" s="558"/>
      <c r="EQB169" s="558"/>
      <c r="EQC169" s="558"/>
      <c r="EQD169" s="558"/>
      <c r="EQE169" s="558"/>
      <c r="EQF169" s="558"/>
      <c r="EQG169" s="558"/>
      <c r="EQH169" s="558"/>
      <c r="EQI169" s="558"/>
      <c r="EQJ169" s="558"/>
      <c r="EQK169" s="558"/>
      <c r="EQL169" s="558"/>
      <c r="EQM169" s="558"/>
      <c r="EQN169" s="558"/>
      <c r="EQO169" s="558"/>
      <c r="EQP169" s="558"/>
      <c r="EQQ169" s="558"/>
      <c r="EQR169" s="558"/>
      <c r="EQS169" s="558"/>
      <c r="EQT169" s="558"/>
      <c r="EQU169" s="558"/>
      <c r="EQV169" s="558"/>
      <c r="EQW169" s="558"/>
      <c r="EQX169" s="558"/>
      <c r="EQY169" s="558"/>
      <c r="EQZ169" s="558"/>
      <c r="ERA169" s="558"/>
      <c r="ERB169" s="558"/>
      <c r="ERC169" s="558"/>
      <c r="ERD169" s="558"/>
      <c r="ERE169" s="558"/>
      <c r="ERF169" s="558"/>
      <c r="ERG169" s="558"/>
      <c r="ERH169" s="558"/>
      <c r="ERI169" s="558"/>
      <c r="ERJ169" s="558"/>
      <c r="ERK169" s="558"/>
      <c r="ERL169" s="558"/>
      <c r="ERM169" s="558"/>
      <c r="ERN169" s="558"/>
      <c r="ERO169" s="558"/>
      <c r="ERP169" s="558"/>
      <c r="ERQ169" s="558"/>
      <c r="ERR169" s="558"/>
      <c r="ERS169" s="558"/>
      <c r="ERT169" s="558"/>
      <c r="ERU169" s="558"/>
      <c r="ERV169" s="558"/>
      <c r="ERW169" s="558"/>
      <c r="ERX169" s="558"/>
      <c r="ERY169" s="558"/>
      <c r="ERZ169" s="558"/>
      <c r="ESA169" s="558"/>
      <c r="ESB169" s="558"/>
      <c r="ESC169" s="558"/>
      <c r="ESD169" s="558"/>
      <c r="ESE169" s="558"/>
      <c r="ESF169" s="558"/>
      <c r="ESG169" s="558"/>
      <c r="ESH169" s="558"/>
      <c r="ESI169" s="558"/>
      <c r="ESJ169" s="558"/>
      <c r="ESK169" s="558"/>
      <c r="ESL169" s="558"/>
      <c r="ESM169" s="558"/>
      <c r="ESN169" s="558"/>
      <c r="ESO169" s="558"/>
      <c r="ESP169" s="558"/>
      <c r="ESQ169" s="558"/>
      <c r="ESR169" s="558"/>
      <c r="ESS169" s="558"/>
      <c r="EST169" s="558"/>
      <c r="ESU169" s="558"/>
      <c r="ESV169" s="558"/>
      <c r="ESW169" s="558"/>
      <c r="ESX169" s="558"/>
      <c r="ESY169" s="558"/>
      <c r="ESZ169" s="558"/>
      <c r="ETA169" s="558"/>
      <c r="ETB169" s="558"/>
      <c r="ETC169" s="558"/>
      <c r="ETD169" s="558"/>
      <c r="ETE169" s="558"/>
      <c r="ETF169" s="558"/>
      <c r="ETG169" s="558"/>
      <c r="ETH169" s="558"/>
      <c r="ETI169" s="558"/>
      <c r="ETJ169" s="558"/>
      <c r="ETK169" s="558"/>
      <c r="ETL169" s="558"/>
      <c r="ETM169" s="558"/>
      <c r="ETN169" s="558"/>
      <c r="ETO169" s="558"/>
      <c r="ETP169" s="558"/>
      <c r="ETQ169" s="558"/>
      <c r="ETR169" s="558"/>
      <c r="ETS169" s="558"/>
      <c r="ETT169" s="558"/>
      <c r="ETU169" s="558"/>
      <c r="ETV169" s="558"/>
      <c r="ETW169" s="558"/>
      <c r="ETX169" s="558"/>
      <c r="ETY169" s="558"/>
      <c r="ETZ169" s="558"/>
      <c r="EUA169" s="558"/>
      <c r="EUB169" s="558"/>
      <c r="EUC169" s="558"/>
      <c r="EUD169" s="558"/>
      <c r="EUE169" s="558"/>
      <c r="EUF169" s="558"/>
      <c r="EUG169" s="558"/>
      <c r="EUH169" s="558"/>
      <c r="EUI169" s="558"/>
      <c r="EUJ169" s="558"/>
      <c r="EUK169" s="558"/>
      <c r="EUL169" s="558"/>
      <c r="EUM169" s="558"/>
      <c r="EUN169" s="558"/>
      <c r="EUO169" s="558"/>
      <c r="EUP169" s="558"/>
      <c r="EUQ169" s="558"/>
      <c r="EUR169" s="558"/>
      <c r="EUS169" s="558"/>
      <c r="EUT169" s="558"/>
      <c r="EUU169" s="558"/>
      <c r="EUV169" s="558"/>
      <c r="EUW169" s="558"/>
      <c r="EUX169" s="558"/>
      <c r="EUY169" s="558"/>
      <c r="EUZ169" s="558"/>
      <c r="EVA169" s="558"/>
      <c r="EVB169" s="558"/>
      <c r="EVC169" s="558"/>
      <c r="EVD169" s="558"/>
      <c r="EVE169" s="558"/>
      <c r="EVF169" s="558"/>
      <c r="EVG169" s="558"/>
      <c r="EVH169" s="558"/>
      <c r="EVI169" s="558"/>
      <c r="EVJ169" s="558"/>
      <c r="EVK169" s="558"/>
      <c r="EVL169" s="558"/>
      <c r="EVM169" s="558"/>
      <c r="EVN169" s="558"/>
      <c r="EVO169" s="558"/>
      <c r="EVP169" s="558"/>
      <c r="EVQ169" s="558"/>
      <c r="EVR169" s="558"/>
      <c r="EVS169" s="558"/>
      <c r="EVT169" s="558"/>
      <c r="EVU169" s="558"/>
      <c r="EVV169" s="558"/>
      <c r="EVW169" s="558"/>
      <c r="EVX169" s="558"/>
      <c r="EVY169" s="558"/>
      <c r="EVZ169" s="558"/>
      <c r="EWA169" s="558"/>
      <c r="EWB169" s="558"/>
      <c r="EWC169" s="558"/>
      <c r="EWD169" s="558"/>
      <c r="EWE169" s="558"/>
      <c r="EWF169" s="558"/>
      <c r="EWG169" s="558"/>
      <c r="EWH169" s="558"/>
      <c r="EWI169" s="558"/>
      <c r="EWJ169" s="558"/>
      <c r="EWK169" s="558"/>
      <c r="EWL169" s="558"/>
      <c r="EWM169" s="558"/>
      <c r="EWN169" s="558"/>
      <c r="EWO169" s="558"/>
      <c r="EWP169" s="558"/>
      <c r="EWQ169" s="558"/>
      <c r="EWR169" s="558"/>
      <c r="EWS169" s="558"/>
      <c r="EWT169" s="558"/>
      <c r="EWU169" s="558"/>
      <c r="EWV169" s="558"/>
      <c r="EWW169" s="558"/>
      <c r="EWX169" s="558"/>
      <c r="EWY169" s="558"/>
      <c r="EWZ169" s="558"/>
      <c r="EXA169" s="558"/>
      <c r="EXB169" s="558"/>
      <c r="EXC169" s="558"/>
      <c r="EXD169" s="558"/>
      <c r="EXE169" s="558"/>
      <c r="EXF169" s="558"/>
      <c r="EXG169" s="558"/>
      <c r="EXH169" s="558"/>
      <c r="EXI169" s="558"/>
      <c r="EXJ169" s="558"/>
      <c r="EXK169" s="558"/>
      <c r="EXL169" s="558"/>
      <c r="EXM169" s="558"/>
      <c r="EXN169" s="558"/>
      <c r="EXO169" s="558"/>
      <c r="EXP169" s="558"/>
      <c r="EXQ169" s="558"/>
      <c r="EXR169" s="558"/>
      <c r="EXS169" s="558"/>
      <c r="EXT169" s="558"/>
      <c r="EXU169" s="558"/>
      <c r="EXV169" s="558"/>
      <c r="EXW169" s="558"/>
      <c r="EXX169" s="558"/>
      <c r="EXY169" s="558"/>
      <c r="EXZ169" s="558"/>
      <c r="EYA169" s="558"/>
      <c r="EYB169" s="558"/>
      <c r="EYC169" s="558"/>
      <c r="EYD169" s="558"/>
      <c r="EYE169" s="558"/>
      <c r="EYF169" s="558"/>
      <c r="EYG169" s="558"/>
      <c r="EYH169" s="558"/>
      <c r="EYI169" s="558"/>
      <c r="EYJ169" s="558"/>
      <c r="EYK169" s="558"/>
      <c r="EYL169" s="558"/>
      <c r="EYM169" s="558"/>
      <c r="EYN169" s="558"/>
      <c r="EYO169" s="558"/>
      <c r="EYP169" s="558"/>
      <c r="EYQ169" s="558"/>
      <c r="EYR169" s="558"/>
      <c r="EYS169" s="558"/>
      <c r="EYT169" s="558"/>
      <c r="EYU169" s="558"/>
      <c r="EYV169" s="558"/>
      <c r="EYW169" s="558"/>
      <c r="EYX169" s="558"/>
      <c r="EYY169" s="558"/>
      <c r="EYZ169" s="558"/>
      <c r="EZA169" s="558"/>
      <c r="EZB169" s="558"/>
      <c r="EZC169" s="558"/>
      <c r="EZD169" s="558"/>
      <c r="EZE169" s="558"/>
      <c r="EZF169" s="558"/>
      <c r="EZG169" s="558"/>
      <c r="EZH169" s="558"/>
      <c r="EZI169" s="558"/>
      <c r="EZJ169" s="558"/>
      <c r="EZK169" s="558"/>
      <c r="EZL169" s="558"/>
      <c r="EZM169" s="558"/>
      <c r="EZN169" s="558"/>
      <c r="EZO169" s="558"/>
      <c r="EZP169" s="558"/>
      <c r="EZQ169" s="558"/>
      <c r="EZR169" s="558"/>
      <c r="EZS169" s="558"/>
      <c r="EZT169" s="558"/>
      <c r="EZU169" s="558"/>
      <c r="EZV169" s="558"/>
      <c r="EZW169" s="558"/>
      <c r="EZX169" s="558"/>
      <c r="EZY169" s="558"/>
      <c r="EZZ169" s="558"/>
      <c r="FAA169" s="558"/>
      <c r="FAB169" s="558"/>
      <c r="FAC169" s="558"/>
      <c r="FAD169" s="558"/>
      <c r="FAE169" s="558"/>
      <c r="FAF169" s="558"/>
      <c r="FAG169" s="558"/>
      <c r="FAH169" s="558"/>
      <c r="FAI169" s="558"/>
      <c r="FAJ169" s="558"/>
      <c r="FAK169" s="558"/>
      <c r="FAL169" s="558"/>
      <c r="FAM169" s="558"/>
      <c r="FAN169" s="558"/>
      <c r="FAO169" s="558"/>
      <c r="FAP169" s="558"/>
      <c r="FAQ169" s="558"/>
      <c r="FAR169" s="558"/>
      <c r="FAS169" s="558"/>
      <c r="FAT169" s="558"/>
      <c r="FAU169" s="558"/>
      <c r="FAV169" s="558"/>
      <c r="FAW169" s="558"/>
      <c r="FAX169" s="558"/>
      <c r="FAY169" s="558"/>
      <c r="FAZ169" s="558"/>
      <c r="FBA169" s="558"/>
      <c r="FBB169" s="558"/>
      <c r="FBC169" s="558"/>
      <c r="FBD169" s="558"/>
      <c r="FBE169" s="558"/>
      <c r="FBF169" s="558"/>
      <c r="FBG169" s="558"/>
      <c r="FBH169" s="558"/>
      <c r="FBI169" s="558"/>
      <c r="FBJ169" s="558"/>
      <c r="FBK169" s="558"/>
      <c r="FBL169" s="558"/>
      <c r="FBM169" s="558"/>
      <c r="FBN169" s="558"/>
      <c r="FBO169" s="558"/>
      <c r="FBP169" s="558"/>
      <c r="FBQ169" s="558"/>
      <c r="FBR169" s="558"/>
      <c r="FBS169" s="558"/>
      <c r="FBT169" s="558"/>
      <c r="FBU169" s="558"/>
      <c r="FBV169" s="558"/>
      <c r="FBW169" s="558"/>
      <c r="FBX169" s="558"/>
      <c r="FBY169" s="558"/>
      <c r="FBZ169" s="558"/>
      <c r="FCA169" s="558"/>
      <c r="FCB169" s="558"/>
      <c r="FCC169" s="558"/>
      <c r="FCD169" s="558"/>
      <c r="FCE169" s="558"/>
      <c r="FCF169" s="558"/>
      <c r="FCG169" s="558"/>
      <c r="FCH169" s="558"/>
      <c r="FCI169" s="558"/>
      <c r="FCJ169" s="558"/>
      <c r="FCK169" s="558"/>
      <c r="FCL169" s="558"/>
      <c r="FCM169" s="558"/>
      <c r="FCN169" s="558"/>
      <c r="FCO169" s="558"/>
      <c r="FCP169" s="558"/>
      <c r="FCQ169" s="558"/>
      <c r="FCR169" s="558"/>
      <c r="FCS169" s="558"/>
      <c r="FCT169" s="558"/>
      <c r="FCU169" s="558"/>
      <c r="FCV169" s="558"/>
      <c r="FCW169" s="558"/>
      <c r="FCX169" s="558"/>
      <c r="FCY169" s="558"/>
      <c r="FCZ169" s="558"/>
      <c r="FDA169" s="558"/>
      <c r="FDB169" s="558"/>
      <c r="FDC169" s="558"/>
      <c r="FDD169" s="558"/>
      <c r="FDE169" s="558"/>
      <c r="FDF169" s="558"/>
      <c r="FDG169" s="558"/>
      <c r="FDH169" s="558"/>
      <c r="FDI169" s="558"/>
      <c r="FDJ169" s="558"/>
      <c r="FDK169" s="558"/>
      <c r="FDL169" s="558"/>
      <c r="FDM169" s="558"/>
      <c r="FDN169" s="558"/>
      <c r="FDO169" s="558"/>
      <c r="FDP169" s="558"/>
      <c r="FDQ169" s="558"/>
      <c r="FDR169" s="558"/>
      <c r="FDS169" s="558"/>
      <c r="FDT169" s="558"/>
      <c r="FDU169" s="558"/>
      <c r="FDV169" s="558"/>
      <c r="FDW169" s="558"/>
      <c r="FDX169" s="558"/>
      <c r="FDY169" s="558"/>
      <c r="FDZ169" s="558"/>
      <c r="FEA169" s="558"/>
      <c r="FEB169" s="558"/>
      <c r="FEC169" s="558"/>
      <c r="FED169" s="558"/>
      <c r="FEE169" s="558"/>
      <c r="FEF169" s="558"/>
      <c r="FEG169" s="558"/>
      <c r="FEH169" s="558"/>
      <c r="FEI169" s="558"/>
      <c r="FEJ169" s="558"/>
      <c r="FEK169" s="558"/>
      <c r="FEL169" s="558"/>
      <c r="FEM169" s="558"/>
      <c r="FEN169" s="558"/>
      <c r="FEO169" s="558"/>
      <c r="FEP169" s="558"/>
      <c r="FEQ169" s="558"/>
      <c r="FER169" s="558"/>
      <c r="FES169" s="558"/>
      <c r="FET169" s="558"/>
      <c r="FEU169" s="558"/>
      <c r="FEV169" s="558"/>
      <c r="FEW169" s="558"/>
      <c r="FEX169" s="558"/>
      <c r="FEY169" s="558"/>
      <c r="FEZ169" s="558"/>
      <c r="FFA169" s="558"/>
      <c r="FFB169" s="558"/>
      <c r="FFC169" s="558"/>
      <c r="FFD169" s="558"/>
      <c r="FFE169" s="558"/>
      <c r="FFF169" s="558"/>
      <c r="FFG169" s="558"/>
      <c r="FFH169" s="558"/>
      <c r="FFI169" s="558"/>
      <c r="FFJ169" s="558"/>
      <c r="FFK169" s="558"/>
      <c r="FFL169" s="558"/>
      <c r="FFM169" s="558"/>
      <c r="FFN169" s="558"/>
      <c r="FFO169" s="558"/>
      <c r="FFP169" s="558"/>
      <c r="FFQ169" s="558"/>
      <c r="FFR169" s="558"/>
      <c r="FFS169" s="558"/>
      <c r="FFT169" s="558"/>
      <c r="FFU169" s="558"/>
      <c r="FFV169" s="558"/>
      <c r="FFW169" s="558"/>
      <c r="FFX169" s="558"/>
      <c r="FFY169" s="558"/>
      <c r="FFZ169" s="558"/>
      <c r="FGA169" s="558"/>
      <c r="FGB169" s="558"/>
      <c r="FGC169" s="558"/>
      <c r="FGD169" s="558"/>
      <c r="FGE169" s="558"/>
      <c r="FGF169" s="558"/>
      <c r="FGG169" s="558"/>
      <c r="FGH169" s="558"/>
      <c r="FGI169" s="558"/>
      <c r="FGJ169" s="558"/>
      <c r="FGK169" s="558"/>
      <c r="FGL169" s="558"/>
      <c r="FGM169" s="558"/>
      <c r="FGN169" s="558"/>
      <c r="FGO169" s="558"/>
      <c r="FGP169" s="558"/>
      <c r="FGQ169" s="558"/>
      <c r="FGR169" s="558"/>
      <c r="FGS169" s="558"/>
      <c r="FGT169" s="558"/>
      <c r="FGU169" s="558"/>
      <c r="FGV169" s="558"/>
      <c r="FGW169" s="558"/>
      <c r="FGX169" s="558"/>
      <c r="FGY169" s="558"/>
      <c r="FGZ169" s="558"/>
      <c r="FHA169" s="558"/>
      <c r="FHB169" s="558"/>
      <c r="FHC169" s="558"/>
      <c r="FHD169" s="558"/>
      <c r="FHE169" s="558"/>
      <c r="FHF169" s="558"/>
      <c r="FHG169" s="558"/>
      <c r="FHH169" s="558"/>
      <c r="FHI169" s="558"/>
      <c r="FHJ169" s="558"/>
      <c r="FHK169" s="558"/>
      <c r="FHL169" s="558"/>
      <c r="FHM169" s="558"/>
      <c r="FHN169" s="558"/>
      <c r="FHO169" s="558"/>
      <c r="FHP169" s="558"/>
      <c r="FHQ169" s="558"/>
      <c r="FHR169" s="558"/>
      <c r="FHS169" s="558"/>
      <c r="FHT169" s="558"/>
      <c r="FHU169" s="558"/>
      <c r="FHV169" s="558"/>
      <c r="FHW169" s="558"/>
      <c r="FHX169" s="558"/>
      <c r="FHY169" s="558"/>
      <c r="FHZ169" s="558"/>
      <c r="FIA169" s="558"/>
      <c r="FIB169" s="558"/>
      <c r="FIC169" s="558"/>
      <c r="FID169" s="558"/>
      <c r="FIE169" s="558"/>
      <c r="FIF169" s="558"/>
      <c r="FIG169" s="558"/>
      <c r="FIH169" s="558"/>
      <c r="FII169" s="558"/>
      <c r="FIJ169" s="558"/>
      <c r="FIK169" s="558"/>
      <c r="FIL169" s="558"/>
      <c r="FIM169" s="558"/>
      <c r="FIN169" s="558"/>
      <c r="FIO169" s="558"/>
      <c r="FIP169" s="558"/>
      <c r="FIQ169" s="558"/>
      <c r="FIR169" s="558"/>
      <c r="FIS169" s="558"/>
      <c r="FIT169" s="558"/>
      <c r="FIU169" s="558"/>
      <c r="FIV169" s="558"/>
      <c r="FIW169" s="558"/>
      <c r="FIX169" s="558"/>
      <c r="FIY169" s="558"/>
      <c r="FIZ169" s="558"/>
      <c r="FJA169" s="558"/>
      <c r="FJB169" s="558"/>
      <c r="FJC169" s="558"/>
      <c r="FJD169" s="558"/>
      <c r="FJE169" s="558"/>
      <c r="FJF169" s="558"/>
      <c r="FJG169" s="558"/>
      <c r="FJH169" s="558"/>
      <c r="FJI169" s="558"/>
      <c r="FJJ169" s="558"/>
      <c r="FJK169" s="558"/>
      <c r="FJL169" s="558"/>
      <c r="FJM169" s="558"/>
      <c r="FJN169" s="558"/>
      <c r="FJO169" s="558"/>
      <c r="FJP169" s="558"/>
      <c r="FJQ169" s="558"/>
      <c r="FJR169" s="558"/>
      <c r="FJS169" s="558"/>
      <c r="FJT169" s="558"/>
      <c r="FJU169" s="558"/>
      <c r="FJV169" s="558"/>
      <c r="FJW169" s="558"/>
      <c r="FJX169" s="558"/>
      <c r="FJY169" s="558"/>
      <c r="FJZ169" s="558"/>
      <c r="FKA169" s="558"/>
      <c r="FKB169" s="558"/>
      <c r="FKC169" s="558"/>
      <c r="FKD169" s="558"/>
      <c r="FKE169" s="558"/>
      <c r="FKF169" s="558"/>
      <c r="FKG169" s="558"/>
      <c r="FKH169" s="558"/>
      <c r="FKI169" s="558"/>
      <c r="FKJ169" s="558"/>
      <c r="FKK169" s="558"/>
      <c r="FKL169" s="558"/>
      <c r="FKM169" s="558"/>
      <c r="FKN169" s="558"/>
      <c r="FKO169" s="558"/>
      <c r="FKP169" s="558"/>
      <c r="FKQ169" s="558"/>
      <c r="FKR169" s="558"/>
      <c r="FKS169" s="558"/>
      <c r="FKT169" s="558"/>
      <c r="FKU169" s="558"/>
      <c r="FKV169" s="558"/>
      <c r="FKW169" s="558"/>
      <c r="FKX169" s="558"/>
      <c r="FKY169" s="558"/>
      <c r="FKZ169" s="558"/>
      <c r="FLA169" s="558"/>
      <c r="FLB169" s="558"/>
      <c r="FLC169" s="558"/>
      <c r="FLD169" s="558"/>
      <c r="FLE169" s="558"/>
      <c r="FLF169" s="558"/>
      <c r="FLG169" s="558"/>
      <c r="FLH169" s="558"/>
      <c r="FLI169" s="558"/>
      <c r="FLJ169" s="558"/>
      <c r="FLK169" s="558"/>
      <c r="FLL169" s="558"/>
      <c r="FLM169" s="558"/>
      <c r="FLN169" s="558"/>
      <c r="FLO169" s="558"/>
      <c r="FLP169" s="558"/>
      <c r="FLQ169" s="558"/>
      <c r="FLR169" s="558"/>
      <c r="FLS169" s="558"/>
      <c r="FLT169" s="558"/>
      <c r="FLU169" s="558"/>
      <c r="FLV169" s="558"/>
      <c r="FLW169" s="558"/>
      <c r="FLX169" s="558"/>
      <c r="FLY169" s="558"/>
      <c r="FLZ169" s="558"/>
      <c r="FMA169" s="558"/>
      <c r="FMB169" s="558"/>
      <c r="FMC169" s="558"/>
      <c r="FMD169" s="558"/>
      <c r="FME169" s="558"/>
      <c r="FMF169" s="558"/>
      <c r="FMG169" s="558"/>
      <c r="FMH169" s="558"/>
      <c r="FMI169" s="558"/>
      <c r="FMJ169" s="558"/>
      <c r="FMK169" s="558"/>
      <c r="FML169" s="558"/>
      <c r="FMM169" s="558"/>
      <c r="FMN169" s="558"/>
      <c r="FMO169" s="558"/>
      <c r="FMP169" s="558"/>
      <c r="FMQ169" s="558"/>
      <c r="FMR169" s="558"/>
      <c r="FMS169" s="558"/>
      <c r="FMT169" s="558"/>
      <c r="FMU169" s="558"/>
      <c r="FMV169" s="558"/>
      <c r="FMW169" s="558"/>
      <c r="FMX169" s="558"/>
      <c r="FMY169" s="558"/>
      <c r="FMZ169" s="558"/>
      <c r="FNA169" s="558"/>
      <c r="FNB169" s="558"/>
      <c r="FNC169" s="558"/>
      <c r="FND169" s="558"/>
      <c r="FNE169" s="558"/>
      <c r="FNF169" s="558"/>
      <c r="FNG169" s="558"/>
      <c r="FNH169" s="558"/>
      <c r="FNI169" s="558"/>
      <c r="FNJ169" s="558"/>
      <c r="FNK169" s="558"/>
      <c r="FNL169" s="558"/>
      <c r="FNM169" s="558"/>
      <c r="FNN169" s="558"/>
      <c r="FNO169" s="558"/>
      <c r="FNP169" s="558"/>
      <c r="FNQ169" s="558"/>
      <c r="FNR169" s="558"/>
      <c r="FNS169" s="558"/>
      <c r="FNT169" s="558"/>
      <c r="FNU169" s="558"/>
      <c r="FNV169" s="558"/>
      <c r="FNW169" s="558"/>
      <c r="FNX169" s="558"/>
      <c r="FNY169" s="558"/>
      <c r="FNZ169" s="558"/>
      <c r="FOA169" s="558"/>
      <c r="FOB169" s="558"/>
      <c r="FOC169" s="558"/>
      <c r="FOD169" s="558"/>
      <c r="FOE169" s="558"/>
      <c r="FOF169" s="558"/>
      <c r="FOG169" s="558"/>
      <c r="FOH169" s="558"/>
      <c r="FOI169" s="558"/>
      <c r="FOJ169" s="558"/>
      <c r="FOK169" s="558"/>
      <c r="FOL169" s="558"/>
      <c r="FOM169" s="558"/>
      <c r="FON169" s="558"/>
      <c r="FOO169" s="558"/>
      <c r="FOP169" s="558"/>
      <c r="FOQ169" s="558"/>
      <c r="FOR169" s="558"/>
      <c r="FOS169" s="558"/>
      <c r="FOT169" s="558"/>
      <c r="FOU169" s="558"/>
      <c r="FOV169" s="558"/>
      <c r="FOW169" s="558"/>
      <c r="FOX169" s="558"/>
      <c r="FOY169" s="558"/>
      <c r="FOZ169" s="558"/>
      <c r="FPA169" s="558"/>
      <c r="FPB169" s="558"/>
      <c r="FPC169" s="558"/>
      <c r="FPD169" s="558"/>
      <c r="FPE169" s="558"/>
      <c r="FPF169" s="558"/>
      <c r="FPG169" s="558"/>
      <c r="FPH169" s="558"/>
      <c r="FPI169" s="558"/>
      <c r="FPJ169" s="558"/>
      <c r="FPK169" s="558"/>
      <c r="FPL169" s="558"/>
      <c r="FPM169" s="558"/>
      <c r="FPN169" s="558"/>
      <c r="FPO169" s="558"/>
      <c r="FPP169" s="558"/>
      <c r="FPQ169" s="558"/>
      <c r="FPR169" s="558"/>
      <c r="FPS169" s="558"/>
      <c r="FPT169" s="558"/>
      <c r="FPU169" s="558"/>
      <c r="FPV169" s="558"/>
      <c r="FPW169" s="558"/>
      <c r="FPX169" s="558"/>
      <c r="FPY169" s="558"/>
      <c r="FPZ169" s="558"/>
      <c r="FQA169" s="558"/>
      <c r="FQB169" s="558"/>
      <c r="FQC169" s="558"/>
      <c r="FQD169" s="558"/>
      <c r="FQE169" s="558"/>
      <c r="FQF169" s="558"/>
      <c r="FQG169" s="558"/>
      <c r="FQH169" s="558"/>
      <c r="FQI169" s="558"/>
      <c r="FQJ169" s="558"/>
      <c r="FQK169" s="558"/>
      <c r="FQL169" s="558"/>
      <c r="FQM169" s="558"/>
      <c r="FQN169" s="558"/>
      <c r="FQO169" s="558"/>
      <c r="FQP169" s="558"/>
      <c r="FQQ169" s="558"/>
      <c r="FQR169" s="558"/>
      <c r="FQS169" s="558"/>
      <c r="FQT169" s="558"/>
      <c r="FQU169" s="558"/>
      <c r="FQV169" s="558"/>
      <c r="FQW169" s="558"/>
      <c r="FQX169" s="558"/>
      <c r="FQY169" s="558"/>
      <c r="FQZ169" s="558"/>
      <c r="FRA169" s="558"/>
      <c r="FRB169" s="558"/>
      <c r="FRC169" s="558"/>
      <c r="FRD169" s="558"/>
      <c r="FRE169" s="558"/>
      <c r="FRF169" s="558"/>
      <c r="FRG169" s="558"/>
      <c r="FRH169" s="558"/>
      <c r="FRI169" s="558"/>
      <c r="FRJ169" s="558"/>
      <c r="FRK169" s="558"/>
      <c r="FRL169" s="558"/>
      <c r="FRM169" s="558"/>
      <c r="FRN169" s="558"/>
      <c r="FRO169" s="558"/>
      <c r="FRP169" s="558"/>
      <c r="FRQ169" s="558"/>
      <c r="FRR169" s="558"/>
      <c r="FRS169" s="558"/>
      <c r="FRT169" s="558"/>
      <c r="FRU169" s="558"/>
      <c r="FRV169" s="558"/>
      <c r="FRW169" s="558"/>
      <c r="FRX169" s="558"/>
      <c r="FRY169" s="558"/>
      <c r="FRZ169" s="558"/>
      <c r="FSA169" s="558"/>
      <c r="FSB169" s="558"/>
      <c r="FSC169" s="558"/>
      <c r="FSD169" s="558"/>
      <c r="FSE169" s="558"/>
      <c r="FSF169" s="558"/>
      <c r="FSG169" s="558"/>
      <c r="FSH169" s="558"/>
      <c r="FSI169" s="558"/>
      <c r="FSJ169" s="558"/>
      <c r="FSK169" s="558"/>
      <c r="FSL169" s="558"/>
      <c r="FSM169" s="558"/>
      <c r="FSN169" s="558"/>
      <c r="FSO169" s="558"/>
      <c r="FSP169" s="558"/>
      <c r="FSQ169" s="558"/>
      <c r="FSR169" s="558"/>
      <c r="FSS169" s="558"/>
      <c r="FST169" s="558"/>
      <c r="FSU169" s="558"/>
      <c r="FSV169" s="558"/>
      <c r="FSW169" s="558"/>
      <c r="FSX169" s="558"/>
      <c r="FSY169" s="558"/>
      <c r="FSZ169" s="558"/>
      <c r="FTA169" s="558"/>
      <c r="FTB169" s="558"/>
      <c r="FTC169" s="558"/>
      <c r="FTD169" s="558"/>
      <c r="FTE169" s="558"/>
      <c r="FTF169" s="558"/>
      <c r="FTG169" s="558"/>
      <c r="FTH169" s="558"/>
      <c r="FTI169" s="558"/>
      <c r="FTJ169" s="558"/>
      <c r="FTK169" s="558"/>
      <c r="FTL169" s="558"/>
      <c r="FTM169" s="558"/>
      <c r="FTN169" s="558"/>
      <c r="FTO169" s="558"/>
      <c r="FTP169" s="558"/>
      <c r="FTQ169" s="558"/>
      <c r="FTR169" s="558"/>
      <c r="FTS169" s="558"/>
      <c r="FTT169" s="558"/>
      <c r="FTU169" s="558"/>
      <c r="FTV169" s="558"/>
      <c r="FTW169" s="558"/>
      <c r="FTX169" s="558"/>
      <c r="FTY169" s="558"/>
      <c r="FTZ169" s="558"/>
      <c r="FUA169" s="558"/>
      <c r="FUB169" s="558"/>
      <c r="FUC169" s="558"/>
      <c r="FUD169" s="558"/>
      <c r="FUE169" s="558"/>
      <c r="FUF169" s="558"/>
      <c r="FUG169" s="558"/>
      <c r="FUH169" s="558"/>
      <c r="FUI169" s="558"/>
      <c r="FUJ169" s="558"/>
      <c r="FUK169" s="558"/>
      <c r="FUL169" s="558"/>
      <c r="FUM169" s="558"/>
      <c r="FUN169" s="558"/>
      <c r="FUO169" s="558"/>
      <c r="FUP169" s="558"/>
      <c r="FUQ169" s="558"/>
      <c r="FUR169" s="558"/>
      <c r="FUS169" s="558"/>
      <c r="FUT169" s="558"/>
      <c r="FUU169" s="558"/>
      <c r="FUV169" s="558"/>
      <c r="FUW169" s="558"/>
      <c r="FUX169" s="558"/>
      <c r="FUY169" s="558"/>
      <c r="FUZ169" s="558"/>
      <c r="FVA169" s="558"/>
      <c r="FVB169" s="558"/>
      <c r="FVC169" s="558"/>
      <c r="FVD169" s="558"/>
      <c r="FVE169" s="558"/>
      <c r="FVF169" s="558"/>
      <c r="FVG169" s="558"/>
      <c r="FVH169" s="558"/>
      <c r="FVI169" s="558"/>
      <c r="FVJ169" s="558"/>
      <c r="FVK169" s="558"/>
      <c r="FVL169" s="558"/>
      <c r="FVM169" s="558"/>
      <c r="FVN169" s="558"/>
      <c r="FVO169" s="558"/>
      <c r="FVP169" s="558"/>
      <c r="FVQ169" s="558"/>
      <c r="FVR169" s="558"/>
      <c r="FVS169" s="558"/>
      <c r="FVT169" s="558"/>
      <c r="FVU169" s="558"/>
      <c r="FVV169" s="558"/>
      <c r="FVW169" s="558"/>
      <c r="FVX169" s="558"/>
      <c r="FVY169" s="558"/>
      <c r="FVZ169" s="558"/>
      <c r="FWA169" s="558"/>
      <c r="FWB169" s="558"/>
      <c r="FWC169" s="558"/>
      <c r="FWD169" s="558"/>
      <c r="FWE169" s="558"/>
      <c r="FWF169" s="558"/>
      <c r="FWG169" s="558"/>
      <c r="FWH169" s="558"/>
      <c r="FWI169" s="558"/>
      <c r="FWJ169" s="558"/>
      <c r="FWK169" s="558"/>
      <c r="FWL169" s="558"/>
      <c r="FWM169" s="558"/>
      <c r="FWN169" s="558"/>
      <c r="FWO169" s="558"/>
      <c r="FWP169" s="558"/>
      <c r="FWQ169" s="558"/>
      <c r="FWR169" s="558"/>
      <c r="FWS169" s="558"/>
      <c r="FWT169" s="558"/>
      <c r="FWU169" s="558"/>
      <c r="FWV169" s="558"/>
      <c r="FWW169" s="558"/>
      <c r="FWX169" s="558"/>
      <c r="FWY169" s="558"/>
      <c r="FWZ169" s="558"/>
      <c r="FXA169" s="558"/>
      <c r="FXB169" s="558"/>
      <c r="FXC169" s="558"/>
      <c r="FXD169" s="558"/>
      <c r="FXE169" s="558"/>
      <c r="FXF169" s="558"/>
      <c r="FXG169" s="558"/>
      <c r="FXH169" s="558"/>
      <c r="FXI169" s="558"/>
      <c r="FXJ169" s="558"/>
      <c r="FXK169" s="558"/>
      <c r="FXL169" s="558"/>
      <c r="FXM169" s="558"/>
      <c r="FXN169" s="558"/>
      <c r="FXO169" s="558"/>
      <c r="FXP169" s="558"/>
      <c r="FXQ169" s="558"/>
      <c r="FXR169" s="558"/>
      <c r="FXS169" s="558"/>
      <c r="FXT169" s="558"/>
      <c r="FXU169" s="558"/>
      <c r="FXV169" s="558"/>
      <c r="FXW169" s="558"/>
      <c r="FXX169" s="558"/>
      <c r="FXY169" s="558"/>
      <c r="FXZ169" s="558"/>
      <c r="FYA169" s="558"/>
      <c r="FYB169" s="558"/>
      <c r="FYC169" s="558"/>
      <c r="FYD169" s="558"/>
      <c r="FYE169" s="558"/>
      <c r="FYF169" s="558"/>
      <c r="FYG169" s="558"/>
      <c r="FYH169" s="558"/>
      <c r="FYI169" s="558"/>
      <c r="FYJ169" s="558"/>
      <c r="FYK169" s="558"/>
      <c r="FYL169" s="558"/>
      <c r="FYM169" s="558"/>
      <c r="FYN169" s="558"/>
      <c r="FYO169" s="558"/>
      <c r="FYP169" s="558"/>
      <c r="FYQ169" s="558"/>
      <c r="FYR169" s="558"/>
      <c r="FYS169" s="558"/>
      <c r="FYT169" s="558"/>
      <c r="FYU169" s="558"/>
      <c r="FYV169" s="558"/>
      <c r="FYW169" s="558"/>
      <c r="FYX169" s="558"/>
      <c r="FYY169" s="558"/>
      <c r="FYZ169" s="558"/>
      <c r="FZA169" s="558"/>
      <c r="FZB169" s="558"/>
      <c r="FZC169" s="558"/>
      <c r="FZD169" s="558"/>
      <c r="FZE169" s="558"/>
      <c r="FZF169" s="558"/>
      <c r="FZG169" s="558"/>
      <c r="FZH169" s="558"/>
      <c r="FZI169" s="558"/>
      <c r="FZJ169" s="558"/>
      <c r="FZK169" s="558"/>
      <c r="FZL169" s="558"/>
      <c r="FZM169" s="558"/>
      <c r="FZN169" s="558"/>
      <c r="FZO169" s="558"/>
      <c r="FZP169" s="558"/>
      <c r="FZQ169" s="558"/>
      <c r="FZR169" s="558"/>
      <c r="FZS169" s="558"/>
      <c r="FZT169" s="558"/>
      <c r="FZU169" s="558"/>
      <c r="FZV169" s="558"/>
      <c r="FZW169" s="558"/>
      <c r="FZX169" s="558"/>
      <c r="FZY169" s="558"/>
      <c r="FZZ169" s="558"/>
      <c r="GAA169" s="558"/>
      <c r="GAB169" s="558"/>
      <c r="GAC169" s="558"/>
      <c r="GAD169" s="558"/>
      <c r="GAE169" s="558"/>
      <c r="GAF169" s="558"/>
      <c r="GAG169" s="558"/>
      <c r="GAH169" s="558"/>
      <c r="GAI169" s="558"/>
      <c r="GAJ169" s="558"/>
      <c r="GAK169" s="558"/>
      <c r="GAL169" s="558"/>
      <c r="GAM169" s="558"/>
      <c r="GAN169" s="558"/>
      <c r="GAO169" s="558"/>
      <c r="GAP169" s="558"/>
      <c r="GAQ169" s="558"/>
      <c r="GAR169" s="558"/>
      <c r="GAS169" s="558"/>
      <c r="GAT169" s="558"/>
      <c r="GAU169" s="558"/>
      <c r="GAV169" s="558"/>
      <c r="GAW169" s="558"/>
      <c r="GAX169" s="558"/>
      <c r="GAY169" s="558"/>
      <c r="GAZ169" s="558"/>
      <c r="GBA169" s="558"/>
      <c r="GBB169" s="558"/>
      <c r="GBC169" s="558"/>
      <c r="GBD169" s="558"/>
      <c r="GBE169" s="558"/>
      <c r="GBF169" s="558"/>
      <c r="GBG169" s="558"/>
      <c r="GBH169" s="558"/>
      <c r="GBI169" s="558"/>
      <c r="GBJ169" s="558"/>
      <c r="GBK169" s="558"/>
      <c r="GBL169" s="558"/>
      <c r="GBM169" s="558"/>
      <c r="GBN169" s="558"/>
      <c r="GBO169" s="558"/>
      <c r="GBP169" s="558"/>
      <c r="GBQ169" s="558"/>
      <c r="GBR169" s="558"/>
      <c r="GBS169" s="558"/>
      <c r="GBT169" s="558"/>
      <c r="GBU169" s="558"/>
      <c r="GBV169" s="558"/>
      <c r="GBW169" s="558"/>
      <c r="GBX169" s="558"/>
      <c r="GBY169" s="558"/>
      <c r="GBZ169" s="558"/>
      <c r="GCA169" s="558"/>
      <c r="GCB169" s="558"/>
      <c r="GCC169" s="558"/>
      <c r="GCD169" s="558"/>
      <c r="GCE169" s="558"/>
      <c r="GCF169" s="558"/>
      <c r="GCG169" s="558"/>
      <c r="GCH169" s="558"/>
      <c r="GCI169" s="558"/>
      <c r="GCJ169" s="558"/>
      <c r="GCK169" s="558"/>
      <c r="GCL169" s="558"/>
      <c r="GCM169" s="558"/>
      <c r="GCN169" s="558"/>
      <c r="GCO169" s="558"/>
      <c r="GCP169" s="558"/>
      <c r="GCQ169" s="558"/>
      <c r="GCR169" s="558"/>
      <c r="GCS169" s="558"/>
      <c r="GCT169" s="558"/>
      <c r="GCU169" s="558"/>
      <c r="GCV169" s="558"/>
      <c r="GCW169" s="558"/>
      <c r="GCX169" s="558"/>
      <c r="GCY169" s="558"/>
      <c r="GCZ169" s="558"/>
      <c r="GDA169" s="558"/>
      <c r="GDB169" s="558"/>
      <c r="GDC169" s="558"/>
      <c r="GDD169" s="558"/>
      <c r="GDE169" s="558"/>
      <c r="GDF169" s="558"/>
      <c r="GDG169" s="558"/>
      <c r="GDH169" s="558"/>
      <c r="GDI169" s="558"/>
      <c r="GDJ169" s="558"/>
      <c r="GDK169" s="558"/>
      <c r="GDL169" s="558"/>
      <c r="GDM169" s="558"/>
      <c r="GDN169" s="558"/>
      <c r="GDO169" s="558"/>
      <c r="GDP169" s="558"/>
      <c r="GDQ169" s="558"/>
      <c r="GDR169" s="558"/>
      <c r="GDS169" s="558"/>
      <c r="GDT169" s="558"/>
      <c r="GDU169" s="558"/>
      <c r="GDV169" s="558"/>
      <c r="GDW169" s="558"/>
      <c r="GDX169" s="558"/>
      <c r="GDY169" s="558"/>
      <c r="GDZ169" s="558"/>
      <c r="GEA169" s="558"/>
      <c r="GEB169" s="558"/>
      <c r="GEC169" s="558"/>
      <c r="GED169" s="558"/>
      <c r="GEE169" s="558"/>
      <c r="GEF169" s="558"/>
      <c r="GEG169" s="558"/>
      <c r="GEH169" s="558"/>
      <c r="GEI169" s="558"/>
      <c r="GEJ169" s="558"/>
      <c r="GEK169" s="558"/>
      <c r="GEL169" s="558"/>
      <c r="GEM169" s="558"/>
      <c r="GEN169" s="558"/>
      <c r="GEO169" s="558"/>
      <c r="GEP169" s="558"/>
      <c r="GEQ169" s="558"/>
      <c r="GER169" s="558"/>
      <c r="GES169" s="558"/>
      <c r="GET169" s="558"/>
      <c r="GEU169" s="558"/>
      <c r="GEV169" s="558"/>
      <c r="GEW169" s="558"/>
      <c r="GEX169" s="558"/>
      <c r="GEY169" s="558"/>
      <c r="GEZ169" s="558"/>
      <c r="GFA169" s="558"/>
      <c r="GFB169" s="558"/>
      <c r="GFC169" s="558"/>
      <c r="GFD169" s="558"/>
      <c r="GFE169" s="558"/>
      <c r="GFF169" s="558"/>
      <c r="GFG169" s="558"/>
      <c r="GFH169" s="558"/>
      <c r="GFI169" s="558"/>
      <c r="GFJ169" s="558"/>
      <c r="GFK169" s="558"/>
      <c r="GFL169" s="558"/>
      <c r="GFM169" s="558"/>
      <c r="GFN169" s="558"/>
      <c r="GFO169" s="558"/>
      <c r="GFP169" s="558"/>
      <c r="GFQ169" s="558"/>
      <c r="GFR169" s="558"/>
      <c r="GFS169" s="558"/>
      <c r="GFT169" s="558"/>
      <c r="GFU169" s="558"/>
      <c r="GFV169" s="558"/>
      <c r="GFW169" s="558"/>
      <c r="GFX169" s="558"/>
      <c r="GFY169" s="558"/>
      <c r="GFZ169" s="558"/>
      <c r="GGA169" s="558"/>
      <c r="GGB169" s="558"/>
      <c r="GGC169" s="558"/>
      <c r="GGD169" s="558"/>
      <c r="GGE169" s="558"/>
      <c r="GGF169" s="558"/>
      <c r="GGG169" s="558"/>
      <c r="GGH169" s="558"/>
      <c r="GGI169" s="558"/>
      <c r="GGJ169" s="558"/>
      <c r="GGK169" s="558"/>
      <c r="GGL169" s="558"/>
      <c r="GGM169" s="558"/>
      <c r="GGN169" s="558"/>
      <c r="GGO169" s="558"/>
      <c r="GGP169" s="558"/>
      <c r="GGQ169" s="558"/>
      <c r="GGR169" s="558"/>
      <c r="GGS169" s="558"/>
      <c r="GGT169" s="558"/>
      <c r="GGU169" s="558"/>
      <c r="GGV169" s="558"/>
      <c r="GGW169" s="558"/>
      <c r="GGX169" s="558"/>
      <c r="GGY169" s="558"/>
      <c r="GGZ169" s="558"/>
      <c r="GHA169" s="558"/>
      <c r="GHB169" s="558"/>
      <c r="GHC169" s="558"/>
      <c r="GHD169" s="558"/>
      <c r="GHE169" s="558"/>
      <c r="GHF169" s="558"/>
      <c r="GHG169" s="558"/>
      <c r="GHH169" s="558"/>
      <c r="GHI169" s="558"/>
      <c r="GHJ169" s="558"/>
      <c r="GHK169" s="558"/>
      <c r="GHL169" s="558"/>
      <c r="GHM169" s="558"/>
      <c r="GHN169" s="558"/>
      <c r="GHO169" s="558"/>
      <c r="GHP169" s="558"/>
      <c r="GHQ169" s="558"/>
      <c r="GHR169" s="558"/>
      <c r="GHS169" s="558"/>
      <c r="GHT169" s="558"/>
      <c r="GHU169" s="558"/>
      <c r="GHV169" s="558"/>
      <c r="GHW169" s="558"/>
      <c r="GHX169" s="558"/>
      <c r="GHY169" s="558"/>
      <c r="GHZ169" s="558"/>
      <c r="GIA169" s="558"/>
      <c r="GIB169" s="558"/>
      <c r="GIC169" s="558"/>
      <c r="GID169" s="558"/>
      <c r="GIE169" s="558"/>
      <c r="GIF169" s="558"/>
      <c r="GIG169" s="558"/>
      <c r="GIH169" s="558"/>
      <c r="GII169" s="558"/>
      <c r="GIJ169" s="558"/>
      <c r="GIK169" s="558"/>
      <c r="GIL169" s="558"/>
      <c r="GIM169" s="558"/>
      <c r="GIN169" s="558"/>
      <c r="GIO169" s="558"/>
      <c r="GIP169" s="558"/>
      <c r="GIQ169" s="558"/>
      <c r="GIR169" s="558"/>
      <c r="GIS169" s="558"/>
      <c r="GIT169" s="558"/>
      <c r="GIU169" s="558"/>
      <c r="GIV169" s="558"/>
      <c r="GIW169" s="558"/>
      <c r="GIX169" s="558"/>
      <c r="GIY169" s="558"/>
      <c r="GIZ169" s="558"/>
      <c r="GJA169" s="558"/>
      <c r="GJB169" s="558"/>
      <c r="GJC169" s="558"/>
      <c r="GJD169" s="558"/>
      <c r="GJE169" s="558"/>
      <c r="GJF169" s="558"/>
      <c r="GJG169" s="558"/>
      <c r="GJH169" s="558"/>
      <c r="GJI169" s="558"/>
      <c r="GJJ169" s="558"/>
      <c r="GJK169" s="558"/>
      <c r="GJL169" s="558"/>
      <c r="GJM169" s="558"/>
      <c r="GJN169" s="558"/>
      <c r="GJO169" s="558"/>
      <c r="GJP169" s="558"/>
      <c r="GJQ169" s="558"/>
      <c r="GJR169" s="558"/>
      <c r="GJS169" s="558"/>
      <c r="GJT169" s="558"/>
      <c r="GJU169" s="558"/>
      <c r="GJV169" s="558"/>
      <c r="GJW169" s="558"/>
      <c r="GJX169" s="558"/>
      <c r="GJY169" s="558"/>
      <c r="GJZ169" s="558"/>
      <c r="GKA169" s="558"/>
      <c r="GKB169" s="558"/>
      <c r="GKC169" s="558"/>
      <c r="GKD169" s="558"/>
      <c r="GKE169" s="558"/>
      <c r="GKF169" s="558"/>
      <c r="GKG169" s="558"/>
      <c r="GKH169" s="558"/>
      <c r="GKI169" s="558"/>
      <c r="GKJ169" s="558"/>
      <c r="GKK169" s="558"/>
      <c r="GKL169" s="558"/>
      <c r="GKM169" s="558"/>
      <c r="GKN169" s="558"/>
      <c r="GKO169" s="558"/>
      <c r="GKP169" s="558"/>
      <c r="GKQ169" s="558"/>
      <c r="GKR169" s="558"/>
      <c r="GKS169" s="558"/>
      <c r="GKT169" s="558"/>
      <c r="GKU169" s="558"/>
      <c r="GKV169" s="558"/>
      <c r="GKW169" s="558"/>
      <c r="GKX169" s="558"/>
      <c r="GKY169" s="558"/>
      <c r="GKZ169" s="558"/>
      <c r="GLA169" s="558"/>
      <c r="GLB169" s="558"/>
      <c r="GLC169" s="558"/>
      <c r="GLD169" s="558"/>
      <c r="GLE169" s="558"/>
      <c r="GLF169" s="558"/>
      <c r="GLG169" s="558"/>
      <c r="GLH169" s="558"/>
      <c r="GLI169" s="558"/>
      <c r="GLJ169" s="558"/>
      <c r="GLK169" s="558"/>
      <c r="GLL169" s="558"/>
      <c r="GLM169" s="558"/>
      <c r="GLN169" s="558"/>
      <c r="GLO169" s="558"/>
      <c r="GLP169" s="558"/>
      <c r="GLQ169" s="558"/>
      <c r="GLR169" s="558"/>
      <c r="GLS169" s="558"/>
      <c r="GLT169" s="558"/>
      <c r="GLU169" s="558"/>
      <c r="GLV169" s="558"/>
      <c r="GLW169" s="558"/>
      <c r="GLX169" s="558"/>
      <c r="GLY169" s="558"/>
      <c r="GLZ169" s="558"/>
      <c r="GMA169" s="558"/>
      <c r="GMB169" s="558"/>
      <c r="GMC169" s="558"/>
      <c r="GMD169" s="558"/>
      <c r="GME169" s="558"/>
      <c r="GMF169" s="558"/>
      <c r="GMG169" s="558"/>
      <c r="GMH169" s="558"/>
      <c r="GMI169" s="558"/>
      <c r="GMJ169" s="558"/>
      <c r="GMK169" s="558"/>
      <c r="GML169" s="558"/>
      <c r="GMM169" s="558"/>
      <c r="GMN169" s="558"/>
      <c r="GMO169" s="558"/>
      <c r="GMP169" s="558"/>
      <c r="GMQ169" s="558"/>
      <c r="GMR169" s="558"/>
      <c r="GMS169" s="558"/>
      <c r="GMT169" s="558"/>
      <c r="GMU169" s="558"/>
      <c r="GMV169" s="558"/>
      <c r="GMW169" s="558"/>
      <c r="GMX169" s="558"/>
      <c r="GMY169" s="558"/>
      <c r="GMZ169" s="558"/>
      <c r="GNA169" s="558"/>
      <c r="GNB169" s="558"/>
      <c r="GNC169" s="558"/>
      <c r="GND169" s="558"/>
      <c r="GNE169" s="558"/>
      <c r="GNF169" s="558"/>
      <c r="GNG169" s="558"/>
      <c r="GNH169" s="558"/>
      <c r="GNI169" s="558"/>
      <c r="GNJ169" s="558"/>
      <c r="GNK169" s="558"/>
      <c r="GNL169" s="558"/>
      <c r="GNM169" s="558"/>
      <c r="GNN169" s="558"/>
      <c r="GNO169" s="558"/>
      <c r="GNP169" s="558"/>
      <c r="GNQ169" s="558"/>
      <c r="GNR169" s="558"/>
      <c r="GNS169" s="558"/>
      <c r="GNT169" s="558"/>
      <c r="GNU169" s="558"/>
      <c r="GNV169" s="558"/>
      <c r="GNW169" s="558"/>
      <c r="GNX169" s="558"/>
      <c r="GNY169" s="558"/>
      <c r="GNZ169" s="558"/>
      <c r="GOA169" s="558"/>
      <c r="GOB169" s="558"/>
      <c r="GOC169" s="558"/>
      <c r="GOD169" s="558"/>
      <c r="GOE169" s="558"/>
      <c r="GOF169" s="558"/>
      <c r="GOG169" s="558"/>
      <c r="GOH169" s="558"/>
      <c r="GOI169" s="558"/>
      <c r="GOJ169" s="558"/>
      <c r="GOK169" s="558"/>
      <c r="GOL169" s="558"/>
      <c r="GOM169" s="558"/>
      <c r="GON169" s="558"/>
      <c r="GOO169" s="558"/>
      <c r="GOP169" s="558"/>
      <c r="GOQ169" s="558"/>
      <c r="GOR169" s="558"/>
      <c r="GOS169" s="558"/>
      <c r="GOT169" s="558"/>
      <c r="GOU169" s="558"/>
      <c r="GOV169" s="558"/>
      <c r="GOW169" s="558"/>
      <c r="GOX169" s="558"/>
      <c r="GOY169" s="558"/>
      <c r="GOZ169" s="558"/>
      <c r="GPA169" s="558"/>
      <c r="GPB169" s="558"/>
      <c r="GPC169" s="558"/>
      <c r="GPD169" s="558"/>
      <c r="GPE169" s="558"/>
      <c r="GPF169" s="558"/>
      <c r="GPG169" s="558"/>
      <c r="GPH169" s="558"/>
      <c r="GPI169" s="558"/>
      <c r="GPJ169" s="558"/>
      <c r="GPK169" s="558"/>
      <c r="GPL169" s="558"/>
      <c r="GPM169" s="558"/>
      <c r="GPN169" s="558"/>
      <c r="GPO169" s="558"/>
      <c r="GPP169" s="558"/>
      <c r="GPQ169" s="558"/>
      <c r="GPR169" s="558"/>
      <c r="GPS169" s="558"/>
      <c r="GPT169" s="558"/>
      <c r="GPU169" s="558"/>
      <c r="GPV169" s="558"/>
      <c r="GPW169" s="558"/>
      <c r="GPX169" s="558"/>
      <c r="GPY169" s="558"/>
      <c r="GPZ169" s="558"/>
      <c r="GQA169" s="558"/>
      <c r="GQB169" s="558"/>
      <c r="GQC169" s="558"/>
      <c r="GQD169" s="558"/>
      <c r="GQE169" s="558"/>
      <c r="GQF169" s="558"/>
      <c r="GQG169" s="558"/>
      <c r="GQH169" s="558"/>
      <c r="GQI169" s="558"/>
      <c r="GQJ169" s="558"/>
      <c r="GQK169" s="558"/>
      <c r="GQL169" s="558"/>
      <c r="GQM169" s="558"/>
      <c r="GQN169" s="558"/>
      <c r="GQO169" s="558"/>
      <c r="GQP169" s="558"/>
      <c r="GQQ169" s="558"/>
      <c r="GQR169" s="558"/>
      <c r="GQS169" s="558"/>
      <c r="GQT169" s="558"/>
      <c r="GQU169" s="558"/>
      <c r="GQV169" s="558"/>
      <c r="GQW169" s="558"/>
      <c r="GQX169" s="558"/>
      <c r="GQY169" s="558"/>
      <c r="GQZ169" s="558"/>
      <c r="GRA169" s="558"/>
      <c r="GRB169" s="558"/>
      <c r="GRC169" s="558"/>
      <c r="GRD169" s="558"/>
      <c r="GRE169" s="558"/>
      <c r="GRF169" s="558"/>
      <c r="GRG169" s="558"/>
      <c r="GRH169" s="558"/>
      <c r="GRI169" s="558"/>
      <c r="GRJ169" s="558"/>
      <c r="GRK169" s="558"/>
      <c r="GRL169" s="558"/>
      <c r="GRM169" s="558"/>
      <c r="GRN169" s="558"/>
      <c r="GRO169" s="558"/>
      <c r="GRP169" s="558"/>
      <c r="GRQ169" s="558"/>
      <c r="GRR169" s="558"/>
      <c r="GRS169" s="558"/>
      <c r="GRT169" s="558"/>
      <c r="GRU169" s="558"/>
      <c r="GRV169" s="558"/>
      <c r="GRW169" s="558"/>
      <c r="GRX169" s="558"/>
      <c r="GRY169" s="558"/>
      <c r="GRZ169" s="558"/>
      <c r="GSA169" s="558"/>
      <c r="GSB169" s="558"/>
      <c r="GSC169" s="558"/>
      <c r="GSD169" s="558"/>
      <c r="GSE169" s="558"/>
      <c r="GSF169" s="558"/>
      <c r="GSG169" s="558"/>
      <c r="GSH169" s="558"/>
      <c r="GSI169" s="558"/>
      <c r="GSJ169" s="558"/>
      <c r="GSK169" s="558"/>
      <c r="GSL169" s="558"/>
      <c r="GSM169" s="558"/>
      <c r="GSN169" s="558"/>
      <c r="GSO169" s="558"/>
      <c r="GSP169" s="558"/>
      <c r="GSQ169" s="558"/>
      <c r="GSR169" s="558"/>
      <c r="GSS169" s="558"/>
      <c r="GST169" s="558"/>
      <c r="GSU169" s="558"/>
      <c r="GSV169" s="558"/>
      <c r="GSW169" s="558"/>
      <c r="GSX169" s="558"/>
      <c r="GSY169" s="558"/>
      <c r="GSZ169" s="558"/>
      <c r="GTA169" s="558"/>
      <c r="GTB169" s="558"/>
      <c r="GTC169" s="558"/>
      <c r="GTD169" s="558"/>
      <c r="GTE169" s="558"/>
      <c r="GTF169" s="558"/>
      <c r="GTG169" s="558"/>
      <c r="GTH169" s="558"/>
      <c r="GTI169" s="558"/>
      <c r="GTJ169" s="558"/>
      <c r="GTK169" s="558"/>
      <c r="GTL169" s="558"/>
      <c r="GTM169" s="558"/>
      <c r="GTN169" s="558"/>
      <c r="GTO169" s="558"/>
      <c r="GTP169" s="558"/>
      <c r="GTQ169" s="558"/>
      <c r="GTR169" s="558"/>
      <c r="GTS169" s="558"/>
      <c r="GTT169" s="558"/>
      <c r="GTU169" s="558"/>
      <c r="GTV169" s="558"/>
      <c r="GTW169" s="558"/>
      <c r="GTX169" s="558"/>
      <c r="GTY169" s="558"/>
      <c r="GTZ169" s="558"/>
      <c r="GUA169" s="558"/>
      <c r="GUB169" s="558"/>
      <c r="GUC169" s="558"/>
      <c r="GUD169" s="558"/>
      <c r="GUE169" s="558"/>
      <c r="GUF169" s="558"/>
      <c r="GUG169" s="558"/>
      <c r="GUH169" s="558"/>
      <c r="GUI169" s="558"/>
      <c r="GUJ169" s="558"/>
      <c r="GUK169" s="558"/>
      <c r="GUL169" s="558"/>
      <c r="GUM169" s="558"/>
      <c r="GUN169" s="558"/>
      <c r="GUO169" s="558"/>
      <c r="GUP169" s="558"/>
      <c r="GUQ169" s="558"/>
      <c r="GUR169" s="558"/>
      <c r="GUS169" s="558"/>
      <c r="GUT169" s="558"/>
      <c r="GUU169" s="558"/>
      <c r="GUV169" s="558"/>
      <c r="GUW169" s="558"/>
      <c r="GUX169" s="558"/>
      <c r="GUY169" s="558"/>
      <c r="GUZ169" s="558"/>
      <c r="GVA169" s="558"/>
      <c r="GVB169" s="558"/>
      <c r="GVC169" s="558"/>
      <c r="GVD169" s="558"/>
      <c r="GVE169" s="558"/>
      <c r="GVF169" s="558"/>
      <c r="GVG169" s="558"/>
      <c r="GVH169" s="558"/>
      <c r="GVI169" s="558"/>
      <c r="GVJ169" s="558"/>
      <c r="GVK169" s="558"/>
      <c r="GVL169" s="558"/>
      <c r="GVM169" s="558"/>
      <c r="GVN169" s="558"/>
      <c r="GVO169" s="558"/>
      <c r="GVP169" s="558"/>
      <c r="GVQ169" s="558"/>
      <c r="GVR169" s="558"/>
      <c r="GVS169" s="558"/>
      <c r="GVT169" s="558"/>
      <c r="GVU169" s="558"/>
      <c r="GVV169" s="558"/>
      <c r="GVW169" s="558"/>
      <c r="GVX169" s="558"/>
      <c r="GVY169" s="558"/>
      <c r="GVZ169" s="558"/>
      <c r="GWA169" s="558"/>
      <c r="GWB169" s="558"/>
      <c r="GWC169" s="558"/>
      <c r="GWD169" s="558"/>
      <c r="GWE169" s="558"/>
      <c r="GWF169" s="558"/>
      <c r="GWG169" s="558"/>
      <c r="GWH169" s="558"/>
      <c r="GWI169" s="558"/>
      <c r="GWJ169" s="558"/>
      <c r="GWK169" s="558"/>
      <c r="GWL169" s="558"/>
      <c r="GWM169" s="558"/>
      <c r="GWN169" s="558"/>
      <c r="GWO169" s="558"/>
      <c r="GWP169" s="558"/>
      <c r="GWQ169" s="558"/>
      <c r="GWR169" s="558"/>
      <c r="GWS169" s="558"/>
      <c r="GWT169" s="558"/>
      <c r="GWU169" s="558"/>
      <c r="GWV169" s="558"/>
      <c r="GWW169" s="558"/>
      <c r="GWX169" s="558"/>
      <c r="GWY169" s="558"/>
      <c r="GWZ169" s="558"/>
      <c r="GXA169" s="558"/>
      <c r="GXB169" s="558"/>
      <c r="GXC169" s="558"/>
      <c r="GXD169" s="558"/>
      <c r="GXE169" s="558"/>
      <c r="GXF169" s="558"/>
      <c r="GXG169" s="558"/>
      <c r="GXH169" s="558"/>
      <c r="GXI169" s="558"/>
      <c r="GXJ169" s="558"/>
      <c r="GXK169" s="558"/>
      <c r="GXL169" s="558"/>
      <c r="GXM169" s="558"/>
      <c r="GXN169" s="558"/>
      <c r="GXO169" s="558"/>
      <c r="GXP169" s="558"/>
      <c r="GXQ169" s="558"/>
      <c r="GXR169" s="558"/>
      <c r="GXS169" s="558"/>
      <c r="GXT169" s="558"/>
      <c r="GXU169" s="558"/>
      <c r="GXV169" s="558"/>
      <c r="GXW169" s="558"/>
      <c r="GXX169" s="558"/>
      <c r="GXY169" s="558"/>
      <c r="GXZ169" s="558"/>
      <c r="GYA169" s="558"/>
      <c r="GYB169" s="558"/>
      <c r="GYC169" s="558"/>
      <c r="GYD169" s="558"/>
      <c r="GYE169" s="558"/>
      <c r="GYF169" s="558"/>
      <c r="GYG169" s="558"/>
      <c r="GYH169" s="558"/>
      <c r="GYI169" s="558"/>
      <c r="GYJ169" s="558"/>
      <c r="GYK169" s="558"/>
      <c r="GYL169" s="558"/>
      <c r="GYM169" s="558"/>
      <c r="GYN169" s="558"/>
      <c r="GYO169" s="558"/>
      <c r="GYP169" s="558"/>
      <c r="GYQ169" s="558"/>
      <c r="GYR169" s="558"/>
      <c r="GYS169" s="558"/>
      <c r="GYT169" s="558"/>
      <c r="GYU169" s="558"/>
      <c r="GYV169" s="558"/>
      <c r="GYW169" s="558"/>
      <c r="GYX169" s="558"/>
      <c r="GYY169" s="558"/>
      <c r="GYZ169" s="558"/>
      <c r="GZA169" s="558"/>
      <c r="GZB169" s="558"/>
      <c r="GZC169" s="558"/>
      <c r="GZD169" s="558"/>
      <c r="GZE169" s="558"/>
      <c r="GZF169" s="558"/>
      <c r="GZG169" s="558"/>
      <c r="GZH169" s="558"/>
      <c r="GZI169" s="558"/>
      <c r="GZJ169" s="558"/>
      <c r="GZK169" s="558"/>
      <c r="GZL169" s="558"/>
      <c r="GZM169" s="558"/>
      <c r="GZN169" s="558"/>
      <c r="GZO169" s="558"/>
      <c r="GZP169" s="558"/>
      <c r="GZQ169" s="558"/>
      <c r="GZR169" s="558"/>
      <c r="GZS169" s="558"/>
      <c r="GZT169" s="558"/>
      <c r="GZU169" s="558"/>
      <c r="GZV169" s="558"/>
      <c r="GZW169" s="558"/>
      <c r="GZX169" s="558"/>
      <c r="GZY169" s="558"/>
      <c r="GZZ169" s="558"/>
      <c r="HAA169" s="558"/>
      <c r="HAB169" s="558"/>
      <c r="HAC169" s="558"/>
      <c r="HAD169" s="558"/>
      <c r="HAE169" s="558"/>
      <c r="HAF169" s="558"/>
      <c r="HAG169" s="558"/>
      <c r="HAH169" s="558"/>
      <c r="HAI169" s="558"/>
      <c r="HAJ169" s="558"/>
      <c r="HAK169" s="558"/>
      <c r="HAL169" s="558"/>
      <c r="HAM169" s="558"/>
      <c r="HAN169" s="558"/>
      <c r="HAO169" s="558"/>
      <c r="HAP169" s="558"/>
      <c r="HAQ169" s="558"/>
      <c r="HAR169" s="558"/>
      <c r="HAS169" s="558"/>
      <c r="HAT169" s="558"/>
      <c r="HAU169" s="558"/>
      <c r="HAV169" s="558"/>
      <c r="HAW169" s="558"/>
      <c r="HAX169" s="558"/>
      <c r="HAY169" s="558"/>
      <c r="HAZ169" s="558"/>
      <c r="HBA169" s="558"/>
      <c r="HBB169" s="558"/>
      <c r="HBC169" s="558"/>
      <c r="HBD169" s="558"/>
      <c r="HBE169" s="558"/>
      <c r="HBF169" s="558"/>
      <c r="HBG169" s="558"/>
      <c r="HBH169" s="558"/>
      <c r="HBI169" s="558"/>
      <c r="HBJ169" s="558"/>
      <c r="HBK169" s="558"/>
      <c r="HBL169" s="558"/>
      <c r="HBM169" s="558"/>
      <c r="HBN169" s="558"/>
      <c r="HBO169" s="558"/>
      <c r="HBP169" s="558"/>
      <c r="HBQ169" s="558"/>
      <c r="HBR169" s="558"/>
      <c r="HBS169" s="558"/>
      <c r="HBT169" s="558"/>
      <c r="HBU169" s="558"/>
      <c r="HBV169" s="558"/>
      <c r="HBW169" s="558"/>
      <c r="HBX169" s="558"/>
      <c r="HBY169" s="558"/>
      <c r="HBZ169" s="558"/>
      <c r="HCA169" s="558"/>
      <c r="HCB169" s="558"/>
      <c r="HCC169" s="558"/>
      <c r="HCD169" s="558"/>
      <c r="HCE169" s="558"/>
      <c r="HCF169" s="558"/>
      <c r="HCG169" s="558"/>
      <c r="HCH169" s="558"/>
      <c r="HCI169" s="558"/>
      <c r="HCJ169" s="558"/>
      <c r="HCK169" s="558"/>
      <c r="HCL169" s="558"/>
      <c r="HCM169" s="558"/>
      <c r="HCN169" s="558"/>
      <c r="HCO169" s="558"/>
      <c r="HCP169" s="558"/>
      <c r="HCQ169" s="558"/>
      <c r="HCR169" s="558"/>
      <c r="HCS169" s="558"/>
      <c r="HCT169" s="558"/>
      <c r="HCU169" s="558"/>
      <c r="HCV169" s="558"/>
      <c r="HCW169" s="558"/>
      <c r="HCX169" s="558"/>
      <c r="HCY169" s="558"/>
      <c r="HCZ169" s="558"/>
      <c r="HDA169" s="558"/>
      <c r="HDB169" s="558"/>
      <c r="HDC169" s="558"/>
      <c r="HDD169" s="558"/>
      <c r="HDE169" s="558"/>
      <c r="HDF169" s="558"/>
      <c r="HDG169" s="558"/>
      <c r="HDH169" s="558"/>
      <c r="HDI169" s="558"/>
      <c r="HDJ169" s="558"/>
      <c r="HDK169" s="558"/>
      <c r="HDL169" s="558"/>
      <c r="HDM169" s="558"/>
      <c r="HDN169" s="558"/>
      <c r="HDO169" s="558"/>
      <c r="HDP169" s="558"/>
      <c r="HDQ169" s="558"/>
      <c r="HDR169" s="558"/>
      <c r="HDS169" s="558"/>
      <c r="HDT169" s="558"/>
      <c r="HDU169" s="558"/>
      <c r="HDV169" s="558"/>
      <c r="HDW169" s="558"/>
      <c r="HDX169" s="558"/>
      <c r="HDY169" s="558"/>
      <c r="HDZ169" s="558"/>
      <c r="HEA169" s="558"/>
      <c r="HEB169" s="558"/>
      <c r="HEC169" s="558"/>
      <c r="HED169" s="558"/>
      <c r="HEE169" s="558"/>
      <c r="HEF169" s="558"/>
      <c r="HEG169" s="558"/>
      <c r="HEH169" s="558"/>
      <c r="HEI169" s="558"/>
      <c r="HEJ169" s="558"/>
      <c r="HEK169" s="558"/>
      <c r="HEL169" s="558"/>
      <c r="HEM169" s="558"/>
      <c r="HEN169" s="558"/>
      <c r="HEO169" s="558"/>
      <c r="HEP169" s="558"/>
      <c r="HEQ169" s="558"/>
      <c r="HER169" s="558"/>
      <c r="HES169" s="558"/>
      <c r="HET169" s="558"/>
      <c r="HEU169" s="558"/>
      <c r="HEV169" s="558"/>
      <c r="HEW169" s="558"/>
      <c r="HEX169" s="558"/>
      <c r="HEY169" s="558"/>
      <c r="HEZ169" s="558"/>
      <c r="HFA169" s="558"/>
      <c r="HFB169" s="558"/>
      <c r="HFC169" s="558"/>
      <c r="HFD169" s="558"/>
      <c r="HFE169" s="558"/>
      <c r="HFF169" s="558"/>
      <c r="HFG169" s="558"/>
      <c r="HFH169" s="558"/>
      <c r="HFI169" s="558"/>
      <c r="HFJ169" s="558"/>
      <c r="HFK169" s="558"/>
      <c r="HFL169" s="558"/>
      <c r="HFM169" s="558"/>
      <c r="HFN169" s="558"/>
      <c r="HFO169" s="558"/>
      <c r="HFP169" s="558"/>
      <c r="HFQ169" s="558"/>
      <c r="HFR169" s="558"/>
      <c r="HFS169" s="558"/>
      <c r="HFT169" s="558"/>
      <c r="HFU169" s="558"/>
      <c r="HFV169" s="558"/>
      <c r="HFW169" s="558"/>
      <c r="HFX169" s="558"/>
      <c r="HFY169" s="558"/>
      <c r="HFZ169" s="558"/>
      <c r="HGA169" s="558"/>
      <c r="HGB169" s="558"/>
      <c r="HGC169" s="558"/>
      <c r="HGD169" s="558"/>
      <c r="HGE169" s="558"/>
      <c r="HGF169" s="558"/>
      <c r="HGG169" s="558"/>
      <c r="HGH169" s="558"/>
      <c r="HGI169" s="558"/>
      <c r="HGJ169" s="558"/>
      <c r="HGK169" s="558"/>
      <c r="HGL169" s="558"/>
      <c r="HGM169" s="558"/>
      <c r="HGN169" s="558"/>
      <c r="HGO169" s="558"/>
      <c r="HGP169" s="558"/>
      <c r="HGQ169" s="558"/>
      <c r="HGR169" s="558"/>
      <c r="HGS169" s="558"/>
      <c r="HGT169" s="558"/>
      <c r="HGU169" s="558"/>
      <c r="HGV169" s="558"/>
      <c r="HGW169" s="558"/>
      <c r="HGX169" s="558"/>
      <c r="HGY169" s="558"/>
      <c r="HGZ169" s="558"/>
      <c r="HHA169" s="558"/>
      <c r="HHB169" s="558"/>
      <c r="HHC169" s="558"/>
      <c r="HHD169" s="558"/>
      <c r="HHE169" s="558"/>
      <c r="HHF169" s="558"/>
      <c r="HHG169" s="558"/>
      <c r="HHH169" s="558"/>
      <c r="HHI169" s="558"/>
      <c r="HHJ169" s="558"/>
      <c r="HHK169" s="558"/>
      <c r="HHL169" s="558"/>
      <c r="HHM169" s="558"/>
      <c r="HHN169" s="558"/>
      <c r="HHO169" s="558"/>
      <c r="HHP169" s="558"/>
      <c r="HHQ169" s="558"/>
      <c r="HHR169" s="558"/>
      <c r="HHS169" s="558"/>
      <c r="HHT169" s="558"/>
      <c r="HHU169" s="558"/>
      <c r="HHV169" s="558"/>
      <c r="HHW169" s="558"/>
      <c r="HHX169" s="558"/>
      <c r="HHY169" s="558"/>
      <c r="HHZ169" s="558"/>
      <c r="HIA169" s="558"/>
      <c r="HIB169" s="558"/>
      <c r="HIC169" s="558"/>
      <c r="HID169" s="558"/>
      <c r="HIE169" s="558"/>
      <c r="HIF169" s="558"/>
      <c r="HIG169" s="558"/>
      <c r="HIH169" s="558"/>
      <c r="HII169" s="558"/>
      <c r="HIJ169" s="558"/>
      <c r="HIK169" s="558"/>
      <c r="HIL169" s="558"/>
      <c r="HIM169" s="558"/>
      <c r="HIN169" s="558"/>
      <c r="HIO169" s="558"/>
      <c r="HIP169" s="558"/>
      <c r="HIQ169" s="558"/>
      <c r="HIR169" s="558"/>
      <c r="HIS169" s="558"/>
      <c r="HIT169" s="558"/>
      <c r="HIU169" s="558"/>
      <c r="HIV169" s="558"/>
      <c r="HIW169" s="558"/>
      <c r="HIX169" s="558"/>
      <c r="HIY169" s="558"/>
      <c r="HIZ169" s="558"/>
      <c r="HJA169" s="558"/>
      <c r="HJB169" s="558"/>
      <c r="HJC169" s="558"/>
      <c r="HJD169" s="558"/>
      <c r="HJE169" s="558"/>
      <c r="HJF169" s="558"/>
      <c r="HJG169" s="558"/>
      <c r="HJH169" s="558"/>
      <c r="HJI169" s="558"/>
      <c r="HJJ169" s="558"/>
      <c r="HJK169" s="558"/>
      <c r="HJL169" s="558"/>
      <c r="HJM169" s="558"/>
      <c r="HJN169" s="558"/>
      <c r="HJO169" s="558"/>
      <c r="HJP169" s="558"/>
      <c r="HJQ169" s="558"/>
      <c r="HJR169" s="558"/>
      <c r="HJS169" s="558"/>
      <c r="HJT169" s="558"/>
      <c r="HJU169" s="558"/>
      <c r="HJV169" s="558"/>
      <c r="HJW169" s="558"/>
      <c r="HJX169" s="558"/>
      <c r="HJY169" s="558"/>
      <c r="HJZ169" s="558"/>
      <c r="HKA169" s="558"/>
      <c r="HKB169" s="558"/>
      <c r="HKC169" s="558"/>
      <c r="HKD169" s="558"/>
      <c r="HKE169" s="558"/>
      <c r="HKF169" s="558"/>
      <c r="HKG169" s="558"/>
      <c r="HKH169" s="558"/>
      <c r="HKI169" s="558"/>
      <c r="HKJ169" s="558"/>
      <c r="HKK169" s="558"/>
      <c r="HKL169" s="558"/>
      <c r="HKM169" s="558"/>
      <c r="HKN169" s="558"/>
      <c r="HKO169" s="558"/>
      <c r="HKP169" s="558"/>
      <c r="HKQ169" s="558"/>
      <c r="HKR169" s="558"/>
      <c r="HKS169" s="558"/>
      <c r="HKT169" s="558"/>
      <c r="HKU169" s="558"/>
      <c r="HKV169" s="558"/>
      <c r="HKW169" s="558"/>
      <c r="HKX169" s="558"/>
      <c r="HKY169" s="558"/>
      <c r="HKZ169" s="558"/>
      <c r="HLA169" s="558"/>
      <c r="HLB169" s="558"/>
      <c r="HLC169" s="558"/>
      <c r="HLD169" s="558"/>
      <c r="HLE169" s="558"/>
      <c r="HLF169" s="558"/>
      <c r="HLG169" s="558"/>
      <c r="HLH169" s="558"/>
      <c r="HLI169" s="558"/>
      <c r="HLJ169" s="558"/>
      <c r="HLK169" s="558"/>
      <c r="HLL169" s="558"/>
      <c r="HLM169" s="558"/>
      <c r="HLN169" s="558"/>
      <c r="HLO169" s="558"/>
      <c r="HLP169" s="558"/>
      <c r="HLQ169" s="558"/>
      <c r="HLR169" s="558"/>
      <c r="HLS169" s="558"/>
      <c r="HLT169" s="558"/>
      <c r="HLU169" s="558"/>
      <c r="HLV169" s="558"/>
      <c r="HLW169" s="558"/>
      <c r="HLX169" s="558"/>
      <c r="HLY169" s="558"/>
      <c r="HLZ169" s="558"/>
      <c r="HMA169" s="558"/>
      <c r="HMB169" s="558"/>
      <c r="HMC169" s="558"/>
      <c r="HMD169" s="558"/>
      <c r="HME169" s="558"/>
      <c r="HMF169" s="558"/>
      <c r="HMG169" s="558"/>
      <c r="HMH169" s="558"/>
      <c r="HMI169" s="558"/>
      <c r="HMJ169" s="558"/>
      <c r="HMK169" s="558"/>
      <c r="HML169" s="558"/>
      <c r="HMM169" s="558"/>
      <c r="HMN169" s="558"/>
      <c r="HMO169" s="558"/>
      <c r="HMP169" s="558"/>
      <c r="HMQ169" s="558"/>
      <c r="HMR169" s="558"/>
      <c r="HMS169" s="558"/>
      <c r="HMT169" s="558"/>
      <c r="HMU169" s="558"/>
      <c r="HMV169" s="558"/>
      <c r="HMW169" s="558"/>
      <c r="HMX169" s="558"/>
      <c r="HMY169" s="558"/>
      <c r="HMZ169" s="558"/>
      <c r="HNA169" s="558"/>
      <c r="HNB169" s="558"/>
      <c r="HNC169" s="558"/>
      <c r="HND169" s="558"/>
      <c r="HNE169" s="558"/>
      <c r="HNF169" s="558"/>
      <c r="HNG169" s="558"/>
      <c r="HNH169" s="558"/>
      <c r="HNI169" s="558"/>
      <c r="HNJ169" s="558"/>
      <c r="HNK169" s="558"/>
      <c r="HNL169" s="558"/>
      <c r="HNM169" s="558"/>
      <c r="HNN169" s="558"/>
      <c r="HNO169" s="558"/>
      <c r="HNP169" s="558"/>
      <c r="HNQ169" s="558"/>
      <c r="HNR169" s="558"/>
      <c r="HNS169" s="558"/>
      <c r="HNT169" s="558"/>
      <c r="HNU169" s="558"/>
      <c r="HNV169" s="558"/>
      <c r="HNW169" s="558"/>
      <c r="HNX169" s="558"/>
      <c r="HNY169" s="558"/>
      <c r="HNZ169" s="558"/>
      <c r="HOA169" s="558"/>
      <c r="HOB169" s="558"/>
      <c r="HOC169" s="558"/>
      <c r="HOD169" s="558"/>
      <c r="HOE169" s="558"/>
      <c r="HOF169" s="558"/>
      <c r="HOG169" s="558"/>
      <c r="HOH169" s="558"/>
      <c r="HOI169" s="558"/>
      <c r="HOJ169" s="558"/>
      <c r="HOK169" s="558"/>
      <c r="HOL169" s="558"/>
      <c r="HOM169" s="558"/>
      <c r="HON169" s="558"/>
      <c r="HOO169" s="558"/>
      <c r="HOP169" s="558"/>
      <c r="HOQ169" s="558"/>
      <c r="HOR169" s="558"/>
      <c r="HOS169" s="558"/>
      <c r="HOT169" s="558"/>
      <c r="HOU169" s="558"/>
      <c r="HOV169" s="558"/>
      <c r="HOW169" s="558"/>
      <c r="HOX169" s="558"/>
      <c r="HOY169" s="558"/>
      <c r="HOZ169" s="558"/>
      <c r="HPA169" s="558"/>
      <c r="HPB169" s="558"/>
      <c r="HPC169" s="558"/>
      <c r="HPD169" s="558"/>
      <c r="HPE169" s="558"/>
      <c r="HPF169" s="558"/>
      <c r="HPG169" s="558"/>
      <c r="HPH169" s="558"/>
      <c r="HPI169" s="558"/>
      <c r="HPJ169" s="558"/>
      <c r="HPK169" s="558"/>
      <c r="HPL169" s="558"/>
      <c r="HPM169" s="558"/>
      <c r="HPN169" s="558"/>
      <c r="HPO169" s="558"/>
      <c r="HPP169" s="558"/>
      <c r="HPQ169" s="558"/>
      <c r="HPR169" s="558"/>
      <c r="HPS169" s="558"/>
      <c r="HPT169" s="558"/>
      <c r="HPU169" s="558"/>
      <c r="HPV169" s="558"/>
      <c r="HPW169" s="558"/>
      <c r="HPX169" s="558"/>
      <c r="HPY169" s="558"/>
      <c r="HPZ169" s="558"/>
      <c r="HQA169" s="558"/>
      <c r="HQB169" s="558"/>
      <c r="HQC169" s="558"/>
      <c r="HQD169" s="558"/>
      <c r="HQE169" s="558"/>
      <c r="HQF169" s="558"/>
      <c r="HQG169" s="558"/>
      <c r="HQH169" s="558"/>
      <c r="HQI169" s="558"/>
      <c r="HQJ169" s="558"/>
      <c r="HQK169" s="558"/>
      <c r="HQL169" s="558"/>
      <c r="HQM169" s="558"/>
      <c r="HQN169" s="558"/>
      <c r="HQO169" s="558"/>
      <c r="HQP169" s="558"/>
      <c r="HQQ169" s="558"/>
      <c r="HQR169" s="558"/>
      <c r="HQS169" s="558"/>
      <c r="HQT169" s="558"/>
      <c r="HQU169" s="558"/>
      <c r="HQV169" s="558"/>
      <c r="HQW169" s="558"/>
      <c r="HQX169" s="558"/>
      <c r="HQY169" s="558"/>
      <c r="HQZ169" s="558"/>
      <c r="HRA169" s="558"/>
      <c r="HRB169" s="558"/>
      <c r="HRC169" s="558"/>
      <c r="HRD169" s="558"/>
      <c r="HRE169" s="558"/>
      <c r="HRF169" s="558"/>
      <c r="HRG169" s="558"/>
      <c r="HRH169" s="558"/>
      <c r="HRI169" s="558"/>
      <c r="HRJ169" s="558"/>
      <c r="HRK169" s="558"/>
      <c r="HRL169" s="558"/>
      <c r="HRM169" s="558"/>
      <c r="HRN169" s="558"/>
      <c r="HRO169" s="558"/>
      <c r="HRP169" s="558"/>
      <c r="HRQ169" s="558"/>
      <c r="HRR169" s="558"/>
      <c r="HRS169" s="558"/>
      <c r="HRT169" s="558"/>
      <c r="HRU169" s="558"/>
      <c r="HRV169" s="558"/>
      <c r="HRW169" s="558"/>
      <c r="HRX169" s="558"/>
      <c r="HRY169" s="558"/>
      <c r="HRZ169" s="558"/>
      <c r="HSA169" s="558"/>
      <c r="HSB169" s="558"/>
      <c r="HSC169" s="558"/>
      <c r="HSD169" s="558"/>
      <c r="HSE169" s="558"/>
      <c r="HSF169" s="558"/>
      <c r="HSG169" s="558"/>
      <c r="HSH169" s="558"/>
      <c r="HSI169" s="558"/>
      <c r="HSJ169" s="558"/>
      <c r="HSK169" s="558"/>
      <c r="HSL169" s="558"/>
      <c r="HSM169" s="558"/>
      <c r="HSN169" s="558"/>
      <c r="HSO169" s="558"/>
      <c r="HSP169" s="558"/>
      <c r="HSQ169" s="558"/>
      <c r="HSR169" s="558"/>
      <c r="HSS169" s="558"/>
      <c r="HST169" s="558"/>
      <c r="HSU169" s="558"/>
      <c r="HSV169" s="558"/>
      <c r="HSW169" s="558"/>
      <c r="HSX169" s="558"/>
      <c r="HSY169" s="558"/>
      <c r="HSZ169" s="558"/>
      <c r="HTA169" s="558"/>
      <c r="HTB169" s="558"/>
      <c r="HTC169" s="558"/>
      <c r="HTD169" s="558"/>
      <c r="HTE169" s="558"/>
      <c r="HTF169" s="558"/>
      <c r="HTG169" s="558"/>
      <c r="HTH169" s="558"/>
      <c r="HTI169" s="558"/>
      <c r="HTJ169" s="558"/>
      <c r="HTK169" s="558"/>
      <c r="HTL169" s="558"/>
      <c r="HTM169" s="558"/>
      <c r="HTN169" s="558"/>
      <c r="HTO169" s="558"/>
      <c r="HTP169" s="558"/>
      <c r="HTQ169" s="558"/>
      <c r="HTR169" s="558"/>
      <c r="HTS169" s="558"/>
      <c r="HTT169" s="558"/>
      <c r="HTU169" s="558"/>
      <c r="HTV169" s="558"/>
      <c r="HTW169" s="558"/>
      <c r="HTX169" s="558"/>
      <c r="HTY169" s="558"/>
      <c r="HTZ169" s="558"/>
      <c r="HUA169" s="558"/>
      <c r="HUB169" s="558"/>
      <c r="HUC169" s="558"/>
      <c r="HUD169" s="558"/>
      <c r="HUE169" s="558"/>
      <c r="HUF169" s="558"/>
      <c r="HUG169" s="558"/>
      <c r="HUH169" s="558"/>
      <c r="HUI169" s="558"/>
      <c r="HUJ169" s="558"/>
      <c r="HUK169" s="558"/>
      <c r="HUL169" s="558"/>
      <c r="HUM169" s="558"/>
      <c r="HUN169" s="558"/>
      <c r="HUO169" s="558"/>
      <c r="HUP169" s="558"/>
      <c r="HUQ169" s="558"/>
      <c r="HUR169" s="558"/>
      <c r="HUS169" s="558"/>
      <c r="HUT169" s="558"/>
      <c r="HUU169" s="558"/>
      <c r="HUV169" s="558"/>
      <c r="HUW169" s="558"/>
      <c r="HUX169" s="558"/>
      <c r="HUY169" s="558"/>
      <c r="HUZ169" s="558"/>
      <c r="HVA169" s="558"/>
      <c r="HVB169" s="558"/>
      <c r="HVC169" s="558"/>
      <c r="HVD169" s="558"/>
      <c r="HVE169" s="558"/>
      <c r="HVF169" s="558"/>
      <c r="HVG169" s="558"/>
      <c r="HVH169" s="558"/>
      <c r="HVI169" s="558"/>
      <c r="HVJ169" s="558"/>
      <c r="HVK169" s="558"/>
      <c r="HVL169" s="558"/>
      <c r="HVM169" s="558"/>
      <c r="HVN169" s="558"/>
      <c r="HVO169" s="558"/>
      <c r="HVP169" s="558"/>
      <c r="HVQ169" s="558"/>
      <c r="HVR169" s="558"/>
      <c r="HVS169" s="558"/>
      <c r="HVT169" s="558"/>
      <c r="HVU169" s="558"/>
      <c r="HVV169" s="558"/>
      <c r="HVW169" s="558"/>
      <c r="HVX169" s="558"/>
      <c r="HVY169" s="558"/>
      <c r="HVZ169" s="558"/>
      <c r="HWA169" s="558"/>
      <c r="HWB169" s="558"/>
      <c r="HWC169" s="558"/>
      <c r="HWD169" s="558"/>
      <c r="HWE169" s="558"/>
      <c r="HWF169" s="558"/>
      <c r="HWG169" s="558"/>
      <c r="HWH169" s="558"/>
      <c r="HWI169" s="558"/>
      <c r="HWJ169" s="558"/>
      <c r="HWK169" s="558"/>
      <c r="HWL169" s="558"/>
      <c r="HWM169" s="558"/>
      <c r="HWN169" s="558"/>
      <c r="HWO169" s="558"/>
      <c r="HWP169" s="558"/>
      <c r="HWQ169" s="558"/>
      <c r="HWR169" s="558"/>
      <c r="HWS169" s="558"/>
      <c r="HWT169" s="558"/>
      <c r="HWU169" s="558"/>
      <c r="HWV169" s="558"/>
      <c r="HWW169" s="558"/>
      <c r="HWX169" s="558"/>
      <c r="HWY169" s="558"/>
      <c r="HWZ169" s="558"/>
      <c r="HXA169" s="558"/>
      <c r="HXB169" s="558"/>
      <c r="HXC169" s="558"/>
      <c r="HXD169" s="558"/>
      <c r="HXE169" s="558"/>
      <c r="HXF169" s="558"/>
      <c r="HXG169" s="558"/>
      <c r="HXH169" s="558"/>
      <c r="HXI169" s="558"/>
      <c r="HXJ169" s="558"/>
      <c r="HXK169" s="558"/>
      <c r="HXL169" s="558"/>
      <c r="HXM169" s="558"/>
      <c r="HXN169" s="558"/>
      <c r="HXO169" s="558"/>
      <c r="HXP169" s="558"/>
      <c r="HXQ169" s="558"/>
      <c r="HXR169" s="558"/>
      <c r="HXS169" s="558"/>
      <c r="HXT169" s="558"/>
      <c r="HXU169" s="558"/>
      <c r="HXV169" s="558"/>
      <c r="HXW169" s="558"/>
      <c r="HXX169" s="558"/>
      <c r="HXY169" s="558"/>
      <c r="HXZ169" s="558"/>
      <c r="HYA169" s="558"/>
      <c r="HYB169" s="558"/>
      <c r="HYC169" s="558"/>
      <c r="HYD169" s="558"/>
      <c r="HYE169" s="558"/>
      <c r="HYF169" s="558"/>
      <c r="HYG169" s="558"/>
      <c r="HYH169" s="558"/>
      <c r="HYI169" s="558"/>
      <c r="HYJ169" s="558"/>
      <c r="HYK169" s="558"/>
      <c r="HYL169" s="558"/>
      <c r="HYM169" s="558"/>
      <c r="HYN169" s="558"/>
      <c r="HYO169" s="558"/>
      <c r="HYP169" s="558"/>
      <c r="HYQ169" s="558"/>
      <c r="HYR169" s="558"/>
      <c r="HYS169" s="558"/>
      <c r="HYT169" s="558"/>
      <c r="HYU169" s="558"/>
      <c r="HYV169" s="558"/>
      <c r="HYW169" s="558"/>
      <c r="HYX169" s="558"/>
      <c r="HYY169" s="558"/>
      <c r="HYZ169" s="558"/>
      <c r="HZA169" s="558"/>
      <c r="HZB169" s="558"/>
      <c r="HZC169" s="558"/>
      <c r="HZD169" s="558"/>
      <c r="HZE169" s="558"/>
      <c r="HZF169" s="558"/>
      <c r="HZG169" s="558"/>
      <c r="HZH169" s="558"/>
      <c r="HZI169" s="558"/>
      <c r="HZJ169" s="558"/>
      <c r="HZK169" s="558"/>
      <c r="HZL169" s="558"/>
      <c r="HZM169" s="558"/>
      <c r="HZN169" s="558"/>
      <c r="HZO169" s="558"/>
      <c r="HZP169" s="558"/>
      <c r="HZQ169" s="558"/>
      <c r="HZR169" s="558"/>
      <c r="HZS169" s="558"/>
      <c r="HZT169" s="558"/>
      <c r="HZU169" s="558"/>
      <c r="HZV169" s="558"/>
      <c r="HZW169" s="558"/>
      <c r="HZX169" s="558"/>
      <c r="HZY169" s="558"/>
      <c r="HZZ169" s="558"/>
      <c r="IAA169" s="558"/>
      <c r="IAB169" s="558"/>
      <c r="IAC169" s="558"/>
      <c r="IAD169" s="558"/>
      <c r="IAE169" s="558"/>
      <c r="IAF169" s="558"/>
      <c r="IAG169" s="558"/>
      <c r="IAH169" s="558"/>
      <c r="IAI169" s="558"/>
      <c r="IAJ169" s="558"/>
      <c r="IAK169" s="558"/>
      <c r="IAL169" s="558"/>
      <c r="IAM169" s="558"/>
      <c r="IAN169" s="558"/>
      <c r="IAO169" s="558"/>
      <c r="IAP169" s="558"/>
      <c r="IAQ169" s="558"/>
      <c r="IAR169" s="558"/>
      <c r="IAS169" s="558"/>
      <c r="IAT169" s="558"/>
      <c r="IAU169" s="558"/>
      <c r="IAV169" s="558"/>
      <c r="IAW169" s="558"/>
      <c r="IAX169" s="558"/>
      <c r="IAY169" s="558"/>
      <c r="IAZ169" s="558"/>
      <c r="IBA169" s="558"/>
      <c r="IBB169" s="558"/>
      <c r="IBC169" s="558"/>
      <c r="IBD169" s="558"/>
      <c r="IBE169" s="558"/>
      <c r="IBF169" s="558"/>
      <c r="IBG169" s="558"/>
      <c r="IBH169" s="558"/>
      <c r="IBI169" s="558"/>
      <c r="IBJ169" s="558"/>
      <c r="IBK169" s="558"/>
      <c r="IBL169" s="558"/>
      <c r="IBM169" s="558"/>
      <c r="IBN169" s="558"/>
      <c r="IBO169" s="558"/>
      <c r="IBP169" s="558"/>
      <c r="IBQ169" s="558"/>
      <c r="IBR169" s="558"/>
      <c r="IBS169" s="558"/>
      <c r="IBT169" s="558"/>
      <c r="IBU169" s="558"/>
      <c r="IBV169" s="558"/>
      <c r="IBW169" s="558"/>
      <c r="IBX169" s="558"/>
      <c r="IBY169" s="558"/>
      <c r="IBZ169" s="558"/>
      <c r="ICA169" s="558"/>
      <c r="ICB169" s="558"/>
      <c r="ICC169" s="558"/>
      <c r="ICD169" s="558"/>
      <c r="ICE169" s="558"/>
      <c r="ICF169" s="558"/>
      <c r="ICG169" s="558"/>
      <c r="ICH169" s="558"/>
      <c r="ICI169" s="558"/>
      <c r="ICJ169" s="558"/>
      <c r="ICK169" s="558"/>
      <c r="ICL169" s="558"/>
      <c r="ICM169" s="558"/>
      <c r="ICN169" s="558"/>
      <c r="ICO169" s="558"/>
      <c r="ICP169" s="558"/>
      <c r="ICQ169" s="558"/>
      <c r="ICR169" s="558"/>
      <c r="ICS169" s="558"/>
      <c r="ICT169" s="558"/>
      <c r="ICU169" s="558"/>
      <c r="ICV169" s="558"/>
      <c r="ICW169" s="558"/>
      <c r="ICX169" s="558"/>
      <c r="ICY169" s="558"/>
      <c r="ICZ169" s="558"/>
      <c r="IDA169" s="558"/>
      <c r="IDB169" s="558"/>
      <c r="IDC169" s="558"/>
      <c r="IDD169" s="558"/>
      <c r="IDE169" s="558"/>
      <c r="IDF169" s="558"/>
      <c r="IDG169" s="558"/>
      <c r="IDH169" s="558"/>
      <c r="IDI169" s="558"/>
      <c r="IDJ169" s="558"/>
      <c r="IDK169" s="558"/>
      <c r="IDL169" s="558"/>
      <c r="IDM169" s="558"/>
      <c r="IDN169" s="558"/>
      <c r="IDO169" s="558"/>
      <c r="IDP169" s="558"/>
      <c r="IDQ169" s="558"/>
      <c r="IDR169" s="558"/>
      <c r="IDS169" s="558"/>
      <c r="IDT169" s="558"/>
      <c r="IDU169" s="558"/>
      <c r="IDV169" s="558"/>
      <c r="IDW169" s="558"/>
      <c r="IDX169" s="558"/>
      <c r="IDY169" s="558"/>
      <c r="IDZ169" s="558"/>
      <c r="IEA169" s="558"/>
      <c r="IEB169" s="558"/>
      <c r="IEC169" s="558"/>
      <c r="IED169" s="558"/>
      <c r="IEE169" s="558"/>
      <c r="IEF169" s="558"/>
      <c r="IEG169" s="558"/>
      <c r="IEH169" s="558"/>
      <c r="IEI169" s="558"/>
      <c r="IEJ169" s="558"/>
      <c r="IEK169" s="558"/>
      <c r="IEL169" s="558"/>
      <c r="IEM169" s="558"/>
      <c r="IEN169" s="558"/>
      <c r="IEO169" s="558"/>
      <c r="IEP169" s="558"/>
      <c r="IEQ169" s="558"/>
      <c r="IER169" s="558"/>
      <c r="IES169" s="558"/>
      <c r="IET169" s="558"/>
      <c r="IEU169" s="558"/>
      <c r="IEV169" s="558"/>
      <c r="IEW169" s="558"/>
      <c r="IEX169" s="558"/>
      <c r="IEY169" s="558"/>
      <c r="IEZ169" s="558"/>
      <c r="IFA169" s="558"/>
      <c r="IFB169" s="558"/>
      <c r="IFC169" s="558"/>
      <c r="IFD169" s="558"/>
      <c r="IFE169" s="558"/>
      <c r="IFF169" s="558"/>
      <c r="IFG169" s="558"/>
      <c r="IFH169" s="558"/>
      <c r="IFI169" s="558"/>
      <c r="IFJ169" s="558"/>
      <c r="IFK169" s="558"/>
      <c r="IFL169" s="558"/>
      <c r="IFM169" s="558"/>
      <c r="IFN169" s="558"/>
      <c r="IFO169" s="558"/>
      <c r="IFP169" s="558"/>
      <c r="IFQ169" s="558"/>
      <c r="IFR169" s="558"/>
      <c r="IFS169" s="558"/>
      <c r="IFT169" s="558"/>
      <c r="IFU169" s="558"/>
      <c r="IFV169" s="558"/>
      <c r="IFW169" s="558"/>
      <c r="IFX169" s="558"/>
      <c r="IFY169" s="558"/>
      <c r="IFZ169" s="558"/>
      <c r="IGA169" s="558"/>
      <c r="IGB169" s="558"/>
      <c r="IGC169" s="558"/>
      <c r="IGD169" s="558"/>
      <c r="IGE169" s="558"/>
      <c r="IGF169" s="558"/>
      <c r="IGG169" s="558"/>
      <c r="IGH169" s="558"/>
      <c r="IGI169" s="558"/>
      <c r="IGJ169" s="558"/>
      <c r="IGK169" s="558"/>
      <c r="IGL169" s="558"/>
      <c r="IGM169" s="558"/>
      <c r="IGN169" s="558"/>
      <c r="IGO169" s="558"/>
      <c r="IGP169" s="558"/>
      <c r="IGQ169" s="558"/>
      <c r="IGR169" s="558"/>
      <c r="IGS169" s="558"/>
      <c r="IGT169" s="558"/>
      <c r="IGU169" s="558"/>
      <c r="IGV169" s="558"/>
      <c r="IGW169" s="558"/>
      <c r="IGX169" s="558"/>
      <c r="IGY169" s="558"/>
      <c r="IGZ169" s="558"/>
      <c r="IHA169" s="558"/>
      <c r="IHB169" s="558"/>
      <c r="IHC169" s="558"/>
      <c r="IHD169" s="558"/>
      <c r="IHE169" s="558"/>
      <c r="IHF169" s="558"/>
      <c r="IHG169" s="558"/>
      <c r="IHH169" s="558"/>
      <c r="IHI169" s="558"/>
      <c r="IHJ169" s="558"/>
      <c r="IHK169" s="558"/>
      <c r="IHL169" s="558"/>
      <c r="IHM169" s="558"/>
      <c r="IHN169" s="558"/>
      <c r="IHO169" s="558"/>
      <c r="IHP169" s="558"/>
      <c r="IHQ169" s="558"/>
      <c r="IHR169" s="558"/>
      <c r="IHS169" s="558"/>
      <c r="IHT169" s="558"/>
      <c r="IHU169" s="558"/>
      <c r="IHV169" s="558"/>
      <c r="IHW169" s="558"/>
      <c r="IHX169" s="558"/>
      <c r="IHY169" s="558"/>
      <c r="IHZ169" s="558"/>
      <c r="IIA169" s="558"/>
      <c r="IIB169" s="558"/>
      <c r="IIC169" s="558"/>
      <c r="IID169" s="558"/>
      <c r="IIE169" s="558"/>
      <c r="IIF169" s="558"/>
      <c r="IIG169" s="558"/>
      <c r="IIH169" s="558"/>
      <c r="III169" s="558"/>
      <c r="IIJ169" s="558"/>
      <c r="IIK169" s="558"/>
      <c r="IIL169" s="558"/>
      <c r="IIM169" s="558"/>
      <c r="IIN169" s="558"/>
      <c r="IIO169" s="558"/>
      <c r="IIP169" s="558"/>
      <c r="IIQ169" s="558"/>
      <c r="IIR169" s="558"/>
      <c r="IIS169" s="558"/>
      <c r="IIT169" s="558"/>
      <c r="IIU169" s="558"/>
      <c r="IIV169" s="558"/>
      <c r="IIW169" s="558"/>
      <c r="IIX169" s="558"/>
      <c r="IIY169" s="558"/>
      <c r="IIZ169" s="558"/>
      <c r="IJA169" s="558"/>
      <c r="IJB169" s="558"/>
      <c r="IJC169" s="558"/>
      <c r="IJD169" s="558"/>
      <c r="IJE169" s="558"/>
      <c r="IJF169" s="558"/>
      <c r="IJG169" s="558"/>
      <c r="IJH169" s="558"/>
      <c r="IJI169" s="558"/>
      <c r="IJJ169" s="558"/>
      <c r="IJK169" s="558"/>
      <c r="IJL169" s="558"/>
      <c r="IJM169" s="558"/>
      <c r="IJN169" s="558"/>
      <c r="IJO169" s="558"/>
      <c r="IJP169" s="558"/>
      <c r="IJQ169" s="558"/>
      <c r="IJR169" s="558"/>
      <c r="IJS169" s="558"/>
      <c r="IJT169" s="558"/>
      <c r="IJU169" s="558"/>
      <c r="IJV169" s="558"/>
      <c r="IJW169" s="558"/>
      <c r="IJX169" s="558"/>
      <c r="IJY169" s="558"/>
      <c r="IJZ169" s="558"/>
      <c r="IKA169" s="558"/>
      <c r="IKB169" s="558"/>
      <c r="IKC169" s="558"/>
      <c r="IKD169" s="558"/>
      <c r="IKE169" s="558"/>
      <c r="IKF169" s="558"/>
      <c r="IKG169" s="558"/>
      <c r="IKH169" s="558"/>
      <c r="IKI169" s="558"/>
      <c r="IKJ169" s="558"/>
      <c r="IKK169" s="558"/>
      <c r="IKL169" s="558"/>
      <c r="IKM169" s="558"/>
      <c r="IKN169" s="558"/>
      <c r="IKO169" s="558"/>
      <c r="IKP169" s="558"/>
      <c r="IKQ169" s="558"/>
      <c r="IKR169" s="558"/>
      <c r="IKS169" s="558"/>
      <c r="IKT169" s="558"/>
      <c r="IKU169" s="558"/>
      <c r="IKV169" s="558"/>
      <c r="IKW169" s="558"/>
      <c r="IKX169" s="558"/>
      <c r="IKY169" s="558"/>
      <c r="IKZ169" s="558"/>
      <c r="ILA169" s="558"/>
      <c r="ILB169" s="558"/>
      <c r="ILC169" s="558"/>
      <c r="ILD169" s="558"/>
      <c r="ILE169" s="558"/>
      <c r="ILF169" s="558"/>
      <c r="ILG169" s="558"/>
      <c r="ILH169" s="558"/>
      <c r="ILI169" s="558"/>
      <c r="ILJ169" s="558"/>
      <c r="ILK169" s="558"/>
      <c r="ILL169" s="558"/>
      <c r="ILM169" s="558"/>
      <c r="ILN169" s="558"/>
      <c r="ILO169" s="558"/>
      <c r="ILP169" s="558"/>
      <c r="ILQ169" s="558"/>
      <c r="ILR169" s="558"/>
      <c r="ILS169" s="558"/>
      <c r="ILT169" s="558"/>
      <c r="ILU169" s="558"/>
      <c r="ILV169" s="558"/>
      <c r="ILW169" s="558"/>
      <c r="ILX169" s="558"/>
      <c r="ILY169" s="558"/>
      <c r="ILZ169" s="558"/>
      <c r="IMA169" s="558"/>
      <c r="IMB169" s="558"/>
      <c r="IMC169" s="558"/>
      <c r="IMD169" s="558"/>
      <c r="IME169" s="558"/>
      <c r="IMF169" s="558"/>
      <c r="IMG169" s="558"/>
      <c r="IMH169" s="558"/>
      <c r="IMI169" s="558"/>
      <c r="IMJ169" s="558"/>
      <c r="IMK169" s="558"/>
      <c r="IML169" s="558"/>
      <c r="IMM169" s="558"/>
      <c r="IMN169" s="558"/>
      <c r="IMO169" s="558"/>
      <c r="IMP169" s="558"/>
      <c r="IMQ169" s="558"/>
      <c r="IMR169" s="558"/>
      <c r="IMS169" s="558"/>
      <c r="IMT169" s="558"/>
      <c r="IMU169" s="558"/>
      <c r="IMV169" s="558"/>
      <c r="IMW169" s="558"/>
      <c r="IMX169" s="558"/>
      <c r="IMY169" s="558"/>
      <c r="IMZ169" s="558"/>
      <c r="INA169" s="558"/>
      <c r="INB169" s="558"/>
      <c r="INC169" s="558"/>
      <c r="IND169" s="558"/>
      <c r="INE169" s="558"/>
      <c r="INF169" s="558"/>
      <c r="ING169" s="558"/>
      <c r="INH169" s="558"/>
      <c r="INI169" s="558"/>
      <c r="INJ169" s="558"/>
      <c r="INK169" s="558"/>
      <c r="INL169" s="558"/>
      <c r="INM169" s="558"/>
      <c r="INN169" s="558"/>
      <c r="INO169" s="558"/>
      <c r="INP169" s="558"/>
      <c r="INQ169" s="558"/>
      <c r="INR169" s="558"/>
      <c r="INS169" s="558"/>
      <c r="INT169" s="558"/>
      <c r="INU169" s="558"/>
      <c r="INV169" s="558"/>
      <c r="INW169" s="558"/>
      <c r="INX169" s="558"/>
      <c r="INY169" s="558"/>
      <c r="INZ169" s="558"/>
      <c r="IOA169" s="558"/>
      <c r="IOB169" s="558"/>
      <c r="IOC169" s="558"/>
      <c r="IOD169" s="558"/>
      <c r="IOE169" s="558"/>
      <c r="IOF169" s="558"/>
      <c r="IOG169" s="558"/>
      <c r="IOH169" s="558"/>
      <c r="IOI169" s="558"/>
      <c r="IOJ169" s="558"/>
      <c r="IOK169" s="558"/>
      <c r="IOL169" s="558"/>
      <c r="IOM169" s="558"/>
      <c r="ION169" s="558"/>
      <c r="IOO169" s="558"/>
      <c r="IOP169" s="558"/>
      <c r="IOQ169" s="558"/>
      <c r="IOR169" s="558"/>
      <c r="IOS169" s="558"/>
      <c r="IOT169" s="558"/>
      <c r="IOU169" s="558"/>
      <c r="IOV169" s="558"/>
      <c r="IOW169" s="558"/>
      <c r="IOX169" s="558"/>
      <c r="IOY169" s="558"/>
      <c r="IOZ169" s="558"/>
      <c r="IPA169" s="558"/>
      <c r="IPB169" s="558"/>
      <c r="IPC169" s="558"/>
      <c r="IPD169" s="558"/>
      <c r="IPE169" s="558"/>
      <c r="IPF169" s="558"/>
      <c r="IPG169" s="558"/>
      <c r="IPH169" s="558"/>
      <c r="IPI169" s="558"/>
      <c r="IPJ169" s="558"/>
      <c r="IPK169" s="558"/>
      <c r="IPL169" s="558"/>
      <c r="IPM169" s="558"/>
      <c r="IPN169" s="558"/>
      <c r="IPO169" s="558"/>
      <c r="IPP169" s="558"/>
      <c r="IPQ169" s="558"/>
      <c r="IPR169" s="558"/>
      <c r="IPS169" s="558"/>
      <c r="IPT169" s="558"/>
      <c r="IPU169" s="558"/>
      <c r="IPV169" s="558"/>
      <c r="IPW169" s="558"/>
      <c r="IPX169" s="558"/>
      <c r="IPY169" s="558"/>
      <c r="IPZ169" s="558"/>
      <c r="IQA169" s="558"/>
      <c r="IQB169" s="558"/>
      <c r="IQC169" s="558"/>
      <c r="IQD169" s="558"/>
      <c r="IQE169" s="558"/>
      <c r="IQF169" s="558"/>
      <c r="IQG169" s="558"/>
      <c r="IQH169" s="558"/>
      <c r="IQI169" s="558"/>
      <c r="IQJ169" s="558"/>
      <c r="IQK169" s="558"/>
      <c r="IQL169" s="558"/>
      <c r="IQM169" s="558"/>
      <c r="IQN169" s="558"/>
      <c r="IQO169" s="558"/>
      <c r="IQP169" s="558"/>
      <c r="IQQ169" s="558"/>
      <c r="IQR169" s="558"/>
      <c r="IQS169" s="558"/>
      <c r="IQT169" s="558"/>
      <c r="IQU169" s="558"/>
      <c r="IQV169" s="558"/>
      <c r="IQW169" s="558"/>
      <c r="IQX169" s="558"/>
      <c r="IQY169" s="558"/>
      <c r="IQZ169" s="558"/>
      <c r="IRA169" s="558"/>
      <c r="IRB169" s="558"/>
      <c r="IRC169" s="558"/>
      <c r="IRD169" s="558"/>
      <c r="IRE169" s="558"/>
      <c r="IRF169" s="558"/>
      <c r="IRG169" s="558"/>
      <c r="IRH169" s="558"/>
      <c r="IRI169" s="558"/>
      <c r="IRJ169" s="558"/>
      <c r="IRK169" s="558"/>
      <c r="IRL169" s="558"/>
      <c r="IRM169" s="558"/>
      <c r="IRN169" s="558"/>
      <c r="IRO169" s="558"/>
      <c r="IRP169" s="558"/>
      <c r="IRQ169" s="558"/>
      <c r="IRR169" s="558"/>
      <c r="IRS169" s="558"/>
      <c r="IRT169" s="558"/>
      <c r="IRU169" s="558"/>
      <c r="IRV169" s="558"/>
      <c r="IRW169" s="558"/>
      <c r="IRX169" s="558"/>
      <c r="IRY169" s="558"/>
      <c r="IRZ169" s="558"/>
      <c r="ISA169" s="558"/>
      <c r="ISB169" s="558"/>
      <c r="ISC169" s="558"/>
      <c r="ISD169" s="558"/>
      <c r="ISE169" s="558"/>
      <c r="ISF169" s="558"/>
      <c r="ISG169" s="558"/>
      <c r="ISH169" s="558"/>
      <c r="ISI169" s="558"/>
      <c r="ISJ169" s="558"/>
      <c r="ISK169" s="558"/>
      <c r="ISL169" s="558"/>
      <c r="ISM169" s="558"/>
      <c r="ISN169" s="558"/>
      <c r="ISO169" s="558"/>
      <c r="ISP169" s="558"/>
      <c r="ISQ169" s="558"/>
      <c r="ISR169" s="558"/>
      <c r="ISS169" s="558"/>
      <c r="IST169" s="558"/>
      <c r="ISU169" s="558"/>
      <c r="ISV169" s="558"/>
      <c r="ISW169" s="558"/>
      <c r="ISX169" s="558"/>
      <c r="ISY169" s="558"/>
      <c r="ISZ169" s="558"/>
      <c r="ITA169" s="558"/>
      <c r="ITB169" s="558"/>
      <c r="ITC169" s="558"/>
      <c r="ITD169" s="558"/>
      <c r="ITE169" s="558"/>
      <c r="ITF169" s="558"/>
      <c r="ITG169" s="558"/>
      <c r="ITH169" s="558"/>
      <c r="ITI169" s="558"/>
      <c r="ITJ169" s="558"/>
      <c r="ITK169" s="558"/>
      <c r="ITL169" s="558"/>
      <c r="ITM169" s="558"/>
      <c r="ITN169" s="558"/>
      <c r="ITO169" s="558"/>
      <c r="ITP169" s="558"/>
      <c r="ITQ169" s="558"/>
      <c r="ITR169" s="558"/>
      <c r="ITS169" s="558"/>
      <c r="ITT169" s="558"/>
      <c r="ITU169" s="558"/>
      <c r="ITV169" s="558"/>
      <c r="ITW169" s="558"/>
      <c r="ITX169" s="558"/>
      <c r="ITY169" s="558"/>
      <c r="ITZ169" s="558"/>
      <c r="IUA169" s="558"/>
      <c r="IUB169" s="558"/>
      <c r="IUC169" s="558"/>
      <c r="IUD169" s="558"/>
      <c r="IUE169" s="558"/>
      <c r="IUF169" s="558"/>
      <c r="IUG169" s="558"/>
      <c r="IUH169" s="558"/>
      <c r="IUI169" s="558"/>
      <c r="IUJ169" s="558"/>
      <c r="IUK169" s="558"/>
      <c r="IUL169" s="558"/>
      <c r="IUM169" s="558"/>
      <c r="IUN169" s="558"/>
      <c r="IUO169" s="558"/>
      <c r="IUP169" s="558"/>
      <c r="IUQ169" s="558"/>
      <c r="IUR169" s="558"/>
      <c r="IUS169" s="558"/>
      <c r="IUT169" s="558"/>
      <c r="IUU169" s="558"/>
      <c r="IUV169" s="558"/>
      <c r="IUW169" s="558"/>
      <c r="IUX169" s="558"/>
      <c r="IUY169" s="558"/>
      <c r="IUZ169" s="558"/>
      <c r="IVA169" s="558"/>
      <c r="IVB169" s="558"/>
      <c r="IVC169" s="558"/>
      <c r="IVD169" s="558"/>
      <c r="IVE169" s="558"/>
      <c r="IVF169" s="558"/>
      <c r="IVG169" s="558"/>
      <c r="IVH169" s="558"/>
      <c r="IVI169" s="558"/>
      <c r="IVJ169" s="558"/>
      <c r="IVK169" s="558"/>
      <c r="IVL169" s="558"/>
      <c r="IVM169" s="558"/>
      <c r="IVN169" s="558"/>
      <c r="IVO169" s="558"/>
      <c r="IVP169" s="558"/>
      <c r="IVQ169" s="558"/>
      <c r="IVR169" s="558"/>
      <c r="IVS169" s="558"/>
      <c r="IVT169" s="558"/>
      <c r="IVU169" s="558"/>
      <c r="IVV169" s="558"/>
      <c r="IVW169" s="558"/>
      <c r="IVX169" s="558"/>
      <c r="IVY169" s="558"/>
      <c r="IVZ169" s="558"/>
      <c r="IWA169" s="558"/>
      <c r="IWB169" s="558"/>
      <c r="IWC169" s="558"/>
      <c r="IWD169" s="558"/>
      <c r="IWE169" s="558"/>
      <c r="IWF169" s="558"/>
      <c r="IWG169" s="558"/>
      <c r="IWH169" s="558"/>
      <c r="IWI169" s="558"/>
      <c r="IWJ169" s="558"/>
      <c r="IWK169" s="558"/>
      <c r="IWL169" s="558"/>
      <c r="IWM169" s="558"/>
      <c r="IWN169" s="558"/>
      <c r="IWO169" s="558"/>
      <c r="IWP169" s="558"/>
      <c r="IWQ169" s="558"/>
      <c r="IWR169" s="558"/>
      <c r="IWS169" s="558"/>
      <c r="IWT169" s="558"/>
      <c r="IWU169" s="558"/>
      <c r="IWV169" s="558"/>
      <c r="IWW169" s="558"/>
      <c r="IWX169" s="558"/>
      <c r="IWY169" s="558"/>
      <c r="IWZ169" s="558"/>
      <c r="IXA169" s="558"/>
      <c r="IXB169" s="558"/>
      <c r="IXC169" s="558"/>
      <c r="IXD169" s="558"/>
      <c r="IXE169" s="558"/>
      <c r="IXF169" s="558"/>
      <c r="IXG169" s="558"/>
      <c r="IXH169" s="558"/>
      <c r="IXI169" s="558"/>
      <c r="IXJ169" s="558"/>
      <c r="IXK169" s="558"/>
      <c r="IXL169" s="558"/>
      <c r="IXM169" s="558"/>
      <c r="IXN169" s="558"/>
      <c r="IXO169" s="558"/>
      <c r="IXP169" s="558"/>
      <c r="IXQ169" s="558"/>
      <c r="IXR169" s="558"/>
      <c r="IXS169" s="558"/>
      <c r="IXT169" s="558"/>
      <c r="IXU169" s="558"/>
      <c r="IXV169" s="558"/>
      <c r="IXW169" s="558"/>
      <c r="IXX169" s="558"/>
      <c r="IXY169" s="558"/>
      <c r="IXZ169" s="558"/>
      <c r="IYA169" s="558"/>
      <c r="IYB169" s="558"/>
      <c r="IYC169" s="558"/>
      <c r="IYD169" s="558"/>
      <c r="IYE169" s="558"/>
      <c r="IYF169" s="558"/>
      <c r="IYG169" s="558"/>
      <c r="IYH169" s="558"/>
      <c r="IYI169" s="558"/>
      <c r="IYJ169" s="558"/>
      <c r="IYK169" s="558"/>
      <c r="IYL169" s="558"/>
      <c r="IYM169" s="558"/>
      <c r="IYN169" s="558"/>
      <c r="IYO169" s="558"/>
      <c r="IYP169" s="558"/>
      <c r="IYQ169" s="558"/>
      <c r="IYR169" s="558"/>
      <c r="IYS169" s="558"/>
      <c r="IYT169" s="558"/>
      <c r="IYU169" s="558"/>
      <c r="IYV169" s="558"/>
      <c r="IYW169" s="558"/>
      <c r="IYX169" s="558"/>
      <c r="IYY169" s="558"/>
      <c r="IYZ169" s="558"/>
      <c r="IZA169" s="558"/>
      <c r="IZB169" s="558"/>
      <c r="IZC169" s="558"/>
      <c r="IZD169" s="558"/>
      <c r="IZE169" s="558"/>
      <c r="IZF169" s="558"/>
      <c r="IZG169" s="558"/>
      <c r="IZH169" s="558"/>
      <c r="IZI169" s="558"/>
      <c r="IZJ169" s="558"/>
      <c r="IZK169" s="558"/>
      <c r="IZL169" s="558"/>
      <c r="IZM169" s="558"/>
      <c r="IZN169" s="558"/>
      <c r="IZO169" s="558"/>
      <c r="IZP169" s="558"/>
      <c r="IZQ169" s="558"/>
      <c r="IZR169" s="558"/>
      <c r="IZS169" s="558"/>
      <c r="IZT169" s="558"/>
      <c r="IZU169" s="558"/>
      <c r="IZV169" s="558"/>
      <c r="IZW169" s="558"/>
      <c r="IZX169" s="558"/>
      <c r="IZY169" s="558"/>
      <c r="IZZ169" s="558"/>
      <c r="JAA169" s="558"/>
      <c r="JAB169" s="558"/>
      <c r="JAC169" s="558"/>
      <c r="JAD169" s="558"/>
      <c r="JAE169" s="558"/>
      <c r="JAF169" s="558"/>
      <c r="JAG169" s="558"/>
      <c r="JAH169" s="558"/>
      <c r="JAI169" s="558"/>
      <c r="JAJ169" s="558"/>
      <c r="JAK169" s="558"/>
      <c r="JAL169" s="558"/>
      <c r="JAM169" s="558"/>
      <c r="JAN169" s="558"/>
      <c r="JAO169" s="558"/>
      <c r="JAP169" s="558"/>
      <c r="JAQ169" s="558"/>
      <c r="JAR169" s="558"/>
      <c r="JAS169" s="558"/>
      <c r="JAT169" s="558"/>
      <c r="JAU169" s="558"/>
      <c r="JAV169" s="558"/>
      <c r="JAW169" s="558"/>
      <c r="JAX169" s="558"/>
      <c r="JAY169" s="558"/>
      <c r="JAZ169" s="558"/>
      <c r="JBA169" s="558"/>
      <c r="JBB169" s="558"/>
      <c r="JBC169" s="558"/>
      <c r="JBD169" s="558"/>
      <c r="JBE169" s="558"/>
      <c r="JBF169" s="558"/>
      <c r="JBG169" s="558"/>
      <c r="JBH169" s="558"/>
      <c r="JBI169" s="558"/>
      <c r="JBJ169" s="558"/>
      <c r="JBK169" s="558"/>
      <c r="JBL169" s="558"/>
      <c r="JBM169" s="558"/>
      <c r="JBN169" s="558"/>
      <c r="JBO169" s="558"/>
      <c r="JBP169" s="558"/>
      <c r="JBQ169" s="558"/>
      <c r="JBR169" s="558"/>
      <c r="JBS169" s="558"/>
      <c r="JBT169" s="558"/>
      <c r="JBU169" s="558"/>
      <c r="JBV169" s="558"/>
      <c r="JBW169" s="558"/>
      <c r="JBX169" s="558"/>
      <c r="JBY169" s="558"/>
      <c r="JBZ169" s="558"/>
      <c r="JCA169" s="558"/>
      <c r="JCB169" s="558"/>
      <c r="JCC169" s="558"/>
      <c r="JCD169" s="558"/>
      <c r="JCE169" s="558"/>
      <c r="JCF169" s="558"/>
      <c r="JCG169" s="558"/>
      <c r="JCH169" s="558"/>
      <c r="JCI169" s="558"/>
      <c r="JCJ169" s="558"/>
      <c r="JCK169" s="558"/>
      <c r="JCL169" s="558"/>
      <c r="JCM169" s="558"/>
      <c r="JCN169" s="558"/>
      <c r="JCO169" s="558"/>
      <c r="JCP169" s="558"/>
      <c r="JCQ169" s="558"/>
      <c r="JCR169" s="558"/>
      <c r="JCS169" s="558"/>
      <c r="JCT169" s="558"/>
      <c r="JCU169" s="558"/>
      <c r="JCV169" s="558"/>
      <c r="JCW169" s="558"/>
      <c r="JCX169" s="558"/>
      <c r="JCY169" s="558"/>
      <c r="JCZ169" s="558"/>
      <c r="JDA169" s="558"/>
      <c r="JDB169" s="558"/>
      <c r="JDC169" s="558"/>
      <c r="JDD169" s="558"/>
      <c r="JDE169" s="558"/>
      <c r="JDF169" s="558"/>
      <c r="JDG169" s="558"/>
      <c r="JDH169" s="558"/>
      <c r="JDI169" s="558"/>
      <c r="JDJ169" s="558"/>
      <c r="JDK169" s="558"/>
      <c r="JDL169" s="558"/>
      <c r="JDM169" s="558"/>
      <c r="JDN169" s="558"/>
      <c r="JDO169" s="558"/>
      <c r="JDP169" s="558"/>
      <c r="JDQ169" s="558"/>
      <c r="JDR169" s="558"/>
      <c r="JDS169" s="558"/>
      <c r="JDT169" s="558"/>
      <c r="JDU169" s="558"/>
      <c r="JDV169" s="558"/>
      <c r="JDW169" s="558"/>
      <c r="JDX169" s="558"/>
      <c r="JDY169" s="558"/>
      <c r="JDZ169" s="558"/>
      <c r="JEA169" s="558"/>
      <c r="JEB169" s="558"/>
      <c r="JEC169" s="558"/>
      <c r="JED169" s="558"/>
      <c r="JEE169" s="558"/>
      <c r="JEF169" s="558"/>
      <c r="JEG169" s="558"/>
      <c r="JEH169" s="558"/>
      <c r="JEI169" s="558"/>
      <c r="JEJ169" s="558"/>
      <c r="JEK169" s="558"/>
      <c r="JEL169" s="558"/>
      <c r="JEM169" s="558"/>
      <c r="JEN169" s="558"/>
      <c r="JEO169" s="558"/>
      <c r="JEP169" s="558"/>
      <c r="JEQ169" s="558"/>
      <c r="JER169" s="558"/>
      <c r="JES169" s="558"/>
      <c r="JET169" s="558"/>
      <c r="JEU169" s="558"/>
      <c r="JEV169" s="558"/>
      <c r="JEW169" s="558"/>
      <c r="JEX169" s="558"/>
      <c r="JEY169" s="558"/>
      <c r="JEZ169" s="558"/>
      <c r="JFA169" s="558"/>
      <c r="JFB169" s="558"/>
      <c r="JFC169" s="558"/>
      <c r="JFD169" s="558"/>
      <c r="JFE169" s="558"/>
      <c r="JFF169" s="558"/>
      <c r="JFG169" s="558"/>
      <c r="JFH169" s="558"/>
      <c r="JFI169" s="558"/>
      <c r="JFJ169" s="558"/>
      <c r="JFK169" s="558"/>
      <c r="JFL169" s="558"/>
      <c r="JFM169" s="558"/>
      <c r="JFN169" s="558"/>
      <c r="JFO169" s="558"/>
      <c r="JFP169" s="558"/>
      <c r="JFQ169" s="558"/>
      <c r="JFR169" s="558"/>
      <c r="JFS169" s="558"/>
      <c r="JFT169" s="558"/>
      <c r="JFU169" s="558"/>
      <c r="JFV169" s="558"/>
      <c r="JFW169" s="558"/>
      <c r="JFX169" s="558"/>
      <c r="JFY169" s="558"/>
      <c r="JFZ169" s="558"/>
      <c r="JGA169" s="558"/>
      <c r="JGB169" s="558"/>
      <c r="JGC169" s="558"/>
      <c r="JGD169" s="558"/>
      <c r="JGE169" s="558"/>
      <c r="JGF169" s="558"/>
      <c r="JGG169" s="558"/>
      <c r="JGH169" s="558"/>
      <c r="JGI169" s="558"/>
      <c r="JGJ169" s="558"/>
      <c r="JGK169" s="558"/>
      <c r="JGL169" s="558"/>
      <c r="JGM169" s="558"/>
      <c r="JGN169" s="558"/>
      <c r="JGO169" s="558"/>
      <c r="JGP169" s="558"/>
      <c r="JGQ169" s="558"/>
      <c r="JGR169" s="558"/>
      <c r="JGS169" s="558"/>
      <c r="JGT169" s="558"/>
      <c r="JGU169" s="558"/>
      <c r="JGV169" s="558"/>
      <c r="JGW169" s="558"/>
      <c r="JGX169" s="558"/>
      <c r="JGY169" s="558"/>
      <c r="JGZ169" s="558"/>
      <c r="JHA169" s="558"/>
      <c r="JHB169" s="558"/>
      <c r="JHC169" s="558"/>
      <c r="JHD169" s="558"/>
      <c r="JHE169" s="558"/>
      <c r="JHF169" s="558"/>
      <c r="JHG169" s="558"/>
      <c r="JHH169" s="558"/>
      <c r="JHI169" s="558"/>
      <c r="JHJ169" s="558"/>
      <c r="JHK169" s="558"/>
      <c r="JHL169" s="558"/>
      <c r="JHM169" s="558"/>
      <c r="JHN169" s="558"/>
      <c r="JHO169" s="558"/>
      <c r="JHP169" s="558"/>
      <c r="JHQ169" s="558"/>
      <c r="JHR169" s="558"/>
      <c r="JHS169" s="558"/>
      <c r="JHT169" s="558"/>
      <c r="JHU169" s="558"/>
      <c r="JHV169" s="558"/>
      <c r="JHW169" s="558"/>
      <c r="JHX169" s="558"/>
      <c r="JHY169" s="558"/>
      <c r="JHZ169" s="558"/>
      <c r="JIA169" s="558"/>
      <c r="JIB169" s="558"/>
      <c r="JIC169" s="558"/>
      <c r="JID169" s="558"/>
      <c r="JIE169" s="558"/>
      <c r="JIF169" s="558"/>
      <c r="JIG169" s="558"/>
      <c r="JIH169" s="558"/>
      <c r="JII169" s="558"/>
      <c r="JIJ169" s="558"/>
      <c r="JIK169" s="558"/>
      <c r="JIL169" s="558"/>
      <c r="JIM169" s="558"/>
      <c r="JIN169" s="558"/>
      <c r="JIO169" s="558"/>
      <c r="JIP169" s="558"/>
      <c r="JIQ169" s="558"/>
      <c r="JIR169" s="558"/>
      <c r="JIS169" s="558"/>
      <c r="JIT169" s="558"/>
      <c r="JIU169" s="558"/>
      <c r="JIV169" s="558"/>
      <c r="JIW169" s="558"/>
      <c r="JIX169" s="558"/>
      <c r="JIY169" s="558"/>
      <c r="JIZ169" s="558"/>
      <c r="JJA169" s="558"/>
      <c r="JJB169" s="558"/>
      <c r="JJC169" s="558"/>
      <c r="JJD169" s="558"/>
      <c r="JJE169" s="558"/>
      <c r="JJF169" s="558"/>
      <c r="JJG169" s="558"/>
      <c r="JJH169" s="558"/>
      <c r="JJI169" s="558"/>
      <c r="JJJ169" s="558"/>
      <c r="JJK169" s="558"/>
      <c r="JJL169" s="558"/>
      <c r="JJM169" s="558"/>
      <c r="JJN169" s="558"/>
      <c r="JJO169" s="558"/>
      <c r="JJP169" s="558"/>
      <c r="JJQ169" s="558"/>
      <c r="JJR169" s="558"/>
      <c r="JJS169" s="558"/>
      <c r="JJT169" s="558"/>
      <c r="JJU169" s="558"/>
      <c r="JJV169" s="558"/>
      <c r="JJW169" s="558"/>
      <c r="JJX169" s="558"/>
      <c r="JJY169" s="558"/>
      <c r="JJZ169" s="558"/>
      <c r="JKA169" s="558"/>
      <c r="JKB169" s="558"/>
      <c r="JKC169" s="558"/>
      <c r="JKD169" s="558"/>
      <c r="JKE169" s="558"/>
      <c r="JKF169" s="558"/>
      <c r="JKG169" s="558"/>
      <c r="JKH169" s="558"/>
      <c r="JKI169" s="558"/>
      <c r="JKJ169" s="558"/>
      <c r="JKK169" s="558"/>
      <c r="JKL169" s="558"/>
      <c r="JKM169" s="558"/>
      <c r="JKN169" s="558"/>
      <c r="JKO169" s="558"/>
      <c r="JKP169" s="558"/>
      <c r="JKQ169" s="558"/>
      <c r="JKR169" s="558"/>
      <c r="JKS169" s="558"/>
      <c r="JKT169" s="558"/>
      <c r="JKU169" s="558"/>
      <c r="JKV169" s="558"/>
      <c r="JKW169" s="558"/>
      <c r="JKX169" s="558"/>
      <c r="JKY169" s="558"/>
      <c r="JKZ169" s="558"/>
      <c r="JLA169" s="558"/>
      <c r="JLB169" s="558"/>
      <c r="JLC169" s="558"/>
      <c r="JLD169" s="558"/>
      <c r="JLE169" s="558"/>
      <c r="JLF169" s="558"/>
      <c r="JLG169" s="558"/>
      <c r="JLH169" s="558"/>
      <c r="JLI169" s="558"/>
      <c r="JLJ169" s="558"/>
      <c r="JLK169" s="558"/>
      <c r="JLL169" s="558"/>
      <c r="JLM169" s="558"/>
      <c r="JLN169" s="558"/>
      <c r="JLO169" s="558"/>
      <c r="JLP169" s="558"/>
      <c r="JLQ169" s="558"/>
      <c r="JLR169" s="558"/>
      <c r="JLS169" s="558"/>
      <c r="JLT169" s="558"/>
      <c r="JLU169" s="558"/>
      <c r="JLV169" s="558"/>
      <c r="JLW169" s="558"/>
      <c r="JLX169" s="558"/>
      <c r="JLY169" s="558"/>
      <c r="JLZ169" s="558"/>
      <c r="JMA169" s="558"/>
      <c r="JMB169" s="558"/>
      <c r="JMC169" s="558"/>
      <c r="JMD169" s="558"/>
      <c r="JME169" s="558"/>
      <c r="JMF169" s="558"/>
      <c r="JMG169" s="558"/>
      <c r="JMH169" s="558"/>
      <c r="JMI169" s="558"/>
      <c r="JMJ169" s="558"/>
      <c r="JMK169" s="558"/>
      <c r="JML169" s="558"/>
      <c r="JMM169" s="558"/>
      <c r="JMN169" s="558"/>
      <c r="JMO169" s="558"/>
      <c r="JMP169" s="558"/>
      <c r="JMQ169" s="558"/>
      <c r="JMR169" s="558"/>
      <c r="JMS169" s="558"/>
      <c r="JMT169" s="558"/>
      <c r="JMU169" s="558"/>
      <c r="JMV169" s="558"/>
      <c r="JMW169" s="558"/>
      <c r="JMX169" s="558"/>
      <c r="JMY169" s="558"/>
      <c r="JMZ169" s="558"/>
      <c r="JNA169" s="558"/>
      <c r="JNB169" s="558"/>
      <c r="JNC169" s="558"/>
      <c r="JND169" s="558"/>
      <c r="JNE169" s="558"/>
      <c r="JNF169" s="558"/>
      <c r="JNG169" s="558"/>
      <c r="JNH169" s="558"/>
      <c r="JNI169" s="558"/>
      <c r="JNJ169" s="558"/>
      <c r="JNK169" s="558"/>
      <c r="JNL169" s="558"/>
      <c r="JNM169" s="558"/>
      <c r="JNN169" s="558"/>
      <c r="JNO169" s="558"/>
      <c r="JNP169" s="558"/>
      <c r="JNQ169" s="558"/>
      <c r="JNR169" s="558"/>
      <c r="JNS169" s="558"/>
      <c r="JNT169" s="558"/>
      <c r="JNU169" s="558"/>
      <c r="JNV169" s="558"/>
      <c r="JNW169" s="558"/>
      <c r="JNX169" s="558"/>
      <c r="JNY169" s="558"/>
      <c r="JNZ169" s="558"/>
      <c r="JOA169" s="558"/>
      <c r="JOB169" s="558"/>
      <c r="JOC169" s="558"/>
      <c r="JOD169" s="558"/>
      <c r="JOE169" s="558"/>
      <c r="JOF169" s="558"/>
      <c r="JOG169" s="558"/>
      <c r="JOH169" s="558"/>
      <c r="JOI169" s="558"/>
      <c r="JOJ169" s="558"/>
      <c r="JOK169" s="558"/>
      <c r="JOL169" s="558"/>
      <c r="JOM169" s="558"/>
      <c r="JON169" s="558"/>
      <c r="JOO169" s="558"/>
      <c r="JOP169" s="558"/>
      <c r="JOQ169" s="558"/>
      <c r="JOR169" s="558"/>
      <c r="JOS169" s="558"/>
      <c r="JOT169" s="558"/>
      <c r="JOU169" s="558"/>
      <c r="JOV169" s="558"/>
      <c r="JOW169" s="558"/>
      <c r="JOX169" s="558"/>
      <c r="JOY169" s="558"/>
      <c r="JOZ169" s="558"/>
      <c r="JPA169" s="558"/>
      <c r="JPB169" s="558"/>
      <c r="JPC169" s="558"/>
      <c r="JPD169" s="558"/>
      <c r="JPE169" s="558"/>
      <c r="JPF169" s="558"/>
      <c r="JPG169" s="558"/>
      <c r="JPH169" s="558"/>
      <c r="JPI169" s="558"/>
      <c r="JPJ169" s="558"/>
      <c r="JPK169" s="558"/>
      <c r="JPL169" s="558"/>
      <c r="JPM169" s="558"/>
      <c r="JPN169" s="558"/>
      <c r="JPO169" s="558"/>
      <c r="JPP169" s="558"/>
      <c r="JPQ169" s="558"/>
      <c r="JPR169" s="558"/>
      <c r="JPS169" s="558"/>
      <c r="JPT169" s="558"/>
      <c r="JPU169" s="558"/>
      <c r="JPV169" s="558"/>
      <c r="JPW169" s="558"/>
      <c r="JPX169" s="558"/>
      <c r="JPY169" s="558"/>
      <c r="JPZ169" s="558"/>
      <c r="JQA169" s="558"/>
      <c r="JQB169" s="558"/>
      <c r="JQC169" s="558"/>
      <c r="JQD169" s="558"/>
      <c r="JQE169" s="558"/>
      <c r="JQF169" s="558"/>
      <c r="JQG169" s="558"/>
      <c r="JQH169" s="558"/>
      <c r="JQI169" s="558"/>
      <c r="JQJ169" s="558"/>
      <c r="JQK169" s="558"/>
      <c r="JQL169" s="558"/>
      <c r="JQM169" s="558"/>
      <c r="JQN169" s="558"/>
      <c r="JQO169" s="558"/>
      <c r="JQP169" s="558"/>
      <c r="JQQ169" s="558"/>
      <c r="JQR169" s="558"/>
      <c r="JQS169" s="558"/>
      <c r="JQT169" s="558"/>
      <c r="JQU169" s="558"/>
      <c r="JQV169" s="558"/>
      <c r="JQW169" s="558"/>
      <c r="JQX169" s="558"/>
      <c r="JQY169" s="558"/>
      <c r="JQZ169" s="558"/>
      <c r="JRA169" s="558"/>
      <c r="JRB169" s="558"/>
      <c r="JRC169" s="558"/>
      <c r="JRD169" s="558"/>
      <c r="JRE169" s="558"/>
      <c r="JRF169" s="558"/>
      <c r="JRG169" s="558"/>
      <c r="JRH169" s="558"/>
      <c r="JRI169" s="558"/>
      <c r="JRJ169" s="558"/>
      <c r="JRK169" s="558"/>
      <c r="JRL169" s="558"/>
      <c r="JRM169" s="558"/>
      <c r="JRN169" s="558"/>
      <c r="JRO169" s="558"/>
      <c r="JRP169" s="558"/>
      <c r="JRQ169" s="558"/>
      <c r="JRR169" s="558"/>
      <c r="JRS169" s="558"/>
      <c r="JRT169" s="558"/>
      <c r="JRU169" s="558"/>
      <c r="JRV169" s="558"/>
      <c r="JRW169" s="558"/>
      <c r="JRX169" s="558"/>
      <c r="JRY169" s="558"/>
      <c r="JRZ169" s="558"/>
      <c r="JSA169" s="558"/>
      <c r="JSB169" s="558"/>
      <c r="JSC169" s="558"/>
      <c r="JSD169" s="558"/>
      <c r="JSE169" s="558"/>
      <c r="JSF169" s="558"/>
      <c r="JSG169" s="558"/>
      <c r="JSH169" s="558"/>
      <c r="JSI169" s="558"/>
      <c r="JSJ169" s="558"/>
      <c r="JSK169" s="558"/>
      <c r="JSL169" s="558"/>
      <c r="JSM169" s="558"/>
      <c r="JSN169" s="558"/>
      <c r="JSO169" s="558"/>
      <c r="JSP169" s="558"/>
      <c r="JSQ169" s="558"/>
      <c r="JSR169" s="558"/>
      <c r="JSS169" s="558"/>
      <c r="JST169" s="558"/>
      <c r="JSU169" s="558"/>
      <c r="JSV169" s="558"/>
      <c r="JSW169" s="558"/>
      <c r="JSX169" s="558"/>
      <c r="JSY169" s="558"/>
      <c r="JSZ169" s="558"/>
      <c r="JTA169" s="558"/>
      <c r="JTB169" s="558"/>
      <c r="JTC169" s="558"/>
      <c r="JTD169" s="558"/>
      <c r="JTE169" s="558"/>
      <c r="JTF169" s="558"/>
      <c r="JTG169" s="558"/>
      <c r="JTH169" s="558"/>
      <c r="JTI169" s="558"/>
      <c r="JTJ169" s="558"/>
      <c r="JTK169" s="558"/>
      <c r="JTL169" s="558"/>
      <c r="JTM169" s="558"/>
      <c r="JTN169" s="558"/>
      <c r="JTO169" s="558"/>
      <c r="JTP169" s="558"/>
      <c r="JTQ169" s="558"/>
      <c r="JTR169" s="558"/>
      <c r="JTS169" s="558"/>
      <c r="JTT169" s="558"/>
      <c r="JTU169" s="558"/>
      <c r="JTV169" s="558"/>
      <c r="JTW169" s="558"/>
      <c r="JTX169" s="558"/>
      <c r="JTY169" s="558"/>
      <c r="JTZ169" s="558"/>
      <c r="JUA169" s="558"/>
      <c r="JUB169" s="558"/>
      <c r="JUC169" s="558"/>
      <c r="JUD169" s="558"/>
      <c r="JUE169" s="558"/>
      <c r="JUF169" s="558"/>
      <c r="JUG169" s="558"/>
      <c r="JUH169" s="558"/>
      <c r="JUI169" s="558"/>
      <c r="JUJ169" s="558"/>
      <c r="JUK169" s="558"/>
      <c r="JUL169" s="558"/>
      <c r="JUM169" s="558"/>
      <c r="JUN169" s="558"/>
      <c r="JUO169" s="558"/>
      <c r="JUP169" s="558"/>
      <c r="JUQ169" s="558"/>
      <c r="JUR169" s="558"/>
      <c r="JUS169" s="558"/>
      <c r="JUT169" s="558"/>
      <c r="JUU169" s="558"/>
      <c r="JUV169" s="558"/>
      <c r="JUW169" s="558"/>
      <c r="JUX169" s="558"/>
      <c r="JUY169" s="558"/>
      <c r="JUZ169" s="558"/>
      <c r="JVA169" s="558"/>
      <c r="JVB169" s="558"/>
      <c r="JVC169" s="558"/>
      <c r="JVD169" s="558"/>
      <c r="JVE169" s="558"/>
      <c r="JVF169" s="558"/>
      <c r="JVG169" s="558"/>
      <c r="JVH169" s="558"/>
      <c r="JVI169" s="558"/>
      <c r="JVJ169" s="558"/>
      <c r="JVK169" s="558"/>
      <c r="JVL169" s="558"/>
      <c r="JVM169" s="558"/>
      <c r="JVN169" s="558"/>
      <c r="JVO169" s="558"/>
      <c r="JVP169" s="558"/>
      <c r="JVQ169" s="558"/>
      <c r="JVR169" s="558"/>
      <c r="JVS169" s="558"/>
      <c r="JVT169" s="558"/>
      <c r="JVU169" s="558"/>
      <c r="JVV169" s="558"/>
      <c r="JVW169" s="558"/>
      <c r="JVX169" s="558"/>
      <c r="JVY169" s="558"/>
      <c r="JVZ169" s="558"/>
      <c r="JWA169" s="558"/>
      <c r="JWB169" s="558"/>
      <c r="JWC169" s="558"/>
      <c r="JWD169" s="558"/>
      <c r="JWE169" s="558"/>
      <c r="JWF169" s="558"/>
      <c r="JWG169" s="558"/>
      <c r="JWH169" s="558"/>
      <c r="JWI169" s="558"/>
      <c r="JWJ169" s="558"/>
      <c r="JWK169" s="558"/>
      <c r="JWL169" s="558"/>
      <c r="JWM169" s="558"/>
      <c r="JWN169" s="558"/>
      <c r="JWO169" s="558"/>
      <c r="JWP169" s="558"/>
      <c r="JWQ169" s="558"/>
      <c r="JWR169" s="558"/>
      <c r="JWS169" s="558"/>
      <c r="JWT169" s="558"/>
      <c r="JWU169" s="558"/>
      <c r="JWV169" s="558"/>
      <c r="JWW169" s="558"/>
      <c r="JWX169" s="558"/>
      <c r="JWY169" s="558"/>
      <c r="JWZ169" s="558"/>
      <c r="JXA169" s="558"/>
      <c r="JXB169" s="558"/>
      <c r="JXC169" s="558"/>
      <c r="JXD169" s="558"/>
      <c r="JXE169" s="558"/>
      <c r="JXF169" s="558"/>
      <c r="JXG169" s="558"/>
      <c r="JXH169" s="558"/>
      <c r="JXI169" s="558"/>
      <c r="JXJ169" s="558"/>
      <c r="JXK169" s="558"/>
      <c r="JXL169" s="558"/>
      <c r="JXM169" s="558"/>
      <c r="JXN169" s="558"/>
      <c r="JXO169" s="558"/>
      <c r="JXP169" s="558"/>
      <c r="JXQ169" s="558"/>
      <c r="JXR169" s="558"/>
      <c r="JXS169" s="558"/>
      <c r="JXT169" s="558"/>
      <c r="JXU169" s="558"/>
      <c r="JXV169" s="558"/>
      <c r="JXW169" s="558"/>
      <c r="JXX169" s="558"/>
      <c r="JXY169" s="558"/>
      <c r="JXZ169" s="558"/>
      <c r="JYA169" s="558"/>
      <c r="JYB169" s="558"/>
      <c r="JYC169" s="558"/>
      <c r="JYD169" s="558"/>
      <c r="JYE169" s="558"/>
      <c r="JYF169" s="558"/>
      <c r="JYG169" s="558"/>
      <c r="JYH169" s="558"/>
      <c r="JYI169" s="558"/>
      <c r="JYJ169" s="558"/>
      <c r="JYK169" s="558"/>
      <c r="JYL169" s="558"/>
      <c r="JYM169" s="558"/>
      <c r="JYN169" s="558"/>
      <c r="JYO169" s="558"/>
      <c r="JYP169" s="558"/>
      <c r="JYQ169" s="558"/>
      <c r="JYR169" s="558"/>
      <c r="JYS169" s="558"/>
      <c r="JYT169" s="558"/>
      <c r="JYU169" s="558"/>
      <c r="JYV169" s="558"/>
      <c r="JYW169" s="558"/>
      <c r="JYX169" s="558"/>
      <c r="JYY169" s="558"/>
      <c r="JYZ169" s="558"/>
      <c r="JZA169" s="558"/>
      <c r="JZB169" s="558"/>
      <c r="JZC169" s="558"/>
      <c r="JZD169" s="558"/>
      <c r="JZE169" s="558"/>
      <c r="JZF169" s="558"/>
      <c r="JZG169" s="558"/>
      <c r="JZH169" s="558"/>
      <c r="JZI169" s="558"/>
      <c r="JZJ169" s="558"/>
      <c r="JZK169" s="558"/>
      <c r="JZL169" s="558"/>
      <c r="JZM169" s="558"/>
      <c r="JZN169" s="558"/>
      <c r="JZO169" s="558"/>
      <c r="JZP169" s="558"/>
      <c r="JZQ169" s="558"/>
      <c r="JZR169" s="558"/>
      <c r="JZS169" s="558"/>
      <c r="JZT169" s="558"/>
      <c r="JZU169" s="558"/>
      <c r="JZV169" s="558"/>
      <c r="JZW169" s="558"/>
      <c r="JZX169" s="558"/>
      <c r="JZY169" s="558"/>
      <c r="JZZ169" s="558"/>
      <c r="KAA169" s="558"/>
      <c r="KAB169" s="558"/>
      <c r="KAC169" s="558"/>
      <c r="KAD169" s="558"/>
      <c r="KAE169" s="558"/>
      <c r="KAF169" s="558"/>
      <c r="KAG169" s="558"/>
      <c r="KAH169" s="558"/>
      <c r="KAI169" s="558"/>
      <c r="KAJ169" s="558"/>
      <c r="KAK169" s="558"/>
      <c r="KAL169" s="558"/>
      <c r="KAM169" s="558"/>
      <c r="KAN169" s="558"/>
      <c r="KAO169" s="558"/>
      <c r="KAP169" s="558"/>
      <c r="KAQ169" s="558"/>
      <c r="KAR169" s="558"/>
      <c r="KAS169" s="558"/>
      <c r="KAT169" s="558"/>
      <c r="KAU169" s="558"/>
      <c r="KAV169" s="558"/>
      <c r="KAW169" s="558"/>
      <c r="KAX169" s="558"/>
      <c r="KAY169" s="558"/>
      <c r="KAZ169" s="558"/>
      <c r="KBA169" s="558"/>
      <c r="KBB169" s="558"/>
      <c r="KBC169" s="558"/>
      <c r="KBD169" s="558"/>
      <c r="KBE169" s="558"/>
      <c r="KBF169" s="558"/>
      <c r="KBG169" s="558"/>
      <c r="KBH169" s="558"/>
      <c r="KBI169" s="558"/>
      <c r="KBJ169" s="558"/>
      <c r="KBK169" s="558"/>
      <c r="KBL169" s="558"/>
      <c r="KBM169" s="558"/>
      <c r="KBN169" s="558"/>
      <c r="KBO169" s="558"/>
      <c r="KBP169" s="558"/>
      <c r="KBQ169" s="558"/>
      <c r="KBR169" s="558"/>
      <c r="KBS169" s="558"/>
      <c r="KBT169" s="558"/>
      <c r="KBU169" s="558"/>
      <c r="KBV169" s="558"/>
      <c r="KBW169" s="558"/>
      <c r="KBX169" s="558"/>
      <c r="KBY169" s="558"/>
      <c r="KBZ169" s="558"/>
      <c r="KCA169" s="558"/>
      <c r="KCB169" s="558"/>
      <c r="KCC169" s="558"/>
      <c r="KCD169" s="558"/>
      <c r="KCE169" s="558"/>
      <c r="KCF169" s="558"/>
      <c r="KCG169" s="558"/>
      <c r="KCH169" s="558"/>
      <c r="KCI169" s="558"/>
      <c r="KCJ169" s="558"/>
      <c r="KCK169" s="558"/>
      <c r="KCL169" s="558"/>
      <c r="KCM169" s="558"/>
      <c r="KCN169" s="558"/>
      <c r="KCO169" s="558"/>
      <c r="KCP169" s="558"/>
      <c r="KCQ169" s="558"/>
      <c r="KCR169" s="558"/>
      <c r="KCS169" s="558"/>
      <c r="KCT169" s="558"/>
      <c r="KCU169" s="558"/>
      <c r="KCV169" s="558"/>
      <c r="KCW169" s="558"/>
      <c r="KCX169" s="558"/>
      <c r="KCY169" s="558"/>
      <c r="KCZ169" s="558"/>
      <c r="KDA169" s="558"/>
      <c r="KDB169" s="558"/>
      <c r="KDC169" s="558"/>
      <c r="KDD169" s="558"/>
      <c r="KDE169" s="558"/>
      <c r="KDF169" s="558"/>
      <c r="KDG169" s="558"/>
      <c r="KDH169" s="558"/>
      <c r="KDI169" s="558"/>
      <c r="KDJ169" s="558"/>
      <c r="KDK169" s="558"/>
      <c r="KDL169" s="558"/>
      <c r="KDM169" s="558"/>
      <c r="KDN169" s="558"/>
      <c r="KDO169" s="558"/>
      <c r="KDP169" s="558"/>
      <c r="KDQ169" s="558"/>
      <c r="KDR169" s="558"/>
      <c r="KDS169" s="558"/>
      <c r="KDT169" s="558"/>
      <c r="KDU169" s="558"/>
      <c r="KDV169" s="558"/>
      <c r="KDW169" s="558"/>
      <c r="KDX169" s="558"/>
      <c r="KDY169" s="558"/>
      <c r="KDZ169" s="558"/>
      <c r="KEA169" s="558"/>
      <c r="KEB169" s="558"/>
      <c r="KEC169" s="558"/>
      <c r="KED169" s="558"/>
      <c r="KEE169" s="558"/>
      <c r="KEF169" s="558"/>
      <c r="KEG169" s="558"/>
      <c r="KEH169" s="558"/>
      <c r="KEI169" s="558"/>
      <c r="KEJ169" s="558"/>
      <c r="KEK169" s="558"/>
      <c r="KEL169" s="558"/>
      <c r="KEM169" s="558"/>
      <c r="KEN169" s="558"/>
      <c r="KEO169" s="558"/>
      <c r="KEP169" s="558"/>
      <c r="KEQ169" s="558"/>
      <c r="KER169" s="558"/>
      <c r="KES169" s="558"/>
      <c r="KET169" s="558"/>
      <c r="KEU169" s="558"/>
      <c r="KEV169" s="558"/>
      <c r="KEW169" s="558"/>
      <c r="KEX169" s="558"/>
      <c r="KEY169" s="558"/>
      <c r="KEZ169" s="558"/>
      <c r="KFA169" s="558"/>
      <c r="KFB169" s="558"/>
      <c r="KFC169" s="558"/>
      <c r="KFD169" s="558"/>
      <c r="KFE169" s="558"/>
      <c r="KFF169" s="558"/>
      <c r="KFG169" s="558"/>
      <c r="KFH169" s="558"/>
      <c r="KFI169" s="558"/>
      <c r="KFJ169" s="558"/>
      <c r="KFK169" s="558"/>
      <c r="KFL169" s="558"/>
      <c r="KFM169" s="558"/>
      <c r="KFN169" s="558"/>
      <c r="KFO169" s="558"/>
      <c r="KFP169" s="558"/>
      <c r="KFQ169" s="558"/>
      <c r="KFR169" s="558"/>
      <c r="KFS169" s="558"/>
      <c r="KFT169" s="558"/>
      <c r="KFU169" s="558"/>
      <c r="KFV169" s="558"/>
      <c r="KFW169" s="558"/>
      <c r="KFX169" s="558"/>
      <c r="KFY169" s="558"/>
      <c r="KFZ169" s="558"/>
      <c r="KGA169" s="558"/>
      <c r="KGB169" s="558"/>
      <c r="KGC169" s="558"/>
      <c r="KGD169" s="558"/>
      <c r="KGE169" s="558"/>
      <c r="KGF169" s="558"/>
      <c r="KGG169" s="558"/>
      <c r="KGH169" s="558"/>
      <c r="KGI169" s="558"/>
      <c r="KGJ169" s="558"/>
      <c r="KGK169" s="558"/>
      <c r="KGL169" s="558"/>
      <c r="KGM169" s="558"/>
      <c r="KGN169" s="558"/>
      <c r="KGO169" s="558"/>
      <c r="KGP169" s="558"/>
      <c r="KGQ169" s="558"/>
      <c r="KGR169" s="558"/>
      <c r="KGS169" s="558"/>
      <c r="KGT169" s="558"/>
      <c r="KGU169" s="558"/>
      <c r="KGV169" s="558"/>
      <c r="KGW169" s="558"/>
      <c r="KGX169" s="558"/>
      <c r="KGY169" s="558"/>
      <c r="KGZ169" s="558"/>
      <c r="KHA169" s="558"/>
      <c r="KHB169" s="558"/>
      <c r="KHC169" s="558"/>
      <c r="KHD169" s="558"/>
      <c r="KHE169" s="558"/>
      <c r="KHF169" s="558"/>
      <c r="KHG169" s="558"/>
      <c r="KHH169" s="558"/>
      <c r="KHI169" s="558"/>
      <c r="KHJ169" s="558"/>
      <c r="KHK169" s="558"/>
      <c r="KHL169" s="558"/>
      <c r="KHM169" s="558"/>
      <c r="KHN169" s="558"/>
      <c r="KHO169" s="558"/>
      <c r="KHP169" s="558"/>
      <c r="KHQ169" s="558"/>
      <c r="KHR169" s="558"/>
      <c r="KHS169" s="558"/>
      <c r="KHT169" s="558"/>
      <c r="KHU169" s="558"/>
      <c r="KHV169" s="558"/>
      <c r="KHW169" s="558"/>
      <c r="KHX169" s="558"/>
      <c r="KHY169" s="558"/>
      <c r="KHZ169" s="558"/>
      <c r="KIA169" s="558"/>
      <c r="KIB169" s="558"/>
      <c r="KIC169" s="558"/>
      <c r="KID169" s="558"/>
      <c r="KIE169" s="558"/>
      <c r="KIF169" s="558"/>
      <c r="KIG169" s="558"/>
      <c r="KIH169" s="558"/>
      <c r="KII169" s="558"/>
      <c r="KIJ169" s="558"/>
      <c r="KIK169" s="558"/>
      <c r="KIL169" s="558"/>
      <c r="KIM169" s="558"/>
      <c r="KIN169" s="558"/>
      <c r="KIO169" s="558"/>
      <c r="KIP169" s="558"/>
      <c r="KIQ169" s="558"/>
      <c r="KIR169" s="558"/>
      <c r="KIS169" s="558"/>
      <c r="KIT169" s="558"/>
      <c r="KIU169" s="558"/>
      <c r="KIV169" s="558"/>
      <c r="KIW169" s="558"/>
      <c r="KIX169" s="558"/>
      <c r="KIY169" s="558"/>
      <c r="KIZ169" s="558"/>
      <c r="KJA169" s="558"/>
      <c r="KJB169" s="558"/>
      <c r="KJC169" s="558"/>
      <c r="KJD169" s="558"/>
      <c r="KJE169" s="558"/>
      <c r="KJF169" s="558"/>
      <c r="KJG169" s="558"/>
      <c r="KJH169" s="558"/>
      <c r="KJI169" s="558"/>
      <c r="KJJ169" s="558"/>
      <c r="KJK169" s="558"/>
      <c r="KJL169" s="558"/>
      <c r="KJM169" s="558"/>
      <c r="KJN169" s="558"/>
      <c r="KJO169" s="558"/>
      <c r="KJP169" s="558"/>
      <c r="KJQ169" s="558"/>
      <c r="KJR169" s="558"/>
      <c r="KJS169" s="558"/>
      <c r="KJT169" s="558"/>
      <c r="KJU169" s="558"/>
      <c r="KJV169" s="558"/>
      <c r="KJW169" s="558"/>
      <c r="KJX169" s="558"/>
      <c r="KJY169" s="558"/>
      <c r="KJZ169" s="558"/>
      <c r="KKA169" s="558"/>
      <c r="KKB169" s="558"/>
      <c r="KKC169" s="558"/>
      <c r="KKD169" s="558"/>
      <c r="KKE169" s="558"/>
      <c r="KKF169" s="558"/>
      <c r="KKG169" s="558"/>
      <c r="KKH169" s="558"/>
      <c r="KKI169" s="558"/>
      <c r="KKJ169" s="558"/>
      <c r="KKK169" s="558"/>
      <c r="KKL169" s="558"/>
      <c r="KKM169" s="558"/>
      <c r="KKN169" s="558"/>
      <c r="KKO169" s="558"/>
      <c r="KKP169" s="558"/>
      <c r="KKQ169" s="558"/>
      <c r="KKR169" s="558"/>
      <c r="KKS169" s="558"/>
      <c r="KKT169" s="558"/>
      <c r="KKU169" s="558"/>
      <c r="KKV169" s="558"/>
      <c r="KKW169" s="558"/>
      <c r="KKX169" s="558"/>
      <c r="KKY169" s="558"/>
      <c r="KKZ169" s="558"/>
      <c r="KLA169" s="558"/>
      <c r="KLB169" s="558"/>
      <c r="KLC169" s="558"/>
      <c r="KLD169" s="558"/>
      <c r="KLE169" s="558"/>
      <c r="KLF169" s="558"/>
      <c r="KLG169" s="558"/>
      <c r="KLH169" s="558"/>
      <c r="KLI169" s="558"/>
      <c r="KLJ169" s="558"/>
      <c r="KLK169" s="558"/>
      <c r="KLL169" s="558"/>
      <c r="KLM169" s="558"/>
      <c r="KLN169" s="558"/>
      <c r="KLO169" s="558"/>
      <c r="KLP169" s="558"/>
      <c r="KLQ169" s="558"/>
      <c r="KLR169" s="558"/>
      <c r="KLS169" s="558"/>
      <c r="KLT169" s="558"/>
      <c r="KLU169" s="558"/>
      <c r="KLV169" s="558"/>
      <c r="KLW169" s="558"/>
      <c r="KLX169" s="558"/>
      <c r="KLY169" s="558"/>
      <c r="KLZ169" s="558"/>
      <c r="KMA169" s="558"/>
      <c r="KMB169" s="558"/>
      <c r="KMC169" s="558"/>
      <c r="KMD169" s="558"/>
      <c r="KME169" s="558"/>
      <c r="KMF169" s="558"/>
      <c r="KMG169" s="558"/>
      <c r="KMH169" s="558"/>
      <c r="KMI169" s="558"/>
      <c r="KMJ169" s="558"/>
      <c r="KMK169" s="558"/>
      <c r="KML169" s="558"/>
      <c r="KMM169" s="558"/>
      <c r="KMN169" s="558"/>
      <c r="KMO169" s="558"/>
      <c r="KMP169" s="558"/>
      <c r="KMQ169" s="558"/>
      <c r="KMR169" s="558"/>
      <c r="KMS169" s="558"/>
      <c r="KMT169" s="558"/>
      <c r="KMU169" s="558"/>
      <c r="KMV169" s="558"/>
      <c r="KMW169" s="558"/>
      <c r="KMX169" s="558"/>
      <c r="KMY169" s="558"/>
      <c r="KMZ169" s="558"/>
      <c r="KNA169" s="558"/>
      <c r="KNB169" s="558"/>
      <c r="KNC169" s="558"/>
      <c r="KND169" s="558"/>
      <c r="KNE169" s="558"/>
      <c r="KNF169" s="558"/>
      <c r="KNG169" s="558"/>
      <c r="KNH169" s="558"/>
      <c r="KNI169" s="558"/>
      <c r="KNJ169" s="558"/>
      <c r="KNK169" s="558"/>
      <c r="KNL169" s="558"/>
      <c r="KNM169" s="558"/>
      <c r="KNN169" s="558"/>
      <c r="KNO169" s="558"/>
      <c r="KNP169" s="558"/>
      <c r="KNQ169" s="558"/>
      <c r="KNR169" s="558"/>
      <c r="KNS169" s="558"/>
      <c r="KNT169" s="558"/>
      <c r="KNU169" s="558"/>
      <c r="KNV169" s="558"/>
      <c r="KNW169" s="558"/>
      <c r="KNX169" s="558"/>
      <c r="KNY169" s="558"/>
      <c r="KNZ169" s="558"/>
      <c r="KOA169" s="558"/>
      <c r="KOB169" s="558"/>
      <c r="KOC169" s="558"/>
      <c r="KOD169" s="558"/>
      <c r="KOE169" s="558"/>
      <c r="KOF169" s="558"/>
      <c r="KOG169" s="558"/>
      <c r="KOH169" s="558"/>
      <c r="KOI169" s="558"/>
      <c r="KOJ169" s="558"/>
      <c r="KOK169" s="558"/>
      <c r="KOL169" s="558"/>
      <c r="KOM169" s="558"/>
      <c r="KON169" s="558"/>
      <c r="KOO169" s="558"/>
      <c r="KOP169" s="558"/>
      <c r="KOQ169" s="558"/>
      <c r="KOR169" s="558"/>
      <c r="KOS169" s="558"/>
      <c r="KOT169" s="558"/>
      <c r="KOU169" s="558"/>
      <c r="KOV169" s="558"/>
      <c r="KOW169" s="558"/>
      <c r="KOX169" s="558"/>
      <c r="KOY169" s="558"/>
      <c r="KOZ169" s="558"/>
      <c r="KPA169" s="558"/>
      <c r="KPB169" s="558"/>
      <c r="KPC169" s="558"/>
      <c r="KPD169" s="558"/>
      <c r="KPE169" s="558"/>
      <c r="KPF169" s="558"/>
      <c r="KPG169" s="558"/>
      <c r="KPH169" s="558"/>
      <c r="KPI169" s="558"/>
      <c r="KPJ169" s="558"/>
      <c r="KPK169" s="558"/>
      <c r="KPL169" s="558"/>
      <c r="KPM169" s="558"/>
      <c r="KPN169" s="558"/>
      <c r="KPO169" s="558"/>
      <c r="KPP169" s="558"/>
      <c r="KPQ169" s="558"/>
      <c r="KPR169" s="558"/>
      <c r="KPS169" s="558"/>
      <c r="KPT169" s="558"/>
      <c r="KPU169" s="558"/>
      <c r="KPV169" s="558"/>
      <c r="KPW169" s="558"/>
      <c r="KPX169" s="558"/>
      <c r="KPY169" s="558"/>
      <c r="KPZ169" s="558"/>
      <c r="KQA169" s="558"/>
      <c r="KQB169" s="558"/>
      <c r="KQC169" s="558"/>
      <c r="KQD169" s="558"/>
      <c r="KQE169" s="558"/>
      <c r="KQF169" s="558"/>
      <c r="KQG169" s="558"/>
      <c r="KQH169" s="558"/>
      <c r="KQI169" s="558"/>
      <c r="KQJ169" s="558"/>
      <c r="KQK169" s="558"/>
      <c r="KQL169" s="558"/>
      <c r="KQM169" s="558"/>
      <c r="KQN169" s="558"/>
      <c r="KQO169" s="558"/>
      <c r="KQP169" s="558"/>
      <c r="KQQ169" s="558"/>
      <c r="KQR169" s="558"/>
      <c r="KQS169" s="558"/>
      <c r="KQT169" s="558"/>
      <c r="KQU169" s="558"/>
      <c r="KQV169" s="558"/>
      <c r="KQW169" s="558"/>
      <c r="KQX169" s="558"/>
      <c r="KQY169" s="558"/>
      <c r="KQZ169" s="558"/>
      <c r="KRA169" s="558"/>
      <c r="KRB169" s="558"/>
      <c r="KRC169" s="558"/>
      <c r="KRD169" s="558"/>
      <c r="KRE169" s="558"/>
      <c r="KRF169" s="558"/>
      <c r="KRG169" s="558"/>
      <c r="KRH169" s="558"/>
      <c r="KRI169" s="558"/>
      <c r="KRJ169" s="558"/>
      <c r="KRK169" s="558"/>
      <c r="KRL169" s="558"/>
      <c r="KRM169" s="558"/>
      <c r="KRN169" s="558"/>
      <c r="KRO169" s="558"/>
      <c r="KRP169" s="558"/>
      <c r="KRQ169" s="558"/>
      <c r="KRR169" s="558"/>
      <c r="KRS169" s="558"/>
      <c r="KRT169" s="558"/>
      <c r="KRU169" s="558"/>
      <c r="KRV169" s="558"/>
      <c r="KRW169" s="558"/>
      <c r="KRX169" s="558"/>
      <c r="KRY169" s="558"/>
      <c r="KRZ169" s="558"/>
      <c r="KSA169" s="558"/>
      <c r="KSB169" s="558"/>
      <c r="KSC169" s="558"/>
      <c r="KSD169" s="558"/>
      <c r="KSE169" s="558"/>
      <c r="KSF169" s="558"/>
      <c r="KSG169" s="558"/>
      <c r="KSH169" s="558"/>
      <c r="KSI169" s="558"/>
      <c r="KSJ169" s="558"/>
      <c r="KSK169" s="558"/>
      <c r="KSL169" s="558"/>
      <c r="KSM169" s="558"/>
      <c r="KSN169" s="558"/>
      <c r="KSO169" s="558"/>
      <c r="KSP169" s="558"/>
      <c r="KSQ169" s="558"/>
      <c r="KSR169" s="558"/>
      <c r="KSS169" s="558"/>
      <c r="KST169" s="558"/>
      <c r="KSU169" s="558"/>
      <c r="KSV169" s="558"/>
      <c r="KSW169" s="558"/>
      <c r="KSX169" s="558"/>
      <c r="KSY169" s="558"/>
      <c r="KSZ169" s="558"/>
      <c r="KTA169" s="558"/>
      <c r="KTB169" s="558"/>
      <c r="KTC169" s="558"/>
      <c r="KTD169" s="558"/>
      <c r="KTE169" s="558"/>
      <c r="KTF169" s="558"/>
      <c r="KTG169" s="558"/>
      <c r="KTH169" s="558"/>
      <c r="KTI169" s="558"/>
      <c r="KTJ169" s="558"/>
      <c r="KTK169" s="558"/>
      <c r="KTL169" s="558"/>
      <c r="KTM169" s="558"/>
      <c r="KTN169" s="558"/>
      <c r="KTO169" s="558"/>
      <c r="KTP169" s="558"/>
      <c r="KTQ169" s="558"/>
      <c r="KTR169" s="558"/>
      <c r="KTS169" s="558"/>
      <c r="KTT169" s="558"/>
      <c r="KTU169" s="558"/>
      <c r="KTV169" s="558"/>
      <c r="KTW169" s="558"/>
      <c r="KTX169" s="558"/>
      <c r="KTY169" s="558"/>
      <c r="KTZ169" s="558"/>
      <c r="KUA169" s="558"/>
      <c r="KUB169" s="558"/>
      <c r="KUC169" s="558"/>
      <c r="KUD169" s="558"/>
      <c r="KUE169" s="558"/>
      <c r="KUF169" s="558"/>
      <c r="KUG169" s="558"/>
      <c r="KUH169" s="558"/>
      <c r="KUI169" s="558"/>
      <c r="KUJ169" s="558"/>
      <c r="KUK169" s="558"/>
      <c r="KUL169" s="558"/>
      <c r="KUM169" s="558"/>
      <c r="KUN169" s="558"/>
      <c r="KUO169" s="558"/>
      <c r="KUP169" s="558"/>
      <c r="KUQ169" s="558"/>
      <c r="KUR169" s="558"/>
      <c r="KUS169" s="558"/>
      <c r="KUT169" s="558"/>
      <c r="KUU169" s="558"/>
      <c r="KUV169" s="558"/>
      <c r="KUW169" s="558"/>
      <c r="KUX169" s="558"/>
      <c r="KUY169" s="558"/>
      <c r="KUZ169" s="558"/>
      <c r="KVA169" s="558"/>
      <c r="KVB169" s="558"/>
      <c r="KVC169" s="558"/>
      <c r="KVD169" s="558"/>
      <c r="KVE169" s="558"/>
      <c r="KVF169" s="558"/>
      <c r="KVG169" s="558"/>
      <c r="KVH169" s="558"/>
      <c r="KVI169" s="558"/>
      <c r="KVJ169" s="558"/>
      <c r="KVK169" s="558"/>
      <c r="KVL169" s="558"/>
      <c r="KVM169" s="558"/>
      <c r="KVN169" s="558"/>
      <c r="KVO169" s="558"/>
      <c r="KVP169" s="558"/>
      <c r="KVQ169" s="558"/>
      <c r="KVR169" s="558"/>
      <c r="KVS169" s="558"/>
      <c r="KVT169" s="558"/>
      <c r="KVU169" s="558"/>
      <c r="KVV169" s="558"/>
      <c r="KVW169" s="558"/>
      <c r="KVX169" s="558"/>
      <c r="KVY169" s="558"/>
      <c r="KVZ169" s="558"/>
      <c r="KWA169" s="558"/>
      <c r="KWB169" s="558"/>
      <c r="KWC169" s="558"/>
      <c r="KWD169" s="558"/>
      <c r="KWE169" s="558"/>
      <c r="KWF169" s="558"/>
      <c r="KWG169" s="558"/>
      <c r="KWH169" s="558"/>
      <c r="KWI169" s="558"/>
      <c r="KWJ169" s="558"/>
      <c r="KWK169" s="558"/>
      <c r="KWL169" s="558"/>
      <c r="KWM169" s="558"/>
      <c r="KWN169" s="558"/>
      <c r="KWO169" s="558"/>
      <c r="KWP169" s="558"/>
      <c r="KWQ169" s="558"/>
      <c r="KWR169" s="558"/>
      <c r="KWS169" s="558"/>
      <c r="KWT169" s="558"/>
      <c r="KWU169" s="558"/>
      <c r="KWV169" s="558"/>
      <c r="KWW169" s="558"/>
      <c r="KWX169" s="558"/>
      <c r="KWY169" s="558"/>
      <c r="KWZ169" s="558"/>
      <c r="KXA169" s="558"/>
      <c r="KXB169" s="558"/>
      <c r="KXC169" s="558"/>
      <c r="KXD169" s="558"/>
      <c r="KXE169" s="558"/>
      <c r="KXF169" s="558"/>
      <c r="KXG169" s="558"/>
      <c r="KXH169" s="558"/>
      <c r="KXI169" s="558"/>
      <c r="KXJ169" s="558"/>
      <c r="KXK169" s="558"/>
      <c r="KXL169" s="558"/>
      <c r="KXM169" s="558"/>
      <c r="KXN169" s="558"/>
      <c r="KXO169" s="558"/>
      <c r="KXP169" s="558"/>
      <c r="KXQ169" s="558"/>
      <c r="KXR169" s="558"/>
      <c r="KXS169" s="558"/>
      <c r="KXT169" s="558"/>
      <c r="KXU169" s="558"/>
      <c r="KXV169" s="558"/>
      <c r="KXW169" s="558"/>
      <c r="KXX169" s="558"/>
      <c r="KXY169" s="558"/>
      <c r="KXZ169" s="558"/>
      <c r="KYA169" s="558"/>
      <c r="KYB169" s="558"/>
      <c r="KYC169" s="558"/>
      <c r="KYD169" s="558"/>
      <c r="KYE169" s="558"/>
      <c r="KYF169" s="558"/>
      <c r="KYG169" s="558"/>
      <c r="KYH169" s="558"/>
      <c r="KYI169" s="558"/>
      <c r="KYJ169" s="558"/>
      <c r="KYK169" s="558"/>
      <c r="KYL169" s="558"/>
      <c r="KYM169" s="558"/>
      <c r="KYN169" s="558"/>
      <c r="KYO169" s="558"/>
      <c r="KYP169" s="558"/>
      <c r="KYQ169" s="558"/>
      <c r="KYR169" s="558"/>
      <c r="KYS169" s="558"/>
      <c r="KYT169" s="558"/>
      <c r="KYU169" s="558"/>
      <c r="KYV169" s="558"/>
      <c r="KYW169" s="558"/>
      <c r="KYX169" s="558"/>
      <c r="KYY169" s="558"/>
      <c r="KYZ169" s="558"/>
      <c r="KZA169" s="558"/>
      <c r="KZB169" s="558"/>
      <c r="KZC169" s="558"/>
      <c r="KZD169" s="558"/>
      <c r="KZE169" s="558"/>
      <c r="KZF169" s="558"/>
      <c r="KZG169" s="558"/>
      <c r="KZH169" s="558"/>
      <c r="KZI169" s="558"/>
      <c r="KZJ169" s="558"/>
      <c r="KZK169" s="558"/>
      <c r="KZL169" s="558"/>
      <c r="KZM169" s="558"/>
      <c r="KZN169" s="558"/>
      <c r="KZO169" s="558"/>
      <c r="KZP169" s="558"/>
      <c r="KZQ169" s="558"/>
      <c r="KZR169" s="558"/>
      <c r="KZS169" s="558"/>
      <c r="KZT169" s="558"/>
      <c r="KZU169" s="558"/>
      <c r="KZV169" s="558"/>
      <c r="KZW169" s="558"/>
      <c r="KZX169" s="558"/>
      <c r="KZY169" s="558"/>
      <c r="KZZ169" s="558"/>
      <c r="LAA169" s="558"/>
      <c r="LAB169" s="558"/>
      <c r="LAC169" s="558"/>
      <c r="LAD169" s="558"/>
      <c r="LAE169" s="558"/>
      <c r="LAF169" s="558"/>
      <c r="LAG169" s="558"/>
      <c r="LAH169" s="558"/>
      <c r="LAI169" s="558"/>
      <c r="LAJ169" s="558"/>
      <c r="LAK169" s="558"/>
      <c r="LAL169" s="558"/>
      <c r="LAM169" s="558"/>
      <c r="LAN169" s="558"/>
      <c r="LAO169" s="558"/>
      <c r="LAP169" s="558"/>
      <c r="LAQ169" s="558"/>
      <c r="LAR169" s="558"/>
      <c r="LAS169" s="558"/>
      <c r="LAT169" s="558"/>
      <c r="LAU169" s="558"/>
      <c r="LAV169" s="558"/>
      <c r="LAW169" s="558"/>
      <c r="LAX169" s="558"/>
      <c r="LAY169" s="558"/>
      <c r="LAZ169" s="558"/>
      <c r="LBA169" s="558"/>
      <c r="LBB169" s="558"/>
      <c r="LBC169" s="558"/>
      <c r="LBD169" s="558"/>
      <c r="LBE169" s="558"/>
      <c r="LBF169" s="558"/>
      <c r="LBG169" s="558"/>
      <c r="LBH169" s="558"/>
      <c r="LBI169" s="558"/>
      <c r="LBJ169" s="558"/>
      <c r="LBK169" s="558"/>
      <c r="LBL169" s="558"/>
      <c r="LBM169" s="558"/>
      <c r="LBN169" s="558"/>
      <c r="LBO169" s="558"/>
      <c r="LBP169" s="558"/>
      <c r="LBQ169" s="558"/>
      <c r="LBR169" s="558"/>
      <c r="LBS169" s="558"/>
      <c r="LBT169" s="558"/>
      <c r="LBU169" s="558"/>
      <c r="LBV169" s="558"/>
      <c r="LBW169" s="558"/>
      <c r="LBX169" s="558"/>
      <c r="LBY169" s="558"/>
      <c r="LBZ169" s="558"/>
      <c r="LCA169" s="558"/>
      <c r="LCB169" s="558"/>
      <c r="LCC169" s="558"/>
      <c r="LCD169" s="558"/>
      <c r="LCE169" s="558"/>
      <c r="LCF169" s="558"/>
      <c r="LCG169" s="558"/>
      <c r="LCH169" s="558"/>
      <c r="LCI169" s="558"/>
      <c r="LCJ169" s="558"/>
      <c r="LCK169" s="558"/>
      <c r="LCL169" s="558"/>
      <c r="LCM169" s="558"/>
      <c r="LCN169" s="558"/>
      <c r="LCO169" s="558"/>
      <c r="LCP169" s="558"/>
      <c r="LCQ169" s="558"/>
      <c r="LCR169" s="558"/>
      <c r="LCS169" s="558"/>
      <c r="LCT169" s="558"/>
      <c r="LCU169" s="558"/>
      <c r="LCV169" s="558"/>
      <c r="LCW169" s="558"/>
      <c r="LCX169" s="558"/>
      <c r="LCY169" s="558"/>
      <c r="LCZ169" s="558"/>
      <c r="LDA169" s="558"/>
      <c r="LDB169" s="558"/>
      <c r="LDC169" s="558"/>
      <c r="LDD169" s="558"/>
      <c r="LDE169" s="558"/>
      <c r="LDF169" s="558"/>
      <c r="LDG169" s="558"/>
      <c r="LDH169" s="558"/>
      <c r="LDI169" s="558"/>
      <c r="LDJ169" s="558"/>
      <c r="LDK169" s="558"/>
      <c r="LDL169" s="558"/>
      <c r="LDM169" s="558"/>
      <c r="LDN169" s="558"/>
      <c r="LDO169" s="558"/>
      <c r="LDP169" s="558"/>
      <c r="LDQ169" s="558"/>
      <c r="LDR169" s="558"/>
      <c r="LDS169" s="558"/>
      <c r="LDT169" s="558"/>
      <c r="LDU169" s="558"/>
      <c r="LDV169" s="558"/>
      <c r="LDW169" s="558"/>
      <c r="LDX169" s="558"/>
      <c r="LDY169" s="558"/>
      <c r="LDZ169" s="558"/>
      <c r="LEA169" s="558"/>
      <c r="LEB169" s="558"/>
      <c r="LEC169" s="558"/>
      <c r="LED169" s="558"/>
      <c r="LEE169" s="558"/>
      <c r="LEF169" s="558"/>
      <c r="LEG169" s="558"/>
      <c r="LEH169" s="558"/>
      <c r="LEI169" s="558"/>
      <c r="LEJ169" s="558"/>
      <c r="LEK169" s="558"/>
      <c r="LEL169" s="558"/>
      <c r="LEM169" s="558"/>
      <c r="LEN169" s="558"/>
      <c r="LEO169" s="558"/>
      <c r="LEP169" s="558"/>
      <c r="LEQ169" s="558"/>
      <c r="LER169" s="558"/>
      <c r="LES169" s="558"/>
      <c r="LET169" s="558"/>
      <c r="LEU169" s="558"/>
      <c r="LEV169" s="558"/>
      <c r="LEW169" s="558"/>
      <c r="LEX169" s="558"/>
      <c r="LEY169" s="558"/>
      <c r="LEZ169" s="558"/>
      <c r="LFA169" s="558"/>
      <c r="LFB169" s="558"/>
      <c r="LFC169" s="558"/>
      <c r="LFD169" s="558"/>
      <c r="LFE169" s="558"/>
      <c r="LFF169" s="558"/>
      <c r="LFG169" s="558"/>
      <c r="LFH169" s="558"/>
      <c r="LFI169" s="558"/>
      <c r="LFJ169" s="558"/>
      <c r="LFK169" s="558"/>
      <c r="LFL169" s="558"/>
      <c r="LFM169" s="558"/>
      <c r="LFN169" s="558"/>
      <c r="LFO169" s="558"/>
      <c r="LFP169" s="558"/>
      <c r="LFQ169" s="558"/>
      <c r="LFR169" s="558"/>
      <c r="LFS169" s="558"/>
      <c r="LFT169" s="558"/>
      <c r="LFU169" s="558"/>
      <c r="LFV169" s="558"/>
      <c r="LFW169" s="558"/>
      <c r="LFX169" s="558"/>
      <c r="LFY169" s="558"/>
      <c r="LFZ169" s="558"/>
      <c r="LGA169" s="558"/>
      <c r="LGB169" s="558"/>
      <c r="LGC169" s="558"/>
      <c r="LGD169" s="558"/>
      <c r="LGE169" s="558"/>
      <c r="LGF169" s="558"/>
      <c r="LGG169" s="558"/>
      <c r="LGH169" s="558"/>
      <c r="LGI169" s="558"/>
      <c r="LGJ169" s="558"/>
      <c r="LGK169" s="558"/>
      <c r="LGL169" s="558"/>
      <c r="LGM169" s="558"/>
      <c r="LGN169" s="558"/>
      <c r="LGO169" s="558"/>
      <c r="LGP169" s="558"/>
      <c r="LGQ169" s="558"/>
      <c r="LGR169" s="558"/>
      <c r="LGS169" s="558"/>
      <c r="LGT169" s="558"/>
      <c r="LGU169" s="558"/>
      <c r="LGV169" s="558"/>
      <c r="LGW169" s="558"/>
      <c r="LGX169" s="558"/>
      <c r="LGY169" s="558"/>
      <c r="LGZ169" s="558"/>
      <c r="LHA169" s="558"/>
      <c r="LHB169" s="558"/>
      <c r="LHC169" s="558"/>
      <c r="LHD169" s="558"/>
      <c r="LHE169" s="558"/>
      <c r="LHF169" s="558"/>
      <c r="LHG169" s="558"/>
      <c r="LHH169" s="558"/>
      <c r="LHI169" s="558"/>
      <c r="LHJ169" s="558"/>
      <c r="LHK169" s="558"/>
      <c r="LHL169" s="558"/>
      <c r="LHM169" s="558"/>
      <c r="LHN169" s="558"/>
      <c r="LHO169" s="558"/>
      <c r="LHP169" s="558"/>
      <c r="LHQ169" s="558"/>
      <c r="LHR169" s="558"/>
      <c r="LHS169" s="558"/>
      <c r="LHT169" s="558"/>
      <c r="LHU169" s="558"/>
      <c r="LHV169" s="558"/>
      <c r="LHW169" s="558"/>
      <c r="LHX169" s="558"/>
      <c r="LHY169" s="558"/>
      <c r="LHZ169" s="558"/>
      <c r="LIA169" s="558"/>
      <c r="LIB169" s="558"/>
      <c r="LIC169" s="558"/>
      <c r="LID169" s="558"/>
      <c r="LIE169" s="558"/>
      <c r="LIF169" s="558"/>
      <c r="LIG169" s="558"/>
      <c r="LIH169" s="558"/>
      <c r="LII169" s="558"/>
      <c r="LIJ169" s="558"/>
      <c r="LIK169" s="558"/>
      <c r="LIL169" s="558"/>
      <c r="LIM169" s="558"/>
      <c r="LIN169" s="558"/>
      <c r="LIO169" s="558"/>
      <c r="LIP169" s="558"/>
      <c r="LIQ169" s="558"/>
      <c r="LIR169" s="558"/>
      <c r="LIS169" s="558"/>
      <c r="LIT169" s="558"/>
      <c r="LIU169" s="558"/>
      <c r="LIV169" s="558"/>
      <c r="LIW169" s="558"/>
      <c r="LIX169" s="558"/>
      <c r="LIY169" s="558"/>
      <c r="LIZ169" s="558"/>
      <c r="LJA169" s="558"/>
      <c r="LJB169" s="558"/>
      <c r="LJC169" s="558"/>
      <c r="LJD169" s="558"/>
      <c r="LJE169" s="558"/>
      <c r="LJF169" s="558"/>
      <c r="LJG169" s="558"/>
      <c r="LJH169" s="558"/>
      <c r="LJI169" s="558"/>
      <c r="LJJ169" s="558"/>
      <c r="LJK169" s="558"/>
      <c r="LJL169" s="558"/>
      <c r="LJM169" s="558"/>
      <c r="LJN169" s="558"/>
      <c r="LJO169" s="558"/>
      <c r="LJP169" s="558"/>
      <c r="LJQ169" s="558"/>
      <c r="LJR169" s="558"/>
      <c r="LJS169" s="558"/>
      <c r="LJT169" s="558"/>
      <c r="LJU169" s="558"/>
      <c r="LJV169" s="558"/>
      <c r="LJW169" s="558"/>
      <c r="LJX169" s="558"/>
      <c r="LJY169" s="558"/>
      <c r="LJZ169" s="558"/>
      <c r="LKA169" s="558"/>
      <c r="LKB169" s="558"/>
      <c r="LKC169" s="558"/>
      <c r="LKD169" s="558"/>
      <c r="LKE169" s="558"/>
      <c r="LKF169" s="558"/>
      <c r="LKG169" s="558"/>
      <c r="LKH169" s="558"/>
      <c r="LKI169" s="558"/>
      <c r="LKJ169" s="558"/>
      <c r="LKK169" s="558"/>
      <c r="LKL169" s="558"/>
      <c r="LKM169" s="558"/>
      <c r="LKN169" s="558"/>
      <c r="LKO169" s="558"/>
      <c r="LKP169" s="558"/>
      <c r="LKQ169" s="558"/>
      <c r="LKR169" s="558"/>
      <c r="LKS169" s="558"/>
      <c r="LKT169" s="558"/>
      <c r="LKU169" s="558"/>
      <c r="LKV169" s="558"/>
      <c r="LKW169" s="558"/>
      <c r="LKX169" s="558"/>
      <c r="LKY169" s="558"/>
      <c r="LKZ169" s="558"/>
      <c r="LLA169" s="558"/>
      <c r="LLB169" s="558"/>
      <c r="LLC169" s="558"/>
      <c r="LLD169" s="558"/>
      <c r="LLE169" s="558"/>
      <c r="LLF169" s="558"/>
      <c r="LLG169" s="558"/>
      <c r="LLH169" s="558"/>
      <c r="LLI169" s="558"/>
      <c r="LLJ169" s="558"/>
      <c r="LLK169" s="558"/>
      <c r="LLL169" s="558"/>
      <c r="LLM169" s="558"/>
      <c r="LLN169" s="558"/>
      <c r="LLO169" s="558"/>
      <c r="LLP169" s="558"/>
      <c r="LLQ169" s="558"/>
      <c r="LLR169" s="558"/>
      <c r="LLS169" s="558"/>
      <c r="LLT169" s="558"/>
      <c r="LLU169" s="558"/>
      <c r="LLV169" s="558"/>
      <c r="LLW169" s="558"/>
      <c r="LLX169" s="558"/>
      <c r="LLY169" s="558"/>
      <c r="LLZ169" s="558"/>
      <c r="LMA169" s="558"/>
      <c r="LMB169" s="558"/>
      <c r="LMC169" s="558"/>
      <c r="LMD169" s="558"/>
      <c r="LME169" s="558"/>
      <c r="LMF169" s="558"/>
      <c r="LMG169" s="558"/>
      <c r="LMH169" s="558"/>
      <c r="LMI169" s="558"/>
      <c r="LMJ169" s="558"/>
      <c r="LMK169" s="558"/>
      <c r="LML169" s="558"/>
      <c r="LMM169" s="558"/>
      <c r="LMN169" s="558"/>
      <c r="LMO169" s="558"/>
      <c r="LMP169" s="558"/>
      <c r="LMQ169" s="558"/>
      <c r="LMR169" s="558"/>
      <c r="LMS169" s="558"/>
      <c r="LMT169" s="558"/>
      <c r="LMU169" s="558"/>
      <c r="LMV169" s="558"/>
      <c r="LMW169" s="558"/>
      <c r="LMX169" s="558"/>
      <c r="LMY169" s="558"/>
      <c r="LMZ169" s="558"/>
      <c r="LNA169" s="558"/>
      <c r="LNB169" s="558"/>
      <c r="LNC169" s="558"/>
      <c r="LND169" s="558"/>
      <c r="LNE169" s="558"/>
      <c r="LNF169" s="558"/>
      <c r="LNG169" s="558"/>
      <c r="LNH169" s="558"/>
      <c r="LNI169" s="558"/>
      <c r="LNJ169" s="558"/>
      <c r="LNK169" s="558"/>
      <c r="LNL169" s="558"/>
      <c r="LNM169" s="558"/>
      <c r="LNN169" s="558"/>
      <c r="LNO169" s="558"/>
      <c r="LNP169" s="558"/>
      <c r="LNQ169" s="558"/>
      <c r="LNR169" s="558"/>
      <c r="LNS169" s="558"/>
      <c r="LNT169" s="558"/>
      <c r="LNU169" s="558"/>
      <c r="LNV169" s="558"/>
      <c r="LNW169" s="558"/>
      <c r="LNX169" s="558"/>
      <c r="LNY169" s="558"/>
      <c r="LNZ169" s="558"/>
      <c r="LOA169" s="558"/>
      <c r="LOB169" s="558"/>
      <c r="LOC169" s="558"/>
      <c r="LOD169" s="558"/>
      <c r="LOE169" s="558"/>
      <c r="LOF169" s="558"/>
      <c r="LOG169" s="558"/>
      <c r="LOH169" s="558"/>
      <c r="LOI169" s="558"/>
      <c r="LOJ169" s="558"/>
      <c r="LOK169" s="558"/>
      <c r="LOL169" s="558"/>
      <c r="LOM169" s="558"/>
      <c r="LON169" s="558"/>
      <c r="LOO169" s="558"/>
      <c r="LOP169" s="558"/>
      <c r="LOQ169" s="558"/>
      <c r="LOR169" s="558"/>
      <c r="LOS169" s="558"/>
      <c r="LOT169" s="558"/>
      <c r="LOU169" s="558"/>
      <c r="LOV169" s="558"/>
      <c r="LOW169" s="558"/>
      <c r="LOX169" s="558"/>
      <c r="LOY169" s="558"/>
      <c r="LOZ169" s="558"/>
      <c r="LPA169" s="558"/>
      <c r="LPB169" s="558"/>
      <c r="LPC169" s="558"/>
      <c r="LPD169" s="558"/>
      <c r="LPE169" s="558"/>
      <c r="LPF169" s="558"/>
      <c r="LPG169" s="558"/>
      <c r="LPH169" s="558"/>
      <c r="LPI169" s="558"/>
      <c r="LPJ169" s="558"/>
      <c r="LPK169" s="558"/>
      <c r="LPL169" s="558"/>
      <c r="LPM169" s="558"/>
      <c r="LPN169" s="558"/>
      <c r="LPO169" s="558"/>
      <c r="LPP169" s="558"/>
      <c r="LPQ169" s="558"/>
      <c r="LPR169" s="558"/>
      <c r="LPS169" s="558"/>
      <c r="LPT169" s="558"/>
      <c r="LPU169" s="558"/>
      <c r="LPV169" s="558"/>
      <c r="LPW169" s="558"/>
      <c r="LPX169" s="558"/>
      <c r="LPY169" s="558"/>
      <c r="LPZ169" s="558"/>
      <c r="LQA169" s="558"/>
      <c r="LQB169" s="558"/>
      <c r="LQC169" s="558"/>
      <c r="LQD169" s="558"/>
      <c r="LQE169" s="558"/>
      <c r="LQF169" s="558"/>
      <c r="LQG169" s="558"/>
      <c r="LQH169" s="558"/>
      <c r="LQI169" s="558"/>
      <c r="LQJ169" s="558"/>
      <c r="LQK169" s="558"/>
      <c r="LQL169" s="558"/>
      <c r="LQM169" s="558"/>
      <c r="LQN169" s="558"/>
      <c r="LQO169" s="558"/>
      <c r="LQP169" s="558"/>
      <c r="LQQ169" s="558"/>
      <c r="LQR169" s="558"/>
      <c r="LQS169" s="558"/>
      <c r="LQT169" s="558"/>
      <c r="LQU169" s="558"/>
      <c r="LQV169" s="558"/>
      <c r="LQW169" s="558"/>
      <c r="LQX169" s="558"/>
      <c r="LQY169" s="558"/>
      <c r="LQZ169" s="558"/>
      <c r="LRA169" s="558"/>
      <c r="LRB169" s="558"/>
      <c r="LRC169" s="558"/>
      <c r="LRD169" s="558"/>
      <c r="LRE169" s="558"/>
      <c r="LRF169" s="558"/>
      <c r="LRG169" s="558"/>
      <c r="LRH169" s="558"/>
      <c r="LRI169" s="558"/>
      <c r="LRJ169" s="558"/>
      <c r="LRK169" s="558"/>
      <c r="LRL169" s="558"/>
      <c r="LRM169" s="558"/>
      <c r="LRN169" s="558"/>
      <c r="LRO169" s="558"/>
      <c r="LRP169" s="558"/>
      <c r="LRQ169" s="558"/>
      <c r="LRR169" s="558"/>
      <c r="LRS169" s="558"/>
      <c r="LRT169" s="558"/>
      <c r="LRU169" s="558"/>
      <c r="LRV169" s="558"/>
      <c r="LRW169" s="558"/>
      <c r="LRX169" s="558"/>
      <c r="LRY169" s="558"/>
      <c r="LRZ169" s="558"/>
      <c r="LSA169" s="558"/>
      <c r="LSB169" s="558"/>
      <c r="LSC169" s="558"/>
      <c r="LSD169" s="558"/>
      <c r="LSE169" s="558"/>
      <c r="LSF169" s="558"/>
      <c r="LSG169" s="558"/>
      <c r="LSH169" s="558"/>
      <c r="LSI169" s="558"/>
      <c r="LSJ169" s="558"/>
      <c r="LSK169" s="558"/>
      <c r="LSL169" s="558"/>
      <c r="LSM169" s="558"/>
      <c r="LSN169" s="558"/>
      <c r="LSO169" s="558"/>
      <c r="LSP169" s="558"/>
      <c r="LSQ169" s="558"/>
      <c r="LSR169" s="558"/>
      <c r="LSS169" s="558"/>
      <c r="LST169" s="558"/>
      <c r="LSU169" s="558"/>
      <c r="LSV169" s="558"/>
      <c r="LSW169" s="558"/>
      <c r="LSX169" s="558"/>
      <c r="LSY169" s="558"/>
      <c r="LSZ169" s="558"/>
      <c r="LTA169" s="558"/>
      <c r="LTB169" s="558"/>
      <c r="LTC169" s="558"/>
      <c r="LTD169" s="558"/>
      <c r="LTE169" s="558"/>
      <c r="LTF169" s="558"/>
      <c r="LTG169" s="558"/>
      <c r="LTH169" s="558"/>
      <c r="LTI169" s="558"/>
      <c r="LTJ169" s="558"/>
      <c r="LTK169" s="558"/>
      <c r="LTL169" s="558"/>
      <c r="LTM169" s="558"/>
      <c r="LTN169" s="558"/>
      <c r="LTO169" s="558"/>
      <c r="LTP169" s="558"/>
      <c r="LTQ169" s="558"/>
      <c r="LTR169" s="558"/>
      <c r="LTS169" s="558"/>
      <c r="LTT169" s="558"/>
      <c r="LTU169" s="558"/>
      <c r="LTV169" s="558"/>
      <c r="LTW169" s="558"/>
      <c r="LTX169" s="558"/>
      <c r="LTY169" s="558"/>
      <c r="LTZ169" s="558"/>
      <c r="LUA169" s="558"/>
      <c r="LUB169" s="558"/>
      <c r="LUC169" s="558"/>
      <c r="LUD169" s="558"/>
      <c r="LUE169" s="558"/>
      <c r="LUF169" s="558"/>
      <c r="LUG169" s="558"/>
      <c r="LUH169" s="558"/>
      <c r="LUI169" s="558"/>
      <c r="LUJ169" s="558"/>
      <c r="LUK169" s="558"/>
      <c r="LUL169" s="558"/>
      <c r="LUM169" s="558"/>
      <c r="LUN169" s="558"/>
      <c r="LUO169" s="558"/>
      <c r="LUP169" s="558"/>
      <c r="LUQ169" s="558"/>
      <c r="LUR169" s="558"/>
      <c r="LUS169" s="558"/>
      <c r="LUT169" s="558"/>
      <c r="LUU169" s="558"/>
      <c r="LUV169" s="558"/>
      <c r="LUW169" s="558"/>
      <c r="LUX169" s="558"/>
      <c r="LUY169" s="558"/>
      <c r="LUZ169" s="558"/>
      <c r="LVA169" s="558"/>
      <c r="LVB169" s="558"/>
      <c r="LVC169" s="558"/>
      <c r="LVD169" s="558"/>
      <c r="LVE169" s="558"/>
      <c r="LVF169" s="558"/>
      <c r="LVG169" s="558"/>
      <c r="LVH169" s="558"/>
      <c r="LVI169" s="558"/>
      <c r="LVJ169" s="558"/>
      <c r="LVK169" s="558"/>
      <c r="LVL169" s="558"/>
      <c r="LVM169" s="558"/>
      <c r="LVN169" s="558"/>
      <c r="LVO169" s="558"/>
      <c r="LVP169" s="558"/>
      <c r="LVQ169" s="558"/>
      <c r="LVR169" s="558"/>
      <c r="LVS169" s="558"/>
      <c r="LVT169" s="558"/>
      <c r="LVU169" s="558"/>
      <c r="LVV169" s="558"/>
      <c r="LVW169" s="558"/>
      <c r="LVX169" s="558"/>
      <c r="LVY169" s="558"/>
      <c r="LVZ169" s="558"/>
      <c r="LWA169" s="558"/>
      <c r="LWB169" s="558"/>
      <c r="LWC169" s="558"/>
      <c r="LWD169" s="558"/>
      <c r="LWE169" s="558"/>
      <c r="LWF169" s="558"/>
      <c r="LWG169" s="558"/>
      <c r="LWH169" s="558"/>
      <c r="LWI169" s="558"/>
      <c r="LWJ169" s="558"/>
      <c r="LWK169" s="558"/>
      <c r="LWL169" s="558"/>
      <c r="LWM169" s="558"/>
      <c r="LWN169" s="558"/>
      <c r="LWO169" s="558"/>
      <c r="LWP169" s="558"/>
      <c r="LWQ169" s="558"/>
      <c r="LWR169" s="558"/>
      <c r="LWS169" s="558"/>
      <c r="LWT169" s="558"/>
      <c r="LWU169" s="558"/>
      <c r="LWV169" s="558"/>
      <c r="LWW169" s="558"/>
      <c r="LWX169" s="558"/>
      <c r="LWY169" s="558"/>
      <c r="LWZ169" s="558"/>
      <c r="LXA169" s="558"/>
      <c r="LXB169" s="558"/>
      <c r="LXC169" s="558"/>
      <c r="LXD169" s="558"/>
      <c r="LXE169" s="558"/>
      <c r="LXF169" s="558"/>
      <c r="LXG169" s="558"/>
      <c r="LXH169" s="558"/>
      <c r="LXI169" s="558"/>
      <c r="LXJ169" s="558"/>
      <c r="LXK169" s="558"/>
      <c r="LXL169" s="558"/>
      <c r="LXM169" s="558"/>
      <c r="LXN169" s="558"/>
      <c r="LXO169" s="558"/>
      <c r="LXP169" s="558"/>
      <c r="LXQ169" s="558"/>
      <c r="LXR169" s="558"/>
      <c r="LXS169" s="558"/>
      <c r="LXT169" s="558"/>
      <c r="LXU169" s="558"/>
      <c r="LXV169" s="558"/>
      <c r="LXW169" s="558"/>
      <c r="LXX169" s="558"/>
      <c r="LXY169" s="558"/>
      <c r="LXZ169" s="558"/>
      <c r="LYA169" s="558"/>
      <c r="LYB169" s="558"/>
      <c r="LYC169" s="558"/>
      <c r="LYD169" s="558"/>
      <c r="LYE169" s="558"/>
      <c r="LYF169" s="558"/>
      <c r="LYG169" s="558"/>
      <c r="LYH169" s="558"/>
      <c r="LYI169" s="558"/>
      <c r="LYJ169" s="558"/>
      <c r="LYK169" s="558"/>
      <c r="LYL169" s="558"/>
      <c r="LYM169" s="558"/>
      <c r="LYN169" s="558"/>
      <c r="LYO169" s="558"/>
      <c r="LYP169" s="558"/>
      <c r="LYQ169" s="558"/>
      <c r="LYR169" s="558"/>
      <c r="LYS169" s="558"/>
      <c r="LYT169" s="558"/>
      <c r="LYU169" s="558"/>
      <c r="LYV169" s="558"/>
      <c r="LYW169" s="558"/>
      <c r="LYX169" s="558"/>
      <c r="LYY169" s="558"/>
      <c r="LYZ169" s="558"/>
      <c r="LZA169" s="558"/>
      <c r="LZB169" s="558"/>
      <c r="LZC169" s="558"/>
      <c r="LZD169" s="558"/>
      <c r="LZE169" s="558"/>
      <c r="LZF169" s="558"/>
      <c r="LZG169" s="558"/>
      <c r="LZH169" s="558"/>
      <c r="LZI169" s="558"/>
      <c r="LZJ169" s="558"/>
      <c r="LZK169" s="558"/>
      <c r="LZL169" s="558"/>
      <c r="LZM169" s="558"/>
      <c r="LZN169" s="558"/>
      <c r="LZO169" s="558"/>
      <c r="LZP169" s="558"/>
      <c r="LZQ169" s="558"/>
      <c r="LZR169" s="558"/>
      <c r="LZS169" s="558"/>
      <c r="LZT169" s="558"/>
      <c r="LZU169" s="558"/>
      <c r="LZV169" s="558"/>
      <c r="LZW169" s="558"/>
      <c r="LZX169" s="558"/>
      <c r="LZY169" s="558"/>
      <c r="LZZ169" s="558"/>
      <c r="MAA169" s="558"/>
      <c r="MAB169" s="558"/>
      <c r="MAC169" s="558"/>
      <c r="MAD169" s="558"/>
      <c r="MAE169" s="558"/>
      <c r="MAF169" s="558"/>
      <c r="MAG169" s="558"/>
      <c r="MAH169" s="558"/>
      <c r="MAI169" s="558"/>
      <c r="MAJ169" s="558"/>
      <c r="MAK169" s="558"/>
      <c r="MAL169" s="558"/>
      <c r="MAM169" s="558"/>
      <c r="MAN169" s="558"/>
      <c r="MAO169" s="558"/>
      <c r="MAP169" s="558"/>
      <c r="MAQ169" s="558"/>
      <c r="MAR169" s="558"/>
      <c r="MAS169" s="558"/>
      <c r="MAT169" s="558"/>
      <c r="MAU169" s="558"/>
      <c r="MAV169" s="558"/>
      <c r="MAW169" s="558"/>
      <c r="MAX169" s="558"/>
      <c r="MAY169" s="558"/>
      <c r="MAZ169" s="558"/>
      <c r="MBA169" s="558"/>
      <c r="MBB169" s="558"/>
      <c r="MBC169" s="558"/>
      <c r="MBD169" s="558"/>
      <c r="MBE169" s="558"/>
      <c r="MBF169" s="558"/>
      <c r="MBG169" s="558"/>
      <c r="MBH169" s="558"/>
      <c r="MBI169" s="558"/>
      <c r="MBJ169" s="558"/>
      <c r="MBK169" s="558"/>
      <c r="MBL169" s="558"/>
      <c r="MBM169" s="558"/>
      <c r="MBN169" s="558"/>
      <c r="MBO169" s="558"/>
      <c r="MBP169" s="558"/>
      <c r="MBQ169" s="558"/>
      <c r="MBR169" s="558"/>
      <c r="MBS169" s="558"/>
      <c r="MBT169" s="558"/>
      <c r="MBU169" s="558"/>
      <c r="MBV169" s="558"/>
      <c r="MBW169" s="558"/>
      <c r="MBX169" s="558"/>
      <c r="MBY169" s="558"/>
      <c r="MBZ169" s="558"/>
      <c r="MCA169" s="558"/>
      <c r="MCB169" s="558"/>
      <c r="MCC169" s="558"/>
      <c r="MCD169" s="558"/>
      <c r="MCE169" s="558"/>
      <c r="MCF169" s="558"/>
      <c r="MCG169" s="558"/>
      <c r="MCH169" s="558"/>
      <c r="MCI169" s="558"/>
      <c r="MCJ169" s="558"/>
      <c r="MCK169" s="558"/>
      <c r="MCL169" s="558"/>
      <c r="MCM169" s="558"/>
      <c r="MCN169" s="558"/>
      <c r="MCO169" s="558"/>
      <c r="MCP169" s="558"/>
      <c r="MCQ169" s="558"/>
      <c r="MCR169" s="558"/>
      <c r="MCS169" s="558"/>
      <c r="MCT169" s="558"/>
      <c r="MCU169" s="558"/>
      <c r="MCV169" s="558"/>
      <c r="MCW169" s="558"/>
      <c r="MCX169" s="558"/>
      <c r="MCY169" s="558"/>
      <c r="MCZ169" s="558"/>
      <c r="MDA169" s="558"/>
      <c r="MDB169" s="558"/>
      <c r="MDC169" s="558"/>
      <c r="MDD169" s="558"/>
      <c r="MDE169" s="558"/>
      <c r="MDF169" s="558"/>
      <c r="MDG169" s="558"/>
      <c r="MDH169" s="558"/>
      <c r="MDI169" s="558"/>
      <c r="MDJ169" s="558"/>
      <c r="MDK169" s="558"/>
      <c r="MDL169" s="558"/>
      <c r="MDM169" s="558"/>
      <c r="MDN169" s="558"/>
      <c r="MDO169" s="558"/>
      <c r="MDP169" s="558"/>
      <c r="MDQ169" s="558"/>
      <c r="MDR169" s="558"/>
      <c r="MDS169" s="558"/>
      <c r="MDT169" s="558"/>
      <c r="MDU169" s="558"/>
      <c r="MDV169" s="558"/>
      <c r="MDW169" s="558"/>
      <c r="MDX169" s="558"/>
      <c r="MDY169" s="558"/>
      <c r="MDZ169" s="558"/>
      <c r="MEA169" s="558"/>
      <c r="MEB169" s="558"/>
      <c r="MEC169" s="558"/>
      <c r="MED169" s="558"/>
      <c r="MEE169" s="558"/>
      <c r="MEF169" s="558"/>
      <c r="MEG169" s="558"/>
      <c r="MEH169" s="558"/>
      <c r="MEI169" s="558"/>
      <c r="MEJ169" s="558"/>
      <c r="MEK169" s="558"/>
      <c r="MEL169" s="558"/>
      <c r="MEM169" s="558"/>
      <c r="MEN169" s="558"/>
      <c r="MEO169" s="558"/>
      <c r="MEP169" s="558"/>
      <c r="MEQ169" s="558"/>
      <c r="MER169" s="558"/>
      <c r="MES169" s="558"/>
      <c r="MET169" s="558"/>
      <c r="MEU169" s="558"/>
      <c r="MEV169" s="558"/>
      <c r="MEW169" s="558"/>
      <c r="MEX169" s="558"/>
      <c r="MEY169" s="558"/>
      <c r="MEZ169" s="558"/>
      <c r="MFA169" s="558"/>
      <c r="MFB169" s="558"/>
      <c r="MFC169" s="558"/>
      <c r="MFD169" s="558"/>
      <c r="MFE169" s="558"/>
      <c r="MFF169" s="558"/>
      <c r="MFG169" s="558"/>
      <c r="MFH169" s="558"/>
      <c r="MFI169" s="558"/>
      <c r="MFJ169" s="558"/>
      <c r="MFK169" s="558"/>
      <c r="MFL169" s="558"/>
      <c r="MFM169" s="558"/>
      <c r="MFN169" s="558"/>
      <c r="MFO169" s="558"/>
      <c r="MFP169" s="558"/>
      <c r="MFQ169" s="558"/>
      <c r="MFR169" s="558"/>
      <c r="MFS169" s="558"/>
      <c r="MFT169" s="558"/>
      <c r="MFU169" s="558"/>
      <c r="MFV169" s="558"/>
      <c r="MFW169" s="558"/>
      <c r="MFX169" s="558"/>
      <c r="MFY169" s="558"/>
      <c r="MFZ169" s="558"/>
      <c r="MGA169" s="558"/>
      <c r="MGB169" s="558"/>
      <c r="MGC169" s="558"/>
      <c r="MGD169" s="558"/>
      <c r="MGE169" s="558"/>
      <c r="MGF169" s="558"/>
      <c r="MGG169" s="558"/>
      <c r="MGH169" s="558"/>
      <c r="MGI169" s="558"/>
      <c r="MGJ169" s="558"/>
      <c r="MGK169" s="558"/>
      <c r="MGL169" s="558"/>
      <c r="MGM169" s="558"/>
      <c r="MGN169" s="558"/>
      <c r="MGO169" s="558"/>
      <c r="MGP169" s="558"/>
      <c r="MGQ169" s="558"/>
      <c r="MGR169" s="558"/>
      <c r="MGS169" s="558"/>
      <c r="MGT169" s="558"/>
      <c r="MGU169" s="558"/>
      <c r="MGV169" s="558"/>
      <c r="MGW169" s="558"/>
      <c r="MGX169" s="558"/>
      <c r="MGY169" s="558"/>
      <c r="MGZ169" s="558"/>
      <c r="MHA169" s="558"/>
      <c r="MHB169" s="558"/>
      <c r="MHC169" s="558"/>
      <c r="MHD169" s="558"/>
      <c r="MHE169" s="558"/>
      <c r="MHF169" s="558"/>
      <c r="MHG169" s="558"/>
      <c r="MHH169" s="558"/>
      <c r="MHI169" s="558"/>
      <c r="MHJ169" s="558"/>
      <c r="MHK169" s="558"/>
      <c r="MHL169" s="558"/>
      <c r="MHM169" s="558"/>
      <c r="MHN169" s="558"/>
      <c r="MHO169" s="558"/>
      <c r="MHP169" s="558"/>
      <c r="MHQ169" s="558"/>
      <c r="MHR169" s="558"/>
      <c r="MHS169" s="558"/>
      <c r="MHT169" s="558"/>
      <c r="MHU169" s="558"/>
      <c r="MHV169" s="558"/>
      <c r="MHW169" s="558"/>
      <c r="MHX169" s="558"/>
      <c r="MHY169" s="558"/>
      <c r="MHZ169" s="558"/>
      <c r="MIA169" s="558"/>
      <c r="MIB169" s="558"/>
      <c r="MIC169" s="558"/>
      <c r="MID169" s="558"/>
      <c r="MIE169" s="558"/>
      <c r="MIF169" s="558"/>
      <c r="MIG169" s="558"/>
      <c r="MIH169" s="558"/>
      <c r="MII169" s="558"/>
      <c r="MIJ169" s="558"/>
      <c r="MIK169" s="558"/>
      <c r="MIL169" s="558"/>
      <c r="MIM169" s="558"/>
      <c r="MIN169" s="558"/>
      <c r="MIO169" s="558"/>
      <c r="MIP169" s="558"/>
      <c r="MIQ169" s="558"/>
      <c r="MIR169" s="558"/>
      <c r="MIS169" s="558"/>
      <c r="MIT169" s="558"/>
      <c r="MIU169" s="558"/>
      <c r="MIV169" s="558"/>
      <c r="MIW169" s="558"/>
      <c r="MIX169" s="558"/>
      <c r="MIY169" s="558"/>
      <c r="MIZ169" s="558"/>
      <c r="MJA169" s="558"/>
      <c r="MJB169" s="558"/>
      <c r="MJC169" s="558"/>
      <c r="MJD169" s="558"/>
      <c r="MJE169" s="558"/>
      <c r="MJF169" s="558"/>
      <c r="MJG169" s="558"/>
      <c r="MJH169" s="558"/>
      <c r="MJI169" s="558"/>
      <c r="MJJ169" s="558"/>
      <c r="MJK169" s="558"/>
      <c r="MJL169" s="558"/>
      <c r="MJM169" s="558"/>
      <c r="MJN169" s="558"/>
      <c r="MJO169" s="558"/>
      <c r="MJP169" s="558"/>
      <c r="MJQ169" s="558"/>
      <c r="MJR169" s="558"/>
      <c r="MJS169" s="558"/>
      <c r="MJT169" s="558"/>
      <c r="MJU169" s="558"/>
      <c r="MJV169" s="558"/>
      <c r="MJW169" s="558"/>
      <c r="MJX169" s="558"/>
      <c r="MJY169" s="558"/>
      <c r="MJZ169" s="558"/>
      <c r="MKA169" s="558"/>
      <c r="MKB169" s="558"/>
      <c r="MKC169" s="558"/>
      <c r="MKD169" s="558"/>
      <c r="MKE169" s="558"/>
      <c r="MKF169" s="558"/>
      <c r="MKG169" s="558"/>
      <c r="MKH169" s="558"/>
      <c r="MKI169" s="558"/>
      <c r="MKJ169" s="558"/>
      <c r="MKK169" s="558"/>
      <c r="MKL169" s="558"/>
      <c r="MKM169" s="558"/>
      <c r="MKN169" s="558"/>
      <c r="MKO169" s="558"/>
      <c r="MKP169" s="558"/>
      <c r="MKQ169" s="558"/>
      <c r="MKR169" s="558"/>
      <c r="MKS169" s="558"/>
      <c r="MKT169" s="558"/>
      <c r="MKU169" s="558"/>
      <c r="MKV169" s="558"/>
      <c r="MKW169" s="558"/>
      <c r="MKX169" s="558"/>
      <c r="MKY169" s="558"/>
      <c r="MKZ169" s="558"/>
      <c r="MLA169" s="558"/>
      <c r="MLB169" s="558"/>
      <c r="MLC169" s="558"/>
      <c r="MLD169" s="558"/>
      <c r="MLE169" s="558"/>
      <c r="MLF169" s="558"/>
      <c r="MLG169" s="558"/>
      <c r="MLH169" s="558"/>
      <c r="MLI169" s="558"/>
      <c r="MLJ169" s="558"/>
      <c r="MLK169" s="558"/>
      <c r="MLL169" s="558"/>
      <c r="MLM169" s="558"/>
      <c r="MLN169" s="558"/>
      <c r="MLO169" s="558"/>
      <c r="MLP169" s="558"/>
      <c r="MLQ169" s="558"/>
      <c r="MLR169" s="558"/>
      <c r="MLS169" s="558"/>
      <c r="MLT169" s="558"/>
      <c r="MLU169" s="558"/>
      <c r="MLV169" s="558"/>
      <c r="MLW169" s="558"/>
      <c r="MLX169" s="558"/>
      <c r="MLY169" s="558"/>
      <c r="MLZ169" s="558"/>
      <c r="MMA169" s="558"/>
      <c r="MMB169" s="558"/>
      <c r="MMC169" s="558"/>
      <c r="MMD169" s="558"/>
      <c r="MME169" s="558"/>
      <c r="MMF169" s="558"/>
      <c r="MMG169" s="558"/>
      <c r="MMH169" s="558"/>
      <c r="MMI169" s="558"/>
      <c r="MMJ169" s="558"/>
      <c r="MMK169" s="558"/>
      <c r="MML169" s="558"/>
      <c r="MMM169" s="558"/>
      <c r="MMN169" s="558"/>
      <c r="MMO169" s="558"/>
      <c r="MMP169" s="558"/>
      <c r="MMQ169" s="558"/>
      <c r="MMR169" s="558"/>
      <c r="MMS169" s="558"/>
      <c r="MMT169" s="558"/>
      <c r="MMU169" s="558"/>
      <c r="MMV169" s="558"/>
      <c r="MMW169" s="558"/>
      <c r="MMX169" s="558"/>
      <c r="MMY169" s="558"/>
      <c r="MMZ169" s="558"/>
      <c r="MNA169" s="558"/>
      <c r="MNB169" s="558"/>
      <c r="MNC169" s="558"/>
      <c r="MND169" s="558"/>
      <c r="MNE169" s="558"/>
      <c r="MNF169" s="558"/>
      <c r="MNG169" s="558"/>
      <c r="MNH169" s="558"/>
      <c r="MNI169" s="558"/>
      <c r="MNJ169" s="558"/>
      <c r="MNK169" s="558"/>
      <c r="MNL169" s="558"/>
      <c r="MNM169" s="558"/>
      <c r="MNN169" s="558"/>
      <c r="MNO169" s="558"/>
      <c r="MNP169" s="558"/>
      <c r="MNQ169" s="558"/>
      <c r="MNR169" s="558"/>
      <c r="MNS169" s="558"/>
      <c r="MNT169" s="558"/>
      <c r="MNU169" s="558"/>
      <c r="MNV169" s="558"/>
      <c r="MNW169" s="558"/>
      <c r="MNX169" s="558"/>
      <c r="MNY169" s="558"/>
      <c r="MNZ169" s="558"/>
      <c r="MOA169" s="558"/>
      <c r="MOB169" s="558"/>
      <c r="MOC169" s="558"/>
      <c r="MOD169" s="558"/>
      <c r="MOE169" s="558"/>
      <c r="MOF169" s="558"/>
      <c r="MOG169" s="558"/>
      <c r="MOH169" s="558"/>
      <c r="MOI169" s="558"/>
      <c r="MOJ169" s="558"/>
      <c r="MOK169" s="558"/>
      <c r="MOL169" s="558"/>
      <c r="MOM169" s="558"/>
      <c r="MON169" s="558"/>
      <c r="MOO169" s="558"/>
      <c r="MOP169" s="558"/>
      <c r="MOQ169" s="558"/>
      <c r="MOR169" s="558"/>
      <c r="MOS169" s="558"/>
      <c r="MOT169" s="558"/>
      <c r="MOU169" s="558"/>
      <c r="MOV169" s="558"/>
      <c r="MOW169" s="558"/>
      <c r="MOX169" s="558"/>
      <c r="MOY169" s="558"/>
      <c r="MOZ169" s="558"/>
      <c r="MPA169" s="558"/>
      <c r="MPB169" s="558"/>
      <c r="MPC169" s="558"/>
      <c r="MPD169" s="558"/>
      <c r="MPE169" s="558"/>
      <c r="MPF169" s="558"/>
      <c r="MPG169" s="558"/>
      <c r="MPH169" s="558"/>
      <c r="MPI169" s="558"/>
      <c r="MPJ169" s="558"/>
      <c r="MPK169" s="558"/>
      <c r="MPL169" s="558"/>
      <c r="MPM169" s="558"/>
      <c r="MPN169" s="558"/>
      <c r="MPO169" s="558"/>
      <c r="MPP169" s="558"/>
      <c r="MPQ169" s="558"/>
      <c r="MPR169" s="558"/>
      <c r="MPS169" s="558"/>
      <c r="MPT169" s="558"/>
      <c r="MPU169" s="558"/>
      <c r="MPV169" s="558"/>
      <c r="MPW169" s="558"/>
      <c r="MPX169" s="558"/>
      <c r="MPY169" s="558"/>
      <c r="MPZ169" s="558"/>
      <c r="MQA169" s="558"/>
      <c r="MQB169" s="558"/>
      <c r="MQC169" s="558"/>
      <c r="MQD169" s="558"/>
      <c r="MQE169" s="558"/>
      <c r="MQF169" s="558"/>
      <c r="MQG169" s="558"/>
      <c r="MQH169" s="558"/>
      <c r="MQI169" s="558"/>
      <c r="MQJ169" s="558"/>
      <c r="MQK169" s="558"/>
      <c r="MQL169" s="558"/>
      <c r="MQM169" s="558"/>
      <c r="MQN169" s="558"/>
      <c r="MQO169" s="558"/>
      <c r="MQP169" s="558"/>
      <c r="MQQ169" s="558"/>
      <c r="MQR169" s="558"/>
      <c r="MQS169" s="558"/>
      <c r="MQT169" s="558"/>
      <c r="MQU169" s="558"/>
      <c r="MQV169" s="558"/>
      <c r="MQW169" s="558"/>
      <c r="MQX169" s="558"/>
      <c r="MQY169" s="558"/>
      <c r="MQZ169" s="558"/>
      <c r="MRA169" s="558"/>
      <c r="MRB169" s="558"/>
      <c r="MRC169" s="558"/>
      <c r="MRD169" s="558"/>
      <c r="MRE169" s="558"/>
      <c r="MRF169" s="558"/>
      <c r="MRG169" s="558"/>
      <c r="MRH169" s="558"/>
      <c r="MRI169" s="558"/>
      <c r="MRJ169" s="558"/>
      <c r="MRK169" s="558"/>
      <c r="MRL169" s="558"/>
      <c r="MRM169" s="558"/>
      <c r="MRN169" s="558"/>
      <c r="MRO169" s="558"/>
      <c r="MRP169" s="558"/>
      <c r="MRQ169" s="558"/>
      <c r="MRR169" s="558"/>
      <c r="MRS169" s="558"/>
      <c r="MRT169" s="558"/>
      <c r="MRU169" s="558"/>
      <c r="MRV169" s="558"/>
      <c r="MRW169" s="558"/>
      <c r="MRX169" s="558"/>
      <c r="MRY169" s="558"/>
      <c r="MRZ169" s="558"/>
      <c r="MSA169" s="558"/>
      <c r="MSB169" s="558"/>
      <c r="MSC169" s="558"/>
      <c r="MSD169" s="558"/>
      <c r="MSE169" s="558"/>
      <c r="MSF169" s="558"/>
      <c r="MSG169" s="558"/>
      <c r="MSH169" s="558"/>
      <c r="MSI169" s="558"/>
      <c r="MSJ169" s="558"/>
      <c r="MSK169" s="558"/>
      <c r="MSL169" s="558"/>
      <c r="MSM169" s="558"/>
      <c r="MSN169" s="558"/>
      <c r="MSO169" s="558"/>
      <c r="MSP169" s="558"/>
      <c r="MSQ169" s="558"/>
      <c r="MSR169" s="558"/>
      <c r="MSS169" s="558"/>
      <c r="MST169" s="558"/>
      <c r="MSU169" s="558"/>
      <c r="MSV169" s="558"/>
      <c r="MSW169" s="558"/>
      <c r="MSX169" s="558"/>
      <c r="MSY169" s="558"/>
      <c r="MSZ169" s="558"/>
      <c r="MTA169" s="558"/>
      <c r="MTB169" s="558"/>
      <c r="MTC169" s="558"/>
      <c r="MTD169" s="558"/>
      <c r="MTE169" s="558"/>
      <c r="MTF169" s="558"/>
      <c r="MTG169" s="558"/>
      <c r="MTH169" s="558"/>
      <c r="MTI169" s="558"/>
      <c r="MTJ169" s="558"/>
      <c r="MTK169" s="558"/>
      <c r="MTL169" s="558"/>
      <c r="MTM169" s="558"/>
      <c r="MTN169" s="558"/>
      <c r="MTO169" s="558"/>
      <c r="MTP169" s="558"/>
      <c r="MTQ169" s="558"/>
      <c r="MTR169" s="558"/>
      <c r="MTS169" s="558"/>
      <c r="MTT169" s="558"/>
      <c r="MTU169" s="558"/>
      <c r="MTV169" s="558"/>
      <c r="MTW169" s="558"/>
      <c r="MTX169" s="558"/>
      <c r="MTY169" s="558"/>
      <c r="MTZ169" s="558"/>
      <c r="MUA169" s="558"/>
      <c r="MUB169" s="558"/>
      <c r="MUC169" s="558"/>
      <c r="MUD169" s="558"/>
      <c r="MUE169" s="558"/>
      <c r="MUF169" s="558"/>
      <c r="MUG169" s="558"/>
      <c r="MUH169" s="558"/>
      <c r="MUI169" s="558"/>
      <c r="MUJ169" s="558"/>
      <c r="MUK169" s="558"/>
      <c r="MUL169" s="558"/>
      <c r="MUM169" s="558"/>
      <c r="MUN169" s="558"/>
      <c r="MUO169" s="558"/>
      <c r="MUP169" s="558"/>
      <c r="MUQ169" s="558"/>
      <c r="MUR169" s="558"/>
      <c r="MUS169" s="558"/>
      <c r="MUT169" s="558"/>
      <c r="MUU169" s="558"/>
      <c r="MUV169" s="558"/>
      <c r="MUW169" s="558"/>
      <c r="MUX169" s="558"/>
      <c r="MUY169" s="558"/>
      <c r="MUZ169" s="558"/>
      <c r="MVA169" s="558"/>
      <c r="MVB169" s="558"/>
      <c r="MVC169" s="558"/>
      <c r="MVD169" s="558"/>
      <c r="MVE169" s="558"/>
      <c r="MVF169" s="558"/>
      <c r="MVG169" s="558"/>
      <c r="MVH169" s="558"/>
      <c r="MVI169" s="558"/>
      <c r="MVJ169" s="558"/>
      <c r="MVK169" s="558"/>
      <c r="MVL169" s="558"/>
      <c r="MVM169" s="558"/>
      <c r="MVN169" s="558"/>
      <c r="MVO169" s="558"/>
      <c r="MVP169" s="558"/>
      <c r="MVQ169" s="558"/>
      <c r="MVR169" s="558"/>
      <c r="MVS169" s="558"/>
      <c r="MVT169" s="558"/>
      <c r="MVU169" s="558"/>
      <c r="MVV169" s="558"/>
      <c r="MVW169" s="558"/>
      <c r="MVX169" s="558"/>
      <c r="MVY169" s="558"/>
      <c r="MVZ169" s="558"/>
      <c r="MWA169" s="558"/>
      <c r="MWB169" s="558"/>
      <c r="MWC169" s="558"/>
      <c r="MWD169" s="558"/>
      <c r="MWE169" s="558"/>
      <c r="MWF169" s="558"/>
      <c r="MWG169" s="558"/>
      <c r="MWH169" s="558"/>
      <c r="MWI169" s="558"/>
      <c r="MWJ169" s="558"/>
      <c r="MWK169" s="558"/>
      <c r="MWL169" s="558"/>
      <c r="MWM169" s="558"/>
      <c r="MWN169" s="558"/>
      <c r="MWO169" s="558"/>
      <c r="MWP169" s="558"/>
      <c r="MWQ169" s="558"/>
      <c r="MWR169" s="558"/>
      <c r="MWS169" s="558"/>
      <c r="MWT169" s="558"/>
      <c r="MWU169" s="558"/>
      <c r="MWV169" s="558"/>
      <c r="MWW169" s="558"/>
      <c r="MWX169" s="558"/>
      <c r="MWY169" s="558"/>
      <c r="MWZ169" s="558"/>
      <c r="MXA169" s="558"/>
      <c r="MXB169" s="558"/>
      <c r="MXC169" s="558"/>
      <c r="MXD169" s="558"/>
      <c r="MXE169" s="558"/>
      <c r="MXF169" s="558"/>
      <c r="MXG169" s="558"/>
      <c r="MXH169" s="558"/>
      <c r="MXI169" s="558"/>
      <c r="MXJ169" s="558"/>
      <c r="MXK169" s="558"/>
      <c r="MXL169" s="558"/>
      <c r="MXM169" s="558"/>
      <c r="MXN169" s="558"/>
      <c r="MXO169" s="558"/>
      <c r="MXP169" s="558"/>
      <c r="MXQ169" s="558"/>
      <c r="MXR169" s="558"/>
      <c r="MXS169" s="558"/>
      <c r="MXT169" s="558"/>
      <c r="MXU169" s="558"/>
      <c r="MXV169" s="558"/>
      <c r="MXW169" s="558"/>
      <c r="MXX169" s="558"/>
      <c r="MXY169" s="558"/>
      <c r="MXZ169" s="558"/>
      <c r="MYA169" s="558"/>
      <c r="MYB169" s="558"/>
      <c r="MYC169" s="558"/>
      <c r="MYD169" s="558"/>
      <c r="MYE169" s="558"/>
      <c r="MYF169" s="558"/>
      <c r="MYG169" s="558"/>
      <c r="MYH169" s="558"/>
      <c r="MYI169" s="558"/>
      <c r="MYJ169" s="558"/>
      <c r="MYK169" s="558"/>
      <c r="MYL169" s="558"/>
      <c r="MYM169" s="558"/>
      <c r="MYN169" s="558"/>
      <c r="MYO169" s="558"/>
      <c r="MYP169" s="558"/>
      <c r="MYQ169" s="558"/>
      <c r="MYR169" s="558"/>
      <c r="MYS169" s="558"/>
      <c r="MYT169" s="558"/>
      <c r="MYU169" s="558"/>
      <c r="MYV169" s="558"/>
      <c r="MYW169" s="558"/>
      <c r="MYX169" s="558"/>
      <c r="MYY169" s="558"/>
      <c r="MYZ169" s="558"/>
      <c r="MZA169" s="558"/>
      <c r="MZB169" s="558"/>
      <c r="MZC169" s="558"/>
      <c r="MZD169" s="558"/>
      <c r="MZE169" s="558"/>
      <c r="MZF169" s="558"/>
      <c r="MZG169" s="558"/>
      <c r="MZH169" s="558"/>
      <c r="MZI169" s="558"/>
      <c r="MZJ169" s="558"/>
      <c r="MZK169" s="558"/>
      <c r="MZL169" s="558"/>
      <c r="MZM169" s="558"/>
      <c r="MZN169" s="558"/>
      <c r="MZO169" s="558"/>
      <c r="MZP169" s="558"/>
      <c r="MZQ169" s="558"/>
      <c r="MZR169" s="558"/>
      <c r="MZS169" s="558"/>
      <c r="MZT169" s="558"/>
      <c r="MZU169" s="558"/>
      <c r="MZV169" s="558"/>
      <c r="MZW169" s="558"/>
      <c r="MZX169" s="558"/>
      <c r="MZY169" s="558"/>
      <c r="MZZ169" s="558"/>
      <c r="NAA169" s="558"/>
      <c r="NAB169" s="558"/>
      <c r="NAC169" s="558"/>
      <c r="NAD169" s="558"/>
      <c r="NAE169" s="558"/>
      <c r="NAF169" s="558"/>
      <c r="NAG169" s="558"/>
      <c r="NAH169" s="558"/>
      <c r="NAI169" s="558"/>
      <c r="NAJ169" s="558"/>
      <c r="NAK169" s="558"/>
      <c r="NAL169" s="558"/>
      <c r="NAM169" s="558"/>
      <c r="NAN169" s="558"/>
      <c r="NAO169" s="558"/>
      <c r="NAP169" s="558"/>
      <c r="NAQ169" s="558"/>
      <c r="NAR169" s="558"/>
      <c r="NAS169" s="558"/>
      <c r="NAT169" s="558"/>
      <c r="NAU169" s="558"/>
      <c r="NAV169" s="558"/>
      <c r="NAW169" s="558"/>
      <c r="NAX169" s="558"/>
      <c r="NAY169" s="558"/>
      <c r="NAZ169" s="558"/>
      <c r="NBA169" s="558"/>
      <c r="NBB169" s="558"/>
      <c r="NBC169" s="558"/>
      <c r="NBD169" s="558"/>
      <c r="NBE169" s="558"/>
      <c r="NBF169" s="558"/>
      <c r="NBG169" s="558"/>
      <c r="NBH169" s="558"/>
      <c r="NBI169" s="558"/>
      <c r="NBJ169" s="558"/>
      <c r="NBK169" s="558"/>
      <c r="NBL169" s="558"/>
      <c r="NBM169" s="558"/>
      <c r="NBN169" s="558"/>
      <c r="NBO169" s="558"/>
      <c r="NBP169" s="558"/>
      <c r="NBQ169" s="558"/>
      <c r="NBR169" s="558"/>
      <c r="NBS169" s="558"/>
      <c r="NBT169" s="558"/>
      <c r="NBU169" s="558"/>
      <c r="NBV169" s="558"/>
      <c r="NBW169" s="558"/>
      <c r="NBX169" s="558"/>
      <c r="NBY169" s="558"/>
      <c r="NBZ169" s="558"/>
      <c r="NCA169" s="558"/>
      <c r="NCB169" s="558"/>
      <c r="NCC169" s="558"/>
      <c r="NCD169" s="558"/>
      <c r="NCE169" s="558"/>
      <c r="NCF169" s="558"/>
      <c r="NCG169" s="558"/>
      <c r="NCH169" s="558"/>
      <c r="NCI169" s="558"/>
      <c r="NCJ169" s="558"/>
      <c r="NCK169" s="558"/>
      <c r="NCL169" s="558"/>
      <c r="NCM169" s="558"/>
      <c r="NCN169" s="558"/>
      <c r="NCO169" s="558"/>
      <c r="NCP169" s="558"/>
      <c r="NCQ169" s="558"/>
      <c r="NCR169" s="558"/>
      <c r="NCS169" s="558"/>
      <c r="NCT169" s="558"/>
      <c r="NCU169" s="558"/>
      <c r="NCV169" s="558"/>
      <c r="NCW169" s="558"/>
      <c r="NCX169" s="558"/>
      <c r="NCY169" s="558"/>
      <c r="NCZ169" s="558"/>
      <c r="NDA169" s="558"/>
      <c r="NDB169" s="558"/>
      <c r="NDC169" s="558"/>
      <c r="NDD169" s="558"/>
      <c r="NDE169" s="558"/>
      <c r="NDF169" s="558"/>
      <c r="NDG169" s="558"/>
      <c r="NDH169" s="558"/>
      <c r="NDI169" s="558"/>
      <c r="NDJ169" s="558"/>
      <c r="NDK169" s="558"/>
      <c r="NDL169" s="558"/>
      <c r="NDM169" s="558"/>
      <c r="NDN169" s="558"/>
      <c r="NDO169" s="558"/>
      <c r="NDP169" s="558"/>
      <c r="NDQ169" s="558"/>
      <c r="NDR169" s="558"/>
      <c r="NDS169" s="558"/>
      <c r="NDT169" s="558"/>
      <c r="NDU169" s="558"/>
      <c r="NDV169" s="558"/>
      <c r="NDW169" s="558"/>
      <c r="NDX169" s="558"/>
      <c r="NDY169" s="558"/>
      <c r="NDZ169" s="558"/>
      <c r="NEA169" s="558"/>
      <c r="NEB169" s="558"/>
      <c r="NEC169" s="558"/>
      <c r="NED169" s="558"/>
      <c r="NEE169" s="558"/>
      <c r="NEF169" s="558"/>
      <c r="NEG169" s="558"/>
      <c r="NEH169" s="558"/>
      <c r="NEI169" s="558"/>
      <c r="NEJ169" s="558"/>
      <c r="NEK169" s="558"/>
      <c r="NEL169" s="558"/>
      <c r="NEM169" s="558"/>
      <c r="NEN169" s="558"/>
      <c r="NEO169" s="558"/>
      <c r="NEP169" s="558"/>
      <c r="NEQ169" s="558"/>
      <c r="NER169" s="558"/>
      <c r="NES169" s="558"/>
      <c r="NET169" s="558"/>
      <c r="NEU169" s="558"/>
      <c r="NEV169" s="558"/>
      <c r="NEW169" s="558"/>
      <c r="NEX169" s="558"/>
      <c r="NEY169" s="558"/>
      <c r="NEZ169" s="558"/>
      <c r="NFA169" s="558"/>
      <c r="NFB169" s="558"/>
      <c r="NFC169" s="558"/>
      <c r="NFD169" s="558"/>
      <c r="NFE169" s="558"/>
      <c r="NFF169" s="558"/>
      <c r="NFG169" s="558"/>
      <c r="NFH169" s="558"/>
      <c r="NFI169" s="558"/>
      <c r="NFJ169" s="558"/>
      <c r="NFK169" s="558"/>
      <c r="NFL169" s="558"/>
      <c r="NFM169" s="558"/>
      <c r="NFN169" s="558"/>
      <c r="NFO169" s="558"/>
      <c r="NFP169" s="558"/>
      <c r="NFQ169" s="558"/>
      <c r="NFR169" s="558"/>
      <c r="NFS169" s="558"/>
      <c r="NFT169" s="558"/>
      <c r="NFU169" s="558"/>
      <c r="NFV169" s="558"/>
      <c r="NFW169" s="558"/>
      <c r="NFX169" s="558"/>
      <c r="NFY169" s="558"/>
      <c r="NFZ169" s="558"/>
      <c r="NGA169" s="558"/>
      <c r="NGB169" s="558"/>
      <c r="NGC169" s="558"/>
      <c r="NGD169" s="558"/>
      <c r="NGE169" s="558"/>
      <c r="NGF169" s="558"/>
      <c r="NGG169" s="558"/>
      <c r="NGH169" s="558"/>
      <c r="NGI169" s="558"/>
      <c r="NGJ169" s="558"/>
      <c r="NGK169" s="558"/>
      <c r="NGL169" s="558"/>
      <c r="NGM169" s="558"/>
      <c r="NGN169" s="558"/>
      <c r="NGO169" s="558"/>
      <c r="NGP169" s="558"/>
      <c r="NGQ169" s="558"/>
      <c r="NGR169" s="558"/>
      <c r="NGS169" s="558"/>
      <c r="NGT169" s="558"/>
      <c r="NGU169" s="558"/>
      <c r="NGV169" s="558"/>
      <c r="NGW169" s="558"/>
      <c r="NGX169" s="558"/>
      <c r="NGY169" s="558"/>
      <c r="NGZ169" s="558"/>
      <c r="NHA169" s="558"/>
      <c r="NHB169" s="558"/>
      <c r="NHC169" s="558"/>
      <c r="NHD169" s="558"/>
      <c r="NHE169" s="558"/>
      <c r="NHF169" s="558"/>
      <c r="NHG169" s="558"/>
      <c r="NHH169" s="558"/>
      <c r="NHI169" s="558"/>
      <c r="NHJ169" s="558"/>
      <c r="NHK169" s="558"/>
      <c r="NHL169" s="558"/>
      <c r="NHM169" s="558"/>
      <c r="NHN169" s="558"/>
      <c r="NHO169" s="558"/>
      <c r="NHP169" s="558"/>
      <c r="NHQ169" s="558"/>
      <c r="NHR169" s="558"/>
      <c r="NHS169" s="558"/>
      <c r="NHT169" s="558"/>
      <c r="NHU169" s="558"/>
      <c r="NHV169" s="558"/>
      <c r="NHW169" s="558"/>
      <c r="NHX169" s="558"/>
      <c r="NHY169" s="558"/>
      <c r="NHZ169" s="558"/>
      <c r="NIA169" s="558"/>
      <c r="NIB169" s="558"/>
      <c r="NIC169" s="558"/>
      <c r="NID169" s="558"/>
      <c r="NIE169" s="558"/>
      <c r="NIF169" s="558"/>
      <c r="NIG169" s="558"/>
      <c r="NIH169" s="558"/>
      <c r="NII169" s="558"/>
      <c r="NIJ169" s="558"/>
      <c r="NIK169" s="558"/>
      <c r="NIL169" s="558"/>
      <c r="NIM169" s="558"/>
      <c r="NIN169" s="558"/>
      <c r="NIO169" s="558"/>
      <c r="NIP169" s="558"/>
      <c r="NIQ169" s="558"/>
      <c r="NIR169" s="558"/>
      <c r="NIS169" s="558"/>
      <c r="NIT169" s="558"/>
      <c r="NIU169" s="558"/>
      <c r="NIV169" s="558"/>
      <c r="NIW169" s="558"/>
      <c r="NIX169" s="558"/>
      <c r="NIY169" s="558"/>
      <c r="NIZ169" s="558"/>
      <c r="NJA169" s="558"/>
      <c r="NJB169" s="558"/>
      <c r="NJC169" s="558"/>
      <c r="NJD169" s="558"/>
      <c r="NJE169" s="558"/>
      <c r="NJF169" s="558"/>
      <c r="NJG169" s="558"/>
      <c r="NJH169" s="558"/>
      <c r="NJI169" s="558"/>
      <c r="NJJ169" s="558"/>
      <c r="NJK169" s="558"/>
      <c r="NJL169" s="558"/>
      <c r="NJM169" s="558"/>
      <c r="NJN169" s="558"/>
      <c r="NJO169" s="558"/>
      <c r="NJP169" s="558"/>
      <c r="NJQ169" s="558"/>
      <c r="NJR169" s="558"/>
      <c r="NJS169" s="558"/>
      <c r="NJT169" s="558"/>
      <c r="NJU169" s="558"/>
      <c r="NJV169" s="558"/>
      <c r="NJW169" s="558"/>
      <c r="NJX169" s="558"/>
      <c r="NJY169" s="558"/>
      <c r="NJZ169" s="558"/>
      <c r="NKA169" s="558"/>
      <c r="NKB169" s="558"/>
      <c r="NKC169" s="558"/>
      <c r="NKD169" s="558"/>
      <c r="NKE169" s="558"/>
      <c r="NKF169" s="558"/>
      <c r="NKG169" s="558"/>
      <c r="NKH169" s="558"/>
      <c r="NKI169" s="558"/>
      <c r="NKJ169" s="558"/>
      <c r="NKK169" s="558"/>
      <c r="NKL169" s="558"/>
      <c r="NKM169" s="558"/>
      <c r="NKN169" s="558"/>
      <c r="NKO169" s="558"/>
      <c r="NKP169" s="558"/>
      <c r="NKQ169" s="558"/>
      <c r="NKR169" s="558"/>
      <c r="NKS169" s="558"/>
      <c r="NKT169" s="558"/>
      <c r="NKU169" s="558"/>
      <c r="NKV169" s="558"/>
      <c r="NKW169" s="558"/>
      <c r="NKX169" s="558"/>
      <c r="NKY169" s="558"/>
      <c r="NKZ169" s="558"/>
      <c r="NLA169" s="558"/>
      <c r="NLB169" s="558"/>
      <c r="NLC169" s="558"/>
      <c r="NLD169" s="558"/>
      <c r="NLE169" s="558"/>
      <c r="NLF169" s="558"/>
      <c r="NLG169" s="558"/>
      <c r="NLH169" s="558"/>
      <c r="NLI169" s="558"/>
      <c r="NLJ169" s="558"/>
      <c r="NLK169" s="558"/>
      <c r="NLL169" s="558"/>
      <c r="NLM169" s="558"/>
      <c r="NLN169" s="558"/>
      <c r="NLO169" s="558"/>
      <c r="NLP169" s="558"/>
      <c r="NLQ169" s="558"/>
      <c r="NLR169" s="558"/>
      <c r="NLS169" s="558"/>
      <c r="NLT169" s="558"/>
      <c r="NLU169" s="558"/>
      <c r="NLV169" s="558"/>
      <c r="NLW169" s="558"/>
      <c r="NLX169" s="558"/>
      <c r="NLY169" s="558"/>
      <c r="NLZ169" s="558"/>
      <c r="NMA169" s="558"/>
      <c r="NMB169" s="558"/>
      <c r="NMC169" s="558"/>
      <c r="NMD169" s="558"/>
      <c r="NME169" s="558"/>
      <c r="NMF169" s="558"/>
      <c r="NMG169" s="558"/>
      <c r="NMH169" s="558"/>
      <c r="NMI169" s="558"/>
      <c r="NMJ169" s="558"/>
      <c r="NMK169" s="558"/>
      <c r="NML169" s="558"/>
      <c r="NMM169" s="558"/>
      <c r="NMN169" s="558"/>
      <c r="NMO169" s="558"/>
      <c r="NMP169" s="558"/>
      <c r="NMQ169" s="558"/>
      <c r="NMR169" s="558"/>
      <c r="NMS169" s="558"/>
      <c r="NMT169" s="558"/>
      <c r="NMU169" s="558"/>
      <c r="NMV169" s="558"/>
      <c r="NMW169" s="558"/>
      <c r="NMX169" s="558"/>
      <c r="NMY169" s="558"/>
      <c r="NMZ169" s="558"/>
      <c r="NNA169" s="558"/>
      <c r="NNB169" s="558"/>
      <c r="NNC169" s="558"/>
      <c r="NND169" s="558"/>
      <c r="NNE169" s="558"/>
      <c r="NNF169" s="558"/>
      <c r="NNG169" s="558"/>
      <c r="NNH169" s="558"/>
      <c r="NNI169" s="558"/>
      <c r="NNJ169" s="558"/>
      <c r="NNK169" s="558"/>
      <c r="NNL169" s="558"/>
      <c r="NNM169" s="558"/>
      <c r="NNN169" s="558"/>
      <c r="NNO169" s="558"/>
      <c r="NNP169" s="558"/>
      <c r="NNQ169" s="558"/>
      <c r="NNR169" s="558"/>
      <c r="NNS169" s="558"/>
      <c r="NNT169" s="558"/>
      <c r="NNU169" s="558"/>
      <c r="NNV169" s="558"/>
      <c r="NNW169" s="558"/>
      <c r="NNX169" s="558"/>
      <c r="NNY169" s="558"/>
      <c r="NNZ169" s="558"/>
      <c r="NOA169" s="558"/>
      <c r="NOB169" s="558"/>
      <c r="NOC169" s="558"/>
      <c r="NOD169" s="558"/>
      <c r="NOE169" s="558"/>
      <c r="NOF169" s="558"/>
      <c r="NOG169" s="558"/>
      <c r="NOH169" s="558"/>
      <c r="NOI169" s="558"/>
      <c r="NOJ169" s="558"/>
      <c r="NOK169" s="558"/>
      <c r="NOL169" s="558"/>
      <c r="NOM169" s="558"/>
      <c r="NON169" s="558"/>
      <c r="NOO169" s="558"/>
      <c r="NOP169" s="558"/>
      <c r="NOQ169" s="558"/>
      <c r="NOR169" s="558"/>
      <c r="NOS169" s="558"/>
      <c r="NOT169" s="558"/>
      <c r="NOU169" s="558"/>
      <c r="NOV169" s="558"/>
      <c r="NOW169" s="558"/>
      <c r="NOX169" s="558"/>
      <c r="NOY169" s="558"/>
      <c r="NOZ169" s="558"/>
      <c r="NPA169" s="558"/>
      <c r="NPB169" s="558"/>
      <c r="NPC169" s="558"/>
      <c r="NPD169" s="558"/>
      <c r="NPE169" s="558"/>
      <c r="NPF169" s="558"/>
      <c r="NPG169" s="558"/>
      <c r="NPH169" s="558"/>
      <c r="NPI169" s="558"/>
      <c r="NPJ169" s="558"/>
      <c r="NPK169" s="558"/>
      <c r="NPL169" s="558"/>
      <c r="NPM169" s="558"/>
      <c r="NPN169" s="558"/>
      <c r="NPO169" s="558"/>
      <c r="NPP169" s="558"/>
      <c r="NPQ169" s="558"/>
      <c r="NPR169" s="558"/>
      <c r="NPS169" s="558"/>
      <c r="NPT169" s="558"/>
      <c r="NPU169" s="558"/>
      <c r="NPV169" s="558"/>
      <c r="NPW169" s="558"/>
      <c r="NPX169" s="558"/>
      <c r="NPY169" s="558"/>
      <c r="NPZ169" s="558"/>
      <c r="NQA169" s="558"/>
      <c r="NQB169" s="558"/>
      <c r="NQC169" s="558"/>
      <c r="NQD169" s="558"/>
      <c r="NQE169" s="558"/>
      <c r="NQF169" s="558"/>
      <c r="NQG169" s="558"/>
      <c r="NQH169" s="558"/>
      <c r="NQI169" s="558"/>
      <c r="NQJ169" s="558"/>
      <c r="NQK169" s="558"/>
      <c r="NQL169" s="558"/>
      <c r="NQM169" s="558"/>
      <c r="NQN169" s="558"/>
      <c r="NQO169" s="558"/>
      <c r="NQP169" s="558"/>
      <c r="NQQ169" s="558"/>
      <c r="NQR169" s="558"/>
      <c r="NQS169" s="558"/>
      <c r="NQT169" s="558"/>
      <c r="NQU169" s="558"/>
      <c r="NQV169" s="558"/>
      <c r="NQW169" s="558"/>
      <c r="NQX169" s="558"/>
      <c r="NQY169" s="558"/>
      <c r="NQZ169" s="558"/>
      <c r="NRA169" s="558"/>
      <c r="NRB169" s="558"/>
      <c r="NRC169" s="558"/>
      <c r="NRD169" s="558"/>
      <c r="NRE169" s="558"/>
      <c r="NRF169" s="558"/>
      <c r="NRG169" s="558"/>
      <c r="NRH169" s="558"/>
      <c r="NRI169" s="558"/>
      <c r="NRJ169" s="558"/>
      <c r="NRK169" s="558"/>
      <c r="NRL169" s="558"/>
      <c r="NRM169" s="558"/>
      <c r="NRN169" s="558"/>
      <c r="NRO169" s="558"/>
      <c r="NRP169" s="558"/>
      <c r="NRQ169" s="558"/>
      <c r="NRR169" s="558"/>
      <c r="NRS169" s="558"/>
      <c r="NRT169" s="558"/>
      <c r="NRU169" s="558"/>
      <c r="NRV169" s="558"/>
      <c r="NRW169" s="558"/>
      <c r="NRX169" s="558"/>
      <c r="NRY169" s="558"/>
      <c r="NRZ169" s="558"/>
      <c r="NSA169" s="558"/>
      <c r="NSB169" s="558"/>
      <c r="NSC169" s="558"/>
      <c r="NSD169" s="558"/>
      <c r="NSE169" s="558"/>
      <c r="NSF169" s="558"/>
      <c r="NSG169" s="558"/>
      <c r="NSH169" s="558"/>
      <c r="NSI169" s="558"/>
      <c r="NSJ169" s="558"/>
      <c r="NSK169" s="558"/>
      <c r="NSL169" s="558"/>
      <c r="NSM169" s="558"/>
      <c r="NSN169" s="558"/>
      <c r="NSO169" s="558"/>
      <c r="NSP169" s="558"/>
      <c r="NSQ169" s="558"/>
      <c r="NSR169" s="558"/>
      <c r="NSS169" s="558"/>
      <c r="NST169" s="558"/>
      <c r="NSU169" s="558"/>
      <c r="NSV169" s="558"/>
      <c r="NSW169" s="558"/>
      <c r="NSX169" s="558"/>
      <c r="NSY169" s="558"/>
      <c r="NSZ169" s="558"/>
      <c r="NTA169" s="558"/>
      <c r="NTB169" s="558"/>
      <c r="NTC169" s="558"/>
      <c r="NTD169" s="558"/>
      <c r="NTE169" s="558"/>
      <c r="NTF169" s="558"/>
      <c r="NTG169" s="558"/>
      <c r="NTH169" s="558"/>
      <c r="NTI169" s="558"/>
      <c r="NTJ169" s="558"/>
      <c r="NTK169" s="558"/>
      <c r="NTL169" s="558"/>
      <c r="NTM169" s="558"/>
      <c r="NTN169" s="558"/>
      <c r="NTO169" s="558"/>
      <c r="NTP169" s="558"/>
      <c r="NTQ169" s="558"/>
      <c r="NTR169" s="558"/>
      <c r="NTS169" s="558"/>
      <c r="NTT169" s="558"/>
      <c r="NTU169" s="558"/>
      <c r="NTV169" s="558"/>
      <c r="NTW169" s="558"/>
      <c r="NTX169" s="558"/>
      <c r="NTY169" s="558"/>
      <c r="NTZ169" s="558"/>
      <c r="NUA169" s="558"/>
      <c r="NUB169" s="558"/>
      <c r="NUC169" s="558"/>
      <c r="NUD169" s="558"/>
      <c r="NUE169" s="558"/>
      <c r="NUF169" s="558"/>
      <c r="NUG169" s="558"/>
      <c r="NUH169" s="558"/>
      <c r="NUI169" s="558"/>
      <c r="NUJ169" s="558"/>
      <c r="NUK169" s="558"/>
      <c r="NUL169" s="558"/>
      <c r="NUM169" s="558"/>
      <c r="NUN169" s="558"/>
      <c r="NUO169" s="558"/>
      <c r="NUP169" s="558"/>
      <c r="NUQ169" s="558"/>
      <c r="NUR169" s="558"/>
      <c r="NUS169" s="558"/>
      <c r="NUT169" s="558"/>
      <c r="NUU169" s="558"/>
      <c r="NUV169" s="558"/>
      <c r="NUW169" s="558"/>
      <c r="NUX169" s="558"/>
      <c r="NUY169" s="558"/>
      <c r="NUZ169" s="558"/>
      <c r="NVA169" s="558"/>
      <c r="NVB169" s="558"/>
      <c r="NVC169" s="558"/>
      <c r="NVD169" s="558"/>
      <c r="NVE169" s="558"/>
      <c r="NVF169" s="558"/>
      <c r="NVG169" s="558"/>
      <c r="NVH169" s="558"/>
      <c r="NVI169" s="558"/>
      <c r="NVJ169" s="558"/>
      <c r="NVK169" s="558"/>
      <c r="NVL169" s="558"/>
      <c r="NVM169" s="558"/>
      <c r="NVN169" s="558"/>
      <c r="NVO169" s="558"/>
      <c r="NVP169" s="558"/>
      <c r="NVQ169" s="558"/>
      <c r="NVR169" s="558"/>
      <c r="NVS169" s="558"/>
      <c r="NVT169" s="558"/>
      <c r="NVU169" s="558"/>
      <c r="NVV169" s="558"/>
      <c r="NVW169" s="558"/>
      <c r="NVX169" s="558"/>
      <c r="NVY169" s="558"/>
      <c r="NVZ169" s="558"/>
      <c r="NWA169" s="558"/>
      <c r="NWB169" s="558"/>
      <c r="NWC169" s="558"/>
      <c r="NWD169" s="558"/>
      <c r="NWE169" s="558"/>
      <c r="NWF169" s="558"/>
      <c r="NWG169" s="558"/>
      <c r="NWH169" s="558"/>
      <c r="NWI169" s="558"/>
      <c r="NWJ169" s="558"/>
      <c r="NWK169" s="558"/>
      <c r="NWL169" s="558"/>
      <c r="NWM169" s="558"/>
      <c r="NWN169" s="558"/>
      <c r="NWO169" s="558"/>
      <c r="NWP169" s="558"/>
      <c r="NWQ169" s="558"/>
      <c r="NWR169" s="558"/>
      <c r="NWS169" s="558"/>
      <c r="NWT169" s="558"/>
      <c r="NWU169" s="558"/>
      <c r="NWV169" s="558"/>
      <c r="NWW169" s="558"/>
      <c r="NWX169" s="558"/>
      <c r="NWY169" s="558"/>
      <c r="NWZ169" s="558"/>
      <c r="NXA169" s="558"/>
      <c r="NXB169" s="558"/>
      <c r="NXC169" s="558"/>
      <c r="NXD169" s="558"/>
      <c r="NXE169" s="558"/>
      <c r="NXF169" s="558"/>
      <c r="NXG169" s="558"/>
      <c r="NXH169" s="558"/>
      <c r="NXI169" s="558"/>
      <c r="NXJ169" s="558"/>
      <c r="NXK169" s="558"/>
      <c r="NXL169" s="558"/>
      <c r="NXM169" s="558"/>
      <c r="NXN169" s="558"/>
      <c r="NXO169" s="558"/>
      <c r="NXP169" s="558"/>
      <c r="NXQ169" s="558"/>
      <c r="NXR169" s="558"/>
      <c r="NXS169" s="558"/>
      <c r="NXT169" s="558"/>
      <c r="NXU169" s="558"/>
      <c r="NXV169" s="558"/>
      <c r="NXW169" s="558"/>
      <c r="NXX169" s="558"/>
      <c r="NXY169" s="558"/>
      <c r="NXZ169" s="558"/>
      <c r="NYA169" s="558"/>
      <c r="NYB169" s="558"/>
      <c r="NYC169" s="558"/>
      <c r="NYD169" s="558"/>
      <c r="NYE169" s="558"/>
      <c r="NYF169" s="558"/>
      <c r="NYG169" s="558"/>
      <c r="NYH169" s="558"/>
      <c r="NYI169" s="558"/>
      <c r="NYJ169" s="558"/>
      <c r="NYK169" s="558"/>
      <c r="NYL169" s="558"/>
      <c r="NYM169" s="558"/>
      <c r="NYN169" s="558"/>
      <c r="NYO169" s="558"/>
      <c r="NYP169" s="558"/>
      <c r="NYQ169" s="558"/>
      <c r="NYR169" s="558"/>
      <c r="NYS169" s="558"/>
      <c r="NYT169" s="558"/>
      <c r="NYU169" s="558"/>
      <c r="NYV169" s="558"/>
      <c r="NYW169" s="558"/>
      <c r="NYX169" s="558"/>
      <c r="NYY169" s="558"/>
      <c r="NYZ169" s="558"/>
      <c r="NZA169" s="558"/>
      <c r="NZB169" s="558"/>
      <c r="NZC169" s="558"/>
      <c r="NZD169" s="558"/>
      <c r="NZE169" s="558"/>
      <c r="NZF169" s="558"/>
      <c r="NZG169" s="558"/>
      <c r="NZH169" s="558"/>
      <c r="NZI169" s="558"/>
      <c r="NZJ169" s="558"/>
      <c r="NZK169" s="558"/>
      <c r="NZL169" s="558"/>
      <c r="NZM169" s="558"/>
      <c r="NZN169" s="558"/>
      <c r="NZO169" s="558"/>
      <c r="NZP169" s="558"/>
      <c r="NZQ169" s="558"/>
      <c r="NZR169" s="558"/>
      <c r="NZS169" s="558"/>
      <c r="NZT169" s="558"/>
      <c r="NZU169" s="558"/>
      <c r="NZV169" s="558"/>
      <c r="NZW169" s="558"/>
      <c r="NZX169" s="558"/>
      <c r="NZY169" s="558"/>
      <c r="NZZ169" s="558"/>
      <c r="OAA169" s="558"/>
      <c r="OAB169" s="558"/>
      <c r="OAC169" s="558"/>
      <c r="OAD169" s="558"/>
      <c r="OAE169" s="558"/>
      <c r="OAF169" s="558"/>
      <c r="OAG169" s="558"/>
      <c r="OAH169" s="558"/>
      <c r="OAI169" s="558"/>
      <c r="OAJ169" s="558"/>
      <c r="OAK169" s="558"/>
      <c r="OAL169" s="558"/>
      <c r="OAM169" s="558"/>
      <c r="OAN169" s="558"/>
      <c r="OAO169" s="558"/>
      <c r="OAP169" s="558"/>
      <c r="OAQ169" s="558"/>
      <c r="OAR169" s="558"/>
      <c r="OAS169" s="558"/>
      <c r="OAT169" s="558"/>
      <c r="OAU169" s="558"/>
      <c r="OAV169" s="558"/>
      <c r="OAW169" s="558"/>
      <c r="OAX169" s="558"/>
      <c r="OAY169" s="558"/>
      <c r="OAZ169" s="558"/>
      <c r="OBA169" s="558"/>
      <c r="OBB169" s="558"/>
      <c r="OBC169" s="558"/>
      <c r="OBD169" s="558"/>
      <c r="OBE169" s="558"/>
      <c r="OBF169" s="558"/>
      <c r="OBG169" s="558"/>
      <c r="OBH169" s="558"/>
      <c r="OBI169" s="558"/>
      <c r="OBJ169" s="558"/>
      <c r="OBK169" s="558"/>
      <c r="OBL169" s="558"/>
      <c r="OBM169" s="558"/>
      <c r="OBN169" s="558"/>
      <c r="OBO169" s="558"/>
      <c r="OBP169" s="558"/>
      <c r="OBQ169" s="558"/>
      <c r="OBR169" s="558"/>
      <c r="OBS169" s="558"/>
      <c r="OBT169" s="558"/>
      <c r="OBU169" s="558"/>
      <c r="OBV169" s="558"/>
      <c r="OBW169" s="558"/>
      <c r="OBX169" s="558"/>
      <c r="OBY169" s="558"/>
      <c r="OBZ169" s="558"/>
      <c r="OCA169" s="558"/>
      <c r="OCB169" s="558"/>
      <c r="OCC169" s="558"/>
      <c r="OCD169" s="558"/>
      <c r="OCE169" s="558"/>
      <c r="OCF169" s="558"/>
      <c r="OCG169" s="558"/>
      <c r="OCH169" s="558"/>
      <c r="OCI169" s="558"/>
      <c r="OCJ169" s="558"/>
      <c r="OCK169" s="558"/>
      <c r="OCL169" s="558"/>
      <c r="OCM169" s="558"/>
      <c r="OCN169" s="558"/>
      <c r="OCO169" s="558"/>
      <c r="OCP169" s="558"/>
      <c r="OCQ169" s="558"/>
      <c r="OCR169" s="558"/>
      <c r="OCS169" s="558"/>
      <c r="OCT169" s="558"/>
      <c r="OCU169" s="558"/>
      <c r="OCV169" s="558"/>
      <c r="OCW169" s="558"/>
      <c r="OCX169" s="558"/>
      <c r="OCY169" s="558"/>
      <c r="OCZ169" s="558"/>
      <c r="ODA169" s="558"/>
      <c r="ODB169" s="558"/>
      <c r="ODC169" s="558"/>
      <c r="ODD169" s="558"/>
      <c r="ODE169" s="558"/>
      <c r="ODF169" s="558"/>
      <c r="ODG169" s="558"/>
      <c r="ODH169" s="558"/>
      <c r="ODI169" s="558"/>
      <c r="ODJ169" s="558"/>
      <c r="ODK169" s="558"/>
      <c r="ODL169" s="558"/>
      <c r="ODM169" s="558"/>
      <c r="ODN169" s="558"/>
      <c r="ODO169" s="558"/>
      <c r="ODP169" s="558"/>
      <c r="ODQ169" s="558"/>
      <c r="ODR169" s="558"/>
      <c r="ODS169" s="558"/>
      <c r="ODT169" s="558"/>
      <c r="ODU169" s="558"/>
      <c r="ODV169" s="558"/>
      <c r="ODW169" s="558"/>
      <c r="ODX169" s="558"/>
      <c r="ODY169" s="558"/>
      <c r="ODZ169" s="558"/>
      <c r="OEA169" s="558"/>
      <c r="OEB169" s="558"/>
      <c r="OEC169" s="558"/>
      <c r="OED169" s="558"/>
      <c r="OEE169" s="558"/>
      <c r="OEF169" s="558"/>
      <c r="OEG169" s="558"/>
      <c r="OEH169" s="558"/>
      <c r="OEI169" s="558"/>
      <c r="OEJ169" s="558"/>
      <c r="OEK169" s="558"/>
      <c r="OEL169" s="558"/>
      <c r="OEM169" s="558"/>
      <c r="OEN169" s="558"/>
      <c r="OEO169" s="558"/>
      <c r="OEP169" s="558"/>
      <c r="OEQ169" s="558"/>
      <c r="OER169" s="558"/>
      <c r="OES169" s="558"/>
      <c r="OET169" s="558"/>
      <c r="OEU169" s="558"/>
      <c r="OEV169" s="558"/>
      <c r="OEW169" s="558"/>
      <c r="OEX169" s="558"/>
      <c r="OEY169" s="558"/>
      <c r="OEZ169" s="558"/>
      <c r="OFA169" s="558"/>
      <c r="OFB169" s="558"/>
      <c r="OFC169" s="558"/>
      <c r="OFD169" s="558"/>
      <c r="OFE169" s="558"/>
      <c r="OFF169" s="558"/>
      <c r="OFG169" s="558"/>
      <c r="OFH169" s="558"/>
      <c r="OFI169" s="558"/>
      <c r="OFJ169" s="558"/>
      <c r="OFK169" s="558"/>
      <c r="OFL169" s="558"/>
      <c r="OFM169" s="558"/>
      <c r="OFN169" s="558"/>
      <c r="OFO169" s="558"/>
      <c r="OFP169" s="558"/>
      <c r="OFQ169" s="558"/>
      <c r="OFR169" s="558"/>
      <c r="OFS169" s="558"/>
      <c r="OFT169" s="558"/>
      <c r="OFU169" s="558"/>
      <c r="OFV169" s="558"/>
      <c r="OFW169" s="558"/>
      <c r="OFX169" s="558"/>
      <c r="OFY169" s="558"/>
      <c r="OFZ169" s="558"/>
      <c r="OGA169" s="558"/>
      <c r="OGB169" s="558"/>
      <c r="OGC169" s="558"/>
      <c r="OGD169" s="558"/>
      <c r="OGE169" s="558"/>
      <c r="OGF169" s="558"/>
      <c r="OGG169" s="558"/>
      <c r="OGH169" s="558"/>
      <c r="OGI169" s="558"/>
      <c r="OGJ169" s="558"/>
      <c r="OGK169" s="558"/>
      <c r="OGL169" s="558"/>
      <c r="OGM169" s="558"/>
      <c r="OGN169" s="558"/>
      <c r="OGO169" s="558"/>
      <c r="OGP169" s="558"/>
      <c r="OGQ169" s="558"/>
      <c r="OGR169" s="558"/>
      <c r="OGS169" s="558"/>
      <c r="OGT169" s="558"/>
      <c r="OGU169" s="558"/>
      <c r="OGV169" s="558"/>
      <c r="OGW169" s="558"/>
      <c r="OGX169" s="558"/>
      <c r="OGY169" s="558"/>
      <c r="OGZ169" s="558"/>
      <c r="OHA169" s="558"/>
      <c r="OHB169" s="558"/>
      <c r="OHC169" s="558"/>
      <c r="OHD169" s="558"/>
      <c r="OHE169" s="558"/>
      <c r="OHF169" s="558"/>
      <c r="OHG169" s="558"/>
      <c r="OHH169" s="558"/>
      <c r="OHI169" s="558"/>
      <c r="OHJ169" s="558"/>
      <c r="OHK169" s="558"/>
      <c r="OHL169" s="558"/>
      <c r="OHM169" s="558"/>
      <c r="OHN169" s="558"/>
      <c r="OHO169" s="558"/>
      <c r="OHP169" s="558"/>
      <c r="OHQ169" s="558"/>
      <c r="OHR169" s="558"/>
      <c r="OHS169" s="558"/>
      <c r="OHT169" s="558"/>
      <c r="OHU169" s="558"/>
      <c r="OHV169" s="558"/>
      <c r="OHW169" s="558"/>
      <c r="OHX169" s="558"/>
      <c r="OHY169" s="558"/>
      <c r="OHZ169" s="558"/>
      <c r="OIA169" s="558"/>
      <c r="OIB169" s="558"/>
      <c r="OIC169" s="558"/>
      <c r="OID169" s="558"/>
      <c r="OIE169" s="558"/>
      <c r="OIF169" s="558"/>
      <c r="OIG169" s="558"/>
      <c r="OIH169" s="558"/>
      <c r="OII169" s="558"/>
      <c r="OIJ169" s="558"/>
      <c r="OIK169" s="558"/>
      <c r="OIL169" s="558"/>
      <c r="OIM169" s="558"/>
      <c r="OIN169" s="558"/>
      <c r="OIO169" s="558"/>
      <c r="OIP169" s="558"/>
      <c r="OIQ169" s="558"/>
      <c r="OIR169" s="558"/>
      <c r="OIS169" s="558"/>
      <c r="OIT169" s="558"/>
      <c r="OIU169" s="558"/>
      <c r="OIV169" s="558"/>
      <c r="OIW169" s="558"/>
      <c r="OIX169" s="558"/>
      <c r="OIY169" s="558"/>
      <c r="OIZ169" s="558"/>
      <c r="OJA169" s="558"/>
      <c r="OJB169" s="558"/>
      <c r="OJC169" s="558"/>
      <c r="OJD169" s="558"/>
      <c r="OJE169" s="558"/>
      <c r="OJF169" s="558"/>
      <c r="OJG169" s="558"/>
      <c r="OJH169" s="558"/>
      <c r="OJI169" s="558"/>
      <c r="OJJ169" s="558"/>
      <c r="OJK169" s="558"/>
      <c r="OJL169" s="558"/>
      <c r="OJM169" s="558"/>
      <c r="OJN169" s="558"/>
      <c r="OJO169" s="558"/>
      <c r="OJP169" s="558"/>
      <c r="OJQ169" s="558"/>
      <c r="OJR169" s="558"/>
      <c r="OJS169" s="558"/>
      <c r="OJT169" s="558"/>
      <c r="OJU169" s="558"/>
      <c r="OJV169" s="558"/>
      <c r="OJW169" s="558"/>
      <c r="OJX169" s="558"/>
      <c r="OJY169" s="558"/>
      <c r="OJZ169" s="558"/>
      <c r="OKA169" s="558"/>
      <c r="OKB169" s="558"/>
      <c r="OKC169" s="558"/>
      <c r="OKD169" s="558"/>
      <c r="OKE169" s="558"/>
      <c r="OKF169" s="558"/>
      <c r="OKG169" s="558"/>
      <c r="OKH169" s="558"/>
      <c r="OKI169" s="558"/>
      <c r="OKJ169" s="558"/>
      <c r="OKK169" s="558"/>
      <c r="OKL169" s="558"/>
      <c r="OKM169" s="558"/>
      <c r="OKN169" s="558"/>
      <c r="OKO169" s="558"/>
      <c r="OKP169" s="558"/>
      <c r="OKQ169" s="558"/>
      <c r="OKR169" s="558"/>
      <c r="OKS169" s="558"/>
      <c r="OKT169" s="558"/>
      <c r="OKU169" s="558"/>
      <c r="OKV169" s="558"/>
      <c r="OKW169" s="558"/>
      <c r="OKX169" s="558"/>
      <c r="OKY169" s="558"/>
      <c r="OKZ169" s="558"/>
      <c r="OLA169" s="558"/>
      <c r="OLB169" s="558"/>
      <c r="OLC169" s="558"/>
      <c r="OLD169" s="558"/>
      <c r="OLE169" s="558"/>
      <c r="OLF169" s="558"/>
      <c r="OLG169" s="558"/>
      <c r="OLH169" s="558"/>
      <c r="OLI169" s="558"/>
      <c r="OLJ169" s="558"/>
      <c r="OLK169" s="558"/>
      <c r="OLL169" s="558"/>
      <c r="OLM169" s="558"/>
      <c r="OLN169" s="558"/>
      <c r="OLO169" s="558"/>
      <c r="OLP169" s="558"/>
      <c r="OLQ169" s="558"/>
      <c r="OLR169" s="558"/>
      <c r="OLS169" s="558"/>
      <c r="OLT169" s="558"/>
      <c r="OLU169" s="558"/>
      <c r="OLV169" s="558"/>
      <c r="OLW169" s="558"/>
      <c r="OLX169" s="558"/>
      <c r="OLY169" s="558"/>
      <c r="OLZ169" s="558"/>
      <c r="OMA169" s="558"/>
      <c r="OMB169" s="558"/>
      <c r="OMC169" s="558"/>
      <c r="OMD169" s="558"/>
      <c r="OME169" s="558"/>
      <c r="OMF169" s="558"/>
      <c r="OMG169" s="558"/>
      <c r="OMH169" s="558"/>
      <c r="OMI169" s="558"/>
      <c r="OMJ169" s="558"/>
      <c r="OMK169" s="558"/>
      <c r="OML169" s="558"/>
      <c r="OMM169" s="558"/>
      <c r="OMN169" s="558"/>
      <c r="OMO169" s="558"/>
      <c r="OMP169" s="558"/>
      <c r="OMQ169" s="558"/>
      <c r="OMR169" s="558"/>
      <c r="OMS169" s="558"/>
      <c r="OMT169" s="558"/>
      <c r="OMU169" s="558"/>
      <c r="OMV169" s="558"/>
      <c r="OMW169" s="558"/>
      <c r="OMX169" s="558"/>
      <c r="OMY169" s="558"/>
      <c r="OMZ169" s="558"/>
      <c r="ONA169" s="558"/>
      <c r="ONB169" s="558"/>
      <c r="ONC169" s="558"/>
      <c r="OND169" s="558"/>
      <c r="ONE169" s="558"/>
      <c r="ONF169" s="558"/>
      <c r="ONG169" s="558"/>
      <c r="ONH169" s="558"/>
      <c r="ONI169" s="558"/>
      <c r="ONJ169" s="558"/>
      <c r="ONK169" s="558"/>
      <c r="ONL169" s="558"/>
      <c r="ONM169" s="558"/>
      <c r="ONN169" s="558"/>
      <c r="ONO169" s="558"/>
      <c r="ONP169" s="558"/>
      <c r="ONQ169" s="558"/>
      <c r="ONR169" s="558"/>
      <c r="ONS169" s="558"/>
      <c r="ONT169" s="558"/>
      <c r="ONU169" s="558"/>
      <c r="ONV169" s="558"/>
      <c r="ONW169" s="558"/>
      <c r="ONX169" s="558"/>
      <c r="ONY169" s="558"/>
      <c r="ONZ169" s="558"/>
      <c r="OOA169" s="558"/>
      <c r="OOB169" s="558"/>
      <c r="OOC169" s="558"/>
      <c r="OOD169" s="558"/>
      <c r="OOE169" s="558"/>
      <c r="OOF169" s="558"/>
      <c r="OOG169" s="558"/>
      <c r="OOH169" s="558"/>
      <c r="OOI169" s="558"/>
      <c r="OOJ169" s="558"/>
      <c r="OOK169" s="558"/>
      <c r="OOL169" s="558"/>
      <c r="OOM169" s="558"/>
      <c r="OON169" s="558"/>
      <c r="OOO169" s="558"/>
      <c r="OOP169" s="558"/>
      <c r="OOQ169" s="558"/>
      <c r="OOR169" s="558"/>
      <c r="OOS169" s="558"/>
      <c r="OOT169" s="558"/>
      <c r="OOU169" s="558"/>
      <c r="OOV169" s="558"/>
      <c r="OOW169" s="558"/>
      <c r="OOX169" s="558"/>
      <c r="OOY169" s="558"/>
      <c r="OOZ169" s="558"/>
      <c r="OPA169" s="558"/>
      <c r="OPB169" s="558"/>
      <c r="OPC169" s="558"/>
      <c r="OPD169" s="558"/>
      <c r="OPE169" s="558"/>
      <c r="OPF169" s="558"/>
      <c r="OPG169" s="558"/>
      <c r="OPH169" s="558"/>
      <c r="OPI169" s="558"/>
      <c r="OPJ169" s="558"/>
      <c r="OPK169" s="558"/>
      <c r="OPL169" s="558"/>
      <c r="OPM169" s="558"/>
      <c r="OPN169" s="558"/>
      <c r="OPO169" s="558"/>
      <c r="OPP169" s="558"/>
      <c r="OPQ169" s="558"/>
      <c r="OPR169" s="558"/>
      <c r="OPS169" s="558"/>
      <c r="OPT169" s="558"/>
      <c r="OPU169" s="558"/>
      <c r="OPV169" s="558"/>
      <c r="OPW169" s="558"/>
      <c r="OPX169" s="558"/>
      <c r="OPY169" s="558"/>
      <c r="OPZ169" s="558"/>
      <c r="OQA169" s="558"/>
      <c r="OQB169" s="558"/>
      <c r="OQC169" s="558"/>
      <c r="OQD169" s="558"/>
      <c r="OQE169" s="558"/>
      <c r="OQF169" s="558"/>
      <c r="OQG169" s="558"/>
      <c r="OQH169" s="558"/>
      <c r="OQI169" s="558"/>
      <c r="OQJ169" s="558"/>
      <c r="OQK169" s="558"/>
      <c r="OQL169" s="558"/>
      <c r="OQM169" s="558"/>
      <c r="OQN169" s="558"/>
      <c r="OQO169" s="558"/>
      <c r="OQP169" s="558"/>
      <c r="OQQ169" s="558"/>
      <c r="OQR169" s="558"/>
      <c r="OQS169" s="558"/>
      <c r="OQT169" s="558"/>
      <c r="OQU169" s="558"/>
      <c r="OQV169" s="558"/>
      <c r="OQW169" s="558"/>
      <c r="OQX169" s="558"/>
      <c r="OQY169" s="558"/>
      <c r="OQZ169" s="558"/>
      <c r="ORA169" s="558"/>
      <c r="ORB169" s="558"/>
      <c r="ORC169" s="558"/>
      <c r="ORD169" s="558"/>
      <c r="ORE169" s="558"/>
      <c r="ORF169" s="558"/>
      <c r="ORG169" s="558"/>
      <c r="ORH169" s="558"/>
      <c r="ORI169" s="558"/>
      <c r="ORJ169" s="558"/>
      <c r="ORK169" s="558"/>
      <c r="ORL169" s="558"/>
      <c r="ORM169" s="558"/>
      <c r="ORN169" s="558"/>
      <c r="ORO169" s="558"/>
      <c r="ORP169" s="558"/>
      <c r="ORQ169" s="558"/>
      <c r="ORR169" s="558"/>
      <c r="ORS169" s="558"/>
      <c r="ORT169" s="558"/>
      <c r="ORU169" s="558"/>
      <c r="ORV169" s="558"/>
      <c r="ORW169" s="558"/>
      <c r="ORX169" s="558"/>
      <c r="ORY169" s="558"/>
      <c r="ORZ169" s="558"/>
      <c r="OSA169" s="558"/>
      <c r="OSB169" s="558"/>
      <c r="OSC169" s="558"/>
      <c r="OSD169" s="558"/>
      <c r="OSE169" s="558"/>
      <c r="OSF169" s="558"/>
      <c r="OSG169" s="558"/>
      <c r="OSH169" s="558"/>
      <c r="OSI169" s="558"/>
      <c r="OSJ169" s="558"/>
      <c r="OSK169" s="558"/>
      <c r="OSL169" s="558"/>
      <c r="OSM169" s="558"/>
      <c r="OSN169" s="558"/>
      <c r="OSO169" s="558"/>
      <c r="OSP169" s="558"/>
      <c r="OSQ169" s="558"/>
      <c r="OSR169" s="558"/>
      <c r="OSS169" s="558"/>
      <c r="OST169" s="558"/>
      <c r="OSU169" s="558"/>
      <c r="OSV169" s="558"/>
      <c r="OSW169" s="558"/>
      <c r="OSX169" s="558"/>
      <c r="OSY169" s="558"/>
      <c r="OSZ169" s="558"/>
      <c r="OTA169" s="558"/>
      <c r="OTB169" s="558"/>
      <c r="OTC169" s="558"/>
      <c r="OTD169" s="558"/>
      <c r="OTE169" s="558"/>
      <c r="OTF169" s="558"/>
      <c r="OTG169" s="558"/>
      <c r="OTH169" s="558"/>
      <c r="OTI169" s="558"/>
      <c r="OTJ169" s="558"/>
      <c r="OTK169" s="558"/>
      <c r="OTL169" s="558"/>
      <c r="OTM169" s="558"/>
      <c r="OTN169" s="558"/>
      <c r="OTO169" s="558"/>
      <c r="OTP169" s="558"/>
      <c r="OTQ169" s="558"/>
      <c r="OTR169" s="558"/>
      <c r="OTS169" s="558"/>
      <c r="OTT169" s="558"/>
      <c r="OTU169" s="558"/>
      <c r="OTV169" s="558"/>
      <c r="OTW169" s="558"/>
      <c r="OTX169" s="558"/>
      <c r="OTY169" s="558"/>
      <c r="OTZ169" s="558"/>
      <c r="OUA169" s="558"/>
      <c r="OUB169" s="558"/>
      <c r="OUC169" s="558"/>
      <c r="OUD169" s="558"/>
      <c r="OUE169" s="558"/>
      <c r="OUF169" s="558"/>
      <c r="OUG169" s="558"/>
      <c r="OUH169" s="558"/>
      <c r="OUI169" s="558"/>
      <c r="OUJ169" s="558"/>
      <c r="OUK169" s="558"/>
      <c r="OUL169" s="558"/>
      <c r="OUM169" s="558"/>
      <c r="OUN169" s="558"/>
      <c r="OUO169" s="558"/>
      <c r="OUP169" s="558"/>
      <c r="OUQ169" s="558"/>
      <c r="OUR169" s="558"/>
      <c r="OUS169" s="558"/>
      <c r="OUT169" s="558"/>
      <c r="OUU169" s="558"/>
      <c r="OUV169" s="558"/>
      <c r="OUW169" s="558"/>
      <c r="OUX169" s="558"/>
      <c r="OUY169" s="558"/>
      <c r="OUZ169" s="558"/>
      <c r="OVA169" s="558"/>
      <c r="OVB169" s="558"/>
      <c r="OVC169" s="558"/>
      <c r="OVD169" s="558"/>
      <c r="OVE169" s="558"/>
      <c r="OVF169" s="558"/>
      <c r="OVG169" s="558"/>
      <c r="OVH169" s="558"/>
      <c r="OVI169" s="558"/>
      <c r="OVJ169" s="558"/>
      <c r="OVK169" s="558"/>
      <c r="OVL169" s="558"/>
      <c r="OVM169" s="558"/>
      <c r="OVN169" s="558"/>
      <c r="OVO169" s="558"/>
      <c r="OVP169" s="558"/>
      <c r="OVQ169" s="558"/>
      <c r="OVR169" s="558"/>
      <c r="OVS169" s="558"/>
      <c r="OVT169" s="558"/>
      <c r="OVU169" s="558"/>
      <c r="OVV169" s="558"/>
      <c r="OVW169" s="558"/>
      <c r="OVX169" s="558"/>
      <c r="OVY169" s="558"/>
      <c r="OVZ169" s="558"/>
      <c r="OWA169" s="558"/>
      <c r="OWB169" s="558"/>
      <c r="OWC169" s="558"/>
      <c r="OWD169" s="558"/>
      <c r="OWE169" s="558"/>
      <c r="OWF169" s="558"/>
      <c r="OWG169" s="558"/>
      <c r="OWH169" s="558"/>
      <c r="OWI169" s="558"/>
      <c r="OWJ169" s="558"/>
      <c r="OWK169" s="558"/>
      <c r="OWL169" s="558"/>
      <c r="OWM169" s="558"/>
      <c r="OWN169" s="558"/>
      <c r="OWO169" s="558"/>
      <c r="OWP169" s="558"/>
      <c r="OWQ169" s="558"/>
      <c r="OWR169" s="558"/>
      <c r="OWS169" s="558"/>
      <c r="OWT169" s="558"/>
      <c r="OWU169" s="558"/>
      <c r="OWV169" s="558"/>
      <c r="OWW169" s="558"/>
      <c r="OWX169" s="558"/>
      <c r="OWY169" s="558"/>
      <c r="OWZ169" s="558"/>
      <c r="OXA169" s="558"/>
      <c r="OXB169" s="558"/>
      <c r="OXC169" s="558"/>
      <c r="OXD169" s="558"/>
      <c r="OXE169" s="558"/>
      <c r="OXF169" s="558"/>
      <c r="OXG169" s="558"/>
      <c r="OXH169" s="558"/>
      <c r="OXI169" s="558"/>
      <c r="OXJ169" s="558"/>
      <c r="OXK169" s="558"/>
      <c r="OXL169" s="558"/>
      <c r="OXM169" s="558"/>
      <c r="OXN169" s="558"/>
      <c r="OXO169" s="558"/>
      <c r="OXP169" s="558"/>
      <c r="OXQ169" s="558"/>
      <c r="OXR169" s="558"/>
      <c r="OXS169" s="558"/>
      <c r="OXT169" s="558"/>
      <c r="OXU169" s="558"/>
      <c r="OXV169" s="558"/>
      <c r="OXW169" s="558"/>
      <c r="OXX169" s="558"/>
      <c r="OXY169" s="558"/>
      <c r="OXZ169" s="558"/>
      <c r="OYA169" s="558"/>
      <c r="OYB169" s="558"/>
      <c r="OYC169" s="558"/>
      <c r="OYD169" s="558"/>
      <c r="OYE169" s="558"/>
      <c r="OYF169" s="558"/>
      <c r="OYG169" s="558"/>
      <c r="OYH169" s="558"/>
      <c r="OYI169" s="558"/>
      <c r="OYJ169" s="558"/>
      <c r="OYK169" s="558"/>
      <c r="OYL169" s="558"/>
      <c r="OYM169" s="558"/>
      <c r="OYN169" s="558"/>
      <c r="OYO169" s="558"/>
      <c r="OYP169" s="558"/>
      <c r="OYQ169" s="558"/>
      <c r="OYR169" s="558"/>
      <c r="OYS169" s="558"/>
      <c r="OYT169" s="558"/>
      <c r="OYU169" s="558"/>
      <c r="OYV169" s="558"/>
      <c r="OYW169" s="558"/>
      <c r="OYX169" s="558"/>
      <c r="OYY169" s="558"/>
      <c r="OYZ169" s="558"/>
      <c r="OZA169" s="558"/>
      <c r="OZB169" s="558"/>
      <c r="OZC169" s="558"/>
      <c r="OZD169" s="558"/>
      <c r="OZE169" s="558"/>
      <c r="OZF169" s="558"/>
      <c r="OZG169" s="558"/>
      <c r="OZH169" s="558"/>
      <c r="OZI169" s="558"/>
      <c r="OZJ169" s="558"/>
      <c r="OZK169" s="558"/>
      <c r="OZL169" s="558"/>
      <c r="OZM169" s="558"/>
      <c r="OZN169" s="558"/>
      <c r="OZO169" s="558"/>
      <c r="OZP169" s="558"/>
      <c r="OZQ169" s="558"/>
      <c r="OZR169" s="558"/>
      <c r="OZS169" s="558"/>
      <c r="OZT169" s="558"/>
      <c r="OZU169" s="558"/>
      <c r="OZV169" s="558"/>
      <c r="OZW169" s="558"/>
      <c r="OZX169" s="558"/>
      <c r="OZY169" s="558"/>
      <c r="OZZ169" s="558"/>
      <c r="PAA169" s="558"/>
      <c r="PAB169" s="558"/>
      <c r="PAC169" s="558"/>
      <c r="PAD169" s="558"/>
      <c r="PAE169" s="558"/>
      <c r="PAF169" s="558"/>
      <c r="PAG169" s="558"/>
      <c r="PAH169" s="558"/>
      <c r="PAI169" s="558"/>
      <c r="PAJ169" s="558"/>
      <c r="PAK169" s="558"/>
      <c r="PAL169" s="558"/>
      <c r="PAM169" s="558"/>
      <c r="PAN169" s="558"/>
      <c r="PAO169" s="558"/>
      <c r="PAP169" s="558"/>
      <c r="PAQ169" s="558"/>
      <c r="PAR169" s="558"/>
      <c r="PAS169" s="558"/>
      <c r="PAT169" s="558"/>
      <c r="PAU169" s="558"/>
      <c r="PAV169" s="558"/>
      <c r="PAW169" s="558"/>
      <c r="PAX169" s="558"/>
      <c r="PAY169" s="558"/>
      <c r="PAZ169" s="558"/>
      <c r="PBA169" s="558"/>
      <c r="PBB169" s="558"/>
      <c r="PBC169" s="558"/>
      <c r="PBD169" s="558"/>
      <c r="PBE169" s="558"/>
      <c r="PBF169" s="558"/>
      <c r="PBG169" s="558"/>
      <c r="PBH169" s="558"/>
      <c r="PBI169" s="558"/>
      <c r="PBJ169" s="558"/>
      <c r="PBK169" s="558"/>
      <c r="PBL169" s="558"/>
      <c r="PBM169" s="558"/>
      <c r="PBN169" s="558"/>
      <c r="PBO169" s="558"/>
      <c r="PBP169" s="558"/>
      <c r="PBQ169" s="558"/>
      <c r="PBR169" s="558"/>
      <c r="PBS169" s="558"/>
      <c r="PBT169" s="558"/>
      <c r="PBU169" s="558"/>
      <c r="PBV169" s="558"/>
      <c r="PBW169" s="558"/>
      <c r="PBX169" s="558"/>
      <c r="PBY169" s="558"/>
      <c r="PBZ169" s="558"/>
      <c r="PCA169" s="558"/>
      <c r="PCB169" s="558"/>
      <c r="PCC169" s="558"/>
      <c r="PCD169" s="558"/>
      <c r="PCE169" s="558"/>
      <c r="PCF169" s="558"/>
      <c r="PCG169" s="558"/>
      <c r="PCH169" s="558"/>
      <c r="PCI169" s="558"/>
      <c r="PCJ169" s="558"/>
      <c r="PCK169" s="558"/>
      <c r="PCL169" s="558"/>
      <c r="PCM169" s="558"/>
      <c r="PCN169" s="558"/>
      <c r="PCO169" s="558"/>
      <c r="PCP169" s="558"/>
      <c r="PCQ169" s="558"/>
      <c r="PCR169" s="558"/>
      <c r="PCS169" s="558"/>
      <c r="PCT169" s="558"/>
      <c r="PCU169" s="558"/>
      <c r="PCV169" s="558"/>
      <c r="PCW169" s="558"/>
      <c r="PCX169" s="558"/>
      <c r="PCY169" s="558"/>
      <c r="PCZ169" s="558"/>
      <c r="PDA169" s="558"/>
      <c r="PDB169" s="558"/>
      <c r="PDC169" s="558"/>
      <c r="PDD169" s="558"/>
      <c r="PDE169" s="558"/>
      <c r="PDF169" s="558"/>
      <c r="PDG169" s="558"/>
      <c r="PDH169" s="558"/>
      <c r="PDI169" s="558"/>
      <c r="PDJ169" s="558"/>
      <c r="PDK169" s="558"/>
      <c r="PDL169" s="558"/>
      <c r="PDM169" s="558"/>
      <c r="PDN169" s="558"/>
      <c r="PDO169" s="558"/>
      <c r="PDP169" s="558"/>
      <c r="PDQ169" s="558"/>
      <c r="PDR169" s="558"/>
      <c r="PDS169" s="558"/>
      <c r="PDT169" s="558"/>
      <c r="PDU169" s="558"/>
      <c r="PDV169" s="558"/>
      <c r="PDW169" s="558"/>
      <c r="PDX169" s="558"/>
      <c r="PDY169" s="558"/>
      <c r="PDZ169" s="558"/>
      <c r="PEA169" s="558"/>
      <c r="PEB169" s="558"/>
      <c r="PEC169" s="558"/>
      <c r="PED169" s="558"/>
      <c r="PEE169" s="558"/>
      <c r="PEF169" s="558"/>
      <c r="PEG169" s="558"/>
      <c r="PEH169" s="558"/>
      <c r="PEI169" s="558"/>
      <c r="PEJ169" s="558"/>
      <c r="PEK169" s="558"/>
      <c r="PEL169" s="558"/>
      <c r="PEM169" s="558"/>
      <c r="PEN169" s="558"/>
      <c r="PEO169" s="558"/>
      <c r="PEP169" s="558"/>
      <c r="PEQ169" s="558"/>
      <c r="PER169" s="558"/>
      <c r="PES169" s="558"/>
      <c r="PET169" s="558"/>
      <c r="PEU169" s="558"/>
      <c r="PEV169" s="558"/>
      <c r="PEW169" s="558"/>
      <c r="PEX169" s="558"/>
      <c r="PEY169" s="558"/>
      <c r="PEZ169" s="558"/>
      <c r="PFA169" s="558"/>
      <c r="PFB169" s="558"/>
      <c r="PFC169" s="558"/>
      <c r="PFD169" s="558"/>
      <c r="PFE169" s="558"/>
      <c r="PFF169" s="558"/>
      <c r="PFG169" s="558"/>
      <c r="PFH169" s="558"/>
      <c r="PFI169" s="558"/>
      <c r="PFJ169" s="558"/>
      <c r="PFK169" s="558"/>
      <c r="PFL169" s="558"/>
      <c r="PFM169" s="558"/>
      <c r="PFN169" s="558"/>
      <c r="PFO169" s="558"/>
      <c r="PFP169" s="558"/>
      <c r="PFQ169" s="558"/>
      <c r="PFR169" s="558"/>
      <c r="PFS169" s="558"/>
      <c r="PFT169" s="558"/>
      <c r="PFU169" s="558"/>
      <c r="PFV169" s="558"/>
      <c r="PFW169" s="558"/>
      <c r="PFX169" s="558"/>
      <c r="PFY169" s="558"/>
      <c r="PFZ169" s="558"/>
      <c r="PGA169" s="558"/>
      <c r="PGB169" s="558"/>
      <c r="PGC169" s="558"/>
      <c r="PGD169" s="558"/>
      <c r="PGE169" s="558"/>
      <c r="PGF169" s="558"/>
      <c r="PGG169" s="558"/>
      <c r="PGH169" s="558"/>
      <c r="PGI169" s="558"/>
      <c r="PGJ169" s="558"/>
      <c r="PGK169" s="558"/>
      <c r="PGL169" s="558"/>
      <c r="PGM169" s="558"/>
      <c r="PGN169" s="558"/>
      <c r="PGO169" s="558"/>
      <c r="PGP169" s="558"/>
      <c r="PGQ169" s="558"/>
      <c r="PGR169" s="558"/>
      <c r="PGS169" s="558"/>
      <c r="PGT169" s="558"/>
      <c r="PGU169" s="558"/>
      <c r="PGV169" s="558"/>
      <c r="PGW169" s="558"/>
      <c r="PGX169" s="558"/>
      <c r="PGY169" s="558"/>
      <c r="PGZ169" s="558"/>
      <c r="PHA169" s="558"/>
      <c r="PHB169" s="558"/>
      <c r="PHC169" s="558"/>
      <c r="PHD169" s="558"/>
      <c r="PHE169" s="558"/>
      <c r="PHF169" s="558"/>
      <c r="PHG169" s="558"/>
      <c r="PHH169" s="558"/>
      <c r="PHI169" s="558"/>
      <c r="PHJ169" s="558"/>
      <c r="PHK169" s="558"/>
      <c r="PHL169" s="558"/>
      <c r="PHM169" s="558"/>
      <c r="PHN169" s="558"/>
      <c r="PHO169" s="558"/>
      <c r="PHP169" s="558"/>
      <c r="PHQ169" s="558"/>
      <c r="PHR169" s="558"/>
      <c r="PHS169" s="558"/>
      <c r="PHT169" s="558"/>
      <c r="PHU169" s="558"/>
      <c r="PHV169" s="558"/>
      <c r="PHW169" s="558"/>
      <c r="PHX169" s="558"/>
      <c r="PHY169" s="558"/>
      <c r="PHZ169" s="558"/>
      <c r="PIA169" s="558"/>
      <c r="PIB169" s="558"/>
      <c r="PIC169" s="558"/>
      <c r="PID169" s="558"/>
      <c r="PIE169" s="558"/>
      <c r="PIF169" s="558"/>
      <c r="PIG169" s="558"/>
      <c r="PIH169" s="558"/>
      <c r="PII169" s="558"/>
      <c r="PIJ169" s="558"/>
      <c r="PIK169" s="558"/>
      <c r="PIL169" s="558"/>
      <c r="PIM169" s="558"/>
      <c r="PIN169" s="558"/>
      <c r="PIO169" s="558"/>
      <c r="PIP169" s="558"/>
      <c r="PIQ169" s="558"/>
      <c r="PIR169" s="558"/>
      <c r="PIS169" s="558"/>
      <c r="PIT169" s="558"/>
      <c r="PIU169" s="558"/>
      <c r="PIV169" s="558"/>
      <c r="PIW169" s="558"/>
      <c r="PIX169" s="558"/>
      <c r="PIY169" s="558"/>
      <c r="PIZ169" s="558"/>
      <c r="PJA169" s="558"/>
      <c r="PJB169" s="558"/>
      <c r="PJC169" s="558"/>
      <c r="PJD169" s="558"/>
      <c r="PJE169" s="558"/>
      <c r="PJF169" s="558"/>
      <c r="PJG169" s="558"/>
      <c r="PJH169" s="558"/>
      <c r="PJI169" s="558"/>
      <c r="PJJ169" s="558"/>
      <c r="PJK169" s="558"/>
      <c r="PJL169" s="558"/>
      <c r="PJM169" s="558"/>
      <c r="PJN169" s="558"/>
      <c r="PJO169" s="558"/>
      <c r="PJP169" s="558"/>
      <c r="PJQ169" s="558"/>
      <c r="PJR169" s="558"/>
      <c r="PJS169" s="558"/>
      <c r="PJT169" s="558"/>
      <c r="PJU169" s="558"/>
      <c r="PJV169" s="558"/>
      <c r="PJW169" s="558"/>
      <c r="PJX169" s="558"/>
      <c r="PJY169" s="558"/>
      <c r="PJZ169" s="558"/>
      <c r="PKA169" s="558"/>
      <c r="PKB169" s="558"/>
      <c r="PKC169" s="558"/>
      <c r="PKD169" s="558"/>
      <c r="PKE169" s="558"/>
      <c r="PKF169" s="558"/>
      <c r="PKG169" s="558"/>
      <c r="PKH169" s="558"/>
      <c r="PKI169" s="558"/>
      <c r="PKJ169" s="558"/>
      <c r="PKK169" s="558"/>
      <c r="PKL169" s="558"/>
      <c r="PKM169" s="558"/>
      <c r="PKN169" s="558"/>
      <c r="PKO169" s="558"/>
      <c r="PKP169" s="558"/>
      <c r="PKQ169" s="558"/>
      <c r="PKR169" s="558"/>
      <c r="PKS169" s="558"/>
      <c r="PKT169" s="558"/>
      <c r="PKU169" s="558"/>
      <c r="PKV169" s="558"/>
      <c r="PKW169" s="558"/>
      <c r="PKX169" s="558"/>
      <c r="PKY169" s="558"/>
      <c r="PKZ169" s="558"/>
      <c r="PLA169" s="558"/>
      <c r="PLB169" s="558"/>
      <c r="PLC169" s="558"/>
      <c r="PLD169" s="558"/>
      <c r="PLE169" s="558"/>
      <c r="PLF169" s="558"/>
      <c r="PLG169" s="558"/>
      <c r="PLH169" s="558"/>
      <c r="PLI169" s="558"/>
      <c r="PLJ169" s="558"/>
      <c r="PLK169" s="558"/>
      <c r="PLL169" s="558"/>
      <c r="PLM169" s="558"/>
      <c r="PLN169" s="558"/>
      <c r="PLO169" s="558"/>
      <c r="PLP169" s="558"/>
      <c r="PLQ169" s="558"/>
      <c r="PLR169" s="558"/>
      <c r="PLS169" s="558"/>
      <c r="PLT169" s="558"/>
      <c r="PLU169" s="558"/>
      <c r="PLV169" s="558"/>
      <c r="PLW169" s="558"/>
      <c r="PLX169" s="558"/>
      <c r="PLY169" s="558"/>
      <c r="PLZ169" s="558"/>
      <c r="PMA169" s="558"/>
      <c r="PMB169" s="558"/>
      <c r="PMC169" s="558"/>
      <c r="PMD169" s="558"/>
      <c r="PME169" s="558"/>
      <c r="PMF169" s="558"/>
      <c r="PMG169" s="558"/>
      <c r="PMH169" s="558"/>
      <c r="PMI169" s="558"/>
      <c r="PMJ169" s="558"/>
      <c r="PMK169" s="558"/>
      <c r="PML169" s="558"/>
      <c r="PMM169" s="558"/>
      <c r="PMN169" s="558"/>
      <c r="PMO169" s="558"/>
      <c r="PMP169" s="558"/>
      <c r="PMQ169" s="558"/>
      <c r="PMR169" s="558"/>
      <c r="PMS169" s="558"/>
      <c r="PMT169" s="558"/>
      <c r="PMU169" s="558"/>
      <c r="PMV169" s="558"/>
      <c r="PMW169" s="558"/>
      <c r="PMX169" s="558"/>
      <c r="PMY169" s="558"/>
      <c r="PMZ169" s="558"/>
      <c r="PNA169" s="558"/>
      <c r="PNB169" s="558"/>
      <c r="PNC169" s="558"/>
      <c r="PND169" s="558"/>
      <c r="PNE169" s="558"/>
      <c r="PNF169" s="558"/>
      <c r="PNG169" s="558"/>
      <c r="PNH169" s="558"/>
      <c r="PNI169" s="558"/>
      <c r="PNJ169" s="558"/>
      <c r="PNK169" s="558"/>
      <c r="PNL169" s="558"/>
      <c r="PNM169" s="558"/>
      <c r="PNN169" s="558"/>
      <c r="PNO169" s="558"/>
      <c r="PNP169" s="558"/>
      <c r="PNQ169" s="558"/>
      <c r="PNR169" s="558"/>
      <c r="PNS169" s="558"/>
      <c r="PNT169" s="558"/>
      <c r="PNU169" s="558"/>
      <c r="PNV169" s="558"/>
      <c r="PNW169" s="558"/>
      <c r="PNX169" s="558"/>
      <c r="PNY169" s="558"/>
      <c r="PNZ169" s="558"/>
      <c r="POA169" s="558"/>
      <c r="POB169" s="558"/>
      <c r="POC169" s="558"/>
      <c r="POD169" s="558"/>
      <c r="POE169" s="558"/>
      <c r="POF169" s="558"/>
      <c r="POG169" s="558"/>
      <c r="POH169" s="558"/>
      <c r="POI169" s="558"/>
      <c r="POJ169" s="558"/>
      <c r="POK169" s="558"/>
      <c r="POL169" s="558"/>
      <c r="POM169" s="558"/>
      <c r="PON169" s="558"/>
      <c r="POO169" s="558"/>
      <c r="POP169" s="558"/>
      <c r="POQ169" s="558"/>
      <c r="POR169" s="558"/>
      <c r="POS169" s="558"/>
      <c r="POT169" s="558"/>
      <c r="POU169" s="558"/>
      <c r="POV169" s="558"/>
      <c r="POW169" s="558"/>
      <c r="POX169" s="558"/>
      <c r="POY169" s="558"/>
      <c r="POZ169" s="558"/>
      <c r="PPA169" s="558"/>
      <c r="PPB169" s="558"/>
      <c r="PPC169" s="558"/>
      <c r="PPD169" s="558"/>
      <c r="PPE169" s="558"/>
      <c r="PPF169" s="558"/>
      <c r="PPG169" s="558"/>
      <c r="PPH169" s="558"/>
      <c r="PPI169" s="558"/>
      <c r="PPJ169" s="558"/>
      <c r="PPK169" s="558"/>
      <c r="PPL169" s="558"/>
      <c r="PPM169" s="558"/>
      <c r="PPN169" s="558"/>
      <c r="PPO169" s="558"/>
      <c r="PPP169" s="558"/>
      <c r="PPQ169" s="558"/>
      <c r="PPR169" s="558"/>
      <c r="PPS169" s="558"/>
      <c r="PPT169" s="558"/>
      <c r="PPU169" s="558"/>
      <c r="PPV169" s="558"/>
      <c r="PPW169" s="558"/>
      <c r="PPX169" s="558"/>
      <c r="PPY169" s="558"/>
      <c r="PPZ169" s="558"/>
      <c r="PQA169" s="558"/>
      <c r="PQB169" s="558"/>
      <c r="PQC169" s="558"/>
      <c r="PQD169" s="558"/>
      <c r="PQE169" s="558"/>
      <c r="PQF169" s="558"/>
      <c r="PQG169" s="558"/>
      <c r="PQH169" s="558"/>
      <c r="PQI169" s="558"/>
      <c r="PQJ169" s="558"/>
      <c r="PQK169" s="558"/>
      <c r="PQL169" s="558"/>
      <c r="PQM169" s="558"/>
      <c r="PQN169" s="558"/>
      <c r="PQO169" s="558"/>
      <c r="PQP169" s="558"/>
      <c r="PQQ169" s="558"/>
      <c r="PQR169" s="558"/>
      <c r="PQS169" s="558"/>
      <c r="PQT169" s="558"/>
      <c r="PQU169" s="558"/>
      <c r="PQV169" s="558"/>
      <c r="PQW169" s="558"/>
      <c r="PQX169" s="558"/>
      <c r="PQY169" s="558"/>
      <c r="PQZ169" s="558"/>
      <c r="PRA169" s="558"/>
      <c r="PRB169" s="558"/>
      <c r="PRC169" s="558"/>
      <c r="PRD169" s="558"/>
      <c r="PRE169" s="558"/>
      <c r="PRF169" s="558"/>
      <c r="PRG169" s="558"/>
      <c r="PRH169" s="558"/>
      <c r="PRI169" s="558"/>
      <c r="PRJ169" s="558"/>
      <c r="PRK169" s="558"/>
      <c r="PRL169" s="558"/>
      <c r="PRM169" s="558"/>
      <c r="PRN169" s="558"/>
      <c r="PRO169" s="558"/>
      <c r="PRP169" s="558"/>
      <c r="PRQ169" s="558"/>
      <c r="PRR169" s="558"/>
      <c r="PRS169" s="558"/>
      <c r="PRT169" s="558"/>
      <c r="PRU169" s="558"/>
      <c r="PRV169" s="558"/>
      <c r="PRW169" s="558"/>
      <c r="PRX169" s="558"/>
      <c r="PRY169" s="558"/>
      <c r="PRZ169" s="558"/>
      <c r="PSA169" s="558"/>
      <c r="PSB169" s="558"/>
      <c r="PSC169" s="558"/>
      <c r="PSD169" s="558"/>
      <c r="PSE169" s="558"/>
      <c r="PSF169" s="558"/>
      <c r="PSG169" s="558"/>
      <c r="PSH169" s="558"/>
      <c r="PSI169" s="558"/>
      <c r="PSJ169" s="558"/>
      <c r="PSK169" s="558"/>
      <c r="PSL169" s="558"/>
      <c r="PSM169" s="558"/>
      <c r="PSN169" s="558"/>
      <c r="PSO169" s="558"/>
      <c r="PSP169" s="558"/>
      <c r="PSQ169" s="558"/>
      <c r="PSR169" s="558"/>
      <c r="PSS169" s="558"/>
      <c r="PST169" s="558"/>
      <c r="PSU169" s="558"/>
      <c r="PSV169" s="558"/>
      <c r="PSW169" s="558"/>
      <c r="PSX169" s="558"/>
      <c r="PSY169" s="558"/>
      <c r="PSZ169" s="558"/>
      <c r="PTA169" s="558"/>
      <c r="PTB169" s="558"/>
      <c r="PTC169" s="558"/>
      <c r="PTD169" s="558"/>
      <c r="PTE169" s="558"/>
      <c r="PTF169" s="558"/>
      <c r="PTG169" s="558"/>
      <c r="PTH169" s="558"/>
      <c r="PTI169" s="558"/>
      <c r="PTJ169" s="558"/>
      <c r="PTK169" s="558"/>
      <c r="PTL169" s="558"/>
      <c r="PTM169" s="558"/>
      <c r="PTN169" s="558"/>
      <c r="PTO169" s="558"/>
      <c r="PTP169" s="558"/>
      <c r="PTQ169" s="558"/>
      <c r="PTR169" s="558"/>
      <c r="PTS169" s="558"/>
      <c r="PTT169" s="558"/>
      <c r="PTU169" s="558"/>
      <c r="PTV169" s="558"/>
      <c r="PTW169" s="558"/>
      <c r="PTX169" s="558"/>
      <c r="PTY169" s="558"/>
      <c r="PTZ169" s="558"/>
      <c r="PUA169" s="558"/>
      <c r="PUB169" s="558"/>
      <c r="PUC169" s="558"/>
      <c r="PUD169" s="558"/>
      <c r="PUE169" s="558"/>
      <c r="PUF169" s="558"/>
      <c r="PUG169" s="558"/>
      <c r="PUH169" s="558"/>
      <c r="PUI169" s="558"/>
      <c r="PUJ169" s="558"/>
      <c r="PUK169" s="558"/>
      <c r="PUL169" s="558"/>
      <c r="PUM169" s="558"/>
      <c r="PUN169" s="558"/>
      <c r="PUO169" s="558"/>
      <c r="PUP169" s="558"/>
      <c r="PUQ169" s="558"/>
      <c r="PUR169" s="558"/>
      <c r="PUS169" s="558"/>
      <c r="PUT169" s="558"/>
      <c r="PUU169" s="558"/>
      <c r="PUV169" s="558"/>
      <c r="PUW169" s="558"/>
      <c r="PUX169" s="558"/>
      <c r="PUY169" s="558"/>
      <c r="PUZ169" s="558"/>
      <c r="PVA169" s="558"/>
      <c r="PVB169" s="558"/>
      <c r="PVC169" s="558"/>
      <c r="PVD169" s="558"/>
      <c r="PVE169" s="558"/>
      <c r="PVF169" s="558"/>
      <c r="PVG169" s="558"/>
      <c r="PVH169" s="558"/>
      <c r="PVI169" s="558"/>
      <c r="PVJ169" s="558"/>
      <c r="PVK169" s="558"/>
      <c r="PVL169" s="558"/>
      <c r="PVM169" s="558"/>
      <c r="PVN169" s="558"/>
      <c r="PVO169" s="558"/>
      <c r="PVP169" s="558"/>
      <c r="PVQ169" s="558"/>
      <c r="PVR169" s="558"/>
      <c r="PVS169" s="558"/>
      <c r="PVT169" s="558"/>
      <c r="PVU169" s="558"/>
      <c r="PVV169" s="558"/>
      <c r="PVW169" s="558"/>
      <c r="PVX169" s="558"/>
      <c r="PVY169" s="558"/>
      <c r="PVZ169" s="558"/>
      <c r="PWA169" s="558"/>
      <c r="PWB169" s="558"/>
      <c r="PWC169" s="558"/>
      <c r="PWD169" s="558"/>
      <c r="PWE169" s="558"/>
      <c r="PWF169" s="558"/>
      <c r="PWG169" s="558"/>
      <c r="PWH169" s="558"/>
      <c r="PWI169" s="558"/>
      <c r="PWJ169" s="558"/>
      <c r="PWK169" s="558"/>
      <c r="PWL169" s="558"/>
      <c r="PWM169" s="558"/>
      <c r="PWN169" s="558"/>
      <c r="PWO169" s="558"/>
      <c r="PWP169" s="558"/>
      <c r="PWQ169" s="558"/>
      <c r="PWR169" s="558"/>
      <c r="PWS169" s="558"/>
      <c r="PWT169" s="558"/>
      <c r="PWU169" s="558"/>
      <c r="PWV169" s="558"/>
      <c r="PWW169" s="558"/>
      <c r="PWX169" s="558"/>
      <c r="PWY169" s="558"/>
      <c r="PWZ169" s="558"/>
      <c r="PXA169" s="558"/>
      <c r="PXB169" s="558"/>
      <c r="PXC169" s="558"/>
      <c r="PXD169" s="558"/>
      <c r="PXE169" s="558"/>
      <c r="PXF169" s="558"/>
      <c r="PXG169" s="558"/>
      <c r="PXH169" s="558"/>
      <c r="PXI169" s="558"/>
      <c r="PXJ169" s="558"/>
      <c r="PXK169" s="558"/>
      <c r="PXL169" s="558"/>
      <c r="PXM169" s="558"/>
      <c r="PXN169" s="558"/>
      <c r="PXO169" s="558"/>
      <c r="PXP169" s="558"/>
      <c r="PXQ169" s="558"/>
      <c r="PXR169" s="558"/>
      <c r="PXS169" s="558"/>
      <c r="PXT169" s="558"/>
      <c r="PXU169" s="558"/>
      <c r="PXV169" s="558"/>
      <c r="PXW169" s="558"/>
      <c r="PXX169" s="558"/>
      <c r="PXY169" s="558"/>
      <c r="PXZ169" s="558"/>
      <c r="PYA169" s="558"/>
      <c r="PYB169" s="558"/>
      <c r="PYC169" s="558"/>
      <c r="PYD169" s="558"/>
      <c r="PYE169" s="558"/>
      <c r="PYF169" s="558"/>
      <c r="PYG169" s="558"/>
      <c r="PYH169" s="558"/>
      <c r="PYI169" s="558"/>
      <c r="PYJ169" s="558"/>
      <c r="PYK169" s="558"/>
      <c r="PYL169" s="558"/>
      <c r="PYM169" s="558"/>
      <c r="PYN169" s="558"/>
      <c r="PYO169" s="558"/>
      <c r="PYP169" s="558"/>
      <c r="PYQ169" s="558"/>
      <c r="PYR169" s="558"/>
      <c r="PYS169" s="558"/>
      <c r="PYT169" s="558"/>
      <c r="PYU169" s="558"/>
      <c r="PYV169" s="558"/>
      <c r="PYW169" s="558"/>
      <c r="PYX169" s="558"/>
      <c r="PYY169" s="558"/>
      <c r="PYZ169" s="558"/>
      <c r="PZA169" s="558"/>
      <c r="PZB169" s="558"/>
      <c r="PZC169" s="558"/>
      <c r="PZD169" s="558"/>
      <c r="PZE169" s="558"/>
      <c r="PZF169" s="558"/>
      <c r="PZG169" s="558"/>
      <c r="PZH169" s="558"/>
      <c r="PZI169" s="558"/>
      <c r="PZJ169" s="558"/>
      <c r="PZK169" s="558"/>
      <c r="PZL169" s="558"/>
      <c r="PZM169" s="558"/>
      <c r="PZN169" s="558"/>
      <c r="PZO169" s="558"/>
      <c r="PZP169" s="558"/>
      <c r="PZQ169" s="558"/>
      <c r="PZR169" s="558"/>
      <c r="PZS169" s="558"/>
      <c r="PZT169" s="558"/>
      <c r="PZU169" s="558"/>
      <c r="PZV169" s="558"/>
      <c r="PZW169" s="558"/>
      <c r="PZX169" s="558"/>
      <c r="PZY169" s="558"/>
      <c r="PZZ169" s="558"/>
      <c r="QAA169" s="558"/>
      <c r="QAB169" s="558"/>
      <c r="QAC169" s="558"/>
      <c r="QAD169" s="558"/>
      <c r="QAE169" s="558"/>
      <c r="QAF169" s="558"/>
      <c r="QAG169" s="558"/>
      <c r="QAH169" s="558"/>
      <c r="QAI169" s="558"/>
      <c r="QAJ169" s="558"/>
      <c r="QAK169" s="558"/>
      <c r="QAL169" s="558"/>
      <c r="QAM169" s="558"/>
      <c r="QAN169" s="558"/>
      <c r="QAO169" s="558"/>
      <c r="QAP169" s="558"/>
      <c r="QAQ169" s="558"/>
      <c r="QAR169" s="558"/>
      <c r="QAS169" s="558"/>
      <c r="QAT169" s="558"/>
      <c r="QAU169" s="558"/>
      <c r="QAV169" s="558"/>
      <c r="QAW169" s="558"/>
      <c r="QAX169" s="558"/>
      <c r="QAY169" s="558"/>
      <c r="QAZ169" s="558"/>
      <c r="QBA169" s="558"/>
      <c r="QBB169" s="558"/>
      <c r="QBC169" s="558"/>
      <c r="QBD169" s="558"/>
      <c r="QBE169" s="558"/>
      <c r="QBF169" s="558"/>
      <c r="QBG169" s="558"/>
      <c r="QBH169" s="558"/>
      <c r="QBI169" s="558"/>
      <c r="QBJ169" s="558"/>
      <c r="QBK169" s="558"/>
      <c r="QBL169" s="558"/>
      <c r="QBM169" s="558"/>
      <c r="QBN169" s="558"/>
      <c r="QBO169" s="558"/>
      <c r="QBP169" s="558"/>
      <c r="QBQ169" s="558"/>
      <c r="QBR169" s="558"/>
      <c r="QBS169" s="558"/>
      <c r="QBT169" s="558"/>
      <c r="QBU169" s="558"/>
      <c r="QBV169" s="558"/>
      <c r="QBW169" s="558"/>
      <c r="QBX169" s="558"/>
      <c r="QBY169" s="558"/>
      <c r="QBZ169" s="558"/>
      <c r="QCA169" s="558"/>
      <c r="QCB169" s="558"/>
      <c r="QCC169" s="558"/>
      <c r="QCD169" s="558"/>
      <c r="QCE169" s="558"/>
      <c r="QCF169" s="558"/>
      <c r="QCG169" s="558"/>
      <c r="QCH169" s="558"/>
      <c r="QCI169" s="558"/>
      <c r="QCJ169" s="558"/>
      <c r="QCK169" s="558"/>
      <c r="QCL169" s="558"/>
      <c r="QCM169" s="558"/>
      <c r="QCN169" s="558"/>
      <c r="QCO169" s="558"/>
      <c r="QCP169" s="558"/>
      <c r="QCQ169" s="558"/>
      <c r="QCR169" s="558"/>
      <c r="QCS169" s="558"/>
      <c r="QCT169" s="558"/>
      <c r="QCU169" s="558"/>
      <c r="QCV169" s="558"/>
      <c r="QCW169" s="558"/>
      <c r="QCX169" s="558"/>
      <c r="QCY169" s="558"/>
      <c r="QCZ169" s="558"/>
      <c r="QDA169" s="558"/>
      <c r="QDB169" s="558"/>
      <c r="QDC169" s="558"/>
      <c r="QDD169" s="558"/>
      <c r="QDE169" s="558"/>
      <c r="QDF169" s="558"/>
      <c r="QDG169" s="558"/>
      <c r="QDH169" s="558"/>
      <c r="QDI169" s="558"/>
      <c r="QDJ169" s="558"/>
      <c r="QDK169" s="558"/>
      <c r="QDL169" s="558"/>
      <c r="QDM169" s="558"/>
      <c r="QDN169" s="558"/>
      <c r="QDO169" s="558"/>
      <c r="QDP169" s="558"/>
      <c r="QDQ169" s="558"/>
      <c r="QDR169" s="558"/>
      <c r="QDS169" s="558"/>
      <c r="QDT169" s="558"/>
      <c r="QDU169" s="558"/>
      <c r="QDV169" s="558"/>
      <c r="QDW169" s="558"/>
      <c r="QDX169" s="558"/>
      <c r="QDY169" s="558"/>
      <c r="QDZ169" s="558"/>
      <c r="QEA169" s="558"/>
      <c r="QEB169" s="558"/>
      <c r="QEC169" s="558"/>
      <c r="QED169" s="558"/>
      <c r="QEE169" s="558"/>
      <c r="QEF169" s="558"/>
      <c r="QEG169" s="558"/>
      <c r="QEH169" s="558"/>
      <c r="QEI169" s="558"/>
      <c r="QEJ169" s="558"/>
      <c r="QEK169" s="558"/>
      <c r="QEL169" s="558"/>
      <c r="QEM169" s="558"/>
      <c r="QEN169" s="558"/>
      <c r="QEO169" s="558"/>
      <c r="QEP169" s="558"/>
      <c r="QEQ169" s="558"/>
      <c r="QER169" s="558"/>
      <c r="QES169" s="558"/>
      <c r="QET169" s="558"/>
      <c r="QEU169" s="558"/>
      <c r="QEV169" s="558"/>
      <c r="QEW169" s="558"/>
      <c r="QEX169" s="558"/>
      <c r="QEY169" s="558"/>
      <c r="QEZ169" s="558"/>
      <c r="QFA169" s="558"/>
      <c r="QFB169" s="558"/>
      <c r="QFC169" s="558"/>
      <c r="QFD169" s="558"/>
      <c r="QFE169" s="558"/>
      <c r="QFF169" s="558"/>
      <c r="QFG169" s="558"/>
      <c r="QFH169" s="558"/>
      <c r="QFI169" s="558"/>
      <c r="QFJ169" s="558"/>
      <c r="QFK169" s="558"/>
      <c r="QFL169" s="558"/>
      <c r="QFM169" s="558"/>
      <c r="QFN169" s="558"/>
      <c r="QFO169" s="558"/>
      <c r="QFP169" s="558"/>
      <c r="QFQ169" s="558"/>
      <c r="QFR169" s="558"/>
      <c r="QFS169" s="558"/>
      <c r="QFT169" s="558"/>
      <c r="QFU169" s="558"/>
      <c r="QFV169" s="558"/>
      <c r="QFW169" s="558"/>
      <c r="QFX169" s="558"/>
      <c r="QFY169" s="558"/>
      <c r="QFZ169" s="558"/>
      <c r="QGA169" s="558"/>
      <c r="QGB169" s="558"/>
      <c r="QGC169" s="558"/>
      <c r="QGD169" s="558"/>
      <c r="QGE169" s="558"/>
      <c r="QGF169" s="558"/>
      <c r="QGG169" s="558"/>
      <c r="QGH169" s="558"/>
      <c r="QGI169" s="558"/>
      <c r="QGJ169" s="558"/>
      <c r="QGK169" s="558"/>
      <c r="QGL169" s="558"/>
      <c r="QGM169" s="558"/>
      <c r="QGN169" s="558"/>
      <c r="QGO169" s="558"/>
      <c r="QGP169" s="558"/>
      <c r="QGQ169" s="558"/>
      <c r="QGR169" s="558"/>
      <c r="QGS169" s="558"/>
      <c r="QGT169" s="558"/>
      <c r="QGU169" s="558"/>
      <c r="QGV169" s="558"/>
      <c r="QGW169" s="558"/>
      <c r="QGX169" s="558"/>
      <c r="QGY169" s="558"/>
      <c r="QGZ169" s="558"/>
      <c r="QHA169" s="558"/>
      <c r="QHB169" s="558"/>
      <c r="QHC169" s="558"/>
      <c r="QHD169" s="558"/>
      <c r="QHE169" s="558"/>
      <c r="QHF169" s="558"/>
      <c r="QHG169" s="558"/>
      <c r="QHH169" s="558"/>
      <c r="QHI169" s="558"/>
      <c r="QHJ169" s="558"/>
      <c r="QHK169" s="558"/>
      <c r="QHL169" s="558"/>
      <c r="QHM169" s="558"/>
      <c r="QHN169" s="558"/>
      <c r="QHO169" s="558"/>
      <c r="QHP169" s="558"/>
      <c r="QHQ169" s="558"/>
      <c r="QHR169" s="558"/>
      <c r="QHS169" s="558"/>
      <c r="QHT169" s="558"/>
      <c r="QHU169" s="558"/>
      <c r="QHV169" s="558"/>
      <c r="QHW169" s="558"/>
      <c r="QHX169" s="558"/>
      <c r="QHY169" s="558"/>
      <c r="QHZ169" s="558"/>
      <c r="QIA169" s="558"/>
      <c r="QIB169" s="558"/>
      <c r="QIC169" s="558"/>
      <c r="QID169" s="558"/>
      <c r="QIE169" s="558"/>
      <c r="QIF169" s="558"/>
      <c r="QIG169" s="558"/>
      <c r="QIH169" s="558"/>
      <c r="QII169" s="558"/>
      <c r="QIJ169" s="558"/>
      <c r="QIK169" s="558"/>
      <c r="QIL169" s="558"/>
      <c r="QIM169" s="558"/>
      <c r="QIN169" s="558"/>
      <c r="QIO169" s="558"/>
      <c r="QIP169" s="558"/>
      <c r="QIQ169" s="558"/>
      <c r="QIR169" s="558"/>
      <c r="QIS169" s="558"/>
      <c r="QIT169" s="558"/>
      <c r="QIU169" s="558"/>
      <c r="QIV169" s="558"/>
      <c r="QIW169" s="558"/>
      <c r="QIX169" s="558"/>
      <c r="QIY169" s="558"/>
      <c r="QIZ169" s="558"/>
      <c r="QJA169" s="558"/>
      <c r="QJB169" s="558"/>
      <c r="QJC169" s="558"/>
      <c r="QJD169" s="558"/>
      <c r="QJE169" s="558"/>
      <c r="QJF169" s="558"/>
      <c r="QJG169" s="558"/>
      <c r="QJH169" s="558"/>
      <c r="QJI169" s="558"/>
      <c r="QJJ169" s="558"/>
      <c r="QJK169" s="558"/>
      <c r="QJL169" s="558"/>
      <c r="QJM169" s="558"/>
      <c r="QJN169" s="558"/>
      <c r="QJO169" s="558"/>
      <c r="QJP169" s="558"/>
      <c r="QJQ169" s="558"/>
      <c r="QJR169" s="558"/>
      <c r="QJS169" s="558"/>
      <c r="QJT169" s="558"/>
      <c r="QJU169" s="558"/>
      <c r="QJV169" s="558"/>
      <c r="QJW169" s="558"/>
      <c r="QJX169" s="558"/>
      <c r="QJY169" s="558"/>
      <c r="QJZ169" s="558"/>
      <c r="QKA169" s="558"/>
      <c r="QKB169" s="558"/>
      <c r="QKC169" s="558"/>
      <c r="QKD169" s="558"/>
      <c r="QKE169" s="558"/>
      <c r="QKF169" s="558"/>
      <c r="QKG169" s="558"/>
      <c r="QKH169" s="558"/>
      <c r="QKI169" s="558"/>
      <c r="QKJ169" s="558"/>
      <c r="QKK169" s="558"/>
      <c r="QKL169" s="558"/>
      <c r="QKM169" s="558"/>
      <c r="QKN169" s="558"/>
      <c r="QKO169" s="558"/>
      <c r="QKP169" s="558"/>
      <c r="QKQ169" s="558"/>
      <c r="QKR169" s="558"/>
      <c r="QKS169" s="558"/>
      <c r="QKT169" s="558"/>
      <c r="QKU169" s="558"/>
      <c r="QKV169" s="558"/>
      <c r="QKW169" s="558"/>
      <c r="QKX169" s="558"/>
      <c r="QKY169" s="558"/>
      <c r="QKZ169" s="558"/>
      <c r="QLA169" s="558"/>
      <c r="QLB169" s="558"/>
      <c r="QLC169" s="558"/>
      <c r="QLD169" s="558"/>
      <c r="QLE169" s="558"/>
      <c r="QLF169" s="558"/>
      <c r="QLG169" s="558"/>
      <c r="QLH169" s="558"/>
      <c r="QLI169" s="558"/>
      <c r="QLJ169" s="558"/>
      <c r="QLK169" s="558"/>
      <c r="QLL169" s="558"/>
      <c r="QLM169" s="558"/>
      <c r="QLN169" s="558"/>
      <c r="QLO169" s="558"/>
      <c r="QLP169" s="558"/>
      <c r="QLQ169" s="558"/>
      <c r="QLR169" s="558"/>
      <c r="QLS169" s="558"/>
      <c r="QLT169" s="558"/>
      <c r="QLU169" s="558"/>
      <c r="QLV169" s="558"/>
      <c r="QLW169" s="558"/>
      <c r="QLX169" s="558"/>
      <c r="QLY169" s="558"/>
      <c r="QLZ169" s="558"/>
      <c r="QMA169" s="558"/>
      <c r="QMB169" s="558"/>
      <c r="QMC169" s="558"/>
      <c r="QMD169" s="558"/>
      <c r="QME169" s="558"/>
      <c r="QMF169" s="558"/>
      <c r="QMG169" s="558"/>
      <c r="QMH169" s="558"/>
      <c r="QMI169" s="558"/>
      <c r="QMJ169" s="558"/>
      <c r="QMK169" s="558"/>
      <c r="QML169" s="558"/>
      <c r="QMM169" s="558"/>
      <c r="QMN169" s="558"/>
      <c r="QMO169" s="558"/>
      <c r="QMP169" s="558"/>
      <c r="QMQ169" s="558"/>
      <c r="QMR169" s="558"/>
      <c r="QMS169" s="558"/>
      <c r="QMT169" s="558"/>
      <c r="QMU169" s="558"/>
      <c r="QMV169" s="558"/>
      <c r="QMW169" s="558"/>
      <c r="QMX169" s="558"/>
      <c r="QMY169" s="558"/>
      <c r="QMZ169" s="558"/>
      <c r="QNA169" s="558"/>
      <c r="QNB169" s="558"/>
      <c r="QNC169" s="558"/>
      <c r="QND169" s="558"/>
      <c r="QNE169" s="558"/>
      <c r="QNF169" s="558"/>
      <c r="QNG169" s="558"/>
      <c r="QNH169" s="558"/>
      <c r="QNI169" s="558"/>
      <c r="QNJ169" s="558"/>
      <c r="QNK169" s="558"/>
      <c r="QNL169" s="558"/>
      <c r="QNM169" s="558"/>
      <c r="QNN169" s="558"/>
      <c r="QNO169" s="558"/>
      <c r="QNP169" s="558"/>
      <c r="QNQ169" s="558"/>
      <c r="QNR169" s="558"/>
      <c r="QNS169" s="558"/>
      <c r="QNT169" s="558"/>
      <c r="QNU169" s="558"/>
      <c r="QNV169" s="558"/>
      <c r="QNW169" s="558"/>
      <c r="QNX169" s="558"/>
      <c r="QNY169" s="558"/>
      <c r="QNZ169" s="558"/>
      <c r="QOA169" s="558"/>
      <c r="QOB169" s="558"/>
      <c r="QOC169" s="558"/>
      <c r="QOD169" s="558"/>
      <c r="QOE169" s="558"/>
      <c r="QOF169" s="558"/>
      <c r="QOG169" s="558"/>
      <c r="QOH169" s="558"/>
      <c r="QOI169" s="558"/>
      <c r="QOJ169" s="558"/>
      <c r="QOK169" s="558"/>
      <c r="QOL169" s="558"/>
      <c r="QOM169" s="558"/>
      <c r="QON169" s="558"/>
      <c r="QOO169" s="558"/>
      <c r="QOP169" s="558"/>
      <c r="QOQ169" s="558"/>
      <c r="QOR169" s="558"/>
      <c r="QOS169" s="558"/>
      <c r="QOT169" s="558"/>
      <c r="QOU169" s="558"/>
      <c r="QOV169" s="558"/>
      <c r="QOW169" s="558"/>
      <c r="QOX169" s="558"/>
      <c r="QOY169" s="558"/>
      <c r="QOZ169" s="558"/>
      <c r="QPA169" s="558"/>
      <c r="QPB169" s="558"/>
      <c r="QPC169" s="558"/>
      <c r="QPD169" s="558"/>
      <c r="QPE169" s="558"/>
      <c r="QPF169" s="558"/>
      <c r="QPG169" s="558"/>
      <c r="QPH169" s="558"/>
      <c r="QPI169" s="558"/>
      <c r="QPJ169" s="558"/>
      <c r="QPK169" s="558"/>
      <c r="QPL169" s="558"/>
      <c r="QPM169" s="558"/>
      <c r="QPN169" s="558"/>
      <c r="QPO169" s="558"/>
      <c r="QPP169" s="558"/>
      <c r="QPQ169" s="558"/>
      <c r="QPR169" s="558"/>
      <c r="QPS169" s="558"/>
      <c r="QPT169" s="558"/>
      <c r="QPU169" s="558"/>
      <c r="QPV169" s="558"/>
      <c r="QPW169" s="558"/>
      <c r="QPX169" s="558"/>
      <c r="QPY169" s="558"/>
      <c r="QPZ169" s="558"/>
      <c r="QQA169" s="558"/>
      <c r="QQB169" s="558"/>
      <c r="QQC169" s="558"/>
      <c r="QQD169" s="558"/>
      <c r="QQE169" s="558"/>
      <c r="QQF169" s="558"/>
      <c r="QQG169" s="558"/>
      <c r="QQH169" s="558"/>
      <c r="QQI169" s="558"/>
      <c r="QQJ169" s="558"/>
      <c r="QQK169" s="558"/>
      <c r="QQL169" s="558"/>
      <c r="QQM169" s="558"/>
      <c r="QQN169" s="558"/>
      <c r="QQO169" s="558"/>
      <c r="QQP169" s="558"/>
      <c r="QQQ169" s="558"/>
      <c r="QQR169" s="558"/>
      <c r="QQS169" s="558"/>
      <c r="QQT169" s="558"/>
      <c r="QQU169" s="558"/>
      <c r="QQV169" s="558"/>
      <c r="QQW169" s="558"/>
      <c r="QQX169" s="558"/>
      <c r="QQY169" s="558"/>
      <c r="QQZ169" s="558"/>
      <c r="QRA169" s="558"/>
      <c r="QRB169" s="558"/>
      <c r="QRC169" s="558"/>
      <c r="QRD169" s="558"/>
      <c r="QRE169" s="558"/>
      <c r="QRF169" s="558"/>
      <c r="QRG169" s="558"/>
      <c r="QRH169" s="558"/>
      <c r="QRI169" s="558"/>
      <c r="QRJ169" s="558"/>
      <c r="QRK169" s="558"/>
      <c r="QRL169" s="558"/>
      <c r="QRM169" s="558"/>
      <c r="QRN169" s="558"/>
      <c r="QRO169" s="558"/>
      <c r="QRP169" s="558"/>
      <c r="QRQ169" s="558"/>
      <c r="QRR169" s="558"/>
      <c r="QRS169" s="558"/>
      <c r="QRT169" s="558"/>
      <c r="QRU169" s="558"/>
      <c r="QRV169" s="558"/>
      <c r="QRW169" s="558"/>
      <c r="QRX169" s="558"/>
      <c r="QRY169" s="558"/>
      <c r="QRZ169" s="558"/>
      <c r="QSA169" s="558"/>
      <c r="QSB169" s="558"/>
      <c r="QSC169" s="558"/>
      <c r="QSD169" s="558"/>
      <c r="QSE169" s="558"/>
      <c r="QSF169" s="558"/>
      <c r="QSG169" s="558"/>
      <c r="QSH169" s="558"/>
      <c r="QSI169" s="558"/>
      <c r="QSJ169" s="558"/>
      <c r="QSK169" s="558"/>
      <c r="QSL169" s="558"/>
      <c r="QSM169" s="558"/>
      <c r="QSN169" s="558"/>
      <c r="QSO169" s="558"/>
      <c r="QSP169" s="558"/>
      <c r="QSQ169" s="558"/>
      <c r="QSR169" s="558"/>
      <c r="QSS169" s="558"/>
      <c r="QST169" s="558"/>
      <c r="QSU169" s="558"/>
      <c r="QSV169" s="558"/>
      <c r="QSW169" s="558"/>
      <c r="QSX169" s="558"/>
      <c r="QSY169" s="558"/>
      <c r="QSZ169" s="558"/>
      <c r="QTA169" s="558"/>
      <c r="QTB169" s="558"/>
      <c r="QTC169" s="558"/>
      <c r="QTD169" s="558"/>
      <c r="QTE169" s="558"/>
      <c r="QTF169" s="558"/>
      <c r="QTG169" s="558"/>
      <c r="QTH169" s="558"/>
      <c r="QTI169" s="558"/>
      <c r="QTJ169" s="558"/>
      <c r="QTK169" s="558"/>
      <c r="QTL169" s="558"/>
      <c r="QTM169" s="558"/>
      <c r="QTN169" s="558"/>
      <c r="QTO169" s="558"/>
      <c r="QTP169" s="558"/>
      <c r="QTQ169" s="558"/>
      <c r="QTR169" s="558"/>
      <c r="QTS169" s="558"/>
      <c r="QTT169" s="558"/>
      <c r="QTU169" s="558"/>
      <c r="QTV169" s="558"/>
      <c r="QTW169" s="558"/>
      <c r="QTX169" s="558"/>
      <c r="QTY169" s="558"/>
      <c r="QTZ169" s="558"/>
      <c r="QUA169" s="558"/>
      <c r="QUB169" s="558"/>
      <c r="QUC169" s="558"/>
      <c r="QUD169" s="558"/>
      <c r="QUE169" s="558"/>
      <c r="QUF169" s="558"/>
      <c r="QUG169" s="558"/>
      <c r="QUH169" s="558"/>
      <c r="QUI169" s="558"/>
      <c r="QUJ169" s="558"/>
      <c r="QUK169" s="558"/>
      <c r="QUL169" s="558"/>
      <c r="QUM169" s="558"/>
      <c r="QUN169" s="558"/>
      <c r="QUO169" s="558"/>
      <c r="QUP169" s="558"/>
      <c r="QUQ169" s="558"/>
      <c r="QUR169" s="558"/>
      <c r="QUS169" s="558"/>
      <c r="QUT169" s="558"/>
      <c r="QUU169" s="558"/>
      <c r="QUV169" s="558"/>
      <c r="QUW169" s="558"/>
      <c r="QUX169" s="558"/>
      <c r="QUY169" s="558"/>
      <c r="QUZ169" s="558"/>
      <c r="QVA169" s="558"/>
      <c r="QVB169" s="558"/>
      <c r="QVC169" s="558"/>
      <c r="QVD169" s="558"/>
      <c r="QVE169" s="558"/>
      <c r="QVF169" s="558"/>
      <c r="QVG169" s="558"/>
      <c r="QVH169" s="558"/>
      <c r="QVI169" s="558"/>
      <c r="QVJ169" s="558"/>
      <c r="QVK169" s="558"/>
      <c r="QVL169" s="558"/>
      <c r="QVM169" s="558"/>
      <c r="QVN169" s="558"/>
      <c r="QVO169" s="558"/>
      <c r="QVP169" s="558"/>
      <c r="QVQ169" s="558"/>
      <c r="QVR169" s="558"/>
      <c r="QVS169" s="558"/>
      <c r="QVT169" s="558"/>
      <c r="QVU169" s="558"/>
      <c r="QVV169" s="558"/>
      <c r="QVW169" s="558"/>
      <c r="QVX169" s="558"/>
      <c r="QVY169" s="558"/>
      <c r="QVZ169" s="558"/>
      <c r="QWA169" s="558"/>
      <c r="QWB169" s="558"/>
      <c r="QWC169" s="558"/>
      <c r="QWD169" s="558"/>
      <c r="QWE169" s="558"/>
      <c r="QWF169" s="558"/>
      <c r="QWG169" s="558"/>
      <c r="QWH169" s="558"/>
      <c r="QWI169" s="558"/>
      <c r="QWJ169" s="558"/>
      <c r="QWK169" s="558"/>
      <c r="QWL169" s="558"/>
      <c r="QWM169" s="558"/>
      <c r="QWN169" s="558"/>
      <c r="QWO169" s="558"/>
      <c r="QWP169" s="558"/>
      <c r="QWQ169" s="558"/>
      <c r="QWR169" s="558"/>
      <c r="QWS169" s="558"/>
      <c r="QWT169" s="558"/>
      <c r="QWU169" s="558"/>
      <c r="QWV169" s="558"/>
      <c r="QWW169" s="558"/>
      <c r="QWX169" s="558"/>
      <c r="QWY169" s="558"/>
      <c r="QWZ169" s="558"/>
      <c r="QXA169" s="558"/>
      <c r="QXB169" s="558"/>
      <c r="QXC169" s="558"/>
      <c r="QXD169" s="558"/>
      <c r="QXE169" s="558"/>
      <c r="QXF169" s="558"/>
      <c r="QXG169" s="558"/>
      <c r="QXH169" s="558"/>
      <c r="QXI169" s="558"/>
      <c r="QXJ169" s="558"/>
      <c r="QXK169" s="558"/>
      <c r="QXL169" s="558"/>
      <c r="QXM169" s="558"/>
      <c r="QXN169" s="558"/>
      <c r="QXO169" s="558"/>
      <c r="QXP169" s="558"/>
      <c r="QXQ169" s="558"/>
      <c r="QXR169" s="558"/>
      <c r="QXS169" s="558"/>
      <c r="QXT169" s="558"/>
      <c r="QXU169" s="558"/>
      <c r="QXV169" s="558"/>
      <c r="QXW169" s="558"/>
      <c r="QXX169" s="558"/>
      <c r="QXY169" s="558"/>
      <c r="QXZ169" s="558"/>
      <c r="QYA169" s="558"/>
      <c r="QYB169" s="558"/>
      <c r="QYC169" s="558"/>
      <c r="QYD169" s="558"/>
      <c r="QYE169" s="558"/>
      <c r="QYF169" s="558"/>
      <c r="QYG169" s="558"/>
      <c r="QYH169" s="558"/>
      <c r="QYI169" s="558"/>
      <c r="QYJ169" s="558"/>
      <c r="QYK169" s="558"/>
      <c r="QYL169" s="558"/>
      <c r="QYM169" s="558"/>
      <c r="QYN169" s="558"/>
      <c r="QYO169" s="558"/>
      <c r="QYP169" s="558"/>
      <c r="QYQ169" s="558"/>
      <c r="QYR169" s="558"/>
      <c r="QYS169" s="558"/>
      <c r="QYT169" s="558"/>
      <c r="QYU169" s="558"/>
      <c r="QYV169" s="558"/>
      <c r="QYW169" s="558"/>
      <c r="QYX169" s="558"/>
      <c r="QYY169" s="558"/>
      <c r="QYZ169" s="558"/>
      <c r="QZA169" s="558"/>
      <c r="QZB169" s="558"/>
      <c r="QZC169" s="558"/>
      <c r="QZD169" s="558"/>
      <c r="QZE169" s="558"/>
      <c r="QZF169" s="558"/>
      <c r="QZG169" s="558"/>
      <c r="QZH169" s="558"/>
      <c r="QZI169" s="558"/>
      <c r="QZJ169" s="558"/>
      <c r="QZK169" s="558"/>
      <c r="QZL169" s="558"/>
      <c r="QZM169" s="558"/>
      <c r="QZN169" s="558"/>
      <c r="QZO169" s="558"/>
      <c r="QZP169" s="558"/>
      <c r="QZQ169" s="558"/>
      <c r="QZR169" s="558"/>
      <c r="QZS169" s="558"/>
      <c r="QZT169" s="558"/>
      <c r="QZU169" s="558"/>
      <c r="QZV169" s="558"/>
      <c r="QZW169" s="558"/>
      <c r="QZX169" s="558"/>
      <c r="QZY169" s="558"/>
      <c r="QZZ169" s="558"/>
      <c r="RAA169" s="558"/>
      <c r="RAB169" s="558"/>
      <c r="RAC169" s="558"/>
      <c r="RAD169" s="558"/>
      <c r="RAE169" s="558"/>
      <c r="RAF169" s="558"/>
      <c r="RAG169" s="558"/>
      <c r="RAH169" s="558"/>
      <c r="RAI169" s="558"/>
      <c r="RAJ169" s="558"/>
      <c r="RAK169" s="558"/>
      <c r="RAL169" s="558"/>
      <c r="RAM169" s="558"/>
      <c r="RAN169" s="558"/>
      <c r="RAO169" s="558"/>
      <c r="RAP169" s="558"/>
      <c r="RAQ169" s="558"/>
      <c r="RAR169" s="558"/>
      <c r="RAS169" s="558"/>
      <c r="RAT169" s="558"/>
      <c r="RAU169" s="558"/>
      <c r="RAV169" s="558"/>
      <c r="RAW169" s="558"/>
      <c r="RAX169" s="558"/>
      <c r="RAY169" s="558"/>
      <c r="RAZ169" s="558"/>
      <c r="RBA169" s="558"/>
      <c r="RBB169" s="558"/>
      <c r="RBC169" s="558"/>
      <c r="RBD169" s="558"/>
      <c r="RBE169" s="558"/>
      <c r="RBF169" s="558"/>
      <c r="RBG169" s="558"/>
      <c r="RBH169" s="558"/>
      <c r="RBI169" s="558"/>
      <c r="RBJ169" s="558"/>
      <c r="RBK169" s="558"/>
      <c r="RBL169" s="558"/>
      <c r="RBM169" s="558"/>
      <c r="RBN169" s="558"/>
      <c r="RBO169" s="558"/>
      <c r="RBP169" s="558"/>
      <c r="RBQ169" s="558"/>
      <c r="RBR169" s="558"/>
      <c r="RBS169" s="558"/>
      <c r="RBT169" s="558"/>
      <c r="RBU169" s="558"/>
      <c r="RBV169" s="558"/>
      <c r="RBW169" s="558"/>
      <c r="RBX169" s="558"/>
      <c r="RBY169" s="558"/>
      <c r="RBZ169" s="558"/>
      <c r="RCA169" s="558"/>
      <c r="RCB169" s="558"/>
      <c r="RCC169" s="558"/>
      <c r="RCD169" s="558"/>
      <c r="RCE169" s="558"/>
      <c r="RCF169" s="558"/>
      <c r="RCG169" s="558"/>
      <c r="RCH169" s="558"/>
      <c r="RCI169" s="558"/>
      <c r="RCJ169" s="558"/>
      <c r="RCK169" s="558"/>
      <c r="RCL169" s="558"/>
      <c r="RCM169" s="558"/>
      <c r="RCN169" s="558"/>
      <c r="RCO169" s="558"/>
      <c r="RCP169" s="558"/>
      <c r="RCQ169" s="558"/>
      <c r="RCR169" s="558"/>
      <c r="RCS169" s="558"/>
      <c r="RCT169" s="558"/>
      <c r="RCU169" s="558"/>
      <c r="RCV169" s="558"/>
      <c r="RCW169" s="558"/>
      <c r="RCX169" s="558"/>
      <c r="RCY169" s="558"/>
      <c r="RCZ169" s="558"/>
      <c r="RDA169" s="558"/>
      <c r="RDB169" s="558"/>
      <c r="RDC169" s="558"/>
      <c r="RDD169" s="558"/>
      <c r="RDE169" s="558"/>
      <c r="RDF169" s="558"/>
      <c r="RDG169" s="558"/>
      <c r="RDH169" s="558"/>
      <c r="RDI169" s="558"/>
      <c r="RDJ169" s="558"/>
      <c r="RDK169" s="558"/>
      <c r="RDL169" s="558"/>
      <c r="RDM169" s="558"/>
      <c r="RDN169" s="558"/>
      <c r="RDO169" s="558"/>
      <c r="RDP169" s="558"/>
      <c r="RDQ169" s="558"/>
      <c r="RDR169" s="558"/>
      <c r="RDS169" s="558"/>
      <c r="RDT169" s="558"/>
      <c r="RDU169" s="558"/>
      <c r="RDV169" s="558"/>
      <c r="RDW169" s="558"/>
      <c r="RDX169" s="558"/>
      <c r="RDY169" s="558"/>
      <c r="RDZ169" s="558"/>
      <c r="REA169" s="558"/>
      <c r="REB169" s="558"/>
      <c r="REC169" s="558"/>
      <c r="RED169" s="558"/>
      <c r="REE169" s="558"/>
      <c r="REF169" s="558"/>
      <c r="REG169" s="558"/>
      <c r="REH169" s="558"/>
      <c r="REI169" s="558"/>
      <c r="REJ169" s="558"/>
      <c r="REK169" s="558"/>
      <c r="REL169" s="558"/>
      <c r="REM169" s="558"/>
      <c r="REN169" s="558"/>
      <c r="REO169" s="558"/>
      <c r="REP169" s="558"/>
      <c r="REQ169" s="558"/>
      <c r="RER169" s="558"/>
      <c r="RES169" s="558"/>
      <c r="RET169" s="558"/>
      <c r="REU169" s="558"/>
      <c r="REV169" s="558"/>
      <c r="REW169" s="558"/>
      <c r="REX169" s="558"/>
      <c r="REY169" s="558"/>
      <c r="REZ169" s="558"/>
      <c r="RFA169" s="558"/>
      <c r="RFB169" s="558"/>
      <c r="RFC169" s="558"/>
      <c r="RFD169" s="558"/>
      <c r="RFE169" s="558"/>
      <c r="RFF169" s="558"/>
      <c r="RFG169" s="558"/>
      <c r="RFH169" s="558"/>
      <c r="RFI169" s="558"/>
      <c r="RFJ169" s="558"/>
      <c r="RFK169" s="558"/>
      <c r="RFL169" s="558"/>
      <c r="RFM169" s="558"/>
      <c r="RFN169" s="558"/>
      <c r="RFO169" s="558"/>
      <c r="RFP169" s="558"/>
      <c r="RFQ169" s="558"/>
      <c r="RFR169" s="558"/>
      <c r="RFS169" s="558"/>
      <c r="RFT169" s="558"/>
      <c r="RFU169" s="558"/>
      <c r="RFV169" s="558"/>
      <c r="RFW169" s="558"/>
      <c r="RFX169" s="558"/>
      <c r="RFY169" s="558"/>
      <c r="RFZ169" s="558"/>
      <c r="RGA169" s="558"/>
      <c r="RGB169" s="558"/>
      <c r="RGC169" s="558"/>
      <c r="RGD169" s="558"/>
      <c r="RGE169" s="558"/>
      <c r="RGF169" s="558"/>
      <c r="RGG169" s="558"/>
      <c r="RGH169" s="558"/>
      <c r="RGI169" s="558"/>
      <c r="RGJ169" s="558"/>
      <c r="RGK169" s="558"/>
      <c r="RGL169" s="558"/>
      <c r="RGM169" s="558"/>
      <c r="RGN169" s="558"/>
      <c r="RGO169" s="558"/>
      <c r="RGP169" s="558"/>
      <c r="RGQ169" s="558"/>
      <c r="RGR169" s="558"/>
      <c r="RGS169" s="558"/>
      <c r="RGT169" s="558"/>
      <c r="RGU169" s="558"/>
      <c r="RGV169" s="558"/>
      <c r="RGW169" s="558"/>
      <c r="RGX169" s="558"/>
      <c r="RGY169" s="558"/>
      <c r="RGZ169" s="558"/>
      <c r="RHA169" s="558"/>
      <c r="RHB169" s="558"/>
      <c r="RHC169" s="558"/>
      <c r="RHD169" s="558"/>
      <c r="RHE169" s="558"/>
      <c r="RHF169" s="558"/>
      <c r="RHG169" s="558"/>
      <c r="RHH169" s="558"/>
      <c r="RHI169" s="558"/>
      <c r="RHJ169" s="558"/>
      <c r="RHK169" s="558"/>
      <c r="RHL169" s="558"/>
      <c r="RHM169" s="558"/>
      <c r="RHN169" s="558"/>
      <c r="RHO169" s="558"/>
      <c r="RHP169" s="558"/>
      <c r="RHQ169" s="558"/>
      <c r="RHR169" s="558"/>
      <c r="RHS169" s="558"/>
      <c r="RHT169" s="558"/>
      <c r="RHU169" s="558"/>
      <c r="RHV169" s="558"/>
      <c r="RHW169" s="558"/>
      <c r="RHX169" s="558"/>
      <c r="RHY169" s="558"/>
      <c r="RHZ169" s="558"/>
      <c r="RIA169" s="558"/>
      <c r="RIB169" s="558"/>
      <c r="RIC169" s="558"/>
      <c r="RID169" s="558"/>
      <c r="RIE169" s="558"/>
      <c r="RIF169" s="558"/>
      <c r="RIG169" s="558"/>
      <c r="RIH169" s="558"/>
      <c r="RII169" s="558"/>
      <c r="RIJ169" s="558"/>
      <c r="RIK169" s="558"/>
      <c r="RIL169" s="558"/>
      <c r="RIM169" s="558"/>
      <c r="RIN169" s="558"/>
      <c r="RIO169" s="558"/>
      <c r="RIP169" s="558"/>
      <c r="RIQ169" s="558"/>
      <c r="RIR169" s="558"/>
      <c r="RIS169" s="558"/>
      <c r="RIT169" s="558"/>
      <c r="RIU169" s="558"/>
      <c r="RIV169" s="558"/>
      <c r="RIW169" s="558"/>
      <c r="RIX169" s="558"/>
      <c r="RIY169" s="558"/>
      <c r="RIZ169" s="558"/>
      <c r="RJA169" s="558"/>
      <c r="RJB169" s="558"/>
      <c r="RJC169" s="558"/>
      <c r="RJD169" s="558"/>
      <c r="RJE169" s="558"/>
      <c r="RJF169" s="558"/>
      <c r="RJG169" s="558"/>
      <c r="RJH169" s="558"/>
      <c r="RJI169" s="558"/>
      <c r="RJJ169" s="558"/>
      <c r="RJK169" s="558"/>
      <c r="RJL169" s="558"/>
      <c r="RJM169" s="558"/>
      <c r="RJN169" s="558"/>
      <c r="RJO169" s="558"/>
      <c r="RJP169" s="558"/>
      <c r="RJQ169" s="558"/>
      <c r="RJR169" s="558"/>
      <c r="RJS169" s="558"/>
      <c r="RJT169" s="558"/>
      <c r="RJU169" s="558"/>
      <c r="RJV169" s="558"/>
      <c r="RJW169" s="558"/>
      <c r="RJX169" s="558"/>
      <c r="RJY169" s="558"/>
      <c r="RJZ169" s="558"/>
      <c r="RKA169" s="558"/>
      <c r="RKB169" s="558"/>
      <c r="RKC169" s="558"/>
      <c r="RKD169" s="558"/>
      <c r="RKE169" s="558"/>
      <c r="RKF169" s="558"/>
      <c r="RKG169" s="558"/>
      <c r="RKH169" s="558"/>
      <c r="RKI169" s="558"/>
      <c r="RKJ169" s="558"/>
      <c r="RKK169" s="558"/>
      <c r="RKL169" s="558"/>
      <c r="RKM169" s="558"/>
      <c r="RKN169" s="558"/>
      <c r="RKO169" s="558"/>
      <c r="RKP169" s="558"/>
      <c r="RKQ169" s="558"/>
      <c r="RKR169" s="558"/>
      <c r="RKS169" s="558"/>
      <c r="RKT169" s="558"/>
      <c r="RKU169" s="558"/>
      <c r="RKV169" s="558"/>
      <c r="RKW169" s="558"/>
      <c r="RKX169" s="558"/>
      <c r="RKY169" s="558"/>
      <c r="RKZ169" s="558"/>
      <c r="RLA169" s="558"/>
      <c r="RLB169" s="558"/>
      <c r="RLC169" s="558"/>
      <c r="RLD169" s="558"/>
      <c r="RLE169" s="558"/>
      <c r="RLF169" s="558"/>
      <c r="RLG169" s="558"/>
      <c r="RLH169" s="558"/>
      <c r="RLI169" s="558"/>
      <c r="RLJ169" s="558"/>
      <c r="RLK169" s="558"/>
      <c r="RLL169" s="558"/>
      <c r="RLM169" s="558"/>
      <c r="RLN169" s="558"/>
      <c r="RLO169" s="558"/>
      <c r="RLP169" s="558"/>
      <c r="RLQ169" s="558"/>
      <c r="RLR169" s="558"/>
      <c r="RLS169" s="558"/>
      <c r="RLT169" s="558"/>
      <c r="RLU169" s="558"/>
      <c r="RLV169" s="558"/>
      <c r="RLW169" s="558"/>
      <c r="RLX169" s="558"/>
      <c r="RLY169" s="558"/>
      <c r="RLZ169" s="558"/>
      <c r="RMA169" s="558"/>
      <c r="RMB169" s="558"/>
      <c r="RMC169" s="558"/>
      <c r="RMD169" s="558"/>
      <c r="RME169" s="558"/>
      <c r="RMF169" s="558"/>
      <c r="RMG169" s="558"/>
      <c r="RMH169" s="558"/>
      <c r="RMI169" s="558"/>
      <c r="RMJ169" s="558"/>
      <c r="RMK169" s="558"/>
      <c r="RML169" s="558"/>
      <c r="RMM169" s="558"/>
      <c r="RMN169" s="558"/>
      <c r="RMO169" s="558"/>
      <c r="RMP169" s="558"/>
      <c r="RMQ169" s="558"/>
      <c r="RMR169" s="558"/>
      <c r="RMS169" s="558"/>
      <c r="RMT169" s="558"/>
      <c r="RMU169" s="558"/>
      <c r="RMV169" s="558"/>
      <c r="RMW169" s="558"/>
      <c r="RMX169" s="558"/>
      <c r="RMY169" s="558"/>
      <c r="RMZ169" s="558"/>
      <c r="RNA169" s="558"/>
      <c r="RNB169" s="558"/>
      <c r="RNC169" s="558"/>
      <c r="RND169" s="558"/>
      <c r="RNE169" s="558"/>
      <c r="RNF169" s="558"/>
      <c r="RNG169" s="558"/>
      <c r="RNH169" s="558"/>
      <c r="RNI169" s="558"/>
      <c r="RNJ169" s="558"/>
      <c r="RNK169" s="558"/>
      <c r="RNL169" s="558"/>
      <c r="RNM169" s="558"/>
      <c r="RNN169" s="558"/>
      <c r="RNO169" s="558"/>
      <c r="RNP169" s="558"/>
      <c r="RNQ169" s="558"/>
      <c r="RNR169" s="558"/>
      <c r="RNS169" s="558"/>
      <c r="RNT169" s="558"/>
      <c r="RNU169" s="558"/>
      <c r="RNV169" s="558"/>
      <c r="RNW169" s="558"/>
      <c r="RNX169" s="558"/>
      <c r="RNY169" s="558"/>
      <c r="RNZ169" s="558"/>
      <c r="ROA169" s="558"/>
      <c r="ROB169" s="558"/>
      <c r="ROC169" s="558"/>
      <c r="ROD169" s="558"/>
      <c r="ROE169" s="558"/>
      <c r="ROF169" s="558"/>
      <c r="ROG169" s="558"/>
      <c r="ROH169" s="558"/>
      <c r="ROI169" s="558"/>
      <c r="ROJ169" s="558"/>
      <c r="ROK169" s="558"/>
      <c r="ROL169" s="558"/>
      <c r="ROM169" s="558"/>
      <c r="RON169" s="558"/>
      <c r="ROO169" s="558"/>
      <c r="ROP169" s="558"/>
      <c r="ROQ169" s="558"/>
      <c r="ROR169" s="558"/>
      <c r="ROS169" s="558"/>
      <c r="ROT169" s="558"/>
      <c r="ROU169" s="558"/>
      <c r="ROV169" s="558"/>
      <c r="ROW169" s="558"/>
      <c r="ROX169" s="558"/>
      <c r="ROY169" s="558"/>
      <c r="ROZ169" s="558"/>
      <c r="RPA169" s="558"/>
      <c r="RPB169" s="558"/>
      <c r="RPC169" s="558"/>
      <c r="RPD169" s="558"/>
      <c r="RPE169" s="558"/>
      <c r="RPF169" s="558"/>
      <c r="RPG169" s="558"/>
      <c r="RPH169" s="558"/>
      <c r="RPI169" s="558"/>
      <c r="RPJ169" s="558"/>
      <c r="RPK169" s="558"/>
      <c r="RPL169" s="558"/>
      <c r="RPM169" s="558"/>
      <c r="RPN169" s="558"/>
      <c r="RPO169" s="558"/>
      <c r="RPP169" s="558"/>
      <c r="RPQ169" s="558"/>
      <c r="RPR169" s="558"/>
      <c r="RPS169" s="558"/>
      <c r="RPT169" s="558"/>
      <c r="RPU169" s="558"/>
      <c r="RPV169" s="558"/>
      <c r="RPW169" s="558"/>
      <c r="RPX169" s="558"/>
      <c r="RPY169" s="558"/>
      <c r="RPZ169" s="558"/>
      <c r="RQA169" s="558"/>
      <c r="RQB169" s="558"/>
      <c r="RQC169" s="558"/>
      <c r="RQD169" s="558"/>
      <c r="RQE169" s="558"/>
      <c r="RQF169" s="558"/>
      <c r="RQG169" s="558"/>
      <c r="RQH169" s="558"/>
      <c r="RQI169" s="558"/>
      <c r="RQJ169" s="558"/>
      <c r="RQK169" s="558"/>
      <c r="RQL169" s="558"/>
      <c r="RQM169" s="558"/>
      <c r="RQN169" s="558"/>
      <c r="RQO169" s="558"/>
      <c r="RQP169" s="558"/>
      <c r="RQQ169" s="558"/>
      <c r="RQR169" s="558"/>
      <c r="RQS169" s="558"/>
      <c r="RQT169" s="558"/>
      <c r="RQU169" s="558"/>
      <c r="RQV169" s="558"/>
      <c r="RQW169" s="558"/>
      <c r="RQX169" s="558"/>
      <c r="RQY169" s="558"/>
      <c r="RQZ169" s="558"/>
      <c r="RRA169" s="558"/>
      <c r="RRB169" s="558"/>
      <c r="RRC169" s="558"/>
      <c r="RRD169" s="558"/>
      <c r="RRE169" s="558"/>
      <c r="RRF169" s="558"/>
      <c r="RRG169" s="558"/>
      <c r="RRH169" s="558"/>
      <c r="RRI169" s="558"/>
      <c r="RRJ169" s="558"/>
      <c r="RRK169" s="558"/>
      <c r="RRL169" s="558"/>
      <c r="RRM169" s="558"/>
      <c r="RRN169" s="558"/>
      <c r="RRO169" s="558"/>
      <c r="RRP169" s="558"/>
      <c r="RRQ169" s="558"/>
      <c r="RRR169" s="558"/>
      <c r="RRS169" s="558"/>
      <c r="RRT169" s="558"/>
      <c r="RRU169" s="558"/>
      <c r="RRV169" s="558"/>
      <c r="RRW169" s="558"/>
      <c r="RRX169" s="558"/>
      <c r="RRY169" s="558"/>
      <c r="RRZ169" s="558"/>
      <c r="RSA169" s="558"/>
      <c r="RSB169" s="558"/>
      <c r="RSC169" s="558"/>
      <c r="RSD169" s="558"/>
      <c r="RSE169" s="558"/>
      <c r="RSF169" s="558"/>
      <c r="RSG169" s="558"/>
      <c r="RSH169" s="558"/>
      <c r="RSI169" s="558"/>
      <c r="RSJ169" s="558"/>
      <c r="RSK169" s="558"/>
      <c r="RSL169" s="558"/>
      <c r="RSM169" s="558"/>
      <c r="RSN169" s="558"/>
      <c r="RSO169" s="558"/>
      <c r="RSP169" s="558"/>
      <c r="RSQ169" s="558"/>
      <c r="RSR169" s="558"/>
      <c r="RSS169" s="558"/>
      <c r="RST169" s="558"/>
      <c r="RSU169" s="558"/>
      <c r="RSV169" s="558"/>
      <c r="RSW169" s="558"/>
      <c r="RSX169" s="558"/>
      <c r="RSY169" s="558"/>
      <c r="RSZ169" s="558"/>
      <c r="RTA169" s="558"/>
      <c r="RTB169" s="558"/>
      <c r="RTC169" s="558"/>
      <c r="RTD169" s="558"/>
      <c r="RTE169" s="558"/>
      <c r="RTF169" s="558"/>
      <c r="RTG169" s="558"/>
      <c r="RTH169" s="558"/>
      <c r="RTI169" s="558"/>
      <c r="RTJ169" s="558"/>
      <c r="RTK169" s="558"/>
      <c r="RTL169" s="558"/>
      <c r="RTM169" s="558"/>
      <c r="RTN169" s="558"/>
      <c r="RTO169" s="558"/>
      <c r="RTP169" s="558"/>
      <c r="RTQ169" s="558"/>
      <c r="RTR169" s="558"/>
      <c r="RTS169" s="558"/>
      <c r="RTT169" s="558"/>
      <c r="RTU169" s="558"/>
      <c r="RTV169" s="558"/>
      <c r="RTW169" s="558"/>
      <c r="RTX169" s="558"/>
      <c r="RTY169" s="558"/>
      <c r="RTZ169" s="558"/>
      <c r="RUA169" s="558"/>
      <c r="RUB169" s="558"/>
      <c r="RUC169" s="558"/>
      <c r="RUD169" s="558"/>
      <c r="RUE169" s="558"/>
      <c r="RUF169" s="558"/>
      <c r="RUG169" s="558"/>
      <c r="RUH169" s="558"/>
      <c r="RUI169" s="558"/>
      <c r="RUJ169" s="558"/>
      <c r="RUK169" s="558"/>
      <c r="RUL169" s="558"/>
      <c r="RUM169" s="558"/>
      <c r="RUN169" s="558"/>
      <c r="RUO169" s="558"/>
      <c r="RUP169" s="558"/>
      <c r="RUQ169" s="558"/>
      <c r="RUR169" s="558"/>
      <c r="RUS169" s="558"/>
      <c r="RUT169" s="558"/>
      <c r="RUU169" s="558"/>
      <c r="RUV169" s="558"/>
      <c r="RUW169" s="558"/>
      <c r="RUX169" s="558"/>
      <c r="RUY169" s="558"/>
      <c r="RUZ169" s="558"/>
      <c r="RVA169" s="558"/>
      <c r="RVB169" s="558"/>
      <c r="RVC169" s="558"/>
      <c r="RVD169" s="558"/>
      <c r="RVE169" s="558"/>
      <c r="RVF169" s="558"/>
      <c r="RVG169" s="558"/>
      <c r="RVH169" s="558"/>
      <c r="RVI169" s="558"/>
      <c r="RVJ169" s="558"/>
      <c r="RVK169" s="558"/>
      <c r="RVL169" s="558"/>
      <c r="RVM169" s="558"/>
      <c r="RVN169" s="558"/>
      <c r="RVO169" s="558"/>
      <c r="RVP169" s="558"/>
      <c r="RVQ169" s="558"/>
      <c r="RVR169" s="558"/>
      <c r="RVS169" s="558"/>
      <c r="RVT169" s="558"/>
      <c r="RVU169" s="558"/>
      <c r="RVV169" s="558"/>
      <c r="RVW169" s="558"/>
      <c r="RVX169" s="558"/>
      <c r="RVY169" s="558"/>
      <c r="RVZ169" s="558"/>
      <c r="RWA169" s="558"/>
      <c r="RWB169" s="558"/>
      <c r="RWC169" s="558"/>
      <c r="RWD169" s="558"/>
      <c r="RWE169" s="558"/>
      <c r="RWF169" s="558"/>
      <c r="RWG169" s="558"/>
      <c r="RWH169" s="558"/>
      <c r="RWI169" s="558"/>
      <c r="RWJ169" s="558"/>
      <c r="RWK169" s="558"/>
      <c r="RWL169" s="558"/>
      <c r="RWM169" s="558"/>
      <c r="RWN169" s="558"/>
      <c r="RWO169" s="558"/>
      <c r="RWP169" s="558"/>
      <c r="RWQ169" s="558"/>
      <c r="RWR169" s="558"/>
      <c r="RWS169" s="558"/>
      <c r="RWT169" s="558"/>
      <c r="RWU169" s="558"/>
      <c r="RWV169" s="558"/>
      <c r="RWW169" s="558"/>
      <c r="RWX169" s="558"/>
      <c r="RWY169" s="558"/>
      <c r="RWZ169" s="558"/>
      <c r="RXA169" s="558"/>
      <c r="RXB169" s="558"/>
      <c r="RXC169" s="558"/>
      <c r="RXD169" s="558"/>
      <c r="RXE169" s="558"/>
      <c r="RXF169" s="558"/>
      <c r="RXG169" s="558"/>
      <c r="RXH169" s="558"/>
      <c r="RXI169" s="558"/>
      <c r="RXJ169" s="558"/>
      <c r="RXK169" s="558"/>
      <c r="RXL169" s="558"/>
      <c r="RXM169" s="558"/>
      <c r="RXN169" s="558"/>
      <c r="RXO169" s="558"/>
      <c r="RXP169" s="558"/>
      <c r="RXQ169" s="558"/>
      <c r="RXR169" s="558"/>
      <c r="RXS169" s="558"/>
      <c r="RXT169" s="558"/>
      <c r="RXU169" s="558"/>
      <c r="RXV169" s="558"/>
      <c r="RXW169" s="558"/>
      <c r="RXX169" s="558"/>
      <c r="RXY169" s="558"/>
      <c r="RXZ169" s="558"/>
      <c r="RYA169" s="558"/>
      <c r="RYB169" s="558"/>
      <c r="RYC169" s="558"/>
      <c r="RYD169" s="558"/>
      <c r="RYE169" s="558"/>
      <c r="RYF169" s="558"/>
      <c r="RYG169" s="558"/>
      <c r="RYH169" s="558"/>
      <c r="RYI169" s="558"/>
      <c r="RYJ169" s="558"/>
      <c r="RYK169" s="558"/>
      <c r="RYL169" s="558"/>
      <c r="RYM169" s="558"/>
      <c r="RYN169" s="558"/>
      <c r="RYO169" s="558"/>
      <c r="RYP169" s="558"/>
      <c r="RYQ169" s="558"/>
      <c r="RYR169" s="558"/>
      <c r="RYS169" s="558"/>
      <c r="RYT169" s="558"/>
      <c r="RYU169" s="558"/>
      <c r="RYV169" s="558"/>
      <c r="RYW169" s="558"/>
      <c r="RYX169" s="558"/>
      <c r="RYY169" s="558"/>
      <c r="RYZ169" s="558"/>
      <c r="RZA169" s="558"/>
      <c r="RZB169" s="558"/>
      <c r="RZC169" s="558"/>
      <c r="RZD169" s="558"/>
      <c r="RZE169" s="558"/>
      <c r="RZF169" s="558"/>
      <c r="RZG169" s="558"/>
      <c r="RZH169" s="558"/>
      <c r="RZI169" s="558"/>
      <c r="RZJ169" s="558"/>
      <c r="RZK169" s="558"/>
      <c r="RZL169" s="558"/>
      <c r="RZM169" s="558"/>
      <c r="RZN169" s="558"/>
      <c r="RZO169" s="558"/>
      <c r="RZP169" s="558"/>
      <c r="RZQ169" s="558"/>
      <c r="RZR169" s="558"/>
      <c r="RZS169" s="558"/>
      <c r="RZT169" s="558"/>
      <c r="RZU169" s="558"/>
      <c r="RZV169" s="558"/>
      <c r="RZW169" s="558"/>
      <c r="RZX169" s="558"/>
      <c r="RZY169" s="558"/>
      <c r="RZZ169" s="558"/>
      <c r="SAA169" s="558"/>
      <c r="SAB169" s="558"/>
      <c r="SAC169" s="558"/>
      <c r="SAD169" s="558"/>
      <c r="SAE169" s="558"/>
      <c r="SAF169" s="558"/>
      <c r="SAG169" s="558"/>
      <c r="SAH169" s="558"/>
      <c r="SAI169" s="558"/>
      <c r="SAJ169" s="558"/>
      <c r="SAK169" s="558"/>
      <c r="SAL169" s="558"/>
      <c r="SAM169" s="558"/>
      <c r="SAN169" s="558"/>
      <c r="SAO169" s="558"/>
      <c r="SAP169" s="558"/>
      <c r="SAQ169" s="558"/>
      <c r="SAR169" s="558"/>
      <c r="SAS169" s="558"/>
      <c r="SAT169" s="558"/>
      <c r="SAU169" s="558"/>
      <c r="SAV169" s="558"/>
      <c r="SAW169" s="558"/>
      <c r="SAX169" s="558"/>
      <c r="SAY169" s="558"/>
      <c r="SAZ169" s="558"/>
      <c r="SBA169" s="558"/>
      <c r="SBB169" s="558"/>
      <c r="SBC169" s="558"/>
      <c r="SBD169" s="558"/>
      <c r="SBE169" s="558"/>
      <c r="SBF169" s="558"/>
      <c r="SBG169" s="558"/>
      <c r="SBH169" s="558"/>
      <c r="SBI169" s="558"/>
      <c r="SBJ169" s="558"/>
      <c r="SBK169" s="558"/>
      <c r="SBL169" s="558"/>
      <c r="SBM169" s="558"/>
      <c r="SBN169" s="558"/>
      <c r="SBO169" s="558"/>
      <c r="SBP169" s="558"/>
      <c r="SBQ169" s="558"/>
      <c r="SBR169" s="558"/>
      <c r="SBS169" s="558"/>
      <c r="SBT169" s="558"/>
      <c r="SBU169" s="558"/>
      <c r="SBV169" s="558"/>
      <c r="SBW169" s="558"/>
      <c r="SBX169" s="558"/>
      <c r="SBY169" s="558"/>
      <c r="SBZ169" s="558"/>
      <c r="SCA169" s="558"/>
      <c r="SCB169" s="558"/>
      <c r="SCC169" s="558"/>
      <c r="SCD169" s="558"/>
      <c r="SCE169" s="558"/>
      <c r="SCF169" s="558"/>
      <c r="SCG169" s="558"/>
      <c r="SCH169" s="558"/>
      <c r="SCI169" s="558"/>
      <c r="SCJ169" s="558"/>
      <c r="SCK169" s="558"/>
      <c r="SCL169" s="558"/>
      <c r="SCM169" s="558"/>
      <c r="SCN169" s="558"/>
      <c r="SCO169" s="558"/>
      <c r="SCP169" s="558"/>
      <c r="SCQ169" s="558"/>
      <c r="SCR169" s="558"/>
      <c r="SCS169" s="558"/>
      <c r="SCT169" s="558"/>
      <c r="SCU169" s="558"/>
      <c r="SCV169" s="558"/>
      <c r="SCW169" s="558"/>
      <c r="SCX169" s="558"/>
      <c r="SCY169" s="558"/>
      <c r="SCZ169" s="558"/>
      <c r="SDA169" s="558"/>
      <c r="SDB169" s="558"/>
      <c r="SDC169" s="558"/>
      <c r="SDD169" s="558"/>
      <c r="SDE169" s="558"/>
      <c r="SDF169" s="558"/>
      <c r="SDG169" s="558"/>
      <c r="SDH169" s="558"/>
      <c r="SDI169" s="558"/>
      <c r="SDJ169" s="558"/>
      <c r="SDK169" s="558"/>
      <c r="SDL169" s="558"/>
      <c r="SDM169" s="558"/>
      <c r="SDN169" s="558"/>
      <c r="SDO169" s="558"/>
      <c r="SDP169" s="558"/>
      <c r="SDQ169" s="558"/>
      <c r="SDR169" s="558"/>
      <c r="SDS169" s="558"/>
      <c r="SDT169" s="558"/>
      <c r="SDU169" s="558"/>
      <c r="SDV169" s="558"/>
      <c r="SDW169" s="558"/>
      <c r="SDX169" s="558"/>
      <c r="SDY169" s="558"/>
      <c r="SDZ169" s="558"/>
      <c r="SEA169" s="558"/>
      <c r="SEB169" s="558"/>
      <c r="SEC169" s="558"/>
      <c r="SED169" s="558"/>
      <c r="SEE169" s="558"/>
      <c r="SEF169" s="558"/>
      <c r="SEG169" s="558"/>
      <c r="SEH169" s="558"/>
      <c r="SEI169" s="558"/>
      <c r="SEJ169" s="558"/>
      <c r="SEK169" s="558"/>
      <c r="SEL169" s="558"/>
      <c r="SEM169" s="558"/>
      <c r="SEN169" s="558"/>
      <c r="SEO169" s="558"/>
      <c r="SEP169" s="558"/>
      <c r="SEQ169" s="558"/>
      <c r="SER169" s="558"/>
      <c r="SES169" s="558"/>
      <c r="SET169" s="558"/>
      <c r="SEU169" s="558"/>
      <c r="SEV169" s="558"/>
      <c r="SEW169" s="558"/>
      <c r="SEX169" s="558"/>
      <c r="SEY169" s="558"/>
      <c r="SEZ169" s="558"/>
      <c r="SFA169" s="558"/>
      <c r="SFB169" s="558"/>
      <c r="SFC169" s="558"/>
      <c r="SFD169" s="558"/>
      <c r="SFE169" s="558"/>
      <c r="SFF169" s="558"/>
      <c r="SFG169" s="558"/>
      <c r="SFH169" s="558"/>
      <c r="SFI169" s="558"/>
      <c r="SFJ169" s="558"/>
      <c r="SFK169" s="558"/>
      <c r="SFL169" s="558"/>
      <c r="SFM169" s="558"/>
      <c r="SFN169" s="558"/>
      <c r="SFO169" s="558"/>
      <c r="SFP169" s="558"/>
      <c r="SFQ169" s="558"/>
      <c r="SFR169" s="558"/>
      <c r="SFS169" s="558"/>
      <c r="SFT169" s="558"/>
      <c r="SFU169" s="558"/>
      <c r="SFV169" s="558"/>
      <c r="SFW169" s="558"/>
      <c r="SFX169" s="558"/>
      <c r="SFY169" s="558"/>
      <c r="SFZ169" s="558"/>
      <c r="SGA169" s="558"/>
      <c r="SGB169" s="558"/>
      <c r="SGC169" s="558"/>
      <c r="SGD169" s="558"/>
      <c r="SGE169" s="558"/>
      <c r="SGF169" s="558"/>
      <c r="SGG169" s="558"/>
      <c r="SGH169" s="558"/>
      <c r="SGI169" s="558"/>
      <c r="SGJ169" s="558"/>
      <c r="SGK169" s="558"/>
      <c r="SGL169" s="558"/>
      <c r="SGM169" s="558"/>
      <c r="SGN169" s="558"/>
      <c r="SGO169" s="558"/>
      <c r="SGP169" s="558"/>
      <c r="SGQ169" s="558"/>
      <c r="SGR169" s="558"/>
      <c r="SGS169" s="558"/>
      <c r="SGT169" s="558"/>
      <c r="SGU169" s="558"/>
      <c r="SGV169" s="558"/>
      <c r="SGW169" s="558"/>
      <c r="SGX169" s="558"/>
      <c r="SGY169" s="558"/>
      <c r="SGZ169" s="558"/>
      <c r="SHA169" s="558"/>
      <c r="SHB169" s="558"/>
      <c r="SHC169" s="558"/>
      <c r="SHD169" s="558"/>
      <c r="SHE169" s="558"/>
      <c r="SHF169" s="558"/>
      <c r="SHG169" s="558"/>
      <c r="SHH169" s="558"/>
      <c r="SHI169" s="558"/>
      <c r="SHJ169" s="558"/>
      <c r="SHK169" s="558"/>
      <c r="SHL169" s="558"/>
      <c r="SHM169" s="558"/>
      <c r="SHN169" s="558"/>
      <c r="SHO169" s="558"/>
      <c r="SHP169" s="558"/>
      <c r="SHQ169" s="558"/>
      <c r="SHR169" s="558"/>
      <c r="SHS169" s="558"/>
      <c r="SHT169" s="558"/>
      <c r="SHU169" s="558"/>
      <c r="SHV169" s="558"/>
      <c r="SHW169" s="558"/>
      <c r="SHX169" s="558"/>
      <c r="SHY169" s="558"/>
      <c r="SHZ169" s="558"/>
      <c r="SIA169" s="558"/>
      <c r="SIB169" s="558"/>
      <c r="SIC169" s="558"/>
      <c r="SID169" s="558"/>
      <c r="SIE169" s="558"/>
      <c r="SIF169" s="558"/>
      <c r="SIG169" s="558"/>
      <c r="SIH169" s="558"/>
      <c r="SII169" s="558"/>
      <c r="SIJ169" s="558"/>
      <c r="SIK169" s="558"/>
      <c r="SIL169" s="558"/>
      <c r="SIM169" s="558"/>
      <c r="SIN169" s="558"/>
      <c r="SIO169" s="558"/>
      <c r="SIP169" s="558"/>
      <c r="SIQ169" s="558"/>
      <c r="SIR169" s="558"/>
      <c r="SIS169" s="558"/>
      <c r="SIT169" s="558"/>
      <c r="SIU169" s="558"/>
      <c r="SIV169" s="558"/>
      <c r="SIW169" s="558"/>
      <c r="SIX169" s="558"/>
      <c r="SIY169" s="558"/>
      <c r="SIZ169" s="558"/>
      <c r="SJA169" s="558"/>
      <c r="SJB169" s="558"/>
      <c r="SJC169" s="558"/>
      <c r="SJD169" s="558"/>
      <c r="SJE169" s="558"/>
      <c r="SJF169" s="558"/>
      <c r="SJG169" s="558"/>
      <c r="SJH169" s="558"/>
      <c r="SJI169" s="558"/>
      <c r="SJJ169" s="558"/>
      <c r="SJK169" s="558"/>
      <c r="SJL169" s="558"/>
      <c r="SJM169" s="558"/>
      <c r="SJN169" s="558"/>
      <c r="SJO169" s="558"/>
      <c r="SJP169" s="558"/>
      <c r="SJQ169" s="558"/>
      <c r="SJR169" s="558"/>
      <c r="SJS169" s="558"/>
      <c r="SJT169" s="558"/>
      <c r="SJU169" s="558"/>
      <c r="SJV169" s="558"/>
      <c r="SJW169" s="558"/>
      <c r="SJX169" s="558"/>
      <c r="SJY169" s="558"/>
      <c r="SJZ169" s="558"/>
      <c r="SKA169" s="558"/>
      <c r="SKB169" s="558"/>
      <c r="SKC169" s="558"/>
      <c r="SKD169" s="558"/>
      <c r="SKE169" s="558"/>
      <c r="SKF169" s="558"/>
      <c r="SKG169" s="558"/>
      <c r="SKH169" s="558"/>
      <c r="SKI169" s="558"/>
      <c r="SKJ169" s="558"/>
      <c r="SKK169" s="558"/>
      <c r="SKL169" s="558"/>
      <c r="SKM169" s="558"/>
      <c r="SKN169" s="558"/>
      <c r="SKO169" s="558"/>
      <c r="SKP169" s="558"/>
      <c r="SKQ169" s="558"/>
      <c r="SKR169" s="558"/>
      <c r="SKS169" s="558"/>
      <c r="SKT169" s="558"/>
      <c r="SKU169" s="558"/>
      <c r="SKV169" s="558"/>
      <c r="SKW169" s="558"/>
      <c r="SKX169" s="558"/>
      <c r="SKY169" s="558"/>
      <c r="SKZ169" s="558"/>
      <c r="SLA169" s="558"/>
      <c r="SLB169" s="558"/>
      <c r="SLC169" s="558"/>
      <c r="SLD169" s="558"/>
      <c r="SLE169" s="558"/>
      <c r="SLF169" s="558"/>
      <c r="SLG169" s="558"/>
      <c r="SLH169" s="558"/>
      <c r="SLI169" s="558"/>
      <c r="SLJ169" s="558"/>
      <c r="SLK169" s="558"/>
      <c r="SLL169" s="558"/>
      <c r="SLM169" s="558"/>
      <c r="SLN169" s="558"/>
      <c r="SLO169" s="558"/>
      <c r="SLP169" s="558"/>
      <c r="SLQ169" s="558"/>
      <c r="SLR169" s="558"/>
      <c r="SLS169" s="558"/>
      <c r="SLT169" s="558"/>
      <c r="SLU169" s="558"/>
      <c r="SLV169" s="558"/>
      <c r="SLW169" s="558"/>
      <c r="SLX169" s="558"/>
      <c r="SLY169" s="558"/>
      <c r="SLZ169" s="558"/>
      <c r="SMA169" s="558"/>
      <c r="SMB169" s="558"/>
      <c r="SMC169" s="558"/>
      <c r="SMD169" s="558"/>
      <c r="SME169" s="558"/>
      <c r="SMF169" s="558"/>
      <c r="SMG169" s="558"/>
      <c r="SMH169" s="558"/>
      <c r="SMI169" s="558"/>
      <c r="SMJ169" s="558"/>
      <c r="SMK169" s="558"/>
      <c r="SML169" s="558"/>
      <c r="SMM169" s="558"/>
      <c r="SMN169" s="558"/>
      <c r="SMO169" s="558"/>
      <c r="SMP169" s="558"/>
      <c r="SMQ169" s="558"/>
      <c r="SMR169" s="558"/>
      <c r="SMS169" s="558"/>
      <c r="SMT169" s="558"/>
      <c r="SMU169" s="558"/>
      <c r="SMV169" s="558"/>
      <c r="SMW169" s="558"/>
      <c r="SMX169" s="558"/>
      <c r="SMY169" s="558"/>
      <c r="SMZ169" s="558"/>
      <c r="SNA169" s="558"/>
      <c r="SNB169" s="558"/>
      <c r="SNC169" s="558"/>
      <c r="SND169" s="558"/>
      <c r="SNE169" s="558"/>
      <c r="SNF169" s="558"/>
      <c r="SNG169" s="558"/>
      <c r="SNH169" s="558"/>
      <c r="SNI169" s="558"/>
      <c r="SNJ169" s="558"/>
      <c r="SNK169" s="558"/>
      <c r="SNL169" s="558"/>
      <c r="SNM169" s="558"/>
      <c r="SNN169" s="558"/>
      <c r="SNO169" s="558"/>
      <c r="SNP169" s="558"/>
      <c r="SNQ169" s="558"/>
      <c r="SNR169" s="558"/>
      <c r="SNS169" s="558"/>
      <c r="SNT169" s="558"/>
      <c r="SNU169" s="558"/>
      <c r="SNV169" s="558"/>
      <c r="SNW169" s="558"/>
      <c r="SNX169" s="558"/>
      <c r="SNY169" s="558"/>
      <c r="SNZ169" s="558"/>
      <c r="SOA169" s="558"/>
      <c r="SOB169" s="558"/>
      <c r="SOC169" s="558"/>
      <c r="SOD169" s="558"/>
      <c r="SOE169" s="558"/>
      <c r="SOF169" s="558"/>
      <c r="SOG169" s="558"/>
      <c r="SOH169" s="558"/>
      <c r="SOI169" s="558"/>
      <c r="SOJ169" s="558"/>
      <c r="SOK169" s="558"/>
      <c r="SOL169" s="558"/>
      <c r="SOM169" s="558"/>
      <c r="SON169" s="558"/>
      <c r="SOO169" s="558"/>
      <c r="SOP169" s="558"/>
      <c r="SOQ169" s="558"/>
      <c r="SOR169" s="558"/>
      <c r="SOS169" s="558"/>
      <c r="SOT169" s="558"/>
      <c r="SOU169" s="558"/>
      <c r="SOV169" s="558"/>
      <c r="SOW169" s="558"/>
      <c r="SOX169" s="558"/>
      <c r="SOY169" s="558"/>
      <c r="SOZ169" s="558"/>
      <c r="SPA169" s="558"/>
      <c r="SPB169" s="558"/>
      <c r="SPC169" s="558"/>
      <c r="SPD169" s="558"/>
      <c r="SPE169" s="558"/>
      <c r="SPF169" s="558"/>
      <c r="SPG169" s="558"/>
      <c r="SPH169" s="558"/>
      <c r="SPI169" s="558"/>
      <c r="SPJ169" s="558"/>
      <c r="SPK169" s="558"/>
      <c r="SPL169" s="558"/>
      <c r="SPM169" s="558"/>
      <c r="SPN169" s="558"/>
      <c r="SPO169" s="558"/>
      <c r="SPP169" s="558"/>
      <c r="SPQ169" s="558"/>
      <c r="SPR169" s="558"/>
      <c r="SPS169" s="558"/>
      <c r="SPT169" s="558"/>
      <c r="SPU169" s="558"/>
      <c r="SPV169" s="558"/>
      <c r="SPW169" s="558"/>
      <c r="SPX169" s="558"/>
      <c r="SPY169" s="558"/>
      <c r="SPZ169" s="558"/>
      <c r="SQA169" s="558"/>
      <c r="SQB169" s="558"/>
      <c r="SQC169" s="558"/>
      <c r="SQD169" s="558"/>
      <c r="SQE169" s="558"/>
      <c r="SQF169" s="558"/>
      <c r="SQG169" s="558"/>
      <c r="SQH169" s="558"/>
      <c r="SQI169" s="558"/>
      <c r="SQJ169" s="558"/>
      <c r="SQK169" s="558"/>
      <c r="SQL169" s="558"/>
      <c r="SQM169" s="558"/>
      <c r="SQN169" s="558"/>
      <c r="SQO169" s="558"/>
      <c r="SQP169" s="558"/>
      <c r="SQQ169" s="558"/>
      <c r="SQR169" s="558"/>
      <c r="SQS169" s="558"/>
      <c r="SQT169" s="558"/>
      <c r="SQU169" s="558"/>
      <c r="SQV169" s="558"/>
      <c r="SQW169" s="558"/>
      <c r="SQX169" s="558"/>
      <c r="SQY169" s="558"/>
      <c r="SQZ169" s="558"/>
      <c r="SRA169" s="558"/>
      <c r="SRB169" s="558"/>
      <c r="SRC169" s="558"/>
      <c r="SRD169" s="558"/>
      <c r="SRE169" s="558"/>
      <c r="SRF169" s="558"/>
      <c r="SRG169" s="558"/>
      <c r="SRH169" s="558"/>
      <c r="SRI169" s="558"/>
      <c r="SRJ169" s="558"/>
      <c r="SRK169" s="558"/>
      <c r="SRL169" s="558"/>
      <c r="SRM169" s="558"/>
      <c r="SRN169" s="558"/>
      <c r="SRO169" s="558"/>
      <c r="SRP169" s="558"/>
      <c r="SRQ169" s="558"/>
      <c r="SRR169" s="558"/>
      <c r="SRS169" s="558"/>
      <c r="SRT169" s="558"/>
      <c r="SRU169" s="558"/>
      <c r="SRV169" s="558"/>
      <c r="SRW169" s="558"/>
      <c r="SRX169" s="558"/>
      <c r="SRY169" s="558"/>
      <c r="SRZ169" s="558"/>
      <c r="SSA169" s="558"/>
      <c r="SSB169" s="558"/>
      <c r="SSC169" s="558"/>
      <c r="SSD169" s="558"/>
      <c r="SSE169" s="558"/>
      <c r="SSF169" s="558"/>
      <c r="SSG169" s="558"/>
      <c r="SSH169" s="558"/>
      <c r="SSI169" s="558"/>
      <c r="SSJ169" s="558"/>
      <c r="SSK169" s="558"/>
      <c r="SSL169" s="558"/>
      <c r="SSM169" s="558"/>
      <c r="SSN169" s="558"/>
      <c r="SSO169" s="558"/>
      <c r="SSP169" s="558"/>
      <c r="SSQ169" s="558"/>
      <c r="SSR169" s="558"/>
      <c r="SSS169" s="558"/>
      <c r="SST169" s="558"/>
      <c r="SSU169" s="558"/>
      <c r="SSV169" s="558"/>
      <c r="SSW169" s="558"/>
      <c r="SSX169" s="558"/>
      <c r="SSY169" s="558"/>
      <c r="SSZ169" s="558"/>
      <c r="STA169" s="558"/>
      <c r="STB169" s="558"/>
      <c r="STC169" s="558"/>
      <c r="STD169" s="558"/>
      <c r="STE169" s="558"/>
      <c r="STF169" s="558"/>
      <c r="STG169" s="558"/>
      <c r="STH169" s="558"/>
      <c r="STI169" s="558"/>
      <c r="STJ169" s="558"/>
      <c r="STK169" s="558"/>
      <c r="STL169" s="558"/>
      <c r="STM169" s="558"/>
      <c r="STN169" s="558"/>
      <c r="STO169" s="558"/>
      <c r="STP169" s="558"/>
      <c r="STQ169" s="558"/>
      <c r="STR169" s="558"/>
      <c r="STS169" s="558"/>
      <c r="STT169" s="558"/>
      <c r="STU169" s="558"/>
      <c r="STV169" s="558"/>
      <c r="STW169" s="558"/>
      <c r="STX169" s="558"/>
      <c r="STY169" s="558"/>
      <c r="STZ169" s="558"/>
      <c r="SUA169" s="558"/>
      <c r="SUB169" s="558"/>
      <c r="SUC169" s="558"/>
      <c r="SUD169" s="558"/>
      <c r="SUE169" s="558"/>
      <c r="SUF169" s="558"/>
      <c r="SUG169" s="558"/>
      <c r="SUH169" s="558"/>
      <c r="SUI169" s="558"/>
      <c r="SUJ169" s="558"/>
      <c r="SUK169" s="558"/>
      <c r="SUL169" s="558"/>
      <c r="SUM169" s="558"/>
      <c r="SUN169" s="558"/>
      <c r="SUO169" s="558"/>
      <c r="SUP169" s="558"/>
      <c r="SUQ169" s="558"/>
      <c r="SUR169" s="558"/>
      <c r="SUS169" s="558"/>
      <c r="SUT169" s="558"/>
      <c r="SUU169" s="558"/>
      <c r="SUV169" s="558"/>
      <c r="SUW169" s="558"/>
      <c r="SUX169" s="558"/>
      <c r="SUY169" s="558"/>
      <c r="SUZ169" s="558"/>
      <c r="SVA169" s="558"/>
      <c r="SVB169" s="558"/>
      <c r="SVC169" s="558"/>
      <c r="SVD169" s="558"/>
      <c r="SVE169" s="558"/>
      <c r="SVF169" s="558"/>
      <c r="SVG169" s="558"/>
      <c r="SVH169" s="558"/>
      <c r="SVI169" s="558"/>
      <c r="SVJ169" s="558"/>
      <c r="SVK169" s="558"/>
      <c r="SVL169" s="558"/>
      <c r="SVM169" s="558"/>
      <c r="SVN169" s="558"/>
      <c r="SVO169" s="558"/>
      <c r="SVP169" s="558"/>
      <c r="SVQ169" s="558"/>
      <c r="SVR169" s="558"/>
      <c r="SVS169" s="558"/>
      <c r="SVT169" s="558"/>
      <c r="SVU169" s="558"/>
      <c r="SVV169" s="558"/>
      <c r="SVW169" s="558"/>
      <c r="SVX169" s="558"/>
      <c r="SVY169" s="558"/>
      <c r="SVZ169" s="558"/>
      <c r="SWA169" s="558"/>
      <c r="SWB169" s="558"/>
      <c r="SWC169" s="558"/>
      <c r="SWD169" s="558"/>
      <c r="SWE169" s="558"/>
      <c r="SWF169" s="558"/>
      <c r="SWG169" s="558"/>
      <c r="SWH169" s="558"/>
      <c r="SWI169" s="558"/>
      <c r="SWJ169" s="558"/>
      <c r="SWK169" s="558"/>
      <c r="SWL169" s="558"/>
      <c r="SWM169" s="558"/>
      <c r="SWN169" s="558"/>
      <c r="SWO169" s="558"/>
      <c r="SWP169" s="558"/>
      <c r="SWQ169" s="558"/>
      <c r="SWR169" s="558"/>
      <c r="SWS169" s="558"/>
      <c r="SWT169" s="558"/>
      <c r="SWU169" s="558"/>
      <c r="SWV169" s="558"/>
      <c r="SWW169" s="558"/>
      <c r="SWX169" s="558"/>
      <c r="SWY169" s="558"/>
      <c r="SWZ169" s="558"/>
      <c r="SXA169" s="558"/>
      <c r="SXB169" s="558"/>
      <c r="SXC169" s="558"/>
      <c r="SXD169" s="558"/>
      <c r="SXE169" s="558"/>
      <c r="SXF169" s="558"/>
      <c r="SXG169" s="558"/>
      <c r="SXH169" s="558"/>
      <c r="SXI169" s="558"/>
      <c r="SXJ169" s="558"/>
      <c r="SXK169" s="558"/>
      <c r="SXL169" s="558"/>
      <c r="SXM169" s="558"/>
      <c r="SXN169" s="558"/>
      <c r="SXO169" s="558"/>
      <c r="SXP169" s="558"/>
      <c r="SXQ169" s="558"/>
      <c r="SXR169" s="558"/>
      <c r="SXS169" s="558"/>
      <c r="SXT169" s="558"/>
      <c r="SXU169" s="558"/>
      <c r="SXV169" s="558"/>
      <c r="SXW169" s="558"/>
      <c r="SXX169" s="558"/>
      <c r="SXY169" s="558"/>
      <c r="SXZ169" s="558"/>
      <c r="SYA169" s="558"/>
      <c r="SYB169" s="558"/>
      <c r="SYC169" s="558"/>
      <c r="SYD169" s="558"/>
      <c r="SYE169" s="558"/>
      <c r="SYF169" s="558"/>
      <c r="SYG169" s="558"/>
      <c r="SYH169" s="558"/>
      <c r="SYI169" s="558"/>
      <c r="SYJ169" s="558"/>
      <c r="SYK169" s="558"/>
      <c r="SYL169" s="558"/>
      <c r="SYM169" s="558"/>
      <c r="SYN169" s="558"/>
      <c r="SYO169" s="558"/>
      <c r="SYP169" s="558"/>
      <c r="SYQ169" s="558"/>
      <c r="SYR169" s="558"/>
      <c r="SYS169" s="558"/>
      <c r="SYT169" s="558"/>
      <c r="SYU169" s="558"/>
      <c r="SYV169" s="558"/>
      <c r="SYW169" s="558"/>
      <c r="SYX169" s="558"/>
      <c r="SYY169" s="558"/>
      <c r="SYZ169" s="558"/>
      <c r="SZA169" s="558"/>
      <c r="SZB169" s="558"/>
      <c r="SZC169" s="558"/>
      <c r="SZD169" s="558"/>
      <c r="SZE169" s="558"/>
      <c r="SZF169" s="558"/>
      <c r="SZG169" s="558"/>
      <c r="SZH169" s="558"/>
      <c r="SZI169" s="558"/>
      <c r="SZJ169" s="558"/>
      <c r="SZK169" s="558"/>
      <c r="SZL169" s="558"/>
      <c r="SZM169" s="558"/>
      <c r="SZN169" s="558"/>
      <c r="SZO169" s="558"/>
      <c r="SZP169" s="558"/>
      <c r="SZQ169" s="558"/>
      <c r="SZR169" s="558"/>
      <c r="SZS169" s="558"/>
      <c r="SZT169" s="558"/>
      <c r="SZU169" s="558"/>
      <c r="SZV169" s="558"/>
      <c r="SZW169" s="558"/>
      <c r="SZX169" s="558"/>
      <c r="SZY169" s="558"/>
      <c r="SZZ169" s="558"/>
      <c r="TAA169" s="558"/>
      <c r="TAB169" s="558"/>
      <c r="TAC169" s="558"/>
      <c r="TAD169" s="558"/>
      <c r="TAE169" s="558"/>
      <c r="TAF169" s="558"/>
      <c r="TAG169" s="558"/>
      <c r="TAH169" s="558"/>
      <c r="TAI169" s="558"/>
      <c r="TAJ169" s="558"/>
      <c r="TAK169" s="558"/>
      <c r="TAL169" s="558"/>
      <c r="TAM169" s="558"/>
      <c r="TAN169" s="558"/>
      <c r="TAO169" s="558"/>
      <c r="TAP169" s="558"/>
      <c r="TAQ169" s="558"/>
      <c r="TAR169" s="558"/>
      <c r="TAS169" s="558"/>
      <c r="TAT169" s="558"/>
      <c r="TAU169" s="558"/>
      <c r="TAV169" s="558"/>
      <c r="TAW169" s="558"/>
      <c r="TAX169" s="558"/>
      <c r="TAY169" s="558"/>
      <c r="TAZ169" s="558"/>
      <c r="TBA169" s="558"/>
      <c r="TBB169" s="558"/>
      <c r="TBC169" s="558"/>
      <c r="TBD169" s="558"/>
      <c r="TBE169" s="558"/>
      <c r="TBF169" s="558"/>
      <c r="TBG169" s="558"/>
      <c r="TBH169" s="558"/>
      <c r="TBI169" s="558"/>
      <c r="TBJ169" s="558"/>
      <c r="TBK169" s="558"/>
      <c r="TBL169" s="558"/>
      <c r="TBM169" s="558"/>
      <c r="TBN169" s="558"/>
      <c r="TBO169" s="558"/>
      <c r="TBP169" s="558"/>
      <c r="TBQ169" s="558"/>
      <c r="TBR169" s="558"/>
      <c r="TBS169" s="558"/>
      <c r="TBT169" s="558"/>
      <c r="TBU169" s="558"/>
      <c r="TBV169" s="558"/>
      <c r="TBW169" s="558"/>
      <c r="TBX169" s="558"/>
      <c r="TBY169" s="558"/>
      <c r="TBZ169" s="558"/>
      <c r="TCA169" s="558"/>
      <c r="TCB169" s="558"/>
      <c r="TCC169" s="558"/>
      <c r="TCD169" s="558"/>
      <c r="TCE169" s="558"/>
      <c r="TCF169" s="558"/>
      <c r="TCG169" s="558"/>
      <c r="TCH169" s="558"/>
      <c r="TCI169" s="558"/>
      <c r="TCJ169" s="558"/>
      <c r="TCK169" s="558"/>
      <c r="TCL169" s="558"/>
      <c r="TCM169" s="558"/>
      <c r="TCN169" s="558"/>
      <c r="TCO169" s="558"/>
      <c r="TCP169" s="558"/>
      <c r="TCQ169" s="558"/>
      <c r="TCR169" s="558"/>
      <c r="TCS169" s="558"/>
      <c r="TCT169" s="558"/>
      <c r="TCU169" s="558"/>
      <c r="TCV169" s="558"/>
      <c r="TCW169" s="558"/>
      <c r="TCX169" s="558"/>
      <c r="TCY169" s="558"/>
      <c r="TCZ169" s="558"/>
      <c r="TDA169" s="558"/>
      <c r="TDB169" s="558"/>
      <c r="TDC169" s="558"/>
      <c r="TDD169" s="558"/>
      <c r="TDE169" s="558"/>
      <c r="TDF169" s="558"/>
      <c r="TDG169" s="558"/>
      <c r="TDH169" s="558"/>
      <c r="TDI169" s="558"/>
      <c r="TDJ169" s="558"/>
      <c r="TDK169" s="558"/>
      <c r="TDL169" s="558"/>
      <c r="TDM169" s="558"/>
      <c r="TDN169" s="558"/>
      <c r="TDO169" s="558"/>
      <c r="TDP169" s="558"/>
      <c r="TDQ169" s="558"/>
      <c r="TDR169" s="558"/>
      <c r="TDS169" s="558"/>
      <c r="TDT169" s="558"/>
      <c r="TDU169" s="558"/>
      <c r="TDV169" s="558"/>
      <c r="TDW169" s="558"/>
      <c r="TDX169" s="558"/>
      <c r="TDY169" s="558"/>
      <c r="TDZ169" s="558"/>
      <c r="TEA169" s="558"/>
      <c r="TEB169" s="558"/>
      <c r="TEC169" s="558"/>
      <c r="TED169" s="558"/>
      <c r="TEE169" s="558"/>
      <c r="TEF169" s="558"/>
      <c r="TEG169" s="558"/>
      <c r="TEH169" s="558"/>
      <c r="TEI169" s="558"/>
      <c r="TEJ169" s="558"/>
      <c r="TEK169" s="558"/>
      <c r="TEL169" s="558"/>
      <c r="TEM169" s="558"/>
      <c r="TEN169" s="558"/>
      <c r="TEO169" s="558"/>
      <c r="TEP169" s="558"/>
      <c r="TEQ169" s="558"/>
      <c r="TER169" s="558"/>
      <c r="TES169" s="558"/>
      <c r="TET169" s="558"/>
      <c r="TEU169" s="558"/>
      <c r="TEV169" s="558"/>
      <c r="TEW169" s="558"/>
      <c r="TEX169" s="558"/>
      <c r="TEY169" s="558"/>
      <c r="TEZ169" s="558"/>
      <c r="TFA169" s="558"/>
      <c r="TFB169" s="558"/>
      <c r="TFC169" s="558"/>
      <c r="TFD169" s="558"/>
      <c r="TFE169" s="558"/>
      <c r="TFF169" s="558"/>
      <c r="TFG169" s="558"/>
      <c r="TFH169" s="558"/>
      <c r="TFI169" s="558"/>
      <c r="TFJ169" s="558"/>
      <c r="TFK169" s="558"/>
      <c r="TFL169" s="558"/>
      <c r="TFM169" s="558"/>
      <c r="TFN169" s="558"/>
      <c r="TFO169" s="558"/>
      <c r="TFP169" s="558"/>
      <c r="TFQ169" s="558"/>
      <c r="TFR169" s="558"/>
      <c r="TFS169" s="558"/>
      <c r="TFT169" s="558"/>
      <c r="TFU169" s="558"/>
      <c r="TFV169" s="558"/>
      <c r="TFW169" s="558"/>
      <c r="TFX169" s="558"/>
      <c r="TFY169" s="558"/>
      <c r="TFZ169" s="558"/>
      <c r="TGA169" s="558"/>
      <c r="TGB169" s="558"/>
      <c r="TGC169" s="558"/>
      <c r="TGD169" s="558"/>
      <c r="TGE169" s="558"/>
      <c r="TGF169" s="558"/>
      <c r="TGG169" s="558"/>
      <c r="TGH169" s="558"/>
      <c r="TGI169" s="558"/>
      <c r="TGJ169" s="558"/>
      <c r="TGK169" s="558"/>
      <c r="TGL169" s="558"/>
      <c r="TGM169" s="558"/>
      <c r="TGN169" s="558"/>
      <c r="TGO169" s="558"/>
      <c r="TGP169" s="558"/>
      <c r="TGQ169" s="558"/>
      <c r="TGR169" s="558"/>
      <c r="TGS169" s="558"/>
      <c r="TGT169" s="558"/>
      <c r="TGU169" s="558"/>
      <c r="TGV169" s="558"/>
      <c r="TGW169" s="558"/>
      <c r="TGX169" s="558"/>
      <c r="TGY169" s="558"/>
      <c r="TGZ169" s="558"/>
      <c r="THA169" s="558"/>
      <c r="THB169" s="558"/>
      <c r="THC169" s="558"/>
      <c r="THD169" s="558"/>
      <c r="THE169" s="558"/>
      <c r="THF169" s="558"/>
      <c r="THG169" s="558"/>
      <c r="THH169" s="558"/>
      <c r="THI169" s="558"/>
      <c r="THJ169" s="558"/>
      <c r="THK169" s="558"/>
      <c r="THL169" s="558"/>
      <c r="THM169" s="558"/>
      <c r="THN169" s="558"/>
      <c r="THO169" s="558"/>
      <c r="THP169" s="558"/>
      <c r="THQ169" s="558"/>
      <c r="THR169" s="558"/>
      <c r="THS169" s="558"/>
      <c r="THT169" s="558"/>
      <c r="THU169" s="558"/>
      <c r="THV169" s="558"/>
      <c r="THW169" s="558"/>
      <c r="THX169" s="558"/>
      <c r="THY169" s="558"/>
      <c r="THZ169" s="558"/>
      <c r="TIA169" s="558"/>
      <c r="TIB169" s="558"/>
      <c r="TIC169" s="558"/>
      <c r="TID169" s="558"/>
      <c r="TIE169" s="558"/>
      <c r="TIF169" s="558"/>
      <c r="TIG169" s="558"/>
      <c r="TIH169" s="558"/>
      <c r="TII169" s="558"/>
      <c r="TIJ169" s="558"/>
      <c r="TIK169" s="558"/>
      <c r="TIL169" s="558"/>
      <c r="TIM169" s="558"/>
      <c r="TIN169" s="558"/>
      <c r="TIO169" s="558"/>
      <c r="TIP169" s="558"/>
      <c r="TIQ169" s="558"/>
      <c r="TIR169" s="558"/>
      <c r="TIS169" s="558"/>
      <c r="TIT169" s="558"/>
      <c r="TIU169" s="558"/>
      <c r="TIV169" s="558"/>
      <c r="TIW169" s="558"/>
      <c r="TIX169" s="558"/>
      <c r="TIY169" s="558"/>
      <c r="TIZ169" s="558"/>
      <c r="TJA169" s="558"/>
      <c r="TJB169" s="558"/>
      <c r="TJC169" s="558"/>
      <c r="TJD169" s="558"/>
      <c r="TJE169" s="558"/>
      <c r="TJF169" s="558"/>
      <c r="TJG169" s="558"/>
      <c r="TJH169" s="558"/>
      <c r="TJI169" s="558"/>
      <c r="TJJ169" s="558"/>
      <c r="TJK169" s="558"/>
      <c r="TJL169" s="558"/>
      <c r="TJM169" s="558"/>
      <c r="TJN169" s="558"/>
      <c r="TJO169" s="558"/>
      <c r="TJP169" s="558"/>
      <c r="TJQ169" s="558"/>
      <c r="TJR169" s="558"/>
      <c r="TJS169" s="558"/>
      <c r="TJT169" s="558"/>
      <c r="TJU169" s="558"/>
      <c r="TJV169" s="558"/>
      <c r="TJW169" s="558"/>
      <c r="TJX169" s="558"/>
      <c r="TJY169" s="558"/>
      <c r="TJZ169" s="558"/>
      <c r="TKA169" s="558"/>
      <c r="TKB169" s="558"/>
      <c r="TKC169" s="558"/>
      <c r="TKD169" s="558"/>
      <c r="TKE169" s="558"/>
      <c r="TKF169" s="558"/>
      <c r="TKG169" s="558"/>
      <c r="TKH169" s="558"/>
      <c r="TKI169" s="558"/>
      <c r="TKJ169" s="558"/>
      <c r="TKK169" s="558"/>
      <c r="TKL169" s="558"/>
      <c r="TKM169" s="558"/>
      <c r="TKN169" s="558"/>
      <c r="TKO169" s="558"/>
      <c r="TKP169" s="558"/>
      <c r="TKQ169" s="558"/>
      <c r="TKR169" s="558"/>
      <c r="TKS169" s="558"/>
      <c r="TKT169" s="558"/>
      <c r="TKU169" s="558"/>
      <c r="TKV169" s="558"/>
      <c r="TKW169" s="558"/>
      <c r="TKX169" s="558"/>
      <c r="TKY169" s="558"/>
      <c r="TKZ169" s="558"/>
      <c r="TLA169" s="558"/>
      <c r="TLB169" s="558"/>
      <c r="TLC169" s="558"/>
      <c r="TLD169" s="558"/>
      <c r="TLE169" s="558"/>
      <c r="TLF169" s="558"/>
      <c r="TLG169" s="558"/>
      <c r="TLH169" s="558"/>
      <c r="TLI169" s="558"/>
      <c r="TLJ169" s="558"/>
      <c r="TLK169" s="558"/>
      <c r="TLL169" s="558"/>
      <c r="TLM169" s="558"/>
      <c r="TLN169" s="558"/>
      <c r="TLO169" s="558"/>
      <c r="TLP169" s="558"/>
      <c r="TLQ169" s="558"/>
      <c r="TLR169" s="558"/>
      <c r="TLS169" s="558"/>
      <c r="TLT169" s="558"/>
      <c r="TLU169" s="558"/>
      <c r="TLV169" s="558"/>
      <c r="TLW169" s="558"/>
      <c r="TLX169" s="558"/>
      <c r="TLY169" s="558"/>
      <c r="TLZ169" s="558"/>
      <c r="TMA169" s="558"/>
      <c r="TMB169" s="558"/>
      <c r="TMC169" s="558"/>
      <c r="TMD169" s="558"/>
      <c r="TME169" s="558"/>
      <c r="TMF169" s="558"/>
      <c r="TMG169" s="558"/>
      <c r="TMH169" s="558"/>
      <c r="TMI169" s="558"/>
      <c r="TMJ169" s="558"/>
      <c r="TMK169" s="558"/>
      <c r="TML169" s="558"/>
      <c r="TMM169" s="558"/>
      <c r="TMN169" s="558"/>
      <c r="TMO169" s="558"/>
      <c r="TMP169" s="558"/>
      <c r="TMQ169" s="558"/>
      <c r="TMR169" s="558"/>
      <c r="TMS169" s="558"/>
      <c r="TMT169" s="558"/>
      <c r="TMU169" s="558"/>
      <c r="TMV169" s="558"/>
      <c r="TMW169" s="558"/>
      <c r="TMX169" s="558"/>
      <c r="TMY169" s="558"/>
      <c r="TMZ169" s="558"/>
      <c r="TNA169" s="558"/>
      <c r="TNB169" s="558"/>
      <c r="TNC169" s="558"/>
      <c r="TND169" s="558"/>
      <c r="TNE169" s="558"/>
      <c r="TNF169" s="558"/>
      <c r="TNG169" s="558"/>
      <c r="TNH169" s="558"/>
      <c r="TNI169" s="558"/>
      <c r="TNJ169" s="558"/>
      <c r="TNK169" s="558"/>
      <c r="TNL169" s="558"/>
      <c r="TNM169" s="558"/>
      <c r="TNN169" s="558"/>
      <c r="TNO169" s="558"/>
      <c r="TNP169" s="558"/>
      <c r="TNQ169" s="558"/>
      <c r="TNR169" s="558"/>
      <c r="TNS169" s="558"/>
      <c r="TNT169" s="558"/>
      <c r="TNU169" s="558"/>
      <c r="TNV169" s="558"/>
      <c r="TNW169" s="558"/>
      <c r="TNX169" s="558"/>
      <c r="TNY169" s="558"/>
      <c r="TNZ169" s="558"/>
      <c r="TOA169" s="558"/>
      <c r="TOB169" s="558"/>
      <c r="TOC169" s="558"/>
      <c r="TOD169" s="558"/>
      <c r="TOE169" s="558"/>
      <c r="TOF169" s="558"/>
      <c r="TOG169" s="558"/>
      <c r="TOH169" s="558"/>
      <c r="TOI169" s="558"/>
      <c r="TOJ169" s="558"/>
      <c r="TOK169" s="558"/>
      <c r="TOL169" s="558"/>
      <c r="TOM169" s="558"/>
      <c r="TON169" s="558"/>
      <c r="TOO169" s="558"/>
      <c r="TOP169" s="558"/>
      <c r="TOQ169" s="558"/>
      <c r="TOR169" s="558"/>
      <c r="TOS169" s="558"/>
      <c r="TOT169" s="558"/>
      <c r="TOU169" s="558"/>
      <c r="TOV169" s="558"/>
      <c r="TOW169" s="558"/>
      <c r="TOX169" s="558"/>
      <c r="TOY169" s="558"/>
      <c r="TOZ169" s="558"/>
      <c r="TPA169" s="558"/>
      <c r="TPB169" s="558"/>
      <c r="TPC169" s="558"/>
      <c r="TPD169" s="558"/>
      <c r="TPE169" s="558"/>
      <c r="TPF169" s="558"/>
      <c r="TPG169" s="558"/>
      <c r="TPH169" s="558"/>
      <c r="TPI169" s="558"/>
      <c r="TPJ169" s="558"/>
      <c r="TPK169" s="558"/>
      <c r="TPL169" s="558"/>
      <c r="TPM169" s="558"/>
      <c r="TPN169" s="558"/>
      <c r="TPO169" s="558"/>
      <c r="TPP169" s="558"/>
      <c r="TPQ169" s="558"/>
      <c r="TPR169" s="558"/>
      <c r="TPS169" s="558"/>
      <c r="TPT169" s="558"/>
      <c r="TPU169" s="558"/>
      <c r="TPV169" s="558"/>
      <c r="TPW169" s="558"/>
      <c r="TPX169" s="558"/>
      <c r="TPY169" s="558"/>
      <c r="TPZ169" s="558"/>
      <c r="TQA169" s="558"/>
      <c r="TQB169" s="558"/>
      <c r="TQC169" s="558"/>
      <c r="TQD169" s="558"/>
      <c r="TQE169" s="558"/>
      <c r="TQF169" s="558"/>
      <c r="TQG169" s="558"/>
      <c r="TQH169" s="558"/>
      <c r="TQI169" s="558"/>
      <c r="TQJ169" s="558"/>
      <c r="TQK169" s="558"/>
      <c r="TQL169" s="558"/>
      <c r="TQM169" s="558"/>
      <c r="TQN169" s="558"/>
      <c r="TQO169" s="558"/>
      <c r="TQP169" s="558"/>
      <c r="TQQ169" s="558"/>
      <c r="TQR169" s="558"/>
      <c r="TQS169" s="558"/>
      <c r="TQT169" s="558"/>
      <c r="TQU169" s="558"/>
      <c r="TQV169" s="558"/>
      <c r="TQW169" s="558"/>
      <c r="TQX169" s="558"/>
      <c r="TQY169" s="558"/>
      <c r="TQZ169" s="558"/>
      <c r="TRA169" s="558"/>
      <c r="TRB169" s="558"/>
      <c r="TRC169" s="558"/>
      <c r="TRD169" s="558"/>
      <c r="TRE169" s="558"/>
      <c r="TRF169" s="558"/>
      <c r="TRG169" s="558"/>
      <c r="TRH169" s="558"/>
      <c r="TRI169" s="558"/>
      <c r="TRJ169" s="558"/>
      <c r="TRK169" s="558"/>
      <c r="TRL169" s="558"/>
      <c r="TRM169" s="558"/>
      <c r="TRN169" s="558"/>
      <c r="TRO169" s="558"/>
      <c r="TRP169" s="558"/>
      <c r="TRQ169" s="558"/>
      <c r="TRR169" s="558"/>
      <c r="TRS169" s="558"/>
      <c r="TRT169" s="558"/>
      <c r="TRU169" s="558"/>
      <c r="TRV169" s="558"/>
      <c r="TRW169" s="558"/>
      <c r="TRX169" s="558"/>
      <c r="TRY169" s="558"/>
      <c r="TRZ169" s="558"/>
      <c r="TSA169" s="558"/>
      <c r="TSB169" s="558"/>
      <c r="TSC169" s="558"/>
      <c r="TSD169" s="558"/>
      <c r="TSE169" s="558"/>
      <c r="TSF169" s="558"/>
      <c r="TSG169" s="558"/>
      <c r="TSH169" s="558"/>
      <c r="TSI169" s="558"/>
      <c r="TSJ169" s="558"/>
      <c r="TSK169" s="558"/>
      <c r="TSL169" s="558"/>
      <c r="TSM169" s="558"/>
      <c r="TSN169" s="558"/>
      <c r="TSO169" s="558"/>
      <c r="TSP169" s="558"/>
      <c r="TSQ169" s="558"/>
      <c r="TSR169" s="558"/>
      <c r="TSS169" s="558"/>
      <c r="TST169" s="558"/>
      <c r="TSU169" s="558"/>
      <c r="TSV169" s="558"/>
      <c r="TSW169" s="558"/>
      <c r="TSX169" s="558"/>
      <c r="TSY169" s="558"/>
      <c r="TSZ169" s="558"/>
      <c r="TTA169" s="558"/>
      <c r="TTB169" s="558"/>
      <c r="TTC169" s="558"/>
      <c r="TTD169" s="558"/>
      <c r="TTE169" s="558"/>
      <c r="TTF169" s="558"/>
      <c r="TTG169" s="558"/>
      <c r="TTH169" s="558"/>
      <c r="TTI169" s="558"/>
      <c r="TTJ169" s="558"/>
      <c r="TTK169" s="558"/>
      <c r="TTL169" s="558"/>
      <c r="TTM169" s="558"/>
      <c r="TTN169" s="558"/>
      <c r="TTO169" s="558"/>
      <c r="TTP169" s="558"/>
      <c r="TTQ169" s="558"/>
      <c r="TTR169" s="558"/>
      <c r="TTS169" s="558"/>
      <c r="TTT169" s="558"/>
      <c r="TTU169" s="558"/>
      <c r="TTV169" s="558"/>
      <c r="TTW169" s="558"/>
      <c r="TTX169" s="558"/>
      <c r="TTY169" s="558"/>
      <c r="TTZ169" s="558"/>
      <c r="TUA169" s="558"/>
      <c r="TUB169" s="558"/>
      <c r="TUC169" s="558"/>
      <c r="TUD169" s="558"/>
      <c r="TUE169" s="558"/>
      <c r="TUF169" s="558"/>
      <c r="TUG169" s="558"/>
      <c r="TUH169" s="558"/>
      <c r="TUI169" s="558"/>
      <c r="TUJ169" s="558"/>
      <c r="TUK169" s="558"/>
      <c r="TUL169" s="558"/>
      <c r="TUM169" s="558"/>
      <c r="TUN169" s="558"/>
      <c r="TUO169" s="558"/>
      <c r="TUP169" s="558"/>
      <c r="TUQ169" s="558"/>
      <c r="TUR169" s="558"/>
      <c r="TUS169" s="558"/>
      <c r="TUT169" s="558"/>
      <c r="TUU169" s="558"/>
      <c r="TUV169" s="558"/>
      <c r="TUW169" s="558"/>
      <c r="TUX169" s="558"/>
      <c r="TUY169" s="558"/>
      <c r="TUZ169" s="558"/>
      <c r="TVA169" s="558"/>
      <c r="TVB169" s="558"/>
      <c r="TVC169" s="558"/>
      <c r="TVD169" s="558"/>
      <c r="TVE169" s="558"/>
      <c r="TVF169" s="558"/>
      <c r="TVG169" s="558"/>
      <c r="TVH169" s="558"/>
      <c r="TVI169" s="558"/>
      <c r="TVJ169" s="558"/>
      <c r="TVK169" s="558"/>
      <c r="TVL169" s="558"/>
      <c r="TVM169" s="558"/>
      <c r="TVN169" s="558"/>
      <c r="TVO169" s="558"/>
      <c r="TVP169" s="558"/>
      <c r="TVQ169" s="558"/>
      <c r="TVR169" s="558"/>
      <c r="TVS169" s="558"/>
      <c r="TVT169" s="558"/>
      <c r="TVU169" s="558"/>
      <c r="TVV169" s="558"/>
      <c r="TVW169" s="558"/>
      <c r="TVX169" s="558"/>
      <c r="TVY169" s="558"/>
      <c r="TVZ169" s="558"/>
      <c r="TWA169" s="558"/>
      <c r="TWB169" s="558"/>
      <c r="TWC169" s="558"/>
      <c r="TWD169" s="558"/>
      <c r="TWE169" s="558"/>
      <c r="TWF169" s="558"/>
      <c r="TWG169" s="558"/>
      <c r="TWH169" s="558"/>
      <c r="TWI169" s="558"/>
      <c r="TWJ169" s="558"/>
      <c r="TWK169" s="558"/>
      <c r="TWL169" s="558"/>
      <c r="TWM169" s="558"/>
      <c r="TWN169" s="558"/>
      <c r="TWO169" s="558"/>
      <c r="TWP169" s="558"/>
      <c r="TWQ169" s="558"/>
      <c r="TWR169" s="558"/>
      <c r="TWS169" s="558"/>
      <c r="TWT169" s="558"/>
      <c r="TWU169" s="558"/>
      <c r="TWV169" s="558"/>
      <c r="TWW169" s="558"/>
      <c r="TWX169" s="558"/>
      <c r="TWY169" s="558"/>
      <c r="TWZ169" s="558"/>
      <c r="TXA169" s="558"/>
      <c r="TXB169" s="558"/>
      <c r="TXC169" s="558"/>
      <c r="TXD169" s="558"/>
      <c r="TXE169" s="558"/>
      <c r="TXF169" s="558"/>
      <c r="TXG169" s="558"/>
      <c r="TXH169" s="558"/>
      <c r="TXI169" s="558"/>
      <c r="TXJ169" s="558"/>
      <c r="TXK169" s="558"/>
      <c r="TXL169" s="558"/>
      <c r="TXM169" s="558"/>
      <c r="TXN169" s="558"/>
      <c r="TXO169" s="558"/>
      <c r="TXP169" s="558"/>
      <c r="TXQ169" s="558"/>
      <c r="TXR169" s="558"/>
      <c r="TXS169" s="558"/>
      <c r="TXT169" s="558"/>
      <c r="TXU169" s="558"/>
      <c r="TXV169" s="558"/>
      <c r="TXW169" s="558"/>
      <c r="TXX169" s="558"/>
      <c r="TXY169" s="558"/>
      <c r="TXZ169" s="558"/>
      <c r="TYA169" s="558"/>
      <c r="TYB169" s="558"/>
      <c r="TYC169" s="558"/>
      <c r="TYD169" s="558"/>
      <c r="TYE169" s="558"/>
      <c r="TYF169" s="558"/>
      <c r="TYG169" s="558"/>
      <c r="TYH169" s="558"/>
      <c r="TYI169" s="558"/>
      <c r="TYJ169" s="558"/>
      <c r="TYK169" s="558"/>
      <c r="TYL169" s="558"/>
      <c r="TYM169" s="558"/>
      <c r="TYN169" s="558"/>
      <c r="TYO169" s="558"/>
      <c r="TYP169" s="558"/>
      <c r="TYQ169" s="558"/>
      <c r="TYR169" s="558"/>
      <c r="TYS169" s="558"/>
      <c r="TYT169" s="558"/>
      <c r="TYU169" s="558"/>
      <c r="TYV169" s="558"/>
      <c r="TYW169" s="558"/>
      <c r="TYX169" s="558"/>
      <c r="TYY169" s="558"/>
      <c r="TYZ169" s="558"/>
      <c r="TZA169" s="558"/>
      <c r="TZB169" s="558"/>
      <c r="TZC169" s="558"/>
      <c r="TZD169" s="558"/>
      <c r="TZE169" s="558"/>
      <c r="TZF169" s="558"/>
      <c r="TZG169" s="558"/>
      <c r="TZH169" s="558"/>
      <c r="TZI169" s="558"/>
      <c r="TZJ169" s="558"/>
      <c r="TZK169" s="558"/>
      <c r="TZL169" s="558"/>
      <c r="TZM169" s="558"/>
      <c r="TZN169" s="558"/>
      <c r="TZO169" s="558"/>
      <c r="TZP169" s="558"/>
      <c r="TZQ169" s="558"/>
      <c r="TZR169" s="558"/>
      <c r="TZS169" s="558"/>
      <c r="TZT169" s="558"/>
      <c r="TZU169" s="558"/>
      <c r="TZV169" s="558"/>
      <c r="TZW169" s="558"/>
      <c r="TZX169" s="558"/>
      <c r="TZY169" s="558"/>
      <c r="TZZ169" s="558"/>
      <c r="UAA169" s="558"/>
      <c r="UAB169" s="558"/>
      <c r="UAC169" s="558"/>
      <c r="UAD169" s="558"/>
      <c r="UAE169" s="558"/>
      <c r="UAF169" s="558"/>
      <c r="UAG169" s="558"/>
      <c r="UAH169" s="558"/>
      <c r="UAI169" s="558"/>
      <c r="UAJ169" s="558"/>
      <c r="UAK169" s="558"/>
      <c r="UAL169" s="558"/>
      <c r="UAM169" s="558"/>
      <c r="UAN169" s="558"/>
      <c r="UAO169" s="558"/>
      <c r="UAP169" s="558"/>
      <c r="UAQ169" s="558"/>
      <c r="UAR169" s="558"/>
      <c r="UAS169" s="558"/>
      <c r="UAT169" s="558"/>
      <c r="UAU169" s="558"/>
      <c r="UAV169" s="558"/>
      <c r="UAW169" s="558"/>
      <c r="UAX169" s="558"/>
      <c r="UAY169" s="558"/>
      <c r="UAZ169" s="558"/>
      <c r="UBA169" s="558"/>
      <c r="UBB169" s="558"/>
      <c r="UBC169" s="558"/>
      <c r="UBD169" s="558"/>
      <c r="UBE169" s="558"/>
      <c r="UBF169" s="558"/>
      <c r="UBG169" s="558"/>
      <c r="UBH169" s="558"/>
      <c r="UBI169" s="558"/>
      <c r="UBJ169" s="558"/>
      <c r="UBK169" s="558"/>
      <c r="UBL169" s="558"/>
      <c r="UBM169" s="558"/>
      <c r="UBN169" s="558"/>
      <c r="UBO169" s="558"/>
      <c r="UBP169" s="558"/>
      <c r="UBQ169" s="558"/>
      <c r="UBR169" s="558"/>
      <c r="UBS169" s="558"/>
      <c r="UBT169" s="558"/>
      <c r="UBU169" s="558"/>
      <c r="UBV169" s="558"/>
      <c r="UBW169" s="558"/>
      <c r="UBX169" s="558"/>
      <c r="UBY169" s="558"/>
      <c r="UBZ169" s="558"/>
      <c r="UCA169" s="558"/>
      <c r="UCB169" s="558"/>
      <c r="UCC169" s="558"/>
      <c r="UCD169" s="558"/>
      <c r="UCE169" s="558"/>
      <c r="UCF169" s="558"/>
      <c r="UCG169" s="558"/>
      <c r="UCH169" s="558"/>
      <c r="UCI169" s="558"/>
      <c r="UCJ169" s="558"/>
      <c r="UCK169" s="558"/>
      <c r="UCL169" s="558"/>
      <c r="UCM169" s="558"/>
      <c r="UCN169" s="558"/>
      <c r="UCO169" s="558"/>
      <c r="UCP169" s="558"/>
      <c r="UCQ169" s="558"/>
      <c r="UCR169" s="558"/>
      <c r="UCS169" s="558"/>
      <c r="UCT169" s="558"/>
      <c r="UCU169" s="558"/>
      <c r="UCV169" s="558"/>
      <c r="UCW169" s="558"/>
      <c r="UCX169" s="558"/>
      <c r="UCY169" s="558"/>
      <c r="UCZ169" s="558"/>
      <c r="UDA169" s="558"/>
      <c r="UDB169" s="558"/>
      <c r="UDC169" s="558"/>
      <c r="UDD169" s="558"/>
      <c r="UDE169" s="558"/>
      <c r="UDF169" s="558"/>
      <c r="UDG169" s="558"/>
      <c r="UDH169" s="558"/>
      <c r="UDI169" s="558"/>
      <c r="UDJ169" s="558"/>
      <c r="UDK169" s="558"/>
      <c r="UDL169" s="558"/>
      <c r="UDM169" s="558"/>
      <c r="UDN169" s="558"/>
      <c r="UDO169" s="558"/>
      <c r="UDP169" s="558"/>
      <c r="UDQ169" s="558"/>
      <c r="UDR169" s="558"/>
      <c r="UDS169" s="558"/>
      <c r="UDT169" s="558"/>
      <c r="UDU169" s="558"/>
      <c r="UDV169" s="558"/>
      <c r="UDW169" s="558"/>
      <c r="UDX169" s="558"/>
      <c r="UDY169" s="558"/>
      <c r="UDZ169" s="558"/>
      <c r="UEA169" s="558"/>
      <c r="UEB169" s="558"/>
      <c r="UEC169" s="558"/>
      <c r="UED169" s="558"/>
      <c r="UEE169" s="558"/>
      <c r="UEF169" s="558"/>
      <c r="UEG169" s="558"/>
      <c r="UEH169" s="558"/>
      <c r="UEI169" s="558"/>
      <c r="UEJ169" s="558"/>
      <c r="UEK169" s="558"/>
      <c r="UEL169" s="558"/>
      <c r="UEM169" s="558"/>
      <c r="UEN169" s="558"/>
      <c r="UEO169" s="558"/>
      <c r="UEP169" s="558"/>
      <c r="UEQ169" s="558"/>
      <c r="UER169" s="558"/>
      <c r="UES169" s="558"/>
      <c r="UET169" s="558"/>
      <c r="UEU169" s="558"/>
      <c r="UEV169" s="558"/>
      <c r="UEW169" s="558"/>
      <c r="UEX169" s="558"/>
      <c r="UEY169" s="558"/>
      <c r="UEZ169" s="558"/>
      <c r="UFA169" s="558"/>
      <c r="UFB169" s="558"/>
      <c r="UFC169" s="558"/>
      <c r="UFD169" s="558"/>
      <c r="UFE169" s="558"/>
      <c r="UFF169" s="558"/>
      <c r="UFG169" s="558"/>
      <c r="UFH169" s="558"/>
      <c r="UFI169" s="558"/>
      <c r="UFJ169" s="558"/>
      <c r="UFK169" s="558"/>
      <c r="UFL169" s="558"/>
      <c r="UFM169" s="558"/>
      <c r="UFN169" s="558"/>
      <c r="UFO169" s="558"/>
      <c r="UFP169" s="558"/>
      <c r="UFQ169" s="558"/>
      <c r="UFR169" s="558"/>
      <c r="UFS169" s="558"/>
      <c r="UFT169" s="558"/>
      <c r="UFU169" s="558"/>
      <c r="UFV169" s="558"/>
      <c r="UFW169" s="558"/>
      <c r="UFX169" s="558"/>
      <c r="UFY169" s="558"/>
      <c r="UFZ169" s="558"/>
      <c r="UGA169" s="558"/>
      <c r="UGB169" s="558"/>
      <c r="UGC169" s="558"/>
      <c r="UGD169" s="558"/>
      <c r="UGE169" s="558"/>
      <c r="UGF169" s="558"/>
      <c r="UGG169" s="558"/>
      <c r="UGH169" s="558"/>
      <c r="UGI169" s="558"/>
      <c r="UGJ169" s="558"/>
      <c r="UGK169" s="558"/>
      <c r="UGL169" s="558"/>
      <c r="UGM169" s="558"/>
      <c r="UGN169" s="558"/>
      <c r="UGO169" s="558"/>
      <c r="UGP169" s="558"/>
      <c r="UGQ169" s="558"/>
      <c r="UGR169" s="558"/>
      <c r="UGS169" s="558"/>
      <c r="UGT169" s="558"/>
      <c r="UGU169" s="558"/>
      <c r="UGV169" s="558"/>
      <c r="UGW169" s="558"/>
      <c r="UGX169" s="558"/>
      <c r="UGY169" s="558"/>
      <c r="UGZ169" s="558"/>
      <c r="UHA169" s="558"/>
      <c r="UHB169" s="558"/>
      <c r="UHC169" s="558"/>
      <c r="UHD169" s="558"/>
      <c r="UHE169" s="558"/>
      <c r="UHF169" s="558"/>
      <c r="UHG169" s="558"/>
      <c r="UHH169" s="558"/>
      <c r="UHI169" s="558"/>
      <c r="UHJ169" s="558"/>
      <c r="UHK169" s="558"/>
      <c r="UHL169" s="558"/>
      <c r="UHM169" s="558"/>
      <c r="UHN169" s="558"/>
      <c r="UHO169" s="558"/>
      <c r="UHP169" s="558"/>
      <c r="UHQ169" s="558"/>
      <c r="UHR169" s="558"/>
      <c r="UHS169" s="558"/>
      <c r="UHT169" s="558"/>
      <c r="UHU169" s="558"/>
      <c r="UHV169" s="558"/>
      <c r="UHW169" s="558"/>
      <c r="UHX169" s="558"/>
      <c r="UHY169" s="558"/>
      <c r="UHZ169" s="558"/>
      <c r="UIA169" s="558"/>
      <c r="UIB169" s="558"/>
      <c r="UIC169" s="558"/>
      <c r="UID169" s="558"/>
      <c r="UIE169" s="558"/>
      <c r="UIF169" s="558"/>
      <c r="UIG169" s="558"/>
      <c r="UIH169" s="558"/>
      <c r="UII169" s="558"/>
      <c r="UIJ169" s="558"/>
      <c r="UIK169" s="558"/>
      <c r="UIL169" s="558"/>
      <c r="UIM169" s="558"/>
      <c r="UIN169" s="558"/>
      <c r="UIO169" s="558"/>
      <c r="UIP169" s="558"/>
      <c r="UIQ169" s="558"/>
      <c r="UIR169" s="558"/>
      <c r="UIS169" s="558"/>
      <c r="UIT169" s="558"/>
      <c r="UIU169" s="558"/>
      <c r="UIV169" s="558"/>
      <c r="UIW169" s="558"/>
      <c r="UIX169" s="558"/>
      <c r="UIY169" s="558"/>
      <c r="UIZ169" s="558"/>
      <c r="UJA169" s="558"/>
      <c r="UJB169" s="558"/>
      <c r="UJC169" s="558"/>
      <c r="UJD169" s="558"/>
      <c r="UJE169" s="558"/>
      <c r="UJF169" s="558"/>
      <c r="UJG169" s="558"/>
      <c r="UJH169" s="558"/>
      <c r="UJI169" s="558"/>
      <c r="UJJ169" s="558"/>
      <c r="UJK169" s="558"/>
      <c r="UJL169" s="558"/>
      <c r="UJM169" s="558"/>
      <c r="UJN169" s="558"/>
      <c r="UJO169" s="558"/>
      <c r="UJP169" s="558"/>
      <c r="UJQ169" s="558"/>
      <c r="UJR169" s="558"/>
      <c r="UJS169" s="558"/>
      <c r="UJT169" s="558"/>
      <c r="UJU169" s="558"/>
      <c r="UJV169" s="558"/>
      <c r="UJW169" s="558"/>
      <c r="UJX169" s="558"/>
      <c r="UJY169" s="558"/>
      <c r="UJZ169" s="558"/>
      <c r="UKA169" s="558"/>
      <c r="UKB169" s="558"/>
      <c r="UKC169" s="558"/>
      <c r="UKD169" s="558"/>
      <c r="UKE169" s="558"/>
      <c r="UKF169" s="558"/>
      <c r="UKG169" s="558"/>
      <c r="UKH169" s="558"/>
      <c r="UKI169" s="558"/>
      <c r="UKJ169" s="558"/>
      <c r="UKK169" s="558"/>
      <c r="UKL169" s="558"/>
      <c r="UKM169" s="558"/>
      <c r="UKN169" s="558"/>
      <c r="UKO169" s="558"/>
      <c r="UKP169" s="558"/>
      <c r="UKQ169" s="558"/>
      <c r="UKR169" s="558"/>
      <c r="UKS169" s="558"/>
      <c r="UKT169" s="558"/>
      <c r="UKU169" s="558"/>
      <c r="UKV169" s="558"/>
      <c r="UKW169" s="558"/>
      <c r="UKX169" s="558"/>
      <c r="UKY169" s="558"/>
      <c r="UKZ169" s="558"/>
      <c r="ULA169" s="558"/>
      <c r="ULB169" s="558"/>
      <c r="ULC169" s="558"/>
      <c r="ULD169" s="558"/>
      <c r="ULE169" s="558"/>
      <c r="ULF169" s="558"/>
      <c r="ULG169" s="558"/>
      <c r="ULH169" s="558"/>
      <c r="ULI169" s="558"/>
      <c r="ULJ169" s="558"/>
      <c r="ULK169" s="558"/>
      <c r="ULL169" s="558"/>
      <c r="ULM169" s="558"/>
      <c r="ULN169" s="558"/>
      <c r="ULO169" s="558"/>
      <c r="ULP169" s="558"/>
      <c r="ULQ169" s="558"/>
      <c r="ULR169" s="558"/>
      <c r="ULS169" s="558"/>
      <c r="ULT169" s="558"/>
      <c r="ULU169" s="558"/>
      <c r="ULV169" s="558"/>
      <c r="ULW169" s="558"/>
      <c r="ULX169" s="558"/>
      <c r="ULY169" s="558"/>
      <c r="ULZ169" s="558"/>
      <c r="UMA169" s="558"/>
      <c r="UMB169" s="558"/>
      <c r="UMC169" s="558"/>
      <c r="UMD169" s="558"/>
      <c r="UME169" s="558"/>
      <c r="UMF169" s="558"/>
      <c r="UMG169" s="558"/>
      <c r="UMH169" s="558"/>
      <c r="UMI169" s="558"/>
      <c r="UMJ169" s="558"/>
      <c r="UMK169" s="558"/>
      <c r="UML169" s="558"/>
      <c r="UMM169" s="558"/>
      <c r="UMN169" s="558"/>
      <c r="UMO169" s="558"/>
      <c r="UMP169" s="558"/>
      <c r="UMQ169" s="558"/>
      <c r="UMR169" s="558"/>
      <c r="UMS169" s="558"/>
      <c r="UMT169" s="558"/>
      <c r="UMU169" s="558"/>
      <c r="UMV169" s="558"/>
      <c r="UMW169" s="558"/>
      <c r="UMX169" s="558"/>
      <c r="UMY169" s="558"/>
      <c r="UMZ169" s="558"/>
      <c r="UNA169" s="558"/>
      <c r="UNB169" s="558"/>
      <c r="UNC169" s="558"/>
      <c r="UND169" s="558"/>
      <c r="UNE169" s="558"/>
      <c r="UNF169" s="558"/>
      <c r="UNG169" s="558"/>
      <c r="UNH169" s="558"/>
      <c r="UNI169" s="558"/>
      <c r="UNJ169" s="558"/>
      <c r="UNK169" s="558"/>
      <c r="UNL169" s="558"/>
      <c r="UNM169" s="558"/>
      <c r="UNN169" s="558"/>
      <c r="UNO169" s="558"/>
      <c r="UNP169" s="558"/>
      <c r="UNQ169" s="558"/>
      <c r="UNR169" s="558"/>
      <c r="UNS169" s="558"/>
      <c r="UNT169" s="558"/>
      <c r="UNU169" s="558"/>
      <c r="UNV169" s="558"/>
      <c r="UNW169" s="558"/>
      <c r="UNX169" s="558"/>
      <c r="UNY169" s="558"/>
      <c r="UNZ169" s="558"/>
      <c r="UOA169" s="558"/>
      <c r="UOB169" s="558"/>
      <c r="UOC169" s="558"/>
      <c r="UOD169" s="558"/>
      <c r="UOE169" s="558"/>
      <c r="UOF169" s="558"/>
      <c r="UOG169" s="558"/>
      <c r="UOH169" s="558"/>
      <c r="UOI169" s="558"/>
      <c r="UOJ169" s="558"/>
      <c r="UOK169" s="558"/>
      <c r="UOL169" s="558"/>
      <c r="UOM169" s="558"/>
      <c r="UON169" s="558"/>
      <c r="UOO169" s="558"/>
      <c r="UOP169" s="558"/>
      <c r="UOQ169" s="558"/>
      <c r="UOR169" s="558"/>
      <c r="UOS169" s="558"/>
      <c r="UOT169" s="558"/>
      <c r="UOU169" s="558"/>
      <c r="UOV169" s="558"/>
      <c r="UOW169" s="558"/>
      <c r="UOX169" s="558"/>
      <c r="UOY169" s="558"/>
      <c r="UOZ169" s="558"/>
      <c r="UPA169" s="558"/>
      <c r="UPB169" s="558"/>
      <c r="UPC169" s="558"/>
      <c r="UPD169" s="558"/>
      <c r="UPE169" s="558"/>
      <c r="UPF169" s="558"/>
      <c r="UPG169" s="558"/>
      <c r="UPH169" s="558"/>
      <c r="UPI169" s="558"/>
      <c r="UPJ169" s="558"/>
      <c r="UPK169" s="558"/>
      <c r="UPL169" s="558"/>
      <c r="UPM169" s="558"/>
      <c r="UPN169" s="558"/>
      <c r="UPO169" s="558"/>
      <c r="UPP169" s="558"/>
      <c r="UPQ169" s="558"/>
      <c r="UPR169" s="558"/>
      <c r="UPS169" s="558"/>
      <c r="UPT169" s="558"/>
      <c r="UPU169" s="558"/>
      <c r="UPV169" s="558"/>
      <c r="UPW169" s="558"/>
      <c r="UPX169" s="558"/>
      <c r="UPY169" s="558"/>
      <c r="UPZ169" s="558"/>
      <c r="UQA169" s="558"/>
      <c r="UQB169" s="558"/>
      <c r="UQC169" s="558"/>
      <c r="UQD169" s="558"/>
      <c r="UQE169" s="558"/>
      <c r="UQF169" s="558"/>
      <c r="UQG169" s="558"/>
      <c r="UQH169" s="558"/>
      <c r="UQI169" s="558"/>
      <c r="UQJ169" s="558"/>
      <c r="UQK169" s="558"/>
      <c r="UQL169" s="558"/>
      <c r="UQM169" s="558"/>
      <c r="UQN169" s="558"/>
      <c r="UQO169" s="558"/>
      <c r="UQP169" s="558"/>
      <c r="UQQ169" s="558"/>
      <c r="UQR169" s="558"/>
      <c r="UQS169" s="558"/>
      <c r="UQT169" s="558"/>
      <c r="UQU169" s="558"/>
      <c r="UQV169" s="558"/>
      <c r="UQW169" s="558"/>
      <c r="UQX169" s="558"/>
      <c r="UQY169" s="558"/>
      <c r="UQZ169" s="558"/>
      <c r="URA169" s="558"/>
      <c r="URB169" s="558"/>
      <c r="URC169" s="558"/>
      <c r="URD169" s="558"/>
      <c r="URE169" s="558"/>
      <c r="URF169" s="558"/>
      <c r="URG169" s="558"/>
      <c r="URH169" s="558"/>
      <c r="URI169" s="558"/>
      <c r="URJ169" s="558"/>
      <c r="URK169" s="558"/>
      <c r="URL169" s="558"/>
      <c r="URM169" s="558"/>
      <c r="URN169" s="558"/>
      <c r="URO169" s="558"/>
      <c r="URP169" s="558"/>
      <c r="URQ169" s="558"/>
      <c r="URR169" s="558"/>
      <c r="URS169" s="558"/>
      <c r="URT169" s="558"/>
      <c r="URU169" s="558"/>
      <c r="URV169" s="558"/>
      <c r="URW169" s="558"/>
      <c r="URX169" s="558"/>
      <c r="URY169" s="558"/>
      <c r="URZ169" s="558"/>
      <c r="USA169" s="558"/>
      <c r="USB169" s="558"/>
      <c r="USC169" s="558"/>
      <c r="USD169" s="558"/>
      <c r="USE169" s="558"/>
      <c r="USF169" s="558"/>
      <c r="USG169" s="558"/>
      <c r="USH169" s="558"/>
      <c r="USI169" s="558"/>
      <c r="USJ169" s="558"/>
      <c r="USK169" s="558"/>
      <c r="USL169" s="558"/>
      <c r="USM169" s="558"/>
      <c r="USN169" s="558"/>
      <c r="USO169" s="558"/>
      <c r="USP169" s="558"/>
      <c r="USQ169" s="558"/>
      <c r="USR169" s="558"/>
      <c r="USS169" s="558"/>
      <c r="UST169" s="558"/>
      <c r="USU169" s="558"/>
      <c r="USV169" s="558"/>
      <c r="USW169" s="558"/>
      <c r="USX169" s="558"/>
      <c r="USY169" s="558"/>
      <c r="USZ169" s="558"/>
      <c r="UTA169" s="558"/>
      <c r="UTB169" s="558"/>
      <c r="UTC169" s="558"/>
      <c r="UTD169" s="558"/>
      <c r="UTE169" s="558"/>
      <c r="UTF169" s="558"/>
      <c r="UTG169" s="558"/>
      <c r="UTH169" s="558"/>
      <c r="UTI169" s="558"/>
      <c r="UTJ169" s="558"/>
      <c r="UTK169" s="558"/>
      <c r="UTL169" s="558"/>
      <c r="UTM169" s="558"/>
      <c r="UTN169" s="558"/>
      <c r="UTO169" s="558"/>
      <c r="UTP169" s="558"/>
      <c r="UTQ169" s="558"/>
      <c r="UTR169" s="558"/>
      <c r="UTS169" s="558"/>
      <c r="UTT169" s="558"/>
      <c r="UTU169" s="558"/>
      <c r="UTV169" s="558"/>
      <c r="UTW169" s="558"/>
      <c r="UTX169" s="558"/>
      <c r="UTY169" s="558"/>
      <c r="UTZ169" s="558"/>
      <c r="UUA169" s="558"/>
      <c r="UUB169" s="558"/>
      <c r="UUC169" s="558"/>
      <c r="UUD169" s="558"/>
      <c r="UUE169" s="558"/>
      <c r="UUF169" s="558"/>
      <c r="UUG169" s="558"/>
      <c r="UUH169" s="558"/>
      <c r="UUI169" s="558"/>
      <c r="UUJ169" s="558"/>
      <c r="UUK169" s="558"/>
      <c r="UUL169" s="558"/>
      <c r="UUM169" s="558"/>
      <c r="UUN169" s="558"/>
      <c r="UUO169" s="558"/>
      <c r="UUP169" s="558"/>
      <c r="UUQ169" s="558"/>
      <c r="UUR169" s="558"/>
      <c r="UUS169" s="558"/>
      <c r="UUT169" s="558"/>
      <c r="UUU169" s="558"/>
      <c r="UUV169" s="558"/>
      <c r="UUW169" s="558"/>
      <c r="UUX169" s="558"/>
      <c r="UUY169" s="558"/>
      <c r="UUZ169" s="558"/>
      <c r="UVA169" s="558"/>
      <c r="UVB169" s="558"/>
      <c r="UVC169" s="558"/>
      <c r="UVD169" s="558"/>
      <c r="UVE169" s="558"/>
      <c r="UVF169" s="558"/>
      <c r="UVG169" s="558"/>
      <c r="UVH169" s="558"/>
      <c r="UVI169" s="558"/>
      <c r="UVJ169" s="558"/>
      <c r="UVK169" s="558"/>
      <c r="UVL169" s="558"/>
      <c r="UVM169" s="558"/>
      <c r="UVN169" s="558"/>
      <c r="UVO169" s="558"/>
      <c r="UVP169" s="558"/>
      <c r="UVQ169" s="558"/>
      <c r="UVR169" s="558"/>
      <c r="UVS169" s="558"/>
      <c r="UVT169" s="558"/>
      <c r="UVU169" s="558"/>
      <c r="UVV169" s="558"/>
      <c r="UVW169" s="558"/>
      <c r="UVX169" s="558"/>
      <c r="UVY169" s="558"/>
      <c r="UVZ169" s="558"/>
      <c r="UWA169" s="558"/>
      <c r="UWB169" s="558"/>
      <c r="UWC169" s="558"/>
      <c r="UWD169" s="558"/>
      <c r="UWE169" s="558"/>
      <c r="UWF169" s="558"/>
      <c r="UWG169" s="558"/>
      <c r="UWH169" s="558"/>
      <c r="UWI169" s="558"/>
      <c r="UWJ169" s="558"/>
      <c r="UWK169" s="558"/>
      <c r="UWL169" s="558"/>
      <c r="UWM169" s="558"/>
      <c r="UWN169" s="558"/>
      <c r="UWO169" s="558"/>
      <c r="UWP169" s="558"/>
      <c r="UWQ169" s="558"/>
      <c r="UWR169" s="558"/>
      <c r="UWS169" s="558"/>
      <c r="UWT169" s="558"/>
      <c r="UWU169" s="558"/>
      <c r="UWV169" s="558"/>
      <c r="UWW169" s="558"/>
      <c r="UWX169" s="558"/>
      <c r="UWY169" s="558"/>
      <c r="UWZ169" s="558"/>
      <c r="UXA169" s="558"/>
      <c r="UXB169" s="558"/>
      <c r="UXC169" s="558"/>
      <c r="UXD169" s="558"/>
      <c r="UXE169" s="558"/>
      <c r="UXF169" s="558"/>
      <c r="UXG169" s="558"/>
      <c r="UXH169" s="558"/>
      <c r="UXI169" s="558"/>
      <c r="UXJ169" s="558"/>
      <c r="UXK169" s="558"/>
      <c r="UXL169" s="558"/>
      <c r="UXM169" s="558"/>
      <c r="UXN169" s="558"/>
      <c r="UXO169" s="558"/>
      <c r="UXP169" s="558"/>
      <c r="UXQ169" s="558"/>
      <c r="UXR169" s="558"/>
      <c r="UXS169" s="558"/>
      <c r="UXT169" s="558"/>
      <c r="UXU169" s="558"/>
      <c r="UXV169" s="558"/>
      <c r="UXW169" s="558"/>
      <c r="UXX169" s="558"/>
      <c r="UXY169" s="558"/>
      <c r="UXZ169" s="558"/>
      <c r="UYA169" s="558"/>
      <c r="UYB169" s="558"/>
      <c r="UYC169" s="558"/>
      <c r="UYD169" s="558"/>
      <c r="UYE169" s="558"/>
      <c r="UYF169" s="558"/>
      <c r="UYG169" s="558"/>
      <c r="UYH169" s="558"/>
      <c r="UYI169" s="558"/>
      <c r="UYJ169" s="558"/>
      <c r="UYK169" s="558"/>
      <c r="UYL169" s="558"/>
      <c r="UYM169" s="558"/>
      <c r="UYN169" s="558"/>
      <c r="UYO169" s="558"/>
      <c r="UYP169" s="558"/>
      <c r="UYQ169" s="558"/>
      <c r="UYR169" s="558"/>
      <c r="UYS169" s="558"/>
      <c r="UYT169" s="558"/>
      <c r="UYU169" s="558"/>
      <c r="UYV169" s="558"/>
      <c r="UYW169" s="558"/>
      <c r="UYX169" s="558"/>
      <c r="UYY169" s="558"/>
      <c r="UYZ169" s="558"/>
      <c r="UZA169" s="558"/>
      <c r="UZB169" s="558"/>
      <c r="UZC169" s="558"/>
      <c r="UZD169" s="558"/>
      <c r="UZE169" s="558"/>
      <c r="UZF169" s="558"/>
      <c r="UZG169" s="558"/>
      <c r="UZH169" s="558"/>
      <c r="UZI169" s="558"/>
      <c r="UZJ169" s="558"/>
      <c r="UZK169" s="558"/>
      <c r="UZL169" s="558"/>
      <c r="UZM169" s="558"/>
      <c r="UZN169" s="558"/>
      <c r="UZO169" s="558"/>
      <c r="UZP169" s="558"/>
      <c r="UZQ169" s="558"/>
      <c r="UZR169" s="558"/>
      <c r="UZS169" s="558"/>
      <c r="UZT169" s="558"/>
      <c r="UZU169" s="558"/>
      <c r="UZV169" s="558"/>
      <c r="UZW169" s="558"/>
      <c r="UZX169" s="558"/>
      <c r="UZY169" s="558"/>
      <c r="UZZ169" s="558"/>
      <c r="VAA169" s="558"/>
      <c r="VAB169" s="558"/>
      <c r="VAC169" s="558"/>
      <c r="VAD169" s="558"/>
      <c r="VAE169" s="558"/>
      <c r="VAF169" s="558"/>
      <c r="VAG169" s="558"/>
      <c r="VAH169" s="558"/>
      <c r="VAI169" s="558"/>
      <c r="VAJ169" s="558"/>
      <c r="VAK169" s="558"/>
      <c r="VAL169" s="558"/>
      <c r="VAM169" s="558"/>
      <c r="VAN169" s="558"/>
      <c r="VAO169" s="558"/>
      <c r="VAP169" s="558"/>
      <c r="VAQ169" s="558"/>
      <c r="VAR169" s="558"/>
      <c r="VAS169" s="558"/>
      <c r="VAT169" s="558"/>
      <c r="VAU169" s="558"/>
      <c r="VAV169" s="558"/>
      <c r="VAW169" s="558"/>
      <c r="VAX169" s="558"/>
      <c r="VAY169" s="558"/>
      <c r="VAZ169" s="558"/>
      <c r="VBA169" s="558"/>
      <c r="VBB169" s="558"/>
      <c r="VBC169" s="558"/>
      <c r="VBD169" s="558"/>
      <c r="VBE169" s="558"/>
      <c r="VBF169" s="558"/>
      <c r="VBG169" s="558"/>
      <c r="VBH169" s="558"/>
      <c r="VBI169" s="558"/>
      <c r="VBJ169" s="558"/>
      <c r="VBK169" s="558"/>
      <c r="VBL169" s="558"/>
      <c r="VBM169" s="558"/>
      <c r="VBN169" s="558"/>
      <c r="VBO169" s="558"/>
      <c r="VBP169" s="558"/>
      <c r="VBQ169" s="558"/>
      <c r="VBR169" s="558"/>
      <c r="VBS169" s="558"/>
      <c r="VBT169" s="558"/>
      <c r="VBU169" s="558"/>
      <c r="VBV169" s="558"/>
      <c r="VBW169" s="558"/>
      <c r="VBX169" s="558"/>
      <c r="VBY169" s="558"/>
      <c r="VBZ169" s="558"/>
      <c r="VCA169" s="558"/>
      <c r="VCB169" s="558"/>
      <c r="VCC169" s="558"/>
      <c r="VCD169" s="558"/>
      <c r="VCE169" s="558"/>
      <c r="VCF169" s="558"/>
      <c r="VCG169" s="558"/>
      <c r="VCH169" s="558"/>
      <c r="VCI169" s="558"/>
      <c r="VCJ169" s="558"/>
      <c r="VCK169" s="558"/>
      <c r="VCL169" s="558"/>
      <c r="VCM169" s="558"/>
      <c r="VCN169" s="558"/>
      <c r="VCO169" s="558"/>
      <c r="VCP169" s="558"/>
      <c r="VCQ169" s="558"/>
      <c r="VCR169" s="558"/>
      <c r="VCS169" s="558"/>
      <c r="VCT169" s="558"/>
      <c r="VCU169" s="558"/>
      <c r="VCV169" s="558"/>
      <c r="VCW169" s="558"/>
      <c r="VCX169" s="558"/>
      <c r="VCY169" s="558"/>
      <c r="VCZ169" s="558"/>
      <c r="VDA169" s="558"/>
      <c r="VDB169" s="558"/>
      <c r="VDC169" s="558"/>
      <c r="VDD169" s="558"/>
      <c r="VDE169" s="558"/>
      <c r="VDF169" s="558"/>
      <c r="VDG169" s="558"/>
      <c r="VDH169" s="558"/>
      <c r="VDI169" s="558"/>
      <c r="VDJ169" s="558"/>
      <c r="VDK169" s="558"/>
      <c r="VDL169" s="558"/>
      <c r="VDM169" s="558"/>
      <c r="VDN169" s="558"/>
      <c r="VDO169" s="558"/>
      <c r="VDP169" s="558"/>
      <c r="VDQ169" s="558"/>
      <c r="VDR169" s="558"/>
      <c r="VDS169" s="558"/>
      <c r="VDT169" s="558"/>
      <c r="VDU169" s="558"/>
      <c r="VDV169" s="558"/>
      <c r="VDW169" s="558"/>
      <c r="VDX169" s="558"/>
      <c r="VDY169" s="558"/>
      <c r="VDZ169" s="558"/>
      <c r="VEA169" s="558"/>
      <c r="VEB169" s="558"/>
      <c r="VEC169" s="558"/>
      <c r="VED169" s="558"/>
      <c r="VEE169" s="558"/>
      <c r="VEF169" s="558"/>
      <c r="VEG169" s="558"/>
      <c r="VEH169" s="558"/>
      <c r="VEI169" s="558"/>
      <c r="VEJ169" s="558"/>
      <c r="VEK169" s="558"/>
      <c r="VEL169" s="558"/>
      <c r="VEM169" s="558"/>
      <c r="VEN169" s="558"/>
      <c r="VEO169" s="558"/>
      <c r="VEP169" s="558"/>
      <c r="VEQ169" s="558"/>
      <c r="VER169" s="558"/>
      <c r="VES169" s="558"/>
      <c r="VET169" s="558"/>
      <c r="VEU169" s="558"/>
      <c r="VEV169" s="558"/>
      <c r="VEW169" s="558"/>
      <c r="VEX169" s="558"/>
      <c r="VEY169" s="558"/>
      <c r="VEZ169" s="558"/>
      <c r="VFA169" s="558"/>
      <c r="VFB169" s="558"/>
      <c r="VFC169" s="558"/>
      <c r="VFD169" s="558"/>
      <c r="VFE169" s="558"/>
      <c r="VFF169" s="558"/>
      <c r="VFG169" s="558"/>
      <c r="VFH169" s="558"/>
      <c r="VFI169" s="558"/>
      <c r="VFJ169" s="558"/>
      <c r="VFK169" s="558"/>
      <c r="VFL169" s="558"/>
      <c r="VFM169" s="558"/>
      <c r="VFN169" s="558"/>
      <c r="VFO169" s="558"/>
      <c r="VFP169" s="558"/>
      <c r="VFQ169" s="558"/>
      <c r="VFR169" s="558"/>
      <c r="VFS169" s="558"/>
      <c r="VFT169" s="558"/>
      <c r="VFU169" s="558"/>
      <c r="VFV169" s="558"/>
      <c r="VFW169" s="558"/>
      <c r="VFX169" s="558"/>
      <c r="VFY169" s="558"/>
      <c r="VFZ169" s="558"/>
      <c r="VGA169" s="558"/>
      <c r="VGB169" s="558"/>
      <c r="VGC169" s="558"/>
      <c r="VGD169" s="558"/>
      <c r="VGE169" s="558"/>
      <c r="VGF169" s="558"/>
      <c r="VGG169" s="558"/>
      <c r="VGH169" s="558"/>
      <c r="VGI169" s="558"/>
      <c r="VGJ169" s="558"/>
      <c r="VGK169" s="558"/>
      <c r="VGL169" s="558"/>
      <c r="VGM169" s="558"/>
      <c r="VGN169" s="558"/>
      <c r="VGO169" s="558"/>
      <c r="VGP169" s="558"/>
      <c r="VGQ169" s="558"/>
      <c r="VGR169" s="558"/>
      <c r="VGS169" s="558"/>
      <c r="VGT169" s="558"/>
      <c r="VGU169" s="558"/>
      <c r="VGV169" s="558"/>
      <c r="VGW169" s="558"/>
      <c r="VGX169" s="558"/>
      <c r="VGY169" s="558"/>
      <c r="VGZ169" s="558"/>
      <c r="VHA169" s="558"/>
      <c r="VHB169" s="558"/>
      <c r="VHC169" s="558"/>
      <c r="VHD169" s="558"/>
      <c r="VHE169" s="558"/>
      <c r="VHF169" s="558"/>
      <c r="VHG169" s="558"/>
      <c r="VHH169" s="558"/>
      <c r="VHI169" s="558"/>
      <c r="VHJ169" s="558"/>
      <c r="VHK169" s="558"/>
      <c r="VHL169" s="558"/>
      <c r="VHM169" s="558"/>
      <c r="VHN169" s="558"/>
      <c r="VHO169" s="558"/>
      <c r="VHP169" s="558"/>
      <c r="VHQ169" s="558"/>
      <c r="VHR169" s="558"/>
      <c r="VHS169" s="558"/>
      <c r="VHT169" s="558"/>
      <c r="VHU169" s="558"/>
      <c r="VHV169" s="558"/>
      <c r="VHW169" s="558"/>
      <c r="VHX169" s="558"/>
      <c r="VHY169" s="558"/>
      <c r="VHZ169" s="558"/>
      <c r="VIA169" s="558"/>
      <c r="VIB169" s="558"/>
      <c r="VIC169" s="558"/>
      <c r="VID169" s="558"/>
      <c r="VIE169" s="558"/>
      <c r="VIF169" s="558"/>
      <c r="VIG169" s="558"/>
      <c r="VIH169" s="558"/>
      <c r="VII169" s="558"/>
      <c r="VIJ169" s="558"/>
      <c r="VIK169" s="558"/>
      <c r="VIL169" s="558"/>
      <c r="VIM169" s="558"/>
      <c r="VIN169" s="558"/>
      <c r="VIO169" s="558"/>
      <c r="VIP169" s="558"/>
      <c r="VIQ169" s="558"/>
      <c r="VIR169" s="558"/>
      <c r="VIS169" s="558"/>
      <c r="VIT169" s="558"/>
      <c r="VIU169" s="558"/>
      <c r="VIV169" s="558"/>
      <c r="VIW169" s="558"/>
      <c r="VIX169" s="558"/>
      <c r="VIY169" s="558"/>
      <c r="VIZ169" s="558"/>
      <c r="VJA169" s="558"/>
      <c r="VJB169" s="558"/>
      <c r="VJC169" s="558"/>
      <c r="VJD169" s="558"/>
      <c r="VJE169" s="558"/>
      <c r="VJF169" s="558"/>
      <c r="VJG169" s="558"/>
      <c r="VJH169" s="558"/>
      <c r="VJI169" s="558"/>
      <c r="VJJ169" s="558"/>
      <c r="VJK169" s="558"/>
      <c r="VJL169" s="558"/>
      <c r="VJM169" s="558"/>
      <c r="VJN169" s="558"/>
      <c r="VJO169" s="558"/>
      <c r="VJP169" s="558"/>
      <c r="VJQ169" s="558"/>
      <c r="VJR169" s="558"/>
      <c r="VJS169" s="558"/>
      <c r="VJT169" s="558"/>
      <c r="VJU169" s="558"/>
      <c r="VJV169" s="558"/>
      <c r="VJW169" s="558"/>
      <c r="VJX169" s="558"/>
      <c r="VJY169" s="558"/>
      <c r="VJZ169" s="558"/>
      <c r="VKA169" s="558"/>
      <c r="VKB169" s="558"/>
      <c r="VKC169" s="558"/>
      <c r="VKD169" s="558"/>
      <c r="VKE169" s="558"/>
      <c r="VKF169" s="558"/>
      <c r="VKG169" s="558"/>
      <c r="VKH169" s="558"/>
      <c r="VKI169" s="558"/>
      <c r="VKJ169" s="558"/>
      <c r="VKK169" s="558"/>
      <c r="VKL169" s="558"/>
      <c r="VKM169" s="558"/>
      <c r="VKN169" s="558"/>
      <c r="VKO169" s="558"/>
      <c r="VKP169" s="558"/>
      <c r="VKQ169" s="558"/>
      <c r="VKR169" s="558"/>
      <c r="VKS169" s="558"/>
      <c r="VKT169" s="558"/>
      <c r="VKU169" s="558"/>
      <c r="VKV169" s="558"/>
      <c r="VKW169" s="558"/>
      <c r="VKX169" s="558"/>
      <c r="VKY169" s="558"/>
      <c r="VKZ169" s="558"/>
      <c r="VLA169" s="558"/>
      <c r="VLB169" s="558"/>
      <c r="VLC169" s="558"/>
      <c r="VLD169" s="558"/>
      <c r="VLE169" s="558"/>
      <c r="VLF169" s="558"/>
      <c r="VLG169" s="558"/>
      <c r="VLH169" s="558"/>
      <c r="VLI169" s="558"/>
      <c r="VLJ169" s="558"/>
      <c r="VLK169" s="558"/>
      <c r="VLL169" s="558"/>
      <c r="VLM169" s="558"/>
      <c r="VLN169" s="558"/>
      <c r="VLO169" s="558"/>
      <c r="VLP169" s="558"/>
      <c r="VLQ169" s="558"/>
      <c r="VLR169" s="558"/>
      <c r="VLS169" s="558"/>
      <c r="VLT169" s="558"/>
      <c r="VLU169" s="558"/>
      <c r="VLV169" s="558"/>
      <c r="VLW169" s="558"/>
      <c r="VLX169" s="558"/>
      <c r="VLY169" s="558"/>
      <c r="VLZ169" s="558"/>
      <c r="VMA169" s="558"/>
      <c r="VMB169" s="558"/>
      <c r="VMC169" s="558"/>
      <c r="VMD169" s="558"/>
      <c r="VME169" s="558"/>
      <c r="VMF169" s="558"/>
      <c r="VMG169" s="558"/>
      <c r="VMH169" s="558"/>
      <c r="VMI169" s="558"/>
      <c r="VMJ169" s="558"/>
      <c r="VMK169" s="558"/>
      <c r="VML169" s="558"/>
      <c r="VMM169" s="558"/>
      <c r="VMN169" s="558"/>
      <c r="VMO169" s="558"/>
      <c r="VMP169" s="558"/>
      <c r="VMQ169" s="558"/>
      <c r="VMR169" s="558"/>
      <c r="VMS169" s="558"/>
      <c r="VMT169" s="558"/>
      <c r="VMU169" s="558"/>
      <c r="VMV169" s="558"/>
      <c r="VMW169" s="558"/>
      <c r="VMX169" s="558"/>
      <c r="VMY169" s="558"/>
      <c r="VMZ169" s="558"/>
      <c r="VNA169" s="558"/>
      <c r="VNB169" s="558"/>
      <c r="VNC169" s="558"/>
      <c r="VND169" s="558"/>
      <c r="VNE169" s="558"/>
      <c r="VNF169" s="558"/>
      <c r="VNG169" s="558"/>
      <c r="VNH169" s="558"/>
      <c r="VNI169" s="558"/>
      <c r="VNJ169" s="558"/>
      <c r="VNK169" s="558"/>
      <c r="VNL169" s="558"/>
      <c r="VNM169" s="558"/>
      <c r="VNN169" s="558"/>
      <c r="VNO169" s="558"/>
      <c r="VNP169" s="558"/>
      <c r="VNQ169" s="558"/>
      <c r="VNR169" s="558"/>
      <c r="VNS169" s="558"/>
      <c r="VNT169" s="558"/>
      <c r="VNU169" s="558"/>
      <c r="VNV169" s="558"/>
      <c r="VNW169" s="558"/>
      <c r="VNX169" s="558"/>
      <c r="VNY169" s="558"/>
      <c r="VNZ169" s="558"/>
      <c r="VOA169" s="558"/>
      <c r="VOB169" s="558"/>
      <c r="VOC169" s="558"/>
      <c r="VOD169" s="558"/>
      <c r="VOE169" s="558"/>
      <c r="VOF169" s="558"/>
      <c r="VOG169" s="558"/>
      <c r="VOH169" s="558"/>
      <c r="VOI169" s="558"/>
      <c r="VOJ169" s="558"/>
      <c r="VOK169" s="558"/>
      <c r="VOL169" s="558"/>
      <c r="VOM169" s="558"/>
      <c r="VON169" s="558"/>
      <c r="VOO169" s="558"/>
      <c r="VOP169" s="558"/>
      <c r="VOQ169" s="558"/>
      <c r="VOR169" s="558"/>
      <c r="VOS169" s="558"/>
      <c r="VOT169" s="558"/>
      <c r="VOU169" s="558"/>
      <c r="VOV169" s="558"/>
      <c r="VOW169" s="558"/>
      <c r="VOX169" s="558"/>
      <c r="VOY169" s="558"/>
      <c r="VOZ169" s="558"/>
      <c r="VPA169" s="558"/>
      <c r="VPB169" s="558"/>
      <c r="VPC169" s="558"/>
      <c r="VPD169" s="558"/>
      <c r="VPE169" s="558"/>
      <c r="VPF169" s="558"/>
      <c r="VPG169" s="558"/>
      <c r="VPH169" s="558"/>
      <c r="VPI169" s="558"/>
      <c r="VPJ169" s="558"/>
      <c r="VPK169" s="558"/>
      <c r="VPL169" s="558"/>
      <c r="VPM169" s="558"/>
      <c r="VPN169" s="558"/>
      <c r="VPO169" s="558"/>
      <c r="VPP169" s="558"/>
      <c r="VPQ169" s="558"/>
      <c r="VPR169" s="558"/>
      <c r="VPS169" s="558"/>
      <c r="VPT169" s="558"/>
      <c r="VPU169" s="558"/>
      <c r="VPV169" s="558"/>
      <c r="VPW169" s="558"/>
      <c r="VPX169" s="558"/>
      <c r="VPY169" s="558"/>
      <c r="VPZ169" s="558"/>
      <c r="VQA169" s="558"/>
      <c r="VQB169" s="558"/>
      <c r="VQC169" s="558"/>
      <c r="VQD169" s="558"/>
      <c r="VQE169" s="558"/>
      <c r="VQF169" s="558"/>
      <c r="VQG169" s="558"/>
      <c r="VQH169" s="558"/>
      <c r="VQI169" s="558"/>
      <c r="VQJ169" s="558"/>
      <c r="VQK169" s="558"/>
      <c r="VQL169" s="558"/>
      <c r="VQM169" s="558"/>
      <c r="VQN169" s="558"/>
      <c r="VQO169" s="558"/>
      <c r="VQP169" s="558"/>
      <c r="VQQ169" s="558"/>
      <c r="VQR169" s="558"/>
      <c r="VQS169" s="558"/>
      <c r="VQT169" s="558"/>
      <c r="VQU169" s="558"/>
      <c r="VQV169" s="558"/>
      <c r="VQW169" s="558"/>
      <c r="VQX169" s="558"/>
      <c r="VQY169" s="558"/>
      <c r="VQZ169" s="558"/>
      <c r="VRA169" s="558"/>
      <c r="VRB169" s="558"/>
      <c r="VRC169" s="558"/>
      <c r="VRD169" s="558"/>
      <c r="VRE169" s="558"/>
      <c r="VRF169" s="558"/>
      <c r="VRG169" s="558"/>
      <c r="VRH169" s="558"/>
      <c r="VRI169" s="558"/>
      <c r="VRJ169" s="558"/>
      <c r="VRK169" s="558"/>
      <c r="VRL169" s="558"/>
      <c r="VRM169" s="558"/>
      <c r="VRN169" s="558"/>
      <c r="VRO169" s="558"/>
      <c r="VRP169" s="558"/>
      <c r="VRQ169" s="558"/>
      <c r="VRR169" s="558"/>
      <c r="VRS169" s="558"/>
      <c r="VRT169" s="558"/>
      <c r="VRU169" s="558"/>
      <c r="VRV169" s="558"/>
      <c r="VRW169" s="558"/>
      <c r="VRX169" s="558"/>
      <c r="VRY169" s="558"/>
      <c r="VRZ169" s="558"/>
      <c r="VSA169" s="558"/>
      <c r="VSB169" s="558"/>
      <c r="VSC169" s="558"/>
      <c r="VSD169" s="558"/>
      <c r="VSE169" s="558"/>
      <c r="VSF169" s="558"/>
      <c r="VSG169" s="558"/>
      <c r="VSH169" s="558"/>
      <c r="VSI169" s="558"/>
      <c r="VSJ169" s="558"/>
      <c r="VSK169" s="558"/>
      <c r="VSL169" s="558"/>
      <c r="VSM169" s="558"/>
      <c r="VSN169" s="558"/>
      <c r="VSO169" s="558"/>
      <c r="VSP169" s="558"/>
      <c r="VSQ169" s="558"/>
      <c r="VSR169" s="558"/>
      <c r="VSS169" s="558"/>
      <c r="VST169" s="558"/>
      <c r="VSU169" s="558"/>
      <c r="VSV169" s="558"/>
      <c r="VSW169" s="558"/>
      <c r="VSX169" s="558"/>
      <c r="VSY169" s="558"/>
      <c r="VSZ169" s="558"/>
      <c r="VTA169" s="558"/>
      <c r="VTB169" s="558"/>
      <c r="VTC169" s="558"/>
      <c r="VTD169" s="558"/>
      <c r="VTE169" s="558"/>
      <c r="VTF169" s="558"/>
      <c r="VTG169" s="558"/>
      <c r="VTH169" s="558"/>
      <c r="VTI169" s="558"/>
      <c r="VTJ169" s="558"/>
      <c r="VTK169" s="558"/>
      <c r="VTL169" s="558"/>
      <c r="VTM169" s="558"/>
      <c r="VTN169" s="558"/>
      <c r="VTO169" s="558"/>
      <c r="VTP169" s="558"/>
      <c r="VTQ169" s="558"/>
      <c r="VTR169" s="558"/>
      <c r="VTS169" s="558"/>
      <c r="VTT169" s="558"/>
      <c r="VTU169" s="558"/>
      <c r="VTV169" s="558"/>
      <c r="VTW169" s="558"/>
      <c r="VTX169" s="558"/>
      <c r="VTY169" s="558"/>
      <c r="VTZ169" s="558"/>
      <c r="VUA169" s="558"/>
      <c r="VUB169" s="558"/>
      <c r="VUC169" s="558"/>
      <c r="VUD169" s="558"/>
      <c r="VUE169" s="558"/>
      <c r="VUF169" s="558"/>
      <c r="VUG169" s="558"/>
      <c r="VUH169" s="558"/>
      <c r="VUI169" s="558"/>
      <c r="VUJ169" s="558"/>
      <c r="VUK169" s="558"/>
      <c r="VUL169" s="558"/>
      <c r="VUM169" s="558"/>
      <c r="VUN169" s="558"/>
      <c r="VUO169" s="558"/>
      <c r="VUP169" s="558"/>
      <c r="VUQ169" s="558"/>
      <c r="VUR169" s="558"/>
      <c r="VUS169" s="558"/>
      <c r="VUT169" s="558"/>
      <c r="VUU169" s="558"/>
      <c r="VUV169" s="558"/>
      <c r="VUW169" s="558"/>
      <c r="VUX169" s="558"/>
      <c r="VUY169" s="558"/>
      <c r="VUZ169" s="558"/>
      <c r="VVA169" s="558"/>
      <c r="VVB169" s="558"/>
      <c r="VVC169" s="558"/>
      <c r="VVD169" s="558"/>
      <c r="VVE169" s="558"/>
      <c r="VVF169" s="558"/>
      <c r="VVG169" s="558"/>
      <c r="VVH169" s="558"/>
      <c r="VVI169" s="558"/>
      <c r="VVJ169" s="558"/>
      <c r="VVK169" s="558"/>
      <c r="VVL169" s="558"/>
      <c r="VVM169" s="558"/>
      <c r="VVN169" s="558"/>
      <c r="VVO169" s="558"/>
      <c r="VVP169" s="558"/>
      <c r="VVQ169" s="558"/>
      <c r="VVR169" s="558"/>
      <c r="VVS169" s="558"/>
      <c r="VVT169" s="558"/>
      <c r="VVU169" s="558"/>
      <c r="VVV169" s="558"/>
      <c r="VVW169" s="558"/>
      <c r="VVX169" s="558"/>
      <c r="VVY169" s="558"/>
      <c r="VVZ169" s="558"/>
      <c r="VWA169" s="558"/>
      <c r="VWB169" s="558"/>
      <c r="VWC169" s="558"/>
      <c r="VWD169" s="558"/>
      <c r="VWE169" s="558"/>
      <c r="VWF169" s="558"/>
      <c r="VWG169" s="558"/>
      <c r="VWH169" s="558"/>
      <c r="VWI169" s="558"/>
      <c r="VWJ169" s="558"/>
      <c r="VWK169" s="558"/>
      <c r="VWL169" s="558"/>
      <c r="VWM169" s="558"/>
      <c r="VWN169" s="558"/>
      <c r="VWO169" s="558"/>
      <c r="VWP169" s="558"/>
      <c r="VWQ169" s="558"/>
      <c r="VWR169" s="558"/>
      <c r="VWS169" s="558"/>
      <c r="VWT169" s="558"/>
      <c r="VWU169" s="558"/>
      <c r="VWV169" s="558"/>
      <c r="VWW169" s="558"/>
      <c r="VWX169" s="558"/>
      <c r="VWY169" s="558"/>
      <c r="VWZ169" s="558"/>
      <c r="VXA169" s="558"/>
      <c r="VXB169" s="558"/>
      <c r="VXC169" s="558"/>
      <c r="VXD169" s="558"/>
      <c r="VXE169" s="558"/>
      <c r="VXF169" s="558"/>
      <c r="VXG169" s="558"/>
      <c r="VXH169" s="558"/>
      <c r="VXI169" s="558"/>
      <c r="VXJ169" s="558"/>
      <c r="VXK169" s="558"/>
      <c r="VXL169" s="558"/>
      <c r="VXM169" s="558"/>
      <c r="VXN169" s="558"/>
      <c r="VXO169" s="558"/>
      <c r="VXP169" s="558"/>
      <c r="VXQ169" s="558"/>
      <c r="VXR169" s="558"/>
      <c r="VXS169" s="558"/>
      <c r="VXT169" s="558"/>
      <c r="VXU169" s="558"/>
      <c r="VXV169" s="558"/>
      <c r="VXW169" s="558"/>
      <c r="VXX169" s="558"/>
      <c r="VXY169" s="558"/>
      <c r="VXZ169" s="558"/>
      <c r="VYA169" s="558"/>
      <c r="VYB169" s="558"/>
      <c r="VYC169" s="558"/>
      <c r="VYD169" s="558"/>
      <c r="VYE169" s="558"/>
      <c r="VYF169" s="558"/>
      <c r="VYG169" s="558"/>
      <c r="VYH169" s="558"/>
      <c r="VYI169" s="558"/>
      <c r="VYJ169" s="558"/>
      <c r="VYK169" s="558"/>
      <c r="VYL169" s="558"/>
      <c r="VYM169" s="558"/>
      <c r="VYN169" s="558"/>
      <c r="VYO169" s="558"/>
      <c r="VYP169" s="558"/>
      <c r="VYQ169" s="558"/>
      <c r="VYR169" s="558"/>
      <c r="VYS169" s="558"/>
      <c r="VYT169" s="558"/>
      <c r="VYU169" s="558"/>
      <c r="VYV169" s="558"/>
      <c r="VYW169" s="558"/>
      <c r="VYX169" s="558"/>
      <c r="VYY169" s="558"/>
      <c r="VYZ169" s="558"/>
      <c r="VZA169" s="558"/>
      <c r="VZB169" s="558"/>
      <c r="VZC169" s="558"/>
      <c r="VZD169" s="558"/>
      <c r="VZE169" s="558"/>
      <c r="VZF169" s="558"/>
      <c r="VZG169" s="558"/>
      <c r="VZH169" s="558"/>
      <c r="VZI169" s="558"/>
      <c r="VZJ169" s="558"/>
      <c r="VZK169" s="558"/>
      <c r="VZL169" s="558"/>
      <c r="VZM169" s="558"/>
      <c r="VZN169" s="558"/>
      <c r="VZO169" s="558"/>
      <c r="VZP169" s="558"/>
      <c r="VZQ169" s="558"/>
      <c r="VZR169" s="558"/>
      <c r="VZS169" s="558"/>
      <c r="VZT169" s="558"/>
      <c r="VZU169" s="558"/>
      <c r="VZV169" s="558"/>
      <c r="VZW169" s="558"/>
      <c r="VZX169" s="558"/>
      <c r="VZY169" s="558"/>
      <c r="VZZ169" s="558"/>
      <c r="WAA169" s="558"/>
      <c r="WAB169" s="558"/>
      <c r="WAC169" s="558"/>
      <c r="WAD169" s="558"/>
      <c r="WAE169" s="558"/>
      <c r="WAF169" s="558"/>
      <c r="WAG169" s="558"/>
      <c r="WAH169" s="558"/>
      <c r="WAI169" s="558"/>
      <c r="WAJ169" s="558"/>
      <c r="WAK169" s="558"/>
      <c r="WAL169" s="558"/>
      <c r="WAM169" s="558"/>
      <c r="WAN169" s="558"/>
      <c r="WAO169" s="558"/>
      <c r="WAP169" s="558"/>
      <c r="WAQ169" s="558"/>
      <c r="WAR169" s="558"/>
      <c r="WAS169" s="558"/>
      <c r="WAT169" s="558"/>
      <c r="WAU169" s="558"/>
      <c r="WAV169" s="558"/>
      <c r="WAW169" s="558"/>
      <c r="WAX169" s="558"/>
      <c r="WAY169" s="558"/>
      <c r="WAZ169" s="558"/>
      <c r="WBA169" s="558"/>
      <c r="WBB169" s="558"/>
      <c r="WBC169" s="558"/>
      <c r="WBD169" s="558"/>
      <c r="WBE169" s="558"/>
      <c r="WBF169" s="558"/>
      <c r="WBG169" s="558"/>
      <c r="WBH169" s="558"/>
      <c r="WBI169" s="558"/>
      <c r="WBJ169" s="558"/>
      <c r="WBK169" s="558"/>
      <c r="WBL169" s="558"/>
      <c r="WBM169" s="558"/>
      <c r="WBN169" s="558"/>
      <c r="WBO169" s="558"/>
      <c r="WBP169" s="558"/>
      <c r="WBQ169" s="558"/>
      <c r="WBR169" s="558"/>
      <c r="WBS169" s="558"/>
      <c r="WBT169" s="558"/>
      <c r="WBU169" s="558"/>
      <c r="WBV169" s="558"/>
      <c r="WBW169" s="558"/>
      <c r="WBX169" s="558"/>
      <c r="WBY169" s="558"/>
      <c r="WBZ169" s="558"/>
      <c r="WCA169" s="558"/>
      <c r="WCB169" s="558"/>
      <c r="WCC169" s="558"/>
      <c r="WCD169" s="558"/>
      <c r="WCE169" s="558"/>
      <c r="WCF169" s="558"/>
      <c r="WCG169" s="558"/>
      <c r="WCH169" s="558"/>
      <c r="WCI169" s="558"/>
      <c r="WCJ169" s="558"/>
      <c r="WCK169" s="558"/>
      <c r="WCL169" s="558"/>
      <c r="WCM169" s="558"/>
      <c r="WCN169" s="558"/>
      <c r="WCO169" s="558"/>
      <c r="WCP169" s="558"/>
      <c r="WCQ169" s="558"/>
      <c r="WCR169" s="558"/>
      <c r="WCS169" s="558"/>
      <c r="WCT169" s="558"/>
      <c r="WCU169" s="558"/>
      <c r="WCV169" s="558"/>
      <c r="WCW169" s="558"/>
      <c r="WCX169" s="558"/>
      <c r="WCY169" s="558"/>
      <c r="WCZ169" s="558"/>
      <c r="WDA169" s="558"/>
      <c r="WDB169" s="558"/>
      <c r="WDC169" s="558"/>
      <c r="WDD169" s="558"/>
      <c r="WDE169" s="558"/>
      <c r="WDF169" s="558"/>
      <c r="WDG169" s="558"/>
      <c r="WDH169" s="558"/>
      <c r="WDI169" s="558"/>
      <c r="WDJ169" s="558"/>
      <c r="WDK169" s="558"/>
      <c r="WDL169" s="558"/>
      <c r="WDM169" s="558"/>
      <c r="WDN169" s="558"/>
      <c r="WDO169" s="558"/>
      <c r="WDP169" s="558"/>
      <c r="WDQ169" s="558"/>
      <c r="WDR169" s="558"/>
      <c r="WDS169" s="558"/>
      <c r="WDT169" s="558"/>
      <c r="WDU169" s="558"/>
      <c r="WDV169" s="558"/>
      <c r="WDW169" s="558"/>
      <c r="WDX169" s="558"/>
      <c r="WDY169" s="558"/>
      <c r="WDZ169" s="558"/>
      <c r="WEA169" s="558"/>
      <c r="WEB169" s="558"/>
      <c r="WEC169" s="558"/>
      <c r="WED169" s="558"/>
      <c r="WEE169" s="558"/>
      <c r="WEF169" s="558"/>
      <c r="WEG169" s="558"/>
      <c r="WEH169" s="558"/>
      <c r="WEI169" s="558"/>
      <c r="WEJ169" s="558"/>
      <c r="WEK169" s="558"/>
      <c r="WEL169" s="558"/>
      <c r="WEM169" s="558"/>
      <c r="WEN169" s="558"/>
      <c r="WEO169" s="558"/>
      <c r="WEP169" s="558"/>
      <c r="WEQ169" s="558"/>
      <c r="WER169" s="558"/>
      <c r="WES169" s="558"/>
      <c r="WET169" s="558"/>
      <c r="WEU169" s="558"/>
      <c r="WEV169" s="558"/>
      <c r="WEW169" s="558"/>
      <c r="WEX169" s="558"/>
      <c r="WEY169" s="558"/>
      <c r="WEZ169" s="558"/>
      <c r="WFA169" s="558"/>
      <c r="WFB169" s="558"/>
      <c r="WFC169" s="558"/>
      <c r="WFD169" s="558"/>
      <c r="WFE169" s="558"/>
      <c r="WFF169" s="558"/>
      <c r="WFG169" s="558"/>
      <c r="WFH169" s="558"/>
      <c r="WFI169" s="558"/>
      <c r="WFJ169" s="558"/>
      <c r="WFK169" s="558"/>
      <c r="WFL169" s="558"/>
      <c r="WFM169" s="558"/>
      <c r="WFN169" s="558"/>
      <c r="WFO169" s="558"/>
      <c r="WFP169" s="558"/>
      <c r="WFQ169" s="558"/>
      <c r="WFR169" s="558"/>
      <c r="WFS169" s="558"/>
      <c r="WFT169" s="558"/>
      <c r="WFU169" s="558"/>
      <c r="WFV169" s="558"/>
      <c r="WFW169" s="558"/>
      <c r="WFX169" s="558"/>
      <c r="WFY169" s="558"/>
      <c r="WFZ169" s="558"/>
      <c r="WGA169" s="558"/>
      <c r="WGB169" s="558"/>
      <c r="WGC169" s="558"/>
      <c r="WGD169" s="558"/>
      <c r="WGE169" s="558"/>
      <c r="WGF169" s="558"/>
      <c r="WGG169" s="558"/>
      <c r="WGH169" s="558"/>
      <c r="WGI169" s="558"/>
      <c r="WGJ169" s="558"/>
      <c r="WGK169" s="558"/>
      <c r="WGL169" s="558"/>
      <c r="WGM169" s="558"/>
      <c r="WGN169" s="558"/>
      <c r="WGO169" s="558"/>
      <c r="WGP169" s="558"/>
      <c r="WGQ169" s="558"/>
      <c r="WGR169" s="558"/>
      <c r="WGS169" s="558"/>
      <c r="WGT169" s="558"/>
      <c r="WGU169" s="558"/>
      <c r="WGV169" s="558"/>
      <c r="WGW169" s="558"/>
      <c r="WGX169" s="558"/>
      <c r="WGY169" s="558"/>
      <c r="WGZ169" s="558"/>
      <c r="WHA169" s="558"/>
      <c r="WHB169" s="558"/>
      <c r="WHC169" s="558"/>
      <c r="WHD169" s="558"/>
      <c r="WHE169" s="558"/>
      <c r="WHF169" s="558"/>
      <c r="WHG169" s="558"/>
      <c r="WHH169" s="558"/>
      <c r="WHI169" s="558"/>
      <c r="WHJ169" s="558"/>
      <c r="WHK169" s="558"/>
      <c r="WHL169" s="558"/>
      <c r="WHM169" s="558"/>
      <c r="WHN169" s="558"/>
      <c r="WHO169" s="558"/>
      <c r="WHP169" s="558"/>
      <c r="WHQ169" s="558"/>
      <c r="WHR169" s="558"/>
      <c r="WHS169" s="558"/>
      <c r="WHT169" s="558"/>
      <c r="WHU169" s="558"/>
      <c r="WHV169" s="558"/>
      <c r="WHW169" s="558"/>
      <c r="WHX169" s="558"/>
      <c r="WHY169" s="558"/>
      <c r="WHZ169" s="558"/>
      <c r="WIA169" s="558"/>
      <c r="WIB169" s="558"/>
      <c r="WIC169" s="558"/>
      <c r="WID169" s="558"/>
      <c r="WIE169" s="558"/>
      <c r="WIF169" s="558"/>
      <c r="WIG169" s="558"/>
      <c r="WIH169" s="558"/>
      <c r="WII169" s="558"/>
      <c r="WIJ169" s="558"/>
      <c r="WIK169" s="558"/>
      <c r="WIL169" s="558"/>
      <c r="WIM169" s="558"/>
      <c r="WIN169" s="558"/>
      <c r="WIO169" s="558"/>
      <c r="WIP169" s="558"/>
      <c r="WIQ169" s="558"/>
      <c r="WIR169" s="558"/>
      <c r="WIS169" s="558"/>
      <c r="WIT169" s="558"/>
      <c r="WIU169" s="558"/>
      <c r="WIV169" s="558"/>
      <c r="WIW169" s="558"/>
      <c r="WIX169" s="558"/>
      <c r="WIY169" s="558"/>
      <c r="WIZ169" s="558"/>
      <c r="WJA169" s="558"/>
      <c r="WJB169" s="558"/>
      <c r="WJC169" s="558"/>
      <c r="WJD169" s="558"/>
      <c r="WJE169" s="558"/>
      <c r="WJF169" s="558"/>
      <c r="WJG169" s="558"/>
      <c r="WJH169" s="558"/>
      <c r="WJI169" s="558"/>
      <c r="WJJ169" s="558"/>
      <c r="WJK169" s="558"/>
      <c r="WJL169" s="558"/>
      <c r="WJM169" s="558"/>
      <c r="WJN169" s="558"/>
      <c r="WJO169" s="558"/>
      <c r="WJP169" s="558"/>
      <c r="WJQ169" s="558"/>
      <c r="WJR169" s="558"/>
      <c r="WJS169" s="558"/>
      <c r="WJT169" s="558"/>
      <c r="WJU169" s="558"/>
      <c r="WJV169" s="558"/>
      <c r="WJW169" s="558"/>
      <c r="WJX169" s="558"/>
      <c r="WJY169" s="558"/>
      <c r="WJZ169" s="558"/>
      <c r="WKA169" s="558"/>
      <c r="WKB169" s="558"/>
      <c r="WKC169" s="558"/>
      <c r="WKD169" s="558"/>
      <c r="WKE169" s="558"/>
      <c r="WKF169" s="558"/>
      <c r="WKG169" s="558"/>
      <c r="WKH169" s="558"/>
      <c r="WKI169" s="558"/>
      <c r="WKJ169" s="558"/>
      <c r="WKK169" s="558"/>
      <c r="WKL169" s="558"/>
      <c r="WKM169" s="558"/>
      <c r="WKN169" s="558"/>
      <c r="WKO169" s="558"/>
      <c r="WKP169" s="558"/>
      <c r="WKQ169" s="558"/>
      <c r="WKR169" s="558"/>
      <c r="WKS169" s="558"/>
      <c r="WKT169" s="558"/>
      <c r="WKU169" s="558"/>
      <c r="WKV169" s="558"/>
      <c r="WKW169" s="558"/>
      <c r="WKX169" s="558"/>
      <c r="WKY169" s="558"/>
      <c r="WKZ169" s="558"/>
      <c r="WLA169" s="558"/>
      <c r="WLB169" s="558"/>
      <c r="WLC169" s="558"/>
      <c r="WLD169" s="558"/>
      <c r="WLE169" s="558"/>
      <c r="WLF169" s="558"/>
      <c r="WLG169" s="558"/>
      <c r="WLH169" s="558"/>
      <c r="WLI169" s="558"/>
      <c r="WLJ169" s="558"/>
      <c r="WLK169" s="558"/>
      <c r="WLL169" s="558"/>
      <c r="WLM169" s="558"/>
      <c r="WLN169" s="558"/>
      <c r="WLO169" s="558"/>
      <c r="WLP169" s="558"/>
      <c r="WLQ169" s="558"/>
      <c r="WLR169" s="558"/>
      <c r="WLS169" s="558"/>
      <c r="WLT169" s="558"/>
      <c r="WLU169" s="558"/>
      <c r="WLV169" s="558"/>
      <c r="WLW169" s="558"/>
      <c r="WLX169" s="558"/>
      <c r="WLY169" s="558"/>
      <c r="WLZ169" s="558"/>
      <c r="WMA169" s="558"/>
      <c r="WMB169" s="558"/>
      <c r="WMC169" s="558"/>
      <c r="WMD169" s="558"/>
      <c r="WME169" s="558"/>
      <c r="WMF169" s="558"/>
      <c r="WMG169" s="558"/>
      <c r="WMH169" s="558"/>
      <c r="WMI169" s="558"/>
      <c r="WMJ169" s="558"/>
      <c r="WMK169" s="558"/>
      <c r="WML169" s="558"/>
      <c r="WMM169" s="558"/>
      <c r="WMN169" s="558"/>
      <c r="WMO169" s="558"/>
      <c r="WMP169" s="558"/>
      <c r="WMQ169" s="558"/>
      <c r="WMR169" s="558"/>
      <c r="WMS169" s="558"/>
      <c r="WMT169" s="558"/>
      <c r="WMU169" s="558"/>
      <c r="WMV169" s="558"/>
      <c r="WMW169" s="558"/>
      <c r="WMX169" s="558"/>
      <c r="WMY169" s="558"/>
      <c r="WMZ169" s="558"/>
      <c r="WNA169" s="558"/>
      <c r="WNB169" s="558"/>
      <c r="WNC169" s="558"/>
      <c r="WND169" s="558"/>
      <c r="WNE169" s="558"/>
      <c r="WNF169" s="558"/>
      <c r="WNG169" s="558"/>
      <c r="WNH169" s="558"/>
      <c r="WNI169" s="558"/>
      <c r="WNJ169" s="558"/>
      <c r="WNK169" s="558"/>
      <c r="WNL169" s="558"/>
      <c r="WNM169" s="558"/>
      <c r="WNN169" s="558"/>
      <c r="WNO169" s="558"/>
      <c r="WNP169" s="558"/>
      <c r="WNQ169" s="558"/>
      <c r="WNR169" s="558"/>
      <c r="WNS169" s="558"/>
      <c r="WNT169" s="558"/>
      <c r="WNU169" s="558"/>
      <c r="WNV169" s="558"/>
      <c r="WNW169" s="558"/>
      <c r="WNX169" s="558"/>
      <c r="WNY169" s="558"/>
      <c r="WNZ169" s="558"/>
      <c r="WOA169" s="558"/>
      <c r="WOB169" s="558"/>
      <c r="WOC169" s="558"/>
      <c r="WOD169" s="558"/>
      <c r="WOE169" s="558"/>
      <c r="WOF169" s="558"/>
      <c r="WOG169" s="558"/>
      <c r="WOH169" s="558"/>
      <c r="WOI169" s="558"/>
      <c r="WOJ169" s="558"/>
      <c r="WOK169" s="558"/>
      <c r="WOL169" s="558"/>
      <c r="WOM169" s="558"/>
      <c r="WON169" s="558"/>
      <c r="WOO169" s="558"/>
      <c r="WOP169" s="558"/>
      <c r="WOQ169" s="558"/>
      <c r="WOR169" s="558"/>
      <c r="WOS169" s="558"/>
      <c r="WOT169" s="558"/>
      <c r="WOU169" s="558"/>
      <c r="WOV169" s="558"/>
      <c r="WOW169" s="558"/>
      <c r="WOX169" s="558"/>
      <c r="WOY169" s="558"/>
      <c r="WOZ169" s="558"/>
      <c r="WPA169" s="558"/>
      <c r="WPB169" s="558"/>
      <c r="WPC169" s="558"/>
      <c r="WPD169" s="558"/>
      <c r="WPE169" s="558"/>
      <c r="WPF169" s="558"/>
      <c r="WPG169" s="558"/>
      <c r="WPH169" s="558"/>
      <c r="WPI169" s="558"/>
      <c r="WPJ169" s="558"/>
      <c r="WPK169" s="558"/>
      <c r="WPL169" s="558"/>
      <c r="WPM169" s="558"/>
      <c r="WPN169" s="558"/>
      <c r="WPO169" s="558"/>
      <c r="WPP169" s="558"/>
      <c r="WPQ169" s="558"/>
      <c r="WPR169" s="558"/>
      <c r="WPS169" s="558"/>
      <c r="WPT169" s="558"/>
      <c r="WPU169" s="558"/>
      <c r="WPV169" s="558"/>
      <c r="WPW169" s="558"/>
      <c r="WPX169" s="558"/>
      <c r="WPY169" s="558"/>
      <c r="WPZ169" s="558"/>
      <c r="WQA169" s="558"/>
      <c r="WQB169" s="558"/>
      <c r="WQC169" s="558"/>
      <c r="WQD169" s="558"/>
      <c r="WQE169" s="558"/>
      <c r="WQF169" s="558"/>
      <c r="WQG169" s="558"/>
      <c r="WQH169" s="558"/>
      <c r="WQI169" s="558"/>
      <c r="WQJ169" s="558"/>
      <c r="WQK169" s="558"/>
      <c r="WQL169" s="558"/>
      <c r="WQM169" s="558"/>
      <c r="WQN169" s="558"/>
      <c r="WQO169" s="558"/>
      <c r="WQP169" s="558"/>
      <c r="WQQ169" s="558"/>
      <c r="WQR169" s="558"/>
      <c r="WQS169" s="558"/>
      <c r="WQT169" s="558"/>
      <c r="WQU169" s="558"/>
      <c r="WQV169" s="558"/>
      <c r="WQW169" s="558"/>
      <c r="WQX169" s="558"/>
      <c r="WQY169" s="558"/>
      <c r="WQZ169" s="558"/>
      <c r="WRA169" s="558"/>
      <c r="WRB169" s="558"/>
      <c r="WRC169" s="558"/>
      <c r="WRD169" s="558"/>
      <c r="WRE169" s="558"/>
      <c r="WRF169" s="558"/>
      <c r="WRG169" s="558"/>
      <c r="WRH169" s="558"/>
      <c r="WRI169" s="558"/>
      <c r="WRJ169" s="558"/>
      <c r="WRK169" s="558"/>
      <c r="WRL169" s="558"/>
      <c r="WRM169" s="558"/>
      <c r="WRN169" s="558"/>
      <c r="WRO169" s="558"/>
      <c r="WRP169" s="558"/>
      <c r="WRQ169" s="558"/>
      <c r="WRR169" s="558"/>
      <c r="WRS169" s="558"/>
      <c r="WRT169" s="558"/>
      <c r="WRU169" s="558"/>
      <c r="WRV169" s="558"/>
      <c r="WRW169" s="558"/>
      <c r="WRX169" s="558"/>
      <c r="WRY169" s="558"/>
      <c r="WRZ169" s="558"/>
      <c r="WSA169" s="558"/>
      <c r="WSB169" s="558"/>
      <c r="WSC169" s="558"/>
      <c r="WSD169" s="558"/>
      <c r="WSE169" s="558"/>
      <c r="WSF169" s="558"/>
      <c r="WSG169" s="558"/>
      <c r="WSH169" s="558"/>
      <c r="WSI169" s="558"/>
      <c r="WSJ169" s="558"/>
      <c r="WSK169" s="558"/>
      <c r="WSL169" s="558"/>
      <c r="WSM169" s="558"/>
      <c r="WSN169" s="558"/>
      <c r="WSO169" s="558"/>
      <c r="WSP169" s="558"/>
      <c r="WSQ169" s="558"/>
      <c r="WSR169" s="558"/>
      <c r="WSS169" s="558"/>
      <c r="WST169" s="558"/>
      <c r="WSU169" s="558"/>
      <c r="WSV169" s="558"/>
      <c r="WSW169" s="558"/>
      <c r="WSX169" s="558"/>
      <c r="WSY169" s="558"/>
      <c r="WSZ169" s="558"/>
      <c r="WTA169" s="558"/>
      <c r="WTB169" s="558"/>
      <c r="WTC169" s="558"/>
      <c r="WTD169" s="558"/>
      <c r="WTE169" s="558"/>
      <c r="WTF169" s="558"/>
      <c r="WTG169" s="558"/>
      <c r="WTH169" s="558"/>
      <c r="WTI169" s="558"/>
      <c r="WTJ169" s="558"/>
      <c r="WTK169" s="558"/>
      <c r="WTL169" s="558"/>
      <c r="WTM169" s="558"/>
      <c r="WTN169" s="558"/>
      <c r="WTO169" s="558"/>
      <c r="WTP169" s="558"/>
      <c r="WTQ169" s="558"/>
      <c r="WTR169" s="558"/>
      <c r="WTS169" s="558"/>
      <c r="WTT169" s="558"/>
      <c r="WTU169" s="558"/>
      <c r="WTV169" s="558"/>
      <c r="WTW169" s="558"/>
      <c r="WTX169" s="558"/>
      <c r="WTY169" s="558"/>
      <c r="WTZ169" s="558"/>
      <c r="WUA169" s="558"/>
      <c r="WUB169" s="558"/>
      <c r="WUC169" s="558"/>
      <c r="WUD169" s="558"/>
      <c r="WUE169" s="558"/>
      <c r="WUF169" s="558"/>
      <c r="WUG169" s="558"/>
      <c r="WUH169" s="558"/>
      <c r="WUI169" s="558"/>
      <c r="WUJ169" s="558"/>
      <c r="WUK169" s="558"/>
      <c r="WUL169" s="558"/>
      <c r="WUM169" s="558"/>
      <c r="WUN169" s="558"/>
      <c r="WUO169" s="558"/>
      <c r="WUP169" s="558"/>
      <c r="WUQ169" s="558"/>
      <c r="WUR169" s="558"/>
      <c r="WUS169" s="558"/>
      <c r="WUT169" s="558"/>
      <c r="WUU169" s="558"/>
      <c r="WUV169" s="558"/>
      <c r="WUW169" s="558"/>
      <c r="WUX169" s="558"/>
      <c r="WUY169" s="558"/>
      <c r="WUZ169" s="558"/>
      <c r="WVA169" s="558"/>
      <c r="WVB169" s="558"/>
      <c r="WVC169" s="558"/>
      <c r="WVD169" s="558"/>
      <c r="WVE169" s="558"/>
      <c r="WVF169" s="558"/>
      <c r="WVG169" s="558"/>
      <c r="WVH169" s="558"/>
      <c r="WVI169" s="558"/>
      <c r="WVJ169" s="558"/>
      <c r="WVK169" s="558"/>
      <c r="WVL169" s="558"/>
      <c r="WVM169" s="558"/>
      <c r="WVN169" s="558"/>
      <c r="WVO169" s="558"/>
      <c r="WVP169" s="558"/>
      <c r="WVQ169" s="558"/>
      <c r="WVR169" s="558"/>
      <c r="WVS169" s="558"/>
      <c r="WVT169" s="558"/>
      <c r="WVU169" s="558"/>
      <c r="WVV169" s="558"/>
      <c r="WVW169" s="558"/>
      <c r="WVX169" s="558"/>
      <c r="WVY169" s="558"/>
      <c r="WVZ169" s="558"/>
      <c r="WWA169" s="558"/>
      <c r="WWB169" s="558"/>
      <c r="WWC169" s="558"/>
      <c r="WWD169" s="558"/>
      <c r="WWE169" s="558"/>
      <c r="WWF169" s="558"/>
      <c r="WWG169" s="558"/>
      <c r="WWH169" s="558"/>
      <c r="WWI169" s="558"/>
      <c r="WWJ169" s="558"/>
      <c r="WWK169" s="558"/>
      <c r="WWL169" s="558"/>
      <c r="WWM169" s="558"/>
      <c r="WWN169" s="558"/>
      <c r="WWO169" s="558"/>
      <c r="WWP169" s="558"/>
      <c r="WWQ169" s="558"/>
      <c r="WWR169" s="558"/>
      <c r="WWS169" s="558"/>
      <c r="WWT169" s="558"/>
      <c r="WWU169" s="558"/>
      <c r="WWV169" s="558"/>
      <c r="WWW169" s="558"/>
      <c r="WWX169" s="558"/>
      <c r="WWY169" s="558"/>
      <c r="WWZ169" s="558"/>
      <c r="WXA169" s="558"/>
      <c r="WXB169" s="558"/>
      <c r="WXC169" s="558"/>
      <c r="WXD169" s="558"/>
      <c r="WXE169" s="558"/>
      <c r="WXF169" s="558"/>
      <c r="WXG169" s="558"/>
      <c r="WXH169" s="558"/>
      <c r="WXI169" s="558"/>
      <c r="WXJ169" s="558"/>
      <c r="WXK169" s="558"/>
      <c r="WXL169" s="558"/>
      <c r="WXM169" s="558"/>
      <c r="WXN169" s="558"/>
      <c r="WXO169" s="558"/>
      <c r="WXP169" s="558"/>
      <c r="WXQ169" s="558"/>
      <c r="WXR169" s="558"/>
      <c r="WXS169" s="558"/>
      <c r="WXT169" s="558"/>
      <c r="WXU169" s="558"/>
      <c r="WXV169" s="558"/>
      <c r="WXW169" s="558"/>
      <c r="WXX169" s="558"/>
      <c r="WXY169" s="558"/>
      <c r="WXZ169" s="558"/>
      <c r="WYA169" s="558"/>
      <c r="WYB169" s="558"/>
      <c r="WYC169" s="558"/>
      <c r="WYD169" s="558"/>
      <c r="WYE169" s="558"/>
      <c r="WYF169" s="558"/>
      <c r="WYG169" s="558"/>
      <c r="WYH169" s="558"/>
      <c r="WYI169" s="558"/>
      <c r="WYJ169" s="558"/>
      <c r="WYK169" s="558"/>
      <c r="WYL169" s="558"/>
      <c r="WYM169" s="558"/>
      <c r="WYN169" s="558"/>
      <c r="WYO169" s="558"/>
      <c r="WYP169" s="558"/>
      <c r="WYQ169" s="558"/>
      <c r="WYR169" s="558"/>
      <c r="WYS169" s="558"/>
      <c r="WYT169" s="558"/>
      <c r="WYU169" s="558"/>
      <c r="WYV169" s="558"/>
      <c r="WYW169" s="558"/>
      <c r="WYX169" s="558"/>
      <c r="WYY169" s="558"/>
      <c r="WYZ169" s="558"/>
      <c r="WZA169" s="558"/>
      <c r="WZB169" s="558"/>
      <c r="WZC169" s="558"/>
      <c r="WZD169" s="558"/>
      <c r="WZE169" s="558"/>
      <c r="WZF169" s="558"/>
      <c r="WZG169" s="558"/>
      <c r="WZH169" s="558"/>
      <c r="WZI169" s="558"/>
      <c r="WZJ169" s="558"/>
      <c r="WZK169" s="558"/>
      <c r="WZL169" s="558"/>
      <c r="WZM169" s="558"/>
      <c r="WZN169" s="558"/>
      <c r="WZO169" s="558"/>
      <c r="WZP169" s="558"/>
      <c r="WZQ169" s="558"/>
      <c r="WZR169" s="558"/>
      <c r="WZS169" s="558"/>
      <c r="WZT169" s="558"/>
      <c r="WZU169" s="558"/>
      <c r="WZV169" s="558"/>
      <c r="WZW169" s="558"/>
      <c r="WZX169" s="558"/>
      <c r="WZY169" s="558"/>
      <c r="WZZ169" s="558"/>
      <c r="XAA169" s="558"/>
      <c r="XAB169" s="558"/>
      <c r="XAC169" s="558"/>
      <c r="XAD169" s="558"/>
      <c r="XAE169" s="558"/>
      <c r="XAF169" s="558"/>
      <c r="XAG169" s="558"/>
      <c r="XAH169" s="558"/>
      <c r="XAI169" s="558"/>
      <c r="XAJ169" s="558"/>
      <c r="XAK169" s="558"/>
      <c r="XAL169" s="558"/>
      <c r="XAM169" s="558"/>
      <c r="XAN169" s="558"/>
      <c r="XAO169" s="558"/>
      <c r="XAP169" s="558"/>
      <c r="XAQ169" s="558"/>
      <c r="XAR169" s="558"/>
      <c r="XAS169" s="558"/>
      <c r="XAT169" s="558"/>
      <c r="XAU169" s="558"/>
      <c r="XAV169" s="558"/>
      <c r="XAW169" s="558"/>
      <c r="XAX169" s="558"/>
      <c r="XAY169" s="558"/>
      <c r="XAZ169" s="558"/>
      <c r="XBA169" s="558"/>
      <c r="XBB169" s="558"/>
      <c r="XBC169" s="558"/>
      <c r="XBD169" s="558"/>
      <c r="XBE169" s="558"/>
      <c r="XBF169" s="558"/>
      <c r="XBG169" s="558"/>
      <c r="XBH169" s="558"/>
      <c r="XBI169" s="558"/>
      <c r="XBJ169" s="558"/>
      <c r="XBK169" s="558"/>
      <c r="XBL169" s="558"/>
      <c r="XBM169" s="558"/>
      <c r="XBN169" s="558"/>
      <c r="XBO169" s="558"/>
      <c r="XBP169" s="558"/>
      <c r="XBQ169" s="558"/>
      <c r="XBR169" s="558"/>
      <c r="XBS169" s="558"/>
      <c r="XBT169" s="558"/>
      <c r="XBU169" s="558"/>
      <c r="XBV169" s="558"/>
      <c r="XBW169" s="558"/>
      <c r="XBX169" s="558"/>
      <c r="XBY169" s="558"/>
      <c r="XBZ169" s="558"/>
      <c r="XCA169" s="558"/>
      <c r="XCB169" s="558"/>
      <c r="XCC169" s="558"/>
      <c r="XCD169" s="558"/>
      <c r="XCE169" s="558"/>
      <c r="XCF169" s="558"/>
      <c r="XCG169" s="558"/>
      <c r="XCH169" s="558"/>
      <c r="XCI169" s="558"/>
      <c r="XCJ169" s="558"/>
      <c r="XCK169" s="558"/>
      <c r="XCL169" s="558"/>
      <c r="XCM169" s="558"/>
      <c r="XCN169" s="558"/>
      <c r="XCO169" s="558"/>
      <c r="XCP169" s="558"/>
      <c r="XCQ169" s="558"/>
      <c r="XCR169" s="558"/>
      <c r="XCS169" s="558"/>
      <c r="XCT169" s="558"/>
      <c r="XCU169" s="558"/>
      <c r="XCV169" s="558"/>
      <c r="XCW169" s="558"/>
      <c r="XCX169" s="558"/>
      <c r="XCY169" s="558"/>
      <c r="XCZ169" s="558"/>
      <c r="XDA169" s="558"/>
      <c r="XDB169" s="558"/>
      <c r="XDC169" s="558"/>
      <c r="XDD169" s="558"/>
      <c r="XDE169" s="558"/>
      <c r="XDF169" s="558"/>
      <c r="XDG169" s="558"/>
      <c r="XDH169" s="558"/>
      <c r="XDI169" s="558"/>
      <c r="XDJ169" s="558"/>
      <c r="XDK169" s="558"/>
      <c r="XDL169" s="558"/>
      <c r="XDM169" s="558"/>
      <c r="XDN169" s="558"/>
      <c r="XDO169" s="558"/>
      <c r="XDP169" s="558"/>
      <c r="XDQ169" s="558"/>
      <c r="XDR169" s="558"/>
      <c r="XDS169" s="558"/>
      <c r="XDT169" s="558"/>
      <c r="XDU169" s="558"/>
      <c r="XDV169" s="558"/>
      <c r="XDW169" s="558"/>
      <c r="XDX169" s="558"/>
      <c r="XDY169" s="558"/>
      <c r="XDZ169" s="558"/>
      <c r="XEA169" s="558"/>
      <c r="XEB169" s="558"/>
      <c r="XEC169" s="558"/>
      <c r="XED169" s="558"/>
      <c r="XEE169" s="558"/>
      <c r="XEF169" s="558"/>
      <c r="XEG169" s="558"/>
      <c r="XEH169" s="558"/>
      <c r="XEI169" s="558"/>
      <c r="XEJ169" s="558"/>
      <c r="XEK169" s="558"/>
      <c r="XEL169" s="558"/>
      <c r="XEM169" s="558"/>
      <c r="XEN169" s="558"/>
      <c r="XEO169" s="558"/>
      <c r="XEP169" s="558"/>
      <c r="XEQ169" s="558"/>
      <c r="XER169" s="558"/>
      <c r="XES169" s="558"/>
      <c r="XET169" s="558"/>
      <c r="XEU169" s="558"/>
      <c r="XEV169" s="558"/>
      <c r="XEW169" s="558"/>
      <c r="XEX169" s="558"/>
      <c r="XEY169" s="558"/>
      <c r="XEZ169" s="558"/>
      <c r="XFA169" s="558"/>
      <c r="XFB169" s="558"/>
      <c r="XFC169" s="558"/>
    </row>
    <row r="170" spans="1:16383">
      <c r="A170" s="3070" t="s">
        <v>2825</v>
      </c>
      <c r="B170" s="3070" t="s">
        <v>343</v>
      </c>
      <c r="C170" s="3070" t="s">
        <v>1774</v>
      </c>
      <c r="D170" s="3070">
        <v>59111.519999999997</v>
      </c>
      <c r="E170" s="3070">
        <v>216452</v>
      </c>
      <c r="F170" s="3070" t="s">
        <v>2826</v>
      </c>
      <c r="G170" s="3070" t="s">
        <v>1764</v>
      </c>
      <c r="H170" s="3070" t="s">
        <v>2827</v>
      </c>
      <c r="I170" s="3070" t="s">
        <v>2828</v>
      </c>
      <c r="J170" s="3070" t="s">
        <v>2828</v>
      </c>
      <c r="K170" s="3070">
        <v>668400</v>
      </c>
      <c r="L170" s="3070">
        <v>794000</v>
      </c>
      <c r="M170" s="3070">
        <v>36682.5</v>
      </c>
      <c r="N170" s="3070">
        <v>18.79</v>
      </c>
      <c r="O170" s="3070" t="s">
        <v>1863</v>
      </c>
      <c r="P170" s="3070" t="s">
        <v>1824</v>
      </c>
    </row>
    <row r="171" spans="1:16383">
      <c r="A171" s="3070" t="s">
        <v>2829</v>
      </c>
      <c r="B171" s="3070" t="s">
        <v>343</v>
      </c>
      <c r="C171" s="3070" t="s">
        <v>1774</v>
      </c>
      <c r="D171" s="3070">
        <v>168662.9</v>
      </c>
      <c r="E171" s="3070">
        <v>184119</v>
      </c>
      <c r="F171" s="3070" t="s">
        <v>2830</v>
      </c>
      <c r="G171" s="3070" t="s">
        <v>1764</v>
      </c>
      <c r="H171" s="3070" t="s">
        <v>1775</v>
      </c>
      <c r="I171" s="3070" t="s">
        <v>2831</v>
      </c>
      <c r="J171" s="3070" t="s">
        <v>2831</v>
      </c>
      <c r="K171" s="3070">
        <v>405000</v>
      </c>
      <c r="L171" s="3070">
        <v>430000</v>
      </c>
      <c r="M171" s="3070">
        <v>23354.45</v>
      </c>
      <c r="N171" s="3070">
        <v>6.17</v>
      </c>
      <c r="O171" s="3070" t="s">
        <v>2832</v>
      </c>
      <c r="P171" s="3070" t="s">
        <v>2821</v>
      </c>
    </row>
    <row r="172" spans="1:16383">
      <c r="A172" s="3070" t="s">
        <v>2833</v>
      </c>
      <c r="B172" s="3070" t="s">
        <v>343</v>
      </c>
      <c r="C172" s="3070" t="s">
        <v>1774</v>
      </c>
      <c r="D172" s="3070">
        <v>56736.89</v>
      </c>
      <c r="E172" s="3070">
        <v>162338</v>
      </c>
      <c r="F172" s="3070">
        <v>2.86</v>
      </c>
      <c r="G172" s="3070" t="s">
        <v>1764</v>
      </c>
      <c r="H172" s="3070" t="s">
        <v>2834</v>
      </c>
      <c r="I172" s="3070" t="s">
        <v>2835</v>
      </c>
      <c r="J172" s="3070" t="s">
        <v>2835</v>
      </c>
      <c r="K172" s="3070">
        <v>327700</v>
      </c>
      <c r="L172" s="3070">
        <v>372000</v>
      </c>
      <c r="M172" s="3070">
        <v>22915.15</v>
      </c>
      <c r="N172" s="3070">
        <v>13.52</v>
      </c>
      <c r="O172" s="3070" t="s">
        <v>2836</v>
      </c>
      <c r="P172" s="3070" t="s">
        <v>1824</v>
      </c>
    </row>
    <row r="173" spans="1:16383">
      <c r="A173" s="3070" t="s">
        <v>2837</v>
      </c>
      <c r="B173" s="3070" t="s">
        <v>343</v>
      </c>
      <c r="C173" s="3070" t="s">
        <v>1763</v>
      </c>
      <c r="D173" s="3070">
        <v>43166.27</v>
      </c>
      <c r="E173" s="3070">
        <v>131841</v>
      </c>
      <c r="F173" s="3070">
        <v>3.05</v>
      </c>
      <c r="G173" s="3070" t="s">
        <v>1764</v>
      </c>
      <c r="H173" s="3070" t="s">
        <v>1765</v>
      </c>
      <c r="I173" s="3070" t="s">
        <v>2838</v>
      </c>
      <c r="J173" s="3070" t="s">
        <v>2838</v>
      </c>
      <c r="K173" s="3070">
        <v>462400</v>
      </c>
      <c r="L173" s="3070">
        <v>584000</v>
      </c>
      <c r="M173" s="3070">
        <v>44295.77</v>
      </c>
      <c r="N173" s="3070">
        <v>26.3</v>
      </c>
      <c r="O173" s="3070" t="s">
        <v>1934</v>
      </c>
      <c r="P173" s="3070" t="s">
        <v>1824</v>
      </c>
    </row>
    <row r="174" spans="1:16383">
      <c r="A174" s="3070" t="s">
        <v>2839</v>
      </c>
      <c r="B174" s="3070" t="s">
        <v>343</v>
      </c>
      <c r="C174" s="3070" t="s">
        <v>1774</v>
      </c>
      <c r="D174" s="3070">
        <v>58664.08</v>
      </c>
      <c r="E174" s="3070">
        <v>163477</v>
      </c>
      <c r="F174" s="3070">
        <v>2.79</v>
      </c>
      <c r="G174" s="3070" t="s">
        <v>1764</v>
      </c>
      <c r="H174" s="3070" t="s">
        <v>1775</v>
      </c>
      <c r="I174" s="3070" t="s">
        <v>2838</v>
      </c>
      <c r="J174" s="3070" t="s">
        <v>2838</v>
      </c>
      <c r="K174" s="3070">
        <v>560000</v>
      </c>
      <c r="L174" s="3070">
        <v>702000</v>
      </c>
      <c r="M174" s="3070">
        <v>42941.81</v>
      </c>
      <c r="N174" s="3070">
        <v>25.36</v>
      </c>
      <c r="O174" s="3070" t="s">
        <v>2840</v>
      </c>
      <c r="P174" s="3070" t="s">
        <v>1824</v>
      </c>
    </row>
    <row r="175" spans="1:16383">
      <c r="A175" s="3070" t="s">
        <v>2841</v>
      </c>
      <c r="B175" s="3070" t="s">
        <v>343</v>
      </c>
      <c r="C175" s="3070" t="s">
        <v>1774</v>
      </c>
      <c r="D175" s="3070">
        <v>90247.13</v>
      </c>
      <c r="E175" s="3070">
        <v>290836</v>
      </c>
      <c r="F175" s="3070">
        <v>3.2229999999999999</v>
      </c>
      <c r="G175" s="3070" t="s">
        <v>1764</v>
      </c>
      <c r="H175" s="3070" t="s">
        <v>2842</v>
      </c>
      <c r="I175" s="3070" t="s">
        <v>2843</v>
      </c>
      <c r="J175" s="3070" t="s">
        <v>2843</v>
      </c>
      <c r="K175" s="3070">
        <v>498000</v>
      </c>
      <c r="L175" s="3070">
        <v>498000</v>
      </c>
      <c r="M175" s="3070">
        <v>17123.04</v>
      </c>
      <c r="N175" s="3070">
        <v>0</v>
      </c>
      <c r="O175" s="3070" t="s">
        <v>2844</v>
      </c>
      <c r="P175" s="3070" t="s">
        <v>1786</v>
      </c>
    </row>
    <row r="176" spans="1:16383">
      <c r="A176" s="3070" t="s">
        <v>2845</v>
      </c>
      <c r="B176" s="3070" t="s">
        <v>343</v>
      </c>
      <c r="C176" s="3070" t="s">
        <v>1763</v>
      </c>
      <c r="D176" s="3070">
        <v>27200</v>
      </c>
      <c r="E176" s="3070">
        <v>76160</v>
      </c>
      <c r="F176" s="3070">
        <v>2.8</v>
      </c>
      <c r="G176" s="3070" t="s">
        <v>1764</v>
      </c>
      <c r="H176" s="3070" t="s">
        <v>1765</v>
      </c>
      <c r="I176" s="3070" t="s">
        <v>2846</v>
      </c>
      <c r="J176" s="3070" t="s">
        <v>2846</v>
      </c>
      <c r="K176" s="3070">
        <v>298100</v>
      </c>
      <c r="L176" s="3070">
        <v>312500</v>
      </c>
      <c r="M176" s="3070">
        <v>41032.04</v>
      </c>
      <c r="N176" s="3070">
        <v>4.83</v>
      </c>
      <c r="O176" s="3070" t="s">
        <v>2847</v>
      </c>
      <c r="P176" s="3070" t="s">
        <v>1772</v>
      </c>
    </row>
    <row r="214" spans="14:14">
      <c r="N214" s="556">
        <f>3000/107437</f>
        <v>2.7923341120842913E-2</v>
      </c>
    </row>
    <row r="249" spans="14:14">
      <c r="N249" s="556">
        <f>10440+300*40+3000+1000</f>
        <v>26440</v>
      </c>
    </row>
    <row r="250" spans="14:14">
      <c r="N250" s="556">
        <f>N249/63070</f>
        <v>0.41921674330109404</v>
      </c>
    </row>
  </sheetData>
  <phoneticPr fontId="212"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3:A82"/>
  <sheetViews>
    <sheetView topLeftCell="A421" workbookViewId="0">
      <selection activeCell="A442" sqref="A442"/>
    </sheetView>
  </sheetViews>
  <sheetFormatPr defaultColWidth="8.875" defaultRowHeight="13.5"/>
  <sheetData>
    <row r="23" spans="1:1">
      <c r="A23" t="s">
        <v>1972</v>
      </c>
    </row>
    <row r="82" spans="1:1">
      <c r="A82" t="s">
        <v>1973</v>
      </c>
    </row>
  </sheetData>
  <phoneticPr fontId="212"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style="514" customWidth="1"/>
    <col min="2" max="9" width="8.25" style="513" customWidth="1"/>
    <col min="10" max="13" width="8.25" style="514"/>
    <col min="14" max="14" width="10" style="514" customWidth="1"/>
    <col min="15" max="16" width="8.25" style="514"/>
    <col min="17" max="17" width="34.125" style="514" customWidth="1"/>
    <col min="18" max="18" width="8.25" style="514" customWidth="1"/>
    <col min="19" max="19" width="8.25" style="514"/>
    <col min="20" max="20" width="11.625" style="514" customWidth="1"/>
    <col min="21" max="16384" width="8.25" style="514"/>
  </cols>
  <sheetData>
    <row r="1" spans="1:13" ht="19.5" customHeight="1">
      <c r="A1" s="515" t="s">
        <v>210</v>
      </c>
      <c r="B1" s="129" t="s">
        <v>232</v>
      </c>
      <c r="C1" s="129" t="s">
        <v>243</v>
      </c>
      <c r="D1" s="129" t="s">
        <v>253</v>
      </c>
      <c r="E1" s="129" t="s">
        <v>261</v>
      </c>
      <c r="F1" s="129" t="s">
        <v>269</v>
      </c>
      <c r="G1" s="129" t="s">
        <v>275</v>
      </c>
      <c r="H1" s="129" t="s">
        <v>280</v>
      </c>
      <c r="I1" s="129" t="s">
        <v>285</v>
      </c>
      <c r="J1" s="129" t="s">
        <v>288</v>
      </c>
      <c r="K1" s="129" t="s">
        <v>291</v>
      </c>
      <c r="L1" s="129" t="s">
        <v>294</v>
      </c>
      <c r="M1" s="130" t="s">
        <v>297</v>
      </c>
    </row>
    <row r="2" spans="1:13" ht="19.5" customHeight="1">
      <c r="A2" s="516" t="s">
        <v>465</v>
      </c>
      <c r="B2" s="517">
        <v>3.5</v>
      </c>
      <c r="C2" s="517">
        <v>3.5</v>
      </c>
      <c r="D2" s="518">
        <v>2.5</v>
      </c>
      <c r="E2" s="518">
        <v>2.5</v>
      </c>
      <c r="F2" s="518">
        <v>2.5</v>
      </c>
      <c r="G2" s="518">
        <v>2.5</v>
      </c>
      <c r="H2" s="518">
        <v>2.5</v>
      </c>
      <c r="I2" s="517">
        <v>2</v>
      </c>
      <c r="J2" s="517">
        <v>2</v>
      </c>
      <c r="K2" s="517">
        <v>2</v>
      </c>
      <c r="L2" s="517">
        <v>2</v>
      </c>
      <c r="M2" s="550">
        <v>2</v>
      </c>
    </row>
    <row r="3" spans="1:13" ht="19.5" customHeight="1">
      <c r="A3" s="519" t="s">
        <v>1974</v>
      </c>
      <c r="B3" s="520">
        <v>3.5</v>
      </c>
      <c r="C3" s="520">
        <v>3.5</v>
      </c>
      <c r="D3" s="521">
        <v>2.5</v>
      </c>
      <c r="E3" s="521">
        <v>2.5</v>
      </c>
      <c r="F3" s="521">
        <v>2.5</v>
      </c>
      <c r="G3" s="521">
        <v>2.5</v>
      </c>
      <c r="H3" s="521">
        <v>2.5</v>
      </c>
      <c r="I3" s="520">
        <v>2</v>
      </c>
      <c r="J3" s="520">
        <v>2</v>
      </c>
      <c r="K3" s="520">
        <v>2</v>
      </c>
      <c r="L3" s="520">
        <v>2</v>
      </c>
      <c r="M3" s="551">
        <v>2</v>
      </c>
    </row>
    <row r="4" spans="1:13" ht="19.5" customHeight="1">
      <c r="A4" s="519" t="s">
        <v>464</v>
      </c>
      <c r="B4" s="521">
        <v>2.5</v>
      </c>
      <c r="C4" s="521">
        <v>2.5</v>
      </c>
      <c r="D4" s="521">
        <v>2.5</v>
      </c>
      <c r="E4" s="521">
        <v>2.5</v>
      </c>
      <c r="F4" s="521">
        <v>2.5</v>
      </c>
      <c r="G4" s="521">
        <v>2.5</v>
      </c>
      <c r="H4" s="521">
        <v>2.5</v>
      </c>
      <c r="I4" s="520">
        <v>1.5</v>
      </c>
      <c r="J4" s="520">
        <v>1.5</v>
      </c>
      <c r="K4" s="520">
        <v>1.5</v>
      </c>
      <c r="L4" s="520">
        <v>1.5</v>
      </c>
      <c r="M4" s="551">
        <v>1.5</v>
      </c>
    </row>
    <row r="5" spans="1:13" ht="19.5" customHeight="1">
      <c r="A5" s="522" t="s">
        <v>1975</v>
      </c>
      <c r="B5" s="523">
        <v>1.5</v>
      </c>
      <c r="C5" s="523">
        <v>1.5</v>
      </c>
      <c r="D5" s="523">
        <v>1.5</v>
      </c>
      <c r="E5" s="523">
        <v>1.5</v>
      </c>
      <c r="F5" s="523">
        <v>1.5</v>
      </c>
      <c r="G5" s="524">
        <v>1.2</v>
      </c>
      <c r="H5" s="524">
        <v>1.2</v>
      </c>
      <c r="I5" s="524">
        <v>1</v>
      </c>
      <c r="J5" s="524">
        <v>1</v>
      </c>
      <c r="K5" s="524">
        <v>1</v>
      </c>
      <c r="L5" s="524">
        <v>1</v>
      </c>
      <c r="M5" s="552">
        <v>1</v>
      </c>
    </row>
    <row r="6" spans="1:13" ht="19.5" customHeight="1">
      <c r="A6" s="525" t="s">
        <v>396</v>
      </c>
      <c r="B6" s="526">
        <v>80</v>
      </c>
      <c r="C6" s="526">
        <v>80</v>
      </c>
      <c r="D6" s="526">
        <v>65</v>
      </c>
      <c r="E6" s="526">
        <v>65</v>
      </c>
      <c r="F6" s="526">
        <v>65</v>
      </c>
      <c r="G6" s="526">
        <v>65</v>
      </c>
      <c r="H6" s="526">
        <v>65</v>
      </c>
      <c r="I6" s="526">
        <v>50</v>
      </c>
      <c r="J6" s="526">
        <v>50</v>
      </c>
      <c r="K6" s="526">
        <v>50</v>
      </c>
      <c r="L6" s="526">
        <v>50</v>
      </c>
      <c r="M6" s="553">
        <v>50</v>
      </c>
    </row>
    <row r="7" spans="1:13" ht="19.5" customHeight="1">
      <c r="A7" s="527" t="s">
        <v>397</v>
      </c>
      <c r="B7" s="528">
        <v>70</v>
      </c>
      <c r="C7" s="528">
        <v>70</v>
      </c>
      <c r="D7" s="528">
        <v>55</v>
      </c>
      <c r="E7" s="528">
        <v>55</v>
      </c>
      <c r="F7" s="528">
        <v>55</v>
      </c>
      <c r="G7" s="528">
        <v>55</v>
      </c>
      <c r="H7" s="528">
        <v>55</v>
      </c>
      <c r="I7" s="528">
        <v>40</v>
      </c>
      <c r="J7" s="528">
        <v>40</v>
      </c>
      <c r="K7" s="528">
        <v>40</v>
      </c>
      <c r="L7" s="528">
        <v>40</v>
      </c>
      <c r="M7" s="554">
        <v>40</v>
      </c>
    </row>
    <row r="8" spans="1:13" ht="19.5" customHeight="1">
      <c r="A8" s="527" t="s">
        <v>398</v>
      </c>
      <c r="B8" s="528">
        <v>20</v>
      </c>
      <c r="C8" s="528">
        <v>20</v>
      </c>
      <c r="D8" s="528">
        <v>15</v>
      </c>
      <c r="E8" s="528">
        <v>15</v>
      </c>
      <c r="F8" s="528">
        <v>15</v>
      </c>
      <c r="G8" s="528">
        <v>15</v>
      </c>
      <c r="H8" s="528">
        <v>15</v>
      </c>
      <c r="I8" s="528">
        <v>10</v>
      </c>
      <c r="J8" s="528">
        <v>10</v>
      </c>
      <c r="K8" s="528">
        <v>10</v>
      </c>
      <c r="L8" s="528">
        <v>10</v>
      </c>
      <c r="M8" s="554">
        <v>10</v>
      </c>
    </row>
    <row r="9" spans="1:13" ht="19.5" customHeight="1">
      <c r="A9" s="527" t="s">
        <v>399</v>
      </c>
      <c r="B9" s="528">
        <v>30</v>
      </c>
      <c r="C9" s="528">
        <v>30</v>
      </c>
      <c r="D9" s="528">
        <v>25</v>
      </c>
      <c r="E9" s="528">
        <v>25</v>
      </c>
      <c r="F9" s="528">
        <v>25</v>
      </c>
      <c r="G9" s="528">
        <v>25</v>
      </c>
      <c r="H9" s="528">
        <v>25</v>
      </c>
      <c r="I9" s="528">
        <v>20</v>
      </c>
      <c r="J9" s="528">
        <v>20</v>
      </c>
      <c r="K9" s="528">
        <v>20</v>
      </c>
      <c r="L9" s="528">
        <v>20</v>
      </c>
      <c r="M9" s="554">
        <v>20</v>
      </c>
    </row>
    <row r="10" spans="1:13" ht="19.5" customHeight="1">
      <c r="A10" s="527" t="s">
        <v>400</v>
      </c>
      <c r="B10" s="528">
        <v>45</v>
      </c>
      <c r="C10" s="528">
        <v>45</v>
      </c>
      <c r="D10" s="528">
        <v>35</v>
      </c>
      <c r="E10" s="528">
        <v>35</v>
      </c>
      <c r="F10" s="528">
        <v>35</v>
      </c>
      <c r="G10" s="528">
        <v>35</v>
      </c>
      <c r="H10" s="528">
        <v>35</v>
      </c>
      <c r="I10" s="528">
        <v>25</v>
      </c>
      <c r="J10" s="528">
        <v>25</v>
      </c>
      <c r="K10" s="528">
        <v>25</v>
      </c>
      <c r="L10" s="528">
        <v>25</v>
      </c>
      <c r="M10" s="554">
        <v>25</v>
      </c>
    </row>
    <row r="11" spans="1:13" ht="19.5" customHeight="1">
      <c r="A11" s="527" t="s">
        <v>401</v>
      </c>
      <c r="B11" s="528">
        <v>60</v>
      </c>
      <c r="C11" s="528">
        <v>60</v>
      </c>
      <c r="D11" s="528">
        <v>50</v>
      </c>
      <c r="E11" s="528">
        <v>50</v>
      </c>
      <c r="F11" s="528">
        <v>50</v>
      </c>
      <c r="G11" s="528">
        <v>50</v>
      </c>
      <c r="H11" s="528">
        <v>50</v>
      </c>
      <c r="I11" s="528">
        <v>40</v>
      </c>
      <c r="J11" s="528">
        <v>40</v>
      </c>
      <c r="K11" s="528">
        <v>40</v>
      </c>
      <c r="L11" s="528">
        <v>40</v>
      </c>
      <c r="M11" s="554">
        <v>40</v>
      </c>
    </row>
    <row r="12" spans="1:13" ht="19.5" customHeight="1">
      <c r="A12" s="527" t="s">
        <v>402</v>
      </c>
      <c r="B12" s="528">
        <v>50</v>
      </c>
      <c r="C12" s="528">
        <v>50</v>
      </c>
      <c r="D12" s="528">
        <v>40</v>
      </c>
      <c r="E12" s="528">
        <v>40</v>
      </c>
      <c r="F12" s="528">
        <v>40</v>
      </c>
      <c r="G12" s="528">
        <v>40</v>
      </c>
      <c r="H12" s="528">
        <v>40</v>
      </c>
      <c r="I12" s="528">
        <v>30</v>
      </c>
      <c r="J12" s="528">
        <v>30</v>
      </c>
      <c r="K12" s="528">
        <v>30</v>
      </c>
      <c r="L12" s="528">
        <v>30</v>
      </c>
      <c r="M12" s="554">
        <v>30</v>
      </c>
    </row>
    <row r="13" spans="1:13" ht="19.5" customHeight="1">
      <c r="A13" s="529" t="s">
        <v>1976</v>
      </c>
      <c r="B13" s="530">
        <v>20</v>
      </c>
      <c r="C13" s="530">
        <v>20</v>
      </c>
      <c r="D13" s="530">
        <v>15</v>
      </c>
      <c r="E13" s="530">
        <v>15</v>
      </c>
      <c r="F13" s="530">
        <v>15</v>
      </c>
      <c r="G13" s="530">
        <v>15</v>
      </c>
      <c r="H13" s="530">
        <v>15</v>
      </c>
      <c r="I13" s="530">
        <v>10</v>
      </c>
      <c r="J13" s="530">
        <v>10</v>
      </c>
      <c r="K13" s="530">
        <v>10</v>
      </c>
      <c r="L13" s="530">
        <v>10</v>
      </c>
      <c r="M13" s="555">
        <v>10</v>
      </c>
    </row>
    <row r="14" spans="1:13" ht="19.5" customHeight="1">
      <c r="A14" s="528" t="s">
        <v>124</v>
      </c>
      <c r="B14" s="531">
        <v>0</v>
      </c>
      <c r="C14" s="531">
        <v>0</v>
      </c>
      <c r="D14" s="531">
        <v>0</v>
      </c>
      <c r="E14" s="531">
        <v>0</v>
      </c>
      <c r="F14" s="531">
        <v>0</v>
      </c>
      <c r="G14" s="531">
        <v>0</v>
      </c>
      <c r="H14" s="531">
        <v>0</v>
      </c>
      <c r="I14" s="531">
        <v>0</v>
      </c>
      <c r="J14" s="531">
        <v>0</v>
      </c>
      <c r="K14" s="531">
        <v>0</v>
      </c>
      <c r="L14" s="531">
        <v>0</v>
      </c>
      <c r="M14" s="531">
        <v>0</v>
      </c>
    </row>
    <row r="15" spans="1:13" ht="19.5" customHeight="1">
      <c r="A15" s="528" t="s">
        <v>1977</v>
      </c>
      <c r="B15" s="531">
        <f>SUM(B6:B13)</f>
        <v>375</v>
      </c>
      <c r="C15" s="531">
        <f t="shared" ref="C15:H15" si="0">SUM(C6:C13)</f>
        <v>375</v>
      </c>
      <c r="D15" s="531">
        <f t="shared" si="0"/>
        <v>300</v>
      </c>
      <c r="E15" s="531">
        <f t="shared" si="0"/>
        <v>300</v>
      </c>
      <c r="F15" s="531">
        <f t="shared" si="0"/>
        <v>300</v>
      </c>
      <c r="G15" s="531">
        <f t="shared" si="0"/>
        <v>300</v>
      </c>
      <c r="H15" s="531">
        <f t="shared" si="0"/>
        <v>300</v>
      </c>
      <c r="I15" s="531">
        <f>SUM(I6:I10,I13)</f>
        <v>155</v>
      </c>
      <c r="J15" s="531">
        <f>SUM(J6:J10,J13)</f>
        <v>155</v>
      </c>
      <c r="K15" s="531">
        <f>SUM(K6:K10,K13)</f>
        <v>155</v>
      </c>
      <c r="L15" s="531">
        <f>SUM(L6:L10,L13)</f>
        <v>155</v>
      </c>
      <c r="M15" s="531">
        <f>SUM(M6:M10,M13)</f>
        <v>155</v>
      </c>
    </row>
    <row r="16" spans="1:13" ht="19.5" customHeight="1">
      <c r="A16" s="532" t="s">
        <v>1978</v>
      </c>
      <c r="B16" s="532"/>
      <c r="C16" s="533"/>
      <c r="D16" s="533"/>
      <c r="E16" s="532"/>
      <c r="F16" s="533"/>
      <c r="G16" s="533"/>
    </row>
    <row r="17" spans="1:9" ht="19.5" customHeight="1">
      <c r="A17" s="528" t="s">
        <v>1979</v>
      </c>
      <c r="B17" s="534" t="s">
        <v>1980</v>
      </c>
      <c r="C17" s="534" t="s">
        <v>1981</v>
      </c>
      <c r="D17" s="535"/>
      <c r="E17" s="528" t="s">
        <v>1982</v>
      </c>
      <c r="F17" s="536"/>
      <c r="G17" s="536"/>
    </row>
    <row r="18" spans="1:9" s="512" customFormat="1" ht="19.5" customHeight="1">
      <c r="A18" s="3396" t="s">
        <v>465</v>
      </c>
      <c r="B18" s="537" t="s">
        <v>1983</v>
      </c>
      <c r="C18" s="538" t="s">
        <v>1984</v>
      </c>
      <c r="D18" s="539"/>
      <c r="E18" s="537">
        <v>1</v>
      </c>
      <c r="F18" s="540" t="s">
        <v>1985</v>
      </c>
      <c r="G18" s="541"/>
      <c r="H18" s="513"/>
      <c r="I18" s="513"/>
    </row>
    <row r="19" spans="1:9" s="512" customFormat="1" ht="19.5" customHeight="1">
      <c r="A19" s="3396"/>
      <c r="B19" s="3396" t="s">
        <v>1986</v>
      </c>
      <c r="C19" s="538" t="s">
        <v>1987</v>
      </c>
      <c r="D19" s="539"/>
      <c r="E19" s="537">
        <v>0.9</v>
      </c>
      <c r="F19" s="540" t="s">
        <v>1988</v>
      </c>
      <c r="G19" s="541"/>
      <c r="H19" s="513"/>
      <c r="I19" s="513"/>
    </row>
    <row r="20" spans="1:9" s="512" customFormat="1" ht="19.5" customHeight="1">
      <c r="A20" s="3396"/>
      <c r="B20" s="3396"/>
      <c r="C20" s="538" t="s">
        <v>1989</v>
      </c>
      <c r="D20" s="539"/>
      <c r="E20" s="537">
        <v>1.1000000000000001</v>
      </c>
      <c r="F20" s="540" t="s">
        <v>1990</v>
      </c>
      <c r="G20" s="541"/>
      <c r="H20" s="513"/>
      <c r="I20" s="513"/>
    </row>
    <row r="21" spans="1:9" s="512" customFormat="1" ht="19.5" customHeight="1">
      <c r="A21" s="3396"/>
      <c r="B21" s="3396"/>
      <c r="C21" s="538" t="s">
        <v>1991</v>
      </c>
      <c r="D21" s="539"/>
      <c r="E21" s="537">
        <v>0.8</v>
      </c>
      <c r="F21" s="540" t="s">
        <v>1992</v>
      </c>
      <c r="G21" s="541"/>
      <c r="H21" s="513"/>
      <c r="I21" s="513"/>
    </row>
    <row r="22" spans="1:9" s="512" customFormat="1" ht="19.5" customHeight="1">
      <c r="A22" s="3396"/>
      <c r="B22" s="3396"/>
      <c r="C22" s="538" t="s">
        <v>1993</v>
      </c>
      <c r="D22" s="539"/>
      <c r="E22" s="537">
        <v>0.5</v>
      </c>
      <c r="F22" s="540"/>
      <c r="G22" s="541"/>
      <c r="H22" s="513"/>
      <c r="I22" s="513"/>
    </row>
    <row r="23" spans="1:9" s="512" customFormat="1" ht="19.5" customHeight="1">
      <c r="A23" s="3396" t="s">
        <v>1974</v>
      </c>
      <c r="B23" s="537" t="s">
        <v>1983</v>
      </c>
      <c r="C23" s="538" t="s">
        <v>1994</v>
      </c>
      <c r="D23" s="539"/>
      <c r="E23" s="537">
        <v>1</v>
      </c>
      <c r="F23" s="540" t="s">
        <v>1995</v>
      </c>
      <c r="G23" s="541"/>
      <c r="H23" s="513"/>
      <c r="I23" s="513"/>
    </row>
    <row r="24" spans="1:9" s="512" customFormat="1" ht="19.5" customHeight="1">
      <c r="A24" s="3396"/>
      <c r="B24" s="3396" t="s">
        <v>1986</v>
      </c>
      <c r="C24" s="538" t="s">
        <v>1996</v>
      </c>
      <c r="D24" s="539"/>
      <c r="E24" s="537">
        <v>0.5</v>
      </c>
      <c r="F24" s="540"/>
      <c r="G24" s="541"/>
      <c r="H24" s="513"/>
      <c r="I24" s="513"/>
    </row>
    <row r="25" spans="1:9" s="512" customFormat="1" ht="19.5" customHeight="1">
      <c r="A25" s="3396"/>
      <c r="B25" s="3396"/>
      <c r="C25" s="538" t="s">
        <v>1997</v>
      </c>
      <c r="D25" s="539"/>
      <c r="E25" s="537">
        <v>1.1000000000000001</v>
      </c>
      <c r="F25" s="540"/>
      <c r="G25" s="541"/>
      <c r="H25" s="513"/>
      <c r="I25" s="513"/>
    </row>
    <row r="26" spans="1:9" s="512" customFormat="1" ht="19.5" customHeight="1">
      <c r="A26" s="3396"/>
      <c r="B26" s="3396"/>
      <c r="C26" s="538" t="s">
        <v>1998</v>
      </c>
      <c r="D26" s="539"/>
      <c r="E26" s="537">
        <v>1.1000000000000001</v>
      </c>
      <c r="F26" s="540"/>
      <c r="G26" s="541"/>
      <c r="H26" s="513"/>
      <c r="I26" s="513"/>
    </row>
    <row r="27" spans="1:9" s="512" customFormat="1" ht="19.5" customHeight="1">
      <c r="A27" s="3396"/>
      <c r="B27" s="3396"/>
      <c r="C27" s="538" t="s">
        <v>1999</v>
      </c>
      <c r="D27" s="539"/>
      <c r="E27" s="537">
        <v>0.9</v>
      </c>
      <c r="F27" s="540" t="s">
        <v>2000</v>
      </c>
      <c r="G27" s="541"/>
      <c r="H27" s="513"/>
      <c r="I27" s="513"/>
    </row>
    <row r="28" spans="1:9" s="512" customFormat="1" ht="19.5" customHeight="1">
      <c r="A28" s="3396"/>
      <c r="B28" s="3396"/>
      <c r="C28" s="538" t="s">
        <v>2001</v>
      </c>
      <c r="D28" s="539"/>
      <c r="E28" s="537">
        <v>0.9</v>
      </c>
      <c r="F28" s="540" t="s">
        <v>2002</v>
      </c>
      <c r="G28" s="541"/>
      <c r="H28" s="513"/>
      <c r="I28" s="513"/>
    </row>
    <row r="29" spans="1:9" s="512" customFormat="1" ht="19.5" customHeight="1">
      <c r="A29" s="3396"/>
      <c r="B29" s="3396"/>
      <c r="C29" s="538" t="s">
        <v>2003</v>
      </c>
      <c r="D29" s="539"/>
      <c r="E29" s="537">
        <v>0.9</v>
      </c>
      <c r="F29" s="540" t="s">
        <v>2004</v>
      </c>
      <c r="G29" s="541"/>
      <c r="H29" s="513"/>
      <c r="I29" s="513"/>
    </row>
    <row r="30" spans="1:9" s="512" customFormat="1" ht="19.5" customHeight="1">
      <c r="A30" s="3396"/>
      <c r="B30" s="3396"/>
      <c r="C30" s="538" t="s">
        <v>2005</v>
      </c>
      <c r="D30" s="539"/>
      <c r="E30" s="537">
        <v>0.9</v>
      </c>
      <c r="F30" s="540" t="s">
        <v>2006</v>
      </c>
      <c r="G30" s="541"/>
      <c r="H30" s="513"/>
      <c r="I30" s="513"/>
    </row>
    <row r="31" spans="1:9" s="512" customFormat="1" ht="19.5" customHeight="1">
      <c r="A31" s="3396"/>
      <c r="B31" s="3396"/>
      <c r="C31" s="538" t="s">
        <v>2007</v>
      </c>
      <c r="D31" s="539"/>
      <c r="E31" s="537">
        <v>0.8</v>
      </c>
      <c r="F31" s="540" t="s">
        <v>2008</v>
      </c>
      <c r="G31" s="541"/>
      <c r="H31" s="513"/>
      <c r="I31" s="513"/>
    </row>
    <row r="32" spans="1:9" s="512" customFormat="1" ht="19.5" customHeight="1">
      <c r="A32" s="3396"/>
      <c r="B32" s="3396"/>
      <c r="C32" s="538" t="s">
        <v>2009</v>
      </c>
      <c r="D32" s="539"/>
      <c r="E32" s="537">
        <v>0.8</v>
      </c>
      <c r="F32" s="540" t="s">
        <v>2010</v>
      </c>
      <c r="G32" s="541"/>
      <c r="H32" s="513"/>
      <c r="I32" s="513"/>
    </row>
    <row r="33" spans="1:9" s="512" customFormat="1" ht="19.5" customHeight="1">
      <c r="A33" s="3396" t="s">
        <v>2011</v>
      </c>
      <c r="B33" s="537" t="s">
        <v>1983</v>
      </c>
      <c r="C33" s="538" t="s">
        <v>1558</v>
      </c>
      <c r="D33" s="539"/>
      <c r="E33" s="537">
        <v>1</v>
      </c>
      <c r="F33" s="540" t="s">
        <v>2012</v>
      </c>
      <c r="G33" s="541"/>
      <c r="H33" s="513"/>
      <c r="I33" s="513"/>
    </row>
    <row r="34" spans="1:9" s="512" customFormat="1" ht="19.5" customHeight="1">
      <c r="A34" s="3396"/>
      <c r="B34" s="537" t="s">
        <v>1986</v>
      </c>
      <c r="C34" s="538" t="s">
        <v>2013</v>
      </c>
      <c r="D34" s="539"/>
      <c r="E34" s="537">
        <v>1.5</v>
      </c>
      <c r="F34" s="540" t="s">
        <v>2014</v>
      </c>
      <c r="G34" s="541"/>
      <c r="H34" s="513"/>
      <c r="I34" s="513"/>
    </row>
    <row r="35" spans="1:9" s="512" customFormat="1" ht="19.5" customHeight="1">
      <c r="A35" s="3396" t="s">
        <v>1975</v>
      </c>
      <c r="B35" s="537" t="s">
        <v>1983</v>
      </c>
      <c r="C35" s="538" t="s">
        <v>2015</v>
      </c>
      <c r="D35" s="539"/>
      <c r="E35" s="537">
        <v>1</v>
      </c>
      <c r="F35" s="540" t="s">
        <v>2016</v>
      </c>
      <c r="G35" s="541"/>
      <c r="H35" s="513"/>
      <c r="I35" s="513"/>
    </row>
    <row r="36" spans="1:9" s="512" customFormat="1" ht="19.5" customHeight="1">
      <c r="A36" s="3396"/>
      <c r="B36" s="3396" t="s">
        <v>1986</v>
      </c>
      <c r="C36" s="538" t="s">
        <v>2017</v>
      </c>
      <c r="D36" s="539"/>
      <c r="E36" s="537">
        <v>1</v>
      </c>
      <c r="F36" s="540" t="s">
        <v>2018</v>
      </c>
      <c r="G36" s="541"/>
      <c r="H36" s="513"/>
      <c r="I36" s="513"/>
    </row>
    <row r="37" spans="1:9" s="512" customFormat="1" ht="19.5" customHeight="1">
      <c r="A37" s="3396"/>
      <c r="B37" s="3396"/>
      <c r="C37" s="538" t="s">
        <v>2019</v>
      </c>
      <c r="D37" s="539"/>
      <c r="E37" s="537">
        <v>1.5</v>
      </c>
      <c r="F37" s="540" t="s">
        <v>2020</v>
      </c>
      <c r="G37" s="541"/>
      <c r="H37" s="513"/>
      <c r="I37" s="513"/>
    </row>
    <row r="38" spans="1:9" s="512" customFormat="1" ht="19.5" customHeight="1">
      <c r="A38" s="3396"/>
      <c r="B38" s="3396"/>
      <c r="C38" s="538" t="s">
        <v>2021</v>
      </c>
      <c r="D38" s="539"/>
      <c r="E38" s="537">
        <v>1</v>
      </c>
      <c r="F38" s="540" t="s">
        <v>2022</v>
      </c>
      <c r="G38" s="541"/>
      <c r="H38" s="513"/>
      <c r="I38" s="513"/>
    </row>
    <row r="39" spans="1:9" s="512" customFormat="1" ht="19.5" customHeight="1">
      <c r="A39" s="3396"/>
      <c r="B39" s="3396"/>
      <c r="C39" s="538" t="s">
        <v>2023</v>
      </c>
      <c r="D39" s="539"/>
      <c r="E39" s="537">
        <v>1</v>
      </c>
      <c r="F39" s="540" t="s">
        <v>2024</v>
      </c>
      <c r="G39" s="541"/>
      <c r="H39" s="513"/>
      <c r="I39" s="513"/>
    </row>
    <row r="40" spans="1:9" s="512" customFormat="1" ht="19.5" customHeight="1">
      <c r="A40" s="542" t="s">
        <v>2025</v>
      </c>
      <c r="B40" s="542"/>
      <c r="C40" s="542"/>
      <c r="D40" s="542"/>
      <c r="E40" s="542"/>
      <c r="F40" s="543"/>
      <c r="G40" s="543"/>
      <c r="H40" s="513"/>
      <c r="I40" s="513"/>
    </row>
    <row r="42" spans="1:9" ht="19.5" customHeight="1">
      <c r="A42" s="544"/>
      <c r="B42" s="528" t="s">
        <v>458</v>
      </c>
      <c r="C42" s="528" t="s">
        <v>458</v>
      </c>
      <c r="D42" s="528" t="s">
        <v>458</v>
      </c>
      <c r="E42" s="530" t="s">
        <v>458</v>
      </c>
      <c r="F42" s="530" t="s">
        <v>458</v>
      </c>
      <c r="G42" s="530" t="s">
        <v>2026</v>
      </c>
      <c r="H42" s="530" t="s">
        <v>458</v>
      </c>
    </row>
    <row r="43" spans="1:9" ht="19.5" customHeight="1">
      <c r="A43" s="545"/>
      <c r="B43" s="530" t="s">
        <v>465</v>
      </c>
      <c r="C43" s="530" t="s">
        <v>465</v>
      </c>
      <c r="D43" s="530" t="s">
        <v>465</v>
      </c>
      <c r="E43" s="530" t="s">
        <v>465</v>
      </c>
      <c r="F43" s="528" t="s">
        <v>1974</v>
      </c>
      <c r="G43" s="528" t="s">
        <v>1975</v>
      </c>
      <c r="H43" s="528" t="s">
        <v>2027</v>
      </c>
    </row>
    <row r="44" spans="1:9" ht="19.5" customHeight="1">
      <c r="A44" s="546"/>
      <c r="B44" s="528">
        <v>1</v>
      </c>
      <c r="C44" s="528">
        <v>2</v>
      </c>
      <c r="D44" s="528">
        <v>3</v>
      </c>
      <c r="E44" s="530">
        <v>4</v>
      </c>
      <c r="F44" s="535" t="s">
        <v>2028</v>
      </c>
      <c r="G44" s="535" t="s">
        <v>2028</v>
      </c>
      <c r="H44" s="535" t="s">
        <v>2028</v>
      </c>
    </row>
    <row r="45" spans="1:9" ht="19.5" customHeight="1">
      <c r="A45" s="547" t="s">
        <v>232</v>
      </c>
      <c r="B45" s="528">
        <v>0.8</v>
      </c>
      <c r="C45" s="528">
        <v>0.5</v>
      </c>
      <c r="D45" s="528">
        <v>0.36</v>
      </c>
      <c r="E45" s="528">
        <v>0.3</v>
      </c>
      <c r="F45" s="535">
        <v>0.3</v>
      </c>
      <c r="G45" s="528">
        <v>0.3</v>
      </c>
      <c r="H45" s="528">
        <v>0.25</v>
      </c>
    </row>
    <row r="46" spans="1:9" ht="19.5" customHeight="1">
      <c r="A46" s="547" t="s">
        <v>243</v>
      </c>
      <c r="B46" s="528">
        <v>0.8</v>
      </c>
      <c r="C46" s="528">
        <v>0.5</v>
      </c>
      <c r="D46" s="528">
        <v>0.36</v>
      </c>
      <c r="E46" s="528">
        <v>0.3</v>
      </c>
      <c r="F46" s="528">
        <v>0.3</v>
      </c>
      <c r="G46" s="528">
        <v>0.3</v>
      </c>
      <c r="H46" s="528">
        <v>0.25</v>
      </c>
    </row>
    <row r="47" spans="1:9" ht="19.5" customHeight="1">
      <c r="A47" s="547" t="s">
        <v>253</v>
      </c>
      <c r="B47" s="528">
        <v>0.7</v>
      </c>
      <c r="C47" s="528">
        <v>0.4</v>
      </c>
      <c r="D47" s="528">
        <v>0.28000000000000003</v>
      </c>
      <c r="E47" s="528">
        <v>0.25</v>
      </c>
      <c r="F47" s="528">
        <v>0.25</v>
      </c>
      <c r="G47" s="528">
        <v>0.25</v>
      </c>
      <c r="H47" s="528">
        <v>0.2</v>
      </c>
    </row>
    <row r="48" spans="1:9" ht="19.5" customHeight="1">
      <c r="A48" s="547" t="s">
        <v>261</v>
      </c>
      <c r="B48" s="528">
        <v>0.7</v>
      </c>
      <c r="C48" s="528">
        <v>0.4</v>
      </c>
      <c r="D48" s="528">
        <v>0.28000000000000003</v>
      </c>
      <c r="E48" s="528">
        <v>0.25</v>
      </c>
      <c r="F48" s="528">
        <v>0.25</v>
      </c>
      <c r="G48" s="528">
        <v>0.25</v>
      </c>
      <c r="H48" s="528">
        <v>0.2</v>
      </c>
    </row>
    <row r="49" spans="1:8" s="513" customFormat="1" ht="19.5" customHeight="1">
      <c r="A49" s="547" t="s">
        <v>269</v>
      </c>
      <c r="B49" s="528">
        <v>0.7</v>
      </c>
      <c r="C49" s="528">
        <v>0.4</v>
      </c>
      <c r="D49" s="528">
        <v>0.28000000000000003</v>
      </c>
      <c r="E49" s="528">
        <v>0.25</v>
      </c>
      <c r="F49" s="528">
        <v>0.25</v>
      </c>
      <c r="G49" s="528">
        <v>0.25</v>
      </c>
      <c r="H49" s="528">
        <v>0.2</v>
      </c>
    </row>
    <row r="50" spans="1:8" s="513" customFormat="1" ht="19.5" customHeight="1">
      <c r="A50" s="547" t="s">
        <v>275</v>
      </c>
      <c r="B50" s="528">
        <v>0.7</v>
      </c>
      <c r="C50" s="528">
        <v>0.4</v>
      </c>
      <c r="D50" s="528">
        <v>0.28000000000000003</v>
      </c>
      <c r="E50" s="528">
        <v>0.25</v>
      </c>
      <c r="F50" s="528">
        <v>0.25</v>
      </c>
      <c r="G50" s="528">
        <v>0.25</v>
      </c>
      <c r="H50" s="528">
        <v>0.2</v>
      </c>
    </row>
    <row r="51" spans="1:8" s="513" customFormat="1" ht="19.5" customHeight="1">
      <c r="A51" s="547" t="s">
        <v>280</v>
      </c>
      <c r="B51" s="528">
        <v>0.7</v>
      </c>
      <c r="C51" s="528">
        <v>0.4</v>
      </c>
      <c r="D51" s="528">
        <v>0.28000000000000003</v>
      </c>
      <c r="E51" s="528">
        <v>0.25</v>
      </c>
      <c r="F51" s="528">
        <v>0.25</v>
      </c>
      <c r="G51" s="528">
        <v>0.25</v>
      </c>
      <c r="H51" s="528">
        <v>0.2</v>
      </c>
    </row>
    <row r="52" spans="1:8" s="513" customFormat="1" ht="19.5" customHeight="1">
      <c r="A52" s="547" t="s">
        <v>285</v>
      </c>
      <c r="B52" s="528">
        <v>0.6</v>
      </c>
      <c r="C52" s="528">
        <v>0.3</v>
      </c>
      <c r="D52" s="528">
        <v>0.2</v>
      </c>
      <c r="E52" s="528">
        <v>0.2</v>
      </c>
      <c r="F52" s="528">
        <v>0.2</v>
      </c>
      <c r="G52" s="528">
        <v>0.2</v>
      </c>
      <c r="H52" s="528">
        <v>0.15</v>
      </c>
    </row>
    <row r="53" spans="1:8" s="513" customFormat="1" ht="19.5" customHeight="1">
      <c r="A53" s="547" t="s">
        <v>288</v>
      </c>
      <c r="B53" s="528">
        <v>0.6</v>
      </c>
      <c r="C53" s="528">
        <v>0.3</v>
      </c>
      <c r="D53" s="528">
        <v>0.2</v>
      </c>
      <c r="E53" s="528">
        <v>0.2</v>
      </c>
      <c r="F53" s="528">
        <v>0.2</v>
      </c>
      <c r="G53" s="528">
        <v>0.2</v>
      </c>
      <c r="H53" s="528">
        <v>0.15</v>
      </c>
    </row>
    <row r="54" spans="1:8" s="513" customFormat="1" ht="19.5" customHeight="1">
      <c r="A54" s="547" t="s">
        <v>291</v>
      </c>
      <c r="B54" s="528">
        <v>0.6</v>
      </c>
      <c r="C54" s="528">
        <v>0.3</v>
      </c>
      <c r="D54" s="528">
        <v>0.2</v>
      </c>
      <c r="E54" s="528">
        <v>0.2</v>
      </c>
      <c r="F54" s="528">
        <v>0.2</v>
      </c>
      <c r="G54" s="528">
        <v>0.2</v>
      </c>
      <c r="H54" s="528">
        <v>0.15</v>
      </c>
    </row>
    <row r="55" spans="1:8" s="513" customFormat="1" ht="19.5" customHeight="1">
      <c r="A55" s="547" t="s">
        <v>294</v>
      </c>
      <c r="B55" s="528">
        <v>0.6</v>
      </c>
      <c r="C55" s="528">
        <v>0.3</v>
      </c>
      <c r="D55" s="528">
        <v>0.2</v>
      </c>
      <c r="E55" s="528">
        <v>0.2</v>
      </c>
      <c r="F55" s="528">
        <v>0.2</v>
      </c>
      <c r="G55" s="528">
        <v>0.2</v>
      </c>
      <c r="H55" s="528">
        <v>0.15</v>
      </c>
    </row>
    <row r="56" spans="1:8" s="513" customFormat="1" ht="19.5" customHeight="1">
      <c r="A56" s="547" t="s">
        <v>297</v>
      </c>
      <c r="B56" s="528">
        <v>0.6</v>
      </c>
      <c r="C56" s="528">
        <v>0.3</v>
      </c>
      <c r="D56" s="528">
        <v>0.2</v>
      </c>
      <c r="E56" s="528">
        <v>0.2</v>
      </c>
      <c r="F56" s="528">
        <v>0.2</v>
      </c>
      <c r="G56" s="528">
        <v>0.2</v>
      </c>
      <c r="H56" s="528">
        <v>0.15</v>
      </c>
    </row>
    <row r="58" spans="1:8" s="513" customFormat="1" ht="19.5" customHeight="1">
      <c r="A58" s="548"/>
      <c r="B58" s="532"/>
      <c r="C58" s="532"/>
      <c r="D58" s="532" t="s">
        <v>2029</v>
      </c>
      <c r="E58" s="532"/>
      <c r="F58" s="532"/>
    </row>
    <row r="59" spans="1:8" s="513" customFormat="1" ht="19.5" customHeight="1">
      <c r="A59" s="537" t="s">
        <v>2030</v>
      </c>
      <c r="B59" s="537" t="s">
        <v>2031</v>
      </c>
      <c r="C59" s="537" t="s">
        <v>2032</v>
      </c>
      <c r="D59" s="537" t="s">
        <v>2033</v>
      </c>
      <c r="E59" s="537" t="s">
        <v>2034</v>
      </c>
      <c r="F59" s="537" t="s">
        <v>2035</v>
      </c>
    </row>
    <row r="60" spans="1:8" ht="13.5">
      <c r="A60" s="537"/>
      <c r="B60" s="537"/>
      <c r="C60" s="537" t="s">
        <v>2036</v>
      </c>
      <c r="D60" s="537"/>
      <c r="E60" s="549" t="s">
        <v>124</v>
      </c>
      <c r="F60" s="537" t="s">
        <v>124</v>
      </c>
    </row>
    <row r="61" spans="1:8" s="513" customFormat="1" ht="24">
      <c r="A61" s="537">
        <v>1</v>
      </c>
      <c r="B61" s="3396" t="s">
        <v>2037</v>
      </c>
      <c r="C61" s="528" t="s">
        <v>2038</v>
      </c>
      <c r="D61" s="528" t="s">
        <v>2039</v>
      </c>
      <c r="E61" s="549">
        <v>0.5</v>
      </c>
      <c r="F61" s="537">
        <v>80</v>
      </c>
    </row>
    <row r="62" spans="1:8" s="513" customFormat="1" ht="24">
      <c r="A62" s="537">
        <v>2</v>
      </c>
      <c r="B62" s="3396"/>
      <c r="C62" s="528" t="s">
        <v>2040</v>
      </c>
      <c r="D62" s="528" t="s">
        <v>2041</v>
      </c>
      <c r="E62" s="549">
        <v>0.5</v>
      </c>
      <c r="F62" s="537">
        <v>80</v>
      </c>
    </row>
    <row r="63" spans="1:8" s="513" customFormat="1" ht="36">
      <c r="A63" s="537">
        <v>3</v>
      </c>
      <c r="B63" s="3396"/>
      <c r="C63" s="528" t="s">
        <v>2042</v>
      </c>
      <c r="D63" s="528" t="s">
        <v>2043</v>
      </c>
      <c r="E63" s="549">
        <v>0.5</v>
      </c>
      <c r="F63" s="537">
        <v>80</v>
      </c>
    </row>
    <row r="64" spans="1:8" s="513" customFormat="1" ht="36">
      <c r="A64" s="537">
        <v>4</v>
      </c>
      <c r="B64" s="3396"/>
      <c r="C64" s="528" t="s">
        <v>2044</v>
      </c>
      <c r="D64" s="528" t="s">
        <v>2045</v>
      </c>
      <c r="E64" s="549">
        <v>0.4</v>
      </c>
      <c r="F64" s="537">
        <v>60</v>
      </c>
    </row>
    <row r="65" spans="1:6" s="513" customFormat="1" ht="36">
      <c r="A65" s="537">
        <v>5</v>
      </c>
      <c r="B65" s="3396"/>
      <c r="C65" s="528" t="s">
        <v>2046</v>
      </c>
      <c r="D65" s="528" t="s">
        <v>2047</v>
      </c>
      <c r="E65" s="549">
        <v>0.2</v>
      </c>
      <c r="F65" s="537">
        <v>30</v>
      </c>
    </row>
    <row r="66" spans="1:6" s="513" customFormat="1" ht="36">
      <c r="A66" s="537">
        <v>6</v>
      </c>
      <c r="B66" s="3396"/>
      <c r="C66" s="528" t="s">
        <v>2048</v>
      </c>
      <c r="D66" s="528" t="s">
        <v>2049</v>
      </c>
      <c r="E66" s="549">
        <v>0.3</v>
      </c>
      <c r="F66" s="537">
        <v>50</v>
      </c>
    </row>
    <row r="67" spans="1:6" s="513" customFormat="1" ht="36">
      <c r="A67" s="537">
        <v>7</v>
      </c>
      <c r="B67" s="3396"/>
      <c r="C67" s="528" t="s">
        <v>2050</v>
      </c>
      <c r="D67" s="528" t="s">
        <v>2051</v>
      </c>
      <c r="E67" s="549">
        <v>0.2</v>
      </c>
      <c r="F67" s="537">
        <v>30</v>
      </c>
    </row>
    <row r="68" spans="1:6" s="513" customFormat="1" ht="36">
      <c r="A68" s="537">
        <v>8</v>
      </c>
      <c r="B68" s="3396"/>
      <c r="C68" s="528" t="s">
        <v>2052</v>
      </c>
      <c r="D68" s="528" t="s">
        <v>2053</v>
      </c>
      <c r="E68" s="549">
        <v>0.2</v>
      </c>
      <c r="F68" s="537">
        <v>30</v>
      </c>
    </row>
    <row r="69" spans="1:6" s="513" customFormat="1" ht="36">
      <c r="A69" s="537">
        <v>9</v>
      </c>
      <c r="B69" s="3396"/>
      <c r="C69" s="528" t="s">
        <v>2054</v>
      </c>
      <c r="D69" s="528" t="s">
        <v>2055</v>
      </c>
      <c r="E69" s="549">
        <v>0.2</v>
      </c>
      <c r="F69" s="537">
        <v>30</v>
      </c>
    </row>
    <row r="70" spans="1:6" s="513" customFormat="1" ht="48">
      <c r="A70" s="537">
        <v>10</v>
      </c>
      <c r="B70" s="3396"/>
      <c r="C70" s="528" t="s">
        <v>2056</v>
      </c>
      <c r="D70" s="528" t="s">
        <v>2057</v>
      </c>
      <c r="E70" s="549">
        <v>0.2</v>
      </c>
      <c r="F70" s="537">
        <v>30</v>
      </c>
    </row>
    <row r="71" spans="1:6" s="513" customFormat="1" ht="48">
      <c r="A71" s="537">
        <v>11</v>
      </c>
      <c r="B71" s="3396"/>
      <c r="C71" s="528" t="s">
        <v>2058</v>
      </c>
      <c r="D71" s="528" t="s">
        <v>2059</v>
      </c>
      <c r="E71" s="549">
        <v>0.2</v>
      </c>
      <c r="F71" s="537">
        <v>30</v>
      </c>
    </row>
    <row r="72" spans="1:6" s="513" customFormat="1" ht="36">
      <c r="A72" s="537">
        <v>12</v>
      </c>
      <c r="B72" s="3396"/>
      <c r="C72" s="528" t="s">
        <v>2060</v>
      </c>
      <c r="D72" s="528" t="s">
        <v>2061</v>
      </c>
      <c r="E72" s="549">
        <v>0.5</v>
      </c>
      <c r="F72" s="537">
        <v>80</v>
      </c>
    </row>
    <row r="73" spans="1:6" s="513" customFormat="1" ht="24">
      <c r="A73" s="537">
        <v>13</v>
      </c>
      <c r="B73" s="3396"/>
      <c r="C73" s="528" t="s">
        <v>2062</v>
      </c>
      <c r="D73" s="528" t="s">
        <v>2063</v>
      </c>
      <c r="E73" s="549">
        <v>0.4</v>
      </c>
      <c r="F73" s="537">
        <v>60</v>
      </c>
    </row>
    <row r="74" spans="1:6" s="513" customFormat="1" ht="24">
      <c r="A74" s="537">
        <v>14</v>
      </c>
      <c r="B74" s="3396"/>
      <c r="C74" s="528" t="s">
        <v>2064</v>
      </c>
      <c r="D74" s="528" t="s">
        <v>2065</v>
      </c>
      <c r="E74" s="549">
        <v>0.2</v>
      </c>
      <c r="F74" s="537">
        <v>30</v>
      </c>
    </row>
    <row r="75" spans="1:6" s="513" customFormat="1" ht="24">
      <c r="A75" s="537">
        <v>15</v>
      </c>
      <c r="B75" s="3396"/>
      <c r="C75" s="528" t="s">
        <v>2066</v>
      </c>
      <c r="D75" s="528" t="s">
        <v>2067</v>
      </c>
      <c r="E75" s="549">
        <v>0.2</v>
      </c>
      <c r="F75" s="537">
        <v>30</v>
      </c>
    </row>
    <row r="76" spans="1:6" s="513" customFormat="1" ht="24">
      <c r="A76" s="537">
        <v>16</v>
      </c>
      <c r="B76" s="3396" t="s">
        <v>2068</v>
      </c>
      <c r="C76" s="528" t="s">
        <v>2069</v>
      </c>
      <c r="D76" s="528" t="s">
        <v>2070</v>
      </c>
      <c r="E76" s="549">
        <v>0.5</v>
      </c>
      <c r="F76" s="537">
        <v>80</v>
      </c>
    </row>
    <row r="77" spans="1:6" s="513" customFormat="1" ht="24">
      <c r="A77" s="537">
        <v>17</v>
      </c>
      <c r="B77" s="3396"/>
      <c r="C77" s="528" t="s">
        <v>2071</v>
      </c>
      <c r="D77" s="528" t="s">
        <v>2072</v>
      </c>
      <c r="E77" s="549">
        <v>0.5</v>
      </c>
      <c r="F77" s="537">
        <v>80</v>
      </c>
    </row>
    <row r="78" spans="1:6" s="513" customFormat="1" ht="24">
      <c r="A78" s="537">
        <v>18</v>
      </c>
      <c r="B78" s="3396"/>
      <c r="C78" s="528" t="s">
        <v>2073</v>
      </c>
      <c r="D78" s="528" t="s">
        <v>2074</v>
      </c>
      <c r="E78" s="549">
        <v>0.2</v>
      </c>
      <c r="F78" s="537">
        <v>30</v>
      </c>
    </row>
    <row r="79" spans="1:6" s="513" customFormat="1" ht="24">
      <c r="A79" s="537">
        <v>19</v>
      </c>
      <c r="B79" s="3396"/>
      <c r="C79" s="528" t="s">
        <v>2075</v>
      </c>
      <c r="D79" s="528" t="s">
        <v>2076</v>
      </c>
      <c r="E79" s="549">
        <v>0.5</v>
      </c>
      <c r="F79" s="537">
        <v>80</v>
      </c>
    </row>
    <row r="80" spans="1:6" s="513" customFormat="1" ht="36">
      <c r="A80" s="537">
        <v>20</v>
      </c>
      <c r="B80" s="3396"/>
      <c r="C80" s="528" t="s">
        <v>2077</v>
      </c>
      <c r="D80" s="528" t="s">
        <v>2078</v>
      </c>
      <c r="E80" s="549">
        <v>0.2</v>
      </c>
      <c r="F80" s="537">
        <v>30</v>
      </c>
    </row>
    <row r="81" spans="1:6" s="513" customFormat="1" ht="36">
      <c r="A81" s="537">
        <v>21</v>
      </c>
      <c r="B81" s="3396"/>
      <c r="C81" s="528" t="s">
        <v>2079</v>
      </c>
      <c r="D81" s="528" t="s">
        <v>2080</v>
      </c>
      <c r="E81" s="549">
        <v>0.2</v>
      </c>
      <c r="F81" s="537">
        <v>30</v>
      </c>
    </row>
    <row r="82" spans="1:6" s="513" customFormat="1" ht="48">
      <c r="A82" s="537">
        <v>22</v>
      </c>
      <c r="B82" s="3396"/>
      <c r="C82" s="528" t="s">
        <v>2081</v>
      </c>
      <c r="D82" s="528" t="s">
        <v>2082</v>
      </c>
      <c r="E82" s="549">
        <v>0.2</v>
      </c>
      <c r="F82" s="537">
        <v>30</v>
      </c>
    </row>
    <row r="83" spans="1:6" s="513" customFormat="1" ht="48">
      <c r="A83" s="537">
        <v>23</v>
      </c>
      <c r="B83" s="3396"/>
      <c r="C83" s="528" t="s">
        <v>2083</v>
      </c>
      <c r="D83" s="528" t="s">
        <v>2084</v>
      </c>
      <c r="E83" s="549">
        <v>0.2</v>
      </c>
      <c r="F83" s="537">
        <v>30</v>
      </c>
    </row>
    <row r="84" spans="1:6" s="513" customFormat="1" ht="36">
      <c r="A84" s="537">
        <v>24</v>
      </c>
      <c r="B84" s="3396"/>
      <c r="C84" s="528" t="s">
        <v>2085</v>
      </c>
      <c r="D84" s="528" t="s">
        <v>2086</v>
      </c>
      <c r="E84" s="549">
        <v>0.2</v>
      </c>
      <c r="F84" s="537">
        <v>30</v>
      </c>
    </row>
    <row r="85" spans="1:6" s="513" customFormat="1" ht="36">
      <c r="A85" s="537">
        <v>25</v>
      </c>
      <c r="B85" s="3396"/>
      <c r="C85" s="528" t="s">
        <v>2087</v>
      </c>
      <c r="D85" s="528" t="s">
        <v>2088</v>
      </c>
      <c r="E85" s="549">
        <v>0.5</v>
      </c>
      <c r="F85" s="537">
        <v>80</v>
      </c>
    </row>
    <row r="86" spans="1:6" s="513" customFormat="1" ht="36">
      <c r="A86" s="537">
        <v>26</v>
      </c>
      <c r="B86" s="3396"/>
      <c r="C86" s="528" t="s">
        <v>2089</v>
      </c>
      <c r="D86" s="528" t="s">
        <v>2090</v>
      </c>
      <c r="E86" s="549">
        <v>0.2</v>
      </c>
      <c r="F86" s="537">
        <v>30</v>
      </c>
    </row>
    <row r="87" spans="1:6" s="513" customFormat="1" ht="36">
      <c r="A87" s="537">
        <v>27</v>
      </c>
      <c r="B87" s="3396"/>
      <c r="C87" s="528" t="s">
        <v>2091</v>
      </c>
      <c r="D87" s="528" t="s">
        <v>2092</v>
      </c>
      <c r="E87" s="549">
        <v>0.2</v>
      </c>
      <c r="F87" s="537">
        <v>30</v>
      </c>
    </row>
    <row r="88" spans="1:6" s="513" customFormat="1" ht="36">
      <c r="A88" s="537">
        <v>28</v>
      </c>
      <c r="B88" s="3396"/>
      <c r="C88" s="528" t="s">
        <v>2093</v>
      </c>
      <c r="D88" s="528" t="s">
        <v>2094</v>
      </c>
      <c r="E88" s="549">
        <v>0.2</v>
      </c>
      <c r="F88" s="537">
        <v>30</v>
      </c>
    </row>
    <row r="89" spans="1:6" s="513" customFormat="1" ht="24">
      <c r="A89" s="537">
        <v>29</v>
      </c>
      <c r="B89" s="3396"/>
      <c r="C89" s="528" t="s">
        <v>2095</v>
      </c>
      <c r="D89" s="528" t="s">
        <v>2096</v>
      </c>
      <c r="E89" s="549">
        <v>0.2</v>
      </c>
      <c r="F89" s="537">
        <v>30</v>
      </c>
    </row>
    <row r="90" spans="1:6" s="513" customFormat="1" ht="24">
      <c r="A90" s="537">
        <v>30</v>
      </c>
      <c r="B90" s="3396"/>
      <c r="C90" s="528" t="s">
        <v>2097</v>
      </c>
      <c r="D90" s="528" t="s">
        <v>2098</v>
      </c>
      <c r="E90" s="549">
        <v>0.2</v>
      </c>
      <c r="F90" s="537">
        <v>30</v>
      </c>
    </row>
    <row r="91" spans="1:6" s="513" customFormat="1" ht="36">
      <c r="A91" s="537">
        <v>31</v>
      </c>
      <c r="B91" s="3396"/>
      <c r="C91" s="528" t="s">
        <v>2099</v>
      </c>
      <c r="D91" s="528" t="s">
        <v>2100</v>
      </c>
      <c r="E91" s="549">
        <v>0.2</v>
      </c>
      <c r="F91" s="537">
        <v>30</v>
      </c>
    </row>
    <row r="92" spans="1:6" s="513" customFormat="1" ht="24">
      <c r="A92" s="537">
        <v>32</v>
      </c>
      <c r="B92" s="3396" t="s">
        <v>2101</v>
      </c>
      <c r="C92" s="537" t="s">
        <v>2102</v>
      </c>
      <c r="D92" s="528" t="s">
        <v>2103</v>
      </c>
      <c r="E92" s="549">
        <v>0.2</v>
      </c>
      <c r="F92" s="537">
        <v>30</v>
      </c>
    </row>
    <row r="93" spans="1:6" s="513" customFormat="1" ht="36">
      <c r="A93" s="537">
        <v>33</v>
      </c>
      <c r="B93" s="3396"/>
      <c r="C93" s="537" t="s">
        <v>2104</v>
      </c>
      <c r="D93" s="528" t="s">
        <v>2105</v>
      </c>
      <c r="E93" s="549">
        <v>0.2</v>
      </c>
      <c r="F93" s="537">
        <v>30</v>
      </c>
    </row>
    <row r="94" spans="1:6" s="513" customFormat="1" ht="48">
      <c r="A94" s="537">
        <v>34</v>
      </c>
      <c r="B94" s="3396"/>
      <c r="C94" s="537" t="s">
        <v>2106</v>
      </c>
      <c r="D94" s="528" t="s">
        <v>2107</v>
      </c>
      <c r="E94" s="549">
        <v>0.2</v>
      </c>
      <c r="F94" s="537">
        <v>30</v>
      </c>
    </row>
    <row r="95" spans="1:6" s="513" customFormat="1" ht="36">
      <c r="A95" s="537">
        <v>35</v>
      </c>
      <c r="B95" s="3396"/>
      <c r="C95" s="537" t="s">
        <v>2108</v>
      </c>
      <c r="D95" s="528" t="s">
        <v>2109</v>
      </c>
      <c r="E95" s="549">
        <v>0.2</v>
      </c>
      <c r="F95" s="537">
        <v>30</v>
      </c>
    </row>
    <row r="96" spans="1:6" s="513" customFormat="1" ht="48">
      <c r="A96" s="537">
        <v>36</v>
      </c>
      <c r="B96" s="3396"/>
      <c r="C96" s="528" t="s">
        <v>2110</v>
      </c>
      <c r="D96" s="528" t="s">
        <v>2111</v>
      </c>
      <c r="E96" s="549">
        <v>0.2</v>
      </c>
      <c r="F96" s="537">
        <v>30</v>
      </c>
    </row>
    <row r="97" spans="1:6" s="513" customFormat="1" ht="36">
      <c r="A97" s="537">
        <v>37</v>
      </c>
      <c r="B97" s="3396"/>
      <c r="C97" s="537" t="s">
        <v>2112</v>
      </c>
      <c r="D97" s="528" t="s">
        <v>2113</v>
      </c>
      <c r="E97" s="549">
        <v>0.2</v>
      </c>
      <c r="F97" s="537">
        <v>30</v>
      </c>
    </row>
    <row r="98" spans="1:6" s="513" customFormat="1" ht="36">
      <c r="A98" s="537">
        <v>38</v>
      </c>
      <c r="B98" s="3396"/>
      <c r="C98" s="537" t="s">
        <v>2114</v>
      </c>
      <c r="D98" s="528" t="s">
        <v>2115</v>
      </c>
      <c r="E98" s="549">
        <v>0.2</v>
      </c>
      <c r="F98" s="537">
        <v>30</v>
      </c>
    </row>
    <row r="99" spans="1:6" s="513" customFormat="1" ht="36">
      <c r="A99" s="537">
        <v>39</v>
      </c>
      <c r="B99" s="3396" t="s">
        <v>2116</v>
      </c>
      <c r="C99" s="537" t="s">
        <v>2117</v>
      </c>
      <c r="D99" s="528" t="s">
        <v>2118</v>
      </c>
      <c r="E99" s="549">
        <v>0.3</v>
      </c>
      <c r="F99" s="537">
        <v>50</v>
      </c>
    </row>
    <row r="100" spans="1:6" s="513" customFormat="1" ht="24">
      <c r="A100" s="537">
        <v>40</v>
      </c>
      <c r="B100" s="3396"/>
      <c r="C100" s="537" t="s">
        <v>2119</v>
      </c>
      <c r="D100" s="528" t="s">
        <v>2120</v>
      </c>
      <c r="E100" s="549">
        <v>0.2</v>
      </c>
      <c r="F100" s="537">
        <v>30</v>
      </c>
    </row>
    <row r="101" spans="1:6" s="513" customFormat="1" ht="36">
      <c r="A101" s="537">
        <v>41</v>
      </c>
      <c r="B101" s="3396"/>
      <c r="C101" s="537" t="s">
        <v>2121</v>
      </c>
      <c r="D101" s="528" t="s">
        <v>2118</v>
      </c>
      <c r="E101" s="549">
        <v>0.2</v>
      </c>
      <c r="F101" s="537">
        <v>30</v>
      </c>
    </row>
    <row r="102" spans="1:6" s="513" customFormat="1" ht="48">
      <c r="A102" s="537">
        <v>42</v>
      </c>
      <c r="B102" s="537" t="s">
        <v>2122</v>
      </c>
      <c r="C102" s="528" t="s">
        <v>2123</v>
      </c>
      <c r="D102" s="528" t="s">
        <v>2124</v>
      </c>
      <c r="E102" s="549">
        <v>0.2</v>
      </c>
      <c r="F102" s="537">
        <v>30</v>
      </c>
    </row>
    <row r="103" spans="1:6" s="513" customFormat="1" ht="24">
      <c r="A103" s="537">
        <v>43</v>
      </c>
      <c r="B103" s="537" t="s">
        <v>2125</v>
      </c>
      <c r="C103" s="537" t="s">
        <v>2126</v>
      </c>
      <c r="D103" s="528" t="s">
        <v>2127</v>
      </c>
      <c r="E103" s="549">
        <v>0.2</v>
      </c>
      <c r="F103" s="537">
        <v>30</v>
      </c>
    </row>
    <row r="104" spans="1:6" s="513" customFormat="1" ht="36">
      <c r="A104" s="537">
        <v>44</v>
      </c>
      <c r="B104" s="537" t="s">
        <v>2128</v>
      </c>
      <c r="C104" s="537" t="s">
        <v>2129</v>
      </c>
      <c r="D104" s="528" t="s">
        <v>2130</v>
      </c>
      <c r="E104" s="549">
        <v>0.2</v>
      </c>
      <c r="F104" s="537">
        <v>30</v>
      </c>
    </row>
    <row r="105" spans="1:6" s="513" customFormat="1" ht="36">
      <c r="A105" s="537">
        <v>45</v>
      </c>
      <c r="B105" s="3396" t="s">
        <v>2131</v>
      </c>
      <c r="C105" s="537" t="s">
        <v>2132</v>
      </c>
      <c r="D105" s="528" t="s">
        <v>2133</v>
      </c>
      <c r="E105" s="549">
        <v>0.2</v>
      </c>
      <c r="F105" s="537">
        <v>30</v>
      </c>
    </row>
    <row r="106" spans="1:6" s="513" customFormat="1" ht="36">
      <c r="A106" s="537">
        <v>46</v>
      </c>
      <c r="B106" s="3396"/>
      <c r="C106" s="537" t="s">
        <v>2134</v>
      </c>
      <c r="D106" s="528" t="s">
        <v>2135</v>
      </c>
      <c r="E106" s="549">
        <v>0.2</v>
      </c>
      <c r="F106" s="537">
        <v>30</v>
      </c>
    </row>
    <row r="107" spans="1:6" s="513" customFormat="1" ht="36">
      <c r="A107" s="537">
        <v>47</v>
      </c>
      <c r="B107" s="3396" t="s">
        <v>2136</v>
      </c>
      <c r="C107" s="537" t="s">
        <v>2137</v>
      </c>
      <c r="D107" s="528" t="s">
        <v>2138</v>
      </c>
      <c r="E107" s="549">
        <v>0.3</v>
      </c>
      <c r="F107" s="537">
        <v>50</v>
      </c>
    </row>
    <row r="108" spans="1:6" s="513" customFormat="1" ht="36">
      <c r="A108" s="537">
        <v>48</v>
      </c>
      <c r="B108" s="3396"/>
      <c r="C108" s="537" t="s">
        <v>2139</v>
      </c>
      <c r="D108" s="528" t="s">
        <v>2140</v>
      </c>
      <c r="E108" s="549">
        <v>0.2</v>
      </c>
      <c r="F108" s="537">
        <v>30</v>
      </c>
    </row>
    <row r="109" spans="1:6" s="513" customFormat="1" ht="36">
      <c r="A109" s="537">
        <v>49</v>
      </c>
      <c r="B109" s="537" t="s">
        <v>2141</v>
      </c>
      <c r="C109" s="537" t="s">
        <v>2142</v>
      </c>
      <c r="D109" s="528" t="s">
        <v>2143</v>
      </c>
      <c r="E109" s="549">
        <v>0.2</v>
      </c>
      <c r="F109" s="537">
        <v>30</v>
      </c>
    </row>
    <row r="110" spans="1:6" s="513" customFormat="1" ht="36">
      <c r="A110" s="537">
        <v>50</v>
      </c>
      <c r="B110" s="537" t="s">
        <v>2144</v>
      </c>
      <c r="C110" s="537" t="s">
        <v>2145</v>
      </c>
      <c r="D110" s="528" t="s">
        <v>2146</v>
      </c>
      <c r="E110" s="549">
        <v>0.2</v>
      </c>
      <c r="F110" s="537">
        <v>30</v>
      </c>
    </row>
    <row r="111" spans="1:6" s="513" customFormat="1" ht="36">
      <c r="A111" s="537">
        <v>51</v>
      </c>
      <c r="B111" s="3396" t="s">
        <v>2147</v>
      </c>
      <c r="C111" s="537" t="s">
        <v>2148</v>
      </c>
      <c r="D111" s="528" t="s">
        <v>2149</v>
      </c>
      <c r="E111" s="549">
        <v>0.2</v>
      </c>
      <c r="F111" s="537">
        <v>30</v>
      </c>
    </row>
    <row r="112" spans="1:6" s="513" customFormat="1" ht="24">
      <c r="A112" s="537">
        <v>52</v>
      </c>
      <c r="B112" s="3396"/>
      <c r="C112" s="537" t="s">
        <v>2150</v>
      </c>
      <c r="D112" s="528" t="s">
        <v>2151</v>
      </c>
      <c r="E112" s="549">
        <v>0.2</v>
      </c>
      <c r="F112" s="537">
        <v>30</v>
      </c>
    </row>
    <row r="113" spans="1:6" s="513" customFormat="1" ht="24">
      <c r="A113" s="537">
        <v>53</v>
      </c>
      <c r="B113" s="3396"/>
      <c r="C113" s="537" t="s">
        <v>2152</v>
      </c>
      <c r="D113" s="528" t="s">
        <v>2153</v>
      </c>
      <c r="E113" s="549">
        <v>0.2</v>
      </c>
      <c r="F113" s="537">
        <v>30</v>
      </c>
    </row>
    <row r="114" spans="1:6" ht="36">
      <c r="A114" s="537">
        <v>54</v>
      </c>
      <c r="B114" s="537" t="s">
        <v>2154</v>
      </c>
      <c r="C114" s="537" t="s">
        <v>2155</v>
      </c>
      <c r="D114" s="528" t="s">
        <v>2156</v>
      </c>
      <c r="E114" s="549">
        <v>0.2</v>
      </c>
      <c r="F114" s="537">
        <v>30</v>
      </c>
    </row>
    <row r="115" spans="1:6" ht="24">
      <c r="A115" s="537">
        <v>55</v>
      </c>
      <c r="B115" s="537" t="s">
        <v>2157</v>
      </c>
      <c r="C115" s="537" t="s">
        <v>2158</v>
      </c>
      <c r="D115" s="528" t="s">
        <v>2159</v>
      </c>
      <c r="E115" s="549">
        <v>0.2</v>
      </c>
      <c r="F115" s="537">
        <v>30</v>
      </c>
    </row>
    <row r="116" spans="1:6" ht="24">
      <c r="A116" s="537">
        <v>56</v>
      </c>
      <c r="B116" s="3396" t="s">
        <v>2160</v>
      </c>
      <c r="C116" s="537" t="s">
        <v>2161</v>
      </c>
      <c r="D116" s="528" t="s">
        <v>2162</v>
      </c>
      <c r="E116" s="549">
        <v>0.2</v>
      </c>
      <c r="F116" s="537">
        <v>30</v>
      </c>
    </row>
    <row r="117" spans="1:6" ht="36">
      <c r="A117" s="537">
        <v>57</v>
      </c>
      <c r="B117" s="3396"/>
      <c r="C117" s="537" t="s">
        <v>2163</v>
      </c>
      <c r="D117" s="528" t="s">
        <v>2164</v>
      </c>
      <c r="E117" s="549">
        <v>0.2</v>
      </c>
      <c r="F117" s="537">
        <v>30</v>
      </c>
    </row>
    <row r="118" spans="1:6" ht="36">
      <c r="A118" s="537">
        <v>58</v>
      </c>
      <c r="B118" s="537" t="s">
        <v>2165</v>
      </c>
      <c r="C118" s="537" t="s">
        <v>2166</v>
      </c>
      <c r="D118" s="528" t="s">
        <v>2167</v>
      </c>
      <c r="E118" s="549">
        <v>0.2</v>
      </c>
      <c r="F118" s="537">
        <v>30</v>
      </c>
    </row>
    <row r="119" spans="1:6" ht="13.5">
      <c r="A119" s="537"/>
      <c r="B119" s="537"/>
      <c r="C119" s="537" t="s">
        <v>2036</v>
      </c>
      <c r="D119" s="537"/>
      <c r="E119" s="549" t="s">
        <v>124</v>
      </c>
      <c r="F119" s="537"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501"/>
    <col min="2" max="16384" width="9" style="502"/>
  </cols>
  <sheetData>
    <row r="1" spans="1:14" ht="14.25">
      <c r="A1" s="503" t="s">
        <v>2168</v>
      </c>
      <c r="B1" s="504"/>
      <c r="C1" s="504"/>
      <c r="D1" s="504"/>
      <c r="E1" s="504"/>
      <c r="F1" s="504"/>
      <c r="G1" s="504"/>
      <c r="H1" s="504"/>
      <c r="I1" s="504"/>
      <c r="J1" s="504"/>
      <c r="K1" s="504"/>
      <c r="L1" s="504"/>
      <c r="M1" s="504"/>
      <c r="N1" s="504"/>
    </row>
    <row r="2" spans="1:14">
      <c r="A2" s="505" t="s">
        <v>1747</v>
      </c>
      <c r="B2" s="506" t="s">
        <v>232</v>
      </c>
      <c r="C2" s="506" t="s">
        <v>243</v>
      </c>
      <c r="D2" s="506" t="s">
        <v>253</v>
      </c>
      <c r="E2" s="506" t="s">
        <v>261</v>
      </c>
      <c r="F2" s="506" t="s">
        <v>269</v>
      </c>
      <c r="G2" s="506" t="s">
        <v>275</v>
      </c>
      <c r="H2" s="507" t="s">
        <v>280</v>
      </c>
      <c r="I2" s="507" t="s">
        <v>285</v>
      </c>
      <c r="J2" s="510" t="s">
        <v>288</v>
      </c>
      <c r="K2" s="510" t="s">
        <v>291</v>
      </c>
      <c r="L2" s="510" t="s">
        <v>294</v>
      </c>
      <c r="M2" s="510" t="s">
        <v>297</v>
      </c>
    </row>
    <row r="3" spans="1:14">
      <c r="A3" s="505">
        <v>0.1</v>
      </c>
      <c r="B3" s="508">
        <v>15.052</v>
      </c>
      <c r="C3" s="508">
        <v>15.052</v>
      </c>
      <c r="D3" s="508">
        <v>14.263</v>
      </c>
      <c r="E3" s="508">
        <v>14.263</v>
      </c>
      <c r="F3" s="508">
        <v>14.263</v>
      </c>
      <c r="G3" s="508">
        <v>14.263</v>
      </c>
      <c r="H3" s="508">
        <v>14.263</v>
      </c>
      <c r="I3" s="508">
        <v>14.097</v>
      </c>
      <c r="J3" s="508">
        <v>14.097</v>
      </c>
      <c r="K3" s="508">
        <v>14.097</v>
      </c>
      <c r="L3" s="508">
        <v>14.097</v>
      </c>
      <c r="M3" s="508">
        <v>14.097</v>
      </c>
      <c r="N3" s="511"/>
    </row>
    <row r="4" spans="1:14">
      <c r="A4" s="505">
        <v>0.2</v>
      </c>
      <c r="B4" s="508">
        <v>7.5259999999999998</v>
      </c>
      <c r="C4" s="508">
        <v>7.5259999999999998</v>
      </c>
      <c r="D4" s="508">
        <v>7.1315</v>
      </c>
      <c r="E4" s="508">
        <v>7.1315</v>
      </c>
      <c r="F4" s="508">
        <v>7.1315</v>
      </c>
      <c r="G4" s="508">
        <v>7.1315</v>
      </c>
      <c r="H4" s="508">
        <v>7.1315</v>
      </c>
      <c r="I4" s="508">
        <v>7.0484999999999998</v>
      </c>
      <c r="J4" s="508">
        <v>7.0484999999999998</v>
      </c>
      <c r="K4" s="508">
        <v>7.0484999999999998</v>
      </c>
      <c r="L4" s="508">
        <v>7.0484999999999998</v>
      </c>
      <c r="M4" s="508">
        <v>7.0484999999999998</v>
      </c>
    </row>
    <row r="5" spans="1:14">
      <c r="A5" s="505">
        <v>0.3</v>
      </c>
      <c r="B5" s="508">
        <v>5.0172999999999996</v>
      </c>
      <c r="C5" s="508">
        <v>5.0172999999999996</v>
      </c>
      <c r="D5" s="508">
        <v>4.7542999999999997</v>
      </c>
      <c r="E5" s="508">
        <v>4.7542999999999997</v>
      </c>
      <c r="F5" s="508">
        <v>4.7542999999999997</v>
      </c>
      <c r="G5" s="508">
        <v>4.7542999999999997</v>
      </c>
      <c r="H5" s="508">
        <v>4.7542999999999997</v>
      </c>
      <c r="I5" s="508">
        <v>4.6989999999999998</v>
      </c>
      <c r="J5" s="508">
        <v>4.6989999999999998</v>
      </c>
      <c r="K5" s="508">
        <v>4.6989999999999998</v>
      </c>
      <c r="L5" s="508">
        <v>4.6989999999999998</v>
      </c>
      <c r="M5" s="508">
        <v>4.6989999999999998</v>
      </c>
    </row>
    <row r="6" spans="1:14">
      <c r="A6" s="505">
        <v>0.4</v>
      </c>
      <c r="B6" s="508">
        <v>3.7629999999999999</v>
      </c>
      <c r="C6" s="508">
        <v>3.7629999999999999</v>
      </c>
      <c r="D6" s="508">
        <v>3.5657999999999999</v>
      </c>
      <c r="E6" s="508">
        <v>3.5657999999999999</v>
      </c>
      <c r="F6" s="508">
        <v>3.5657999999999999</v>
      </c>
      <c r="G6" s="508">
        <v>3.5657999999999999</v>
      </c>
      <c r="H6" s="508">
        <v>3.5657999999999999</v>
      </c>
      <c r="I6" s="508">
        <v>3.5243000000000002</v>
      </c>
      <c r="J6" s="508">
        <v>3.5243000000000002</v>
      </c>
      <c r="K6" s="508">
        <v>3.5243000000000002</v>
      </c>
      <c r="L6" s="508">
        <v>3.5243000000000002</v>
      </c>
      <c r="M6" s="508">
        <v>3.5243000000000002</v>
      </c>
    </row>
    <row r="7" spans="1:14">
      <c r="A7" s="505">
        <v>0.5</v>
      </c>
      <c r="B7" s="508">
        <v>3.0104000000000002</v>
      </c>
      <c r="C7" s="508">
        <v>3.0104000000000002</v>
      </c>
      <c r="D7" s="508">
        <v>2.8525999999999998</v>
      </c>
      <c r="E7" s="508">
        <v>2.8525999999999998</v>
      </c>
      <c r="F7" s="508">
        <v>2.8525999999999998</v>
      </c>
      <c r="G7" s="508">
        <v>2.8525999999999998</v>
      </c>
      <c r="H7" s="508">
        <v>2.8525999999999998</v>
      </c>
      <c r="I7" s="508">
        <v>2.8193999999999999</v>
      </c>
      <c r="J7" s="508">
        <v>2.8193999999999999</v>
      </c>
      <c r="K7" s="508">
        <v>2.8193999999999999</v>
      </c>
      <c r="L7" s="508">
        <v>2.8193999999999999</v>
      </c>
      <c r="M7" s="508">
        <v>2.8193999999999999</v>
      </c>
    </row>
    <row r="8" spans="1:14">
      <c r="A8" s="505">
        <v>0.6</v>
      </c>
      <c r="B8" s="508">
        <v>2.5087000000000002</v>
      </c>
      <c r="C8" s="508">
        <v>2.5087000000000002</v>
      </c>
      <c r="D8" s="508">
        <v>2.3772000000000002</v>
      </c>
      <c r="E8" s="508">
        <v>2.3772000000000002</v>
      </c>
      <c r="F8" s="508">
        <v>2.3772000000000002</v>
      </c>
      <c r="G8" s="508">
        <v>2.3772000000000002</v>
      </c>
      <c r="H8" s="508">
        <v>2.3772000000000002</v>
      </c>
      <c r="I8" s="508">
        <v>2.3494999999999999</v>
      </c>
      <c r="J8" s="508">
        <v>2.3494999999999999</v>
      </c>
      <c r="K8" s="508">
        <v>2.3494999999999999</v>
      </c>
      <c r="L8" s="508">
        <v>2.3494999999999999</v>
      </c>
      <c r="M8" s="508">
        <v>2.3494999999999999</v>
      </c>
    </row>
    <row r="9" spans="1:14">
      <c r="A9" s="505">
        <v>0.7</v>
      </c>
      <c r="B9" s="508">
        <v>2.1503000000000001</v>
      </c>
      <c r="C9" s="508">
        <v>2.1503000000000001</v>
      </c>
      <c r="D9" s="508">
        <v>2.0375999999999999</v>
      </c>
      <c r="E9" s="508">
        <v>2.0375999999999999</v>
      </c>
      <c r="F9" s="508">
        <v>2.0375999999999999</v>
      </c>
      <c r="G9" s="508">
        <v>2.0375999999999999</v>
      </c>
      <c r="H9" s="508">
        <v>2.0375999999999999</v>
      </c>
      <c r="I9" s="508">
        <v>2.0139</v>
      </c>
      <c r="J9" s="508">
        <v>2.0139</v>
      </c>
      <c r="K9" s="508">
        <v>2.0139</v>
      </c>
      <c r="L9" s="508">
        <v>2.0139</v>
      </c>
      <c r="M9" s="508">
        <v>2.0139</v>
      </c>
    </row>
    <row r="10" spans="1:14">
      <c r="A10" s="505">
        <v>0.8</v>
      </c>
      <c r="B10" s="508">
        <v>1.8815</v>
      </c>
      <c r="C10" s="508">
        <v>1.8815</v>
      </c>
      <c r="D10" s="508">
        <v>1.7828999999999999</v>
      </c>
      <c r="E10" s="508">
        <v>1.7828999999999999</v>
      </c>
      <c r="F10" s="508">
        <v>1.7828999999999999</v>
      </c>
      <c r="G10" s="508">
        <v>1.7828999999999999</v>
      </c>
      <c r="H10" s="508">
        <v>1.7828999999999999</v>
      </c>
      <c r="I10" s="508">
        <v>1.7621</v>
      </c>
      <c r="J10" s="508">
        <v>1.7621</v>
      </c>
      <c r="K10" s="508">
        <v>1.7621</v>
      </c>
      <c r="L10" s="508">
        <v>1.7621</v>
      </c>
      <c r="M10" s="508">
        <v>1.7621</v>
      </c>
    </row>
    <row r="11" spans="1:14">
      <c r="A11" s="505">
        <v>0.9</v>
      </c>
      <c r="B11" s="508">
        <v>1.6724000000000001</v>
      </c>
      <c r="C11" s="508">
        <v>1.6724000000000001</v>
      </c>
      <c r="D11" s="508">
        <v>1.5848</v>
      </c>
      <c r="E11" s="508">
        <v>1.5848</v>
      </c>
      <c r="F11" s="508">
        <v>1.5848</v>
      </c>
      <c r="G11" s="508">
        <v>1.5848</v>
      </c>
      <c r="H11" s="508">
        <v>1.5848</v>
      </c>
      <c r="I11" s="508">
        <v>1.5663</v>
      </c>
      <c r="J11" s="508">
        <v>1.5663</v>
      </c>
      <c r="K11" s="508">
        <v>1.5663</v>
      </c>
      <c r="L11" s="508">
        <v>1.5663</v>
      </c>
      <c r="M11" s="508">
        <v>1.5663</v>
      </c>
    </row>
    <row r="12" spans="1:14">
      <c r="A12" s="505">
        <v>1</v>
      </c>
      <c r="B12" s="508">
        <v>1.5052000000000001</v>
      </c>
      <c r="C12" s="508">
        <v>1.5052000000000001</v>
      </c>
      <c r="D12" s="508">
        <v>1.4262999999999999</v>
      </c>
      <c r="E12" s="508">
        <v>1.4262999999999999</v>
      </c>
      <c r="F12" s="508">
        <v>1.4262999999999999</v>
      </c>
      <c r="G12" s="508">
        <v>1.4262999999999999</v>
      </c>
      <c r="H12" s="508">
        <v>1.4262999999999999</v>
      </c>
      <c r="I12" s="508">
        <v>1.4097</v>
      </c>
      <c r="J12" s="508">
        <v>1.4097</v>
      </c>
      <c r="K12" s="508">
        <v>1.4097</v>
      </c>
      <c r="L12" s="508">
        <v>1.4097</v>
      </c>
      <c r="M12" s="508">
        <v>1.4097</v>
      </c>
    </row>
    <row r="13" spans="1:14">
      <c r="A13" s="505">
        <v>1.1000000000000001</v>
      </c>
      <c r="B13" s="508">
        <v>1.4509000000000001</v>
      </c>
      <c r="C13" s="508">
        <v>1.4509000000000001</v>
      </c>
      <c r="D13" s="508">
        <v>1.3697999999999999</v>
      </c>
      <c r="E13" s="508">
        <v>1.3697999999999999</v>
      </c>
      <c r="F13" s="508">
        <v>1.3697999999999999</v>
      </c>
      <c r="G13" s="508">
        <v>1.3697999999999999</v>
      </c>
      <c r="H13" s="508">
        <v>1.3697999999999999</v>
      </c>
      <c r="I13" s="508">
        <v>1.343</v>
      </c>
      <c r="J13" s="508">
        <v>1.343</v>
      </c>
      <c r="K13" s="508">
        <v>1.343</v>
      </c>
      <c r="L13" s="508">
        <v>1.343</v>
      </c>
      <c r="M13" s="508">
        <v>1.343</v>
      </c>
    </row>
    <row r="14" spans="1:14">
      <c r="A14" s="505">
        <v>1.2</v>
      </c>
      <c r="B14" s="508">
        <v>1.4035</v>
      </c>
      <c r="C14" s="508">
        <v>1.4035</v>
      </c>
      <c r="D14" s="508">
        <v>1.3205</v>
      </c>
      <c r="E14" s="508">
        <v>1.3205</v>
      </c>
      <c r="F14" s="508">
        <v>1.3205</v>
      </c>
      <c r="G14" s="508">
        <v>1.3205</v>
      </c>
      <c r="H14" s="508">
        <v>1.3205</v>
      </c>
      <c r="I14" s="508">
        <v>1.2845</v>
      </c>
      <c r="J14" s="508">
        <v>1.2845</v>
      </c>
      <c r="K14" s="508">
        <v>1.2845</v>
      </c>
      <c r="L14" s="508">
        <v>1.2845</v>
      </c>
      <c r="M14" s="508">
        <v>1.2845</v>
      </c>
    </row>
    <row r="15" spans="1:14">
      <c r="A15" s="505">
        <v>1.3</v>
      </c>
      <c r="B15" s="508">
        <v>1.3622000000000001</v>
      </c>
      <c r="C15" s="508">
        <v>1.3622000000000001</v>
      </c>
      <c r="D15" s="508">
        <v>1.2775000000000001</v>
      </c>
      <c r="E15" s="508">
        <v>1.2775000000000001</v>
      </c>
      <c r="F15" s="508">
        <v>1.2775000000000001</v>
      </c>
      <c r="G15" s="508">
        <v>1.2775000000000001</v>
      </c>
      <c r="H15" s="508">
        <v>1.2775000000000001</v>
      </c>
      <c r="I15" s="508">
        <v>1.2332000000000001</v>
      </c>
      <c r="J15" s="508">
        <v>1.2332000000000001</v>
      </c>
      <c r="K15" s="508">
        <v>1.2332000000000001</v>
      </c>
      <c r="L15" s="508">
        <v>1.2332000000000001</v>
      </c>
      <c r="M15" s="508">
        <v>1.2332000000000001</v>
      </c>
    </row>
    <row r="16" spans="1:14">
      <c r="A16" s="505">
        <v>1.4</v>
      </c>
      <c r="B16" s="508">
        <v>1.3262</v>
      </c>
      <c r="C16" s="508">
        <v>1.3262</v>
      </c>
      <c r="D16" s="508">
        <v>1.2402</v>
      </c>
      <c r="E16" s="508">
        <v>1.2402</v>
      </c>
      <c r="F16" s="508">
        <v>1.2402</v>
      </c>
      <c r="G16" s="508">
        <v>1.2402</v>
      </c>
      <c r="H16" s="508">
        <v>1.2402</v>
      </c>
      <c r="I16" s="508">
        <v>1.1881999999999999</v>
      </c>
      <c r="J16" s="508">
        <v>1.1881999999999999</v>
      </c>
      <c r="K16" s="508">
        <v>1.1881999999999999</v>
      </c>
      <c r="L16" s="508">
        <v>1.1881999999999999</v>
      </c>
      <c r="M16" s="508">
        <v>1.1881999999999999</v>
      </c>
      <c r="N16" s="511"/>
    </row>
    <row r="17" spans="1:14">
      <c r="A17" s="505">
        <v>1.5</v>
      </c>
      <c r="B17" s="508">
        <v>1.2948</v>
      </c>
      <c r="C17" s="508">
        <v>1.2948</v>
      </c>
      <c r="D17" s="508">
        <v>1.2075</v>
      </c>
      <c r="E17" s="508">
        <v>1.2075</v>
      </c>
      <c r="F17" s="508">
        <v>1.2075</v>
      </c>
      <c r="G17" s="508">
        <v>1.2075</v>
      </c>
      <c r="H17" s="508">
        <v>1.2075</v>
      </c>
      <c r="I17" s="508">
        <v>1.1486000000000001</v>
      </c>
      <c r="J17" s="508">
        <v>1.1486000000000001</v>
      </c>
      <c r="K17" s="508">
        <v>1.1486000000000001</v>
      </c>
      <c r="L17" s="508">
        <v>1.1486000000000001</v>
      </c>
      <c r="M17" s="508">
        <v>1.1486000000000001</v>
      </c>
      <c r="N17" s="511"/>
    </row>
    <row r="18" spans="1:14">
      <c r="A18" s="505">
        <v>1.6</v>
      </c>
      <c r="B18" s="508">
        <v>1.2673000000000001</v>
      </c>
      <c r="C18" s="508">
        <v>1.2673000000000001</v>
      </c>
      <c r="D18" s="508">
        <v>1.1789000000000001</v>
      </c>
      <c r="E18" s="508">
        <v>1.1789000000000001</v>
      </c>
      <c r="F18" s="508">
        <v>1.1789000000000001</v>
      </c>
      <c r="G18" s="508">
        <v>1.1789000000000001</v>
      </c>
      <c r="H18" s="508">
        <v>1.1789000000000001</v>
      </c>
      <c r="I18" s="508">
        <v>1.1134999999999999</v>
      </c>
      <c r="J18" s="508">
        <v>1.1134999999999999</v>
      </c>
      <c r="K18" s="508">
        <v>1.1134999999999999</v>
      </c>
      <c r="L18" s="508">
        <v>1.1134999999999999</v>
      </c>
      <c r="M18" s="508">
        <v>1.1134999999999999</v>
      </c>
    </row>
    <row r="19" spans="1:14">
      <c r="A19" s="505">
        <v>1.7</v>
      </c>
      <c r="B19" s="508">
        <v>1.2428999999999999</v>
      </c>
      <c r="C19" s="508">
        <v>1.2428999999999999</v>
      </c>
      <c r="D19" s="508">
        <v>1.1534</v>
      </c>
      <c r="E19" s="508">
        <v>1.1534</v>
      </c>
      <c r="F19" s="508">
        <v>1.1534</v>
      </c>
      <c r="G19" s="508">
        <v>1.1534</v>
      </c>
      <c r="H19" s="508">
        <v>1.1534</v>
      </c>
      <c r="I19" s="508">
        <v>1.0820000000000001</v>
      </c>
      <c r="J19" s="508">
        <v>1.0820000000000001</v>
      </c>
      <c r="K19" s="508">
        <v>1.0820000000000001</v>
      </c>
      <c r="L19" s="508">
        <v>1.0820000000000001</v>
      </c>
      <c r="M19" s="508">
        <v>1.0820000000000001</v>
      </c>
    </row>
    <row r="20" spans="1:14">
      <c r="A20" s="505">
        <v>1.8</v>
      </c>
      <c r="B20" s="508">
        <v>1.2206999999999999</v>
      </c>
      <c r="C20" s="508">
        <v>1.2206999999999999</v>
      </c>
      <c r="D20" s="508">
        <v>1.1304000000000001</v>
      </c>
      <c r="E20" s="508">
        <v>1.1304000000000001</v>
      </c>
      <c r="F20" s="508">
        <v>1.1304000000000001</v>
      </c>
      <c r="G20" s="508">
        <v>1.1304000000000001</v>
      </c>
      <c r="H20" s="508">
        <v>1.1304000000000001</v>
      </c>
      <c r="I20" s="508">
        <v>1.0531999999999999</v>
      </c>
      <c r="J20" s="508">
        <v>1.0531999999999999</v>
      </c>
      <c r="K20" s="508">
        <v>1.0531999999999999</v>
      </c>
      <c r="L20" s="508">
        <v>1.0531999999999999</v>
      </c>
      <c r="M20" s="508">
        <v>1.0531999999999999</v>
      </c>
    </row>
    <row r="21" spans="1:14">
      <c r="A21" s="505">
        <v>1.9</v>
      </c>
      <c r="B21" s="508">
        <v>1.2</v>
      </c>
      <c r="C21" s="508">
        <v>1.2</v>
      </c>
      <c r="D21" s="508">
        <v>1.1089</v>
      </c>
      <c r="E21" s="508">
        <v>1.1089</v>
      </c>
      <c r="F21" s="508">
        <v>1.1089</v>
      </c>
      <c r="G21" s="508">
        <v>1.1089</v>
      </c>
      <c r="H21" s="508">
        <v>1.1089</v>
      </c>
      <c r="I21" s="508">
        <v>1.0261</v>
      </c>
      <c r="J21" s="508">
        <v>1.0261</v>
      </c>
      <c r="K21" s="508">
        <v>1.0261</v>
      </c>
      <c r="L21" s="508">
        <v>1.0261</v>
      </c>
      <c r="M21" s="508">
        <v>1.0261</v>
      </c>
    </row>
    <row r="22" spans="1:14">
      <c r="A22" s="505">
        <v>2</v>
      </c>
      <c r="B22" s="508">
        <v>1.1800999999999999</v>
      </c>
      <c r="C22" s="508">
        <v>1.1800999999999999</v>
      </c>
      <c r="D22" s="508">
        <v>1.0883</v>
      </c>
      <c r="E22" s="508">
        <v>1.0883</v>
      </c>
      <c r="F22" s="508">
        <v>1.0883</v>
      </c>
      <c r="G22" s="508">
        <v>1.0883</v>
      </c>
      <c r="H22" s="508">
        <v>1.0883</v>
      </c>
      <c r="I22" s="508">
        <v>1</v>
      </c>
      <c r="J22" s="508">
        <v>1</v>
      </c>
      <c r="K22" s="508">
        <v>1</v>
      </c>
      <c r="L22" s="508">
        <v>1</v>
      </c>
      <c r="M22" s="508">
        <v>1</v>
      </c>
    </row>
    <row r="23" spans="1:14">
      <c r="A23" s="509">
        <v>2.1</v>
      </c>
      <c r="B23" s="508">
        <v>1.1616</v>
      </c>
      <c r="C23" s="508">
        <v>1.1616</v>
      </c>
      <c r="D23" s="508">
        <v>1.0685</v>
      </c>
      <c r="E23" s="508">
        <v>1.0685</v>
      </c>
      <c r="F23" s="508">
        <v>1.0685</v>
      </c>
      <c r="G23" s="508">
        <v>1.0685</v>
      </c>
      <c r="H23" s="508">
        <v>1.0685</v>
      </c>
      <c r="I23" s="508">
        <v>0.97550000000000003</v>
      </c>
      <c r="J23" s="508">
        <v>0.97550000000000003</v>
      </c>
      <c r="K23" s="508">
        <v>0.97550000000000003</v>
      </c>
      <c r="L23" s="508">
        <v>0.97550000000000003</v>
      </c>
      <c r="M23" s="508">
        <v>0.97550000000000003</v>
      </c>
    </row>
    <row r="24" spans="1:14">
      <c r="A24" s="509">
        <v>2.2000000000000002</v>
      </c>
      <c r="B24" s="508">
        <v>1.1440999999999999</v>
      </c>
      <c r="C24" s="508">
        <v>1.1440999999999999</v>
      </c>
      <c r="D24" s="508">
        <v>1.0497000000000001</v>
      </c>
      <c r="E24" s="508">
        <v>1.0497000000000001</v>
      </c>
      <c r="F24" s="508">
        <v>1.0497000000000001</v>
      </c>
      <c r="G24" s="508">
        <v>1.0497000000000001</v>
      </c>
      <c r="H24" s="508">
        <v>1.0497000000000001</v>
      </c>
      <c r="I24" s="508">
        <v>0.95230000000000004</v>
      </c>
      <c r="J24" s="508">
        <v>0.95230000000000004</v>
      </c>
      <c r="K24" s="508">
        <v>0.95230000000000004</v>
      </c>
      <c r="L24" s="508">
        <v>0.95230000000000004</v>
      </c>
      <c r="M24" s="508">
        <v>0.95230000000000004</v>
      </c>
    </row>
    <row r="25" spans="1:14">
      <c r="A25" s="509">
        <v>2.2999999999999998</v>
      </c>
      <c r="B25" s="508">
        <v>1.1275999999999999</v>
      </c>
      <c r="C25" s="508">
        <v>1.1275999999999999</v>
      </c>
      <c r="D25" s="508">
        <v>1.032</v>
      </c>
      <c r="E25" s="508">
        <v>1.032</v>
      </c>
      <c r="F25" s="508">
        <v>1.032</v>
      </c>
      <c r="G25" s="508">
        <v>1.032</v>
      </c>
      <c r="H25" s="508">
        <v>1.032</v>
      </c>
      <c r="I25" s="508">
        <v>0.9304</v>
      </c>
      <c r="J25" s="508">
        <v>0.9304</v>
      </c>
      <c r="K25" s="508">
        <v>0.9304</v>
      </c>
      <c r="L25" s="508">
        <v>0.9304</v>
      </c>
      <c r="M25" s="508">
        <v>0.9304</v>
      </c>
    </row>
    <row r="26" spans="1:14">
      <c r="A26" s="509">
        <v>2.4</v>
      </c>
      <c r="B26" s="508">
        <v>1.1121000000000001</v>
      </c>
      <c r="C26" s="508">
        <v>1.1121000000000001</v>
      </c>
      <c r="D26" s="508">
        <v>1.0155000000000001</v>
      </c>
      <c r="E26" s="508">
        <v>1.0155000000000001</v>
      </c>
      <c r="F26" s="508">
        <v>1.0155000000000001</v>
      </c>
      <c r="G26" s="508">
        <v>1.0155000000000001</v>
      </c>
      <c r="H26" s="508">
        <v>1.0155000000000001</v>
      </c>
      <c r="I26" s="508">
        <v>0.91</v>
      </c>
      <c r="J26" s="508">
        <v>0.91</v>
      </c>
      <c r="K26" s="508">
        <v>0.91</v>
      </c>
      <c r="L26" s="508">
        <v>0.91</v>
      </c>
      <c r="M26" s="508">
        <v>0.91</v>
      </c>
    </row>
    <row r="27" spans="1:14">
      <c r="A27" s="509">
        <v>2.5</v>
      </c>
      <c r="B27" s="508">
        <v>1.0975999999999999</v>
      </c>
      <c r="C27" s="508">
        <v>1.0975999999999999</v>
      </c>
      <c r="D27" s="508">
        <v>1</v>
      </c>
      <c r="E27" s="508">
        <v>1</v>
      </c>
      <c r="F27" s="508">
        <v>1</v>
      </c>
      <c r="G27" s="508">
        <v>1</v>
      </c>
      <c r="H27" s="508">
        <v>1</v>
      </c>
      <c r="I27" s="508">
        <v>0.89080000000000004</v>
      </c>
      <c r="J27" s="508">
        <v>0.89080000000000004</v>
      </c>
      <c r="K27" s="508">
        <v>0.89080000000000004</v>
      </c>
      <c r="L27" s="508">
        <v>0.89080000000000004</v>
      </c>
      <c r="M27" s="508">
        <v>0.89080000000000004</v>
      </c>
    </row>
    <row r="28" spans="1:14">
      <c r="A28" s="509">
        <v>2.6</v>
      </c>
      <c r="B28" s="508">
        <v>1.0841000000000001</v>
      </c>
      <c r="C28" s="508">
        <v>1.0841000000000001</v>
      </c>
      <c r="D28" s="508">
        <v>0.98619999999999997</v>
      </c>
      <c r="E28" s="508">
        <v>0.98619999999999997</v>
      </c>
      <c r="F28" s="508">
        <v>0.98619999999999997</v>
      </c>
      <c r="G28" s="508">
        <v>0.98619999999999997</v>
      </c>
      <c r="H28" s="508">
        <v>0.98619999999999997</v>
      </c>
      <c r="I28" s="508">
        <v>0.873</v>
      </c>
      <c r="J28" s="508">
        <v>0.873</v>
      </c>
      <c r="K28" s="508">
        <v>0.873</v>
      </c>
      <c r="L28" s="508">
        <v>0.873</v>
      </c>
      <c r="M28" s="508">
        <v>0.873</v>
      </c>
    </row>
    <row r="29" spans="1:14">
      <c r="A29" s="509">
        <v>2.7</v>
      </c>
      <c r="B29" s="508">
        <v>1.0716000000000001</v>
      </c>
      <c r="C29" s="508">
        <v>1.0716000000000001</v>
      </c>
      <c r="D29" s="508">
        <v>0.97330000000000005</v>
      </c>
      <c r="E29" s="508">
        <v>0.97330000000000005</v>
      </c>
      <c r="F29" s="508">
        <v>0.97330000000000005</v>
      </c>
      <c r="G29" s="508">
        <v>0.97330000000000005</v>
      </c>
      <c r="H29" s="508">
        <v>0.97330000000000005</v>
      </c>
      <c r="I29" s="508">
        <v>0.85670000000000002</v>
      </c>
      <c r="J29" s="508">
        <v>0.85670000000000002</v>
      </c>
      <c r="K29" s="508">
        <v>0.85670000000000002</v>
      </c>
      <c r="L29" s="508">
        <v>0.85670000000000002</v>
      </c>
      <c r="M29" s="508">
        <v>0.85670000000000002</v>
      </c>
    </row>
    <row r="30" spans="1:14">
      <c r="A30" s="509">
        <v>2.8</v>
      </c>
      <c r="B30" s="508">
        <v>1.0602</v>
      </c>
      <c r="C30" s="508">
        <v>1.0602</v>
      </c>
      <c r="D30" s="508">
        <v>0.96160000000000001</v>
      </c>
      <c r="E30" s="508">
        <v>0.96160000000000001</v>
      </c>
      <c r="F30" s="508">
        <v>0.96160000000000001</v>
      </c>
      <c r="G30" s="508">
        <v>0.96160000000000001</v>
      </c>
      <c r="H30" s="508">
        <v>0.96160000000000001</v>
      </c>
      <c r="I30" s="508">
        <v>0.8417</v>
      </c>
      <c r="J30" s="508">
        <v>0.8417</v>
      </c>
      <c r="K30" s="508">
        <v>0.8417</v>
      </c>
      <c r="L30" s="508">
        <v>0.8417</v>
      </c>
      <c r="M30" s="508">
        <v>0.8417</v>
      </c>
    </row>
    <row r="31" spans="1:14">
      <c r="A31" s="509">
        <v>2.9</v>
      </c>
      <c r="B31" s="508">
        <v>1.0497000000000001</v>
      </c>
      <c r="C31" s="508">
        <v>1.0497000000000001</v>
      </c>
      <c r="D31" s="508">
        <v>0.95089999999999997</v>
      </c>
      <c r="E31" s="508">
        <v>0.95089999999999997</v>
      </c>
      <c r="F31" s="508">
        <v>0.95089999999999997</v>
      </c>
      <c r="G31" s="508">
        <v>0.95089999999999997</v>
      </c>
      <c r="H31" s="508">
        <v>0.95089999999999997</v>
      </c>
      <c r="I31" s="508">
        <v>0.82809999999999995</v>
      </c>
      <c r="J31" s="508">
        <v>0.82809999999999995</v>
      </c>
      <c r="K31" s="508">
        <v>0.82809999999999995</v>
      </c>
      <c r="L31" s="508">
        <v>0.82809999999999995</v>
      </c>
      <c r="M31" s="508">
        <v>0.82809999999999995</v>
      </c>
    </row>
    <row r="32" spans="1:14">
      <c r="A32" s="509">
        <v>3</v>
      </c>
      <c r="B32" s="508">
        <v>1.0401</v>
      </c>
      <c r="C32" s="508">
        <v>1.0401</v>
      </c>
      <c r="D32" s="508">
        <v>0.94089999999999996</v>
      </c>
      <c r="E32" s="508">
        <v>0.94089999999999996</v>
      </c>
      <c r="F32" s="508">
        <v>0.94089999999999996</v>
      </c>
      <c r="G32" s="508">
        <v>0.94089999999999996</v>
      </c>
      <c r="H32" s="508">
        <v>0.94089999999999996</v>
      </c>
      <c r="I32" s="508">
        <v>0.81579999999999997</v>
      </c>
      <c r="J32" s="508">
        <v>0.81579999999999997</v>
      </c>
      <c r="K32" s="508">
        <v>0.81579999999999997</v>
      </c>
      <c r="L32" s="508">
        <v>0.81579999999999997</v>
      </c>
      <c r="M32" s="508">
        <v>0.81579999999999997</v>
      </c>
    </row>
    <row r="33" spans="1:13">
      <c r="A33" s="509">
        <v>3.1</v>
      </c>
      <c r="B33" s="508">
        <v>1.0314000000000001</v>
      </c>
      <c r="C33" s="508">
        <v>1.0314000000000001</v>
      </c>
      <c r="D33" s="508">
        <v>0.93169999999999997</v>
      </c>
      <c r="E33" s="508">
        <v>0.93169999999999997</v>
      </c>
      <c r="F33" s="508">
        <v>0.93169999999999997</v>
      </c>
      <c r="G33" s="508">
        <v>0.93169999999999997</v>
      </c>
      <c r="H33" s="508">
        <v>0.93169999999999997</v>
      </c>
      <c r="I33" s="508">
        <v>0.80410000000000004</v>
      </c>
      <c r="J33" s="508">
        <v>0.80410000000000004</v>
      </c>
      <c r="K33" s="508">
        <v>0.80410000000000004</v>
      </c>
      <c r="L33" s="508">
        <v>0.80410000000000004</v>
      </c>
      <c r="M33" s="508">
        <v>0.80410000000000004</v>
      </c>
    </row>
    <row r="34" spans="1:13">
      <c r="A34" s="509">
        <v>3.2</v>
      </c>
      <c r="B34" s="508">
        <v>1.0229999999999999</v>
      </c>
      <c r="C34" s="508">
        <v>1.0229999999999999</v>
      </c>
      <c r="D34" s="508">
        <v>0.92279999999999995</v>
      </c>
      <c r="E34" s="508">
        <v>0.92279999999999995</v>
      </c>
      <c r="F34" s="508">
        <v>0.92279999999999995</v>
      </c>
      <c r="G34" s="508">
        <v>0.92279999999999995</v>
      </c>
      <c r="H34" s="508">
        <v>0.92279999999999995</v>
      </c>
      <c r="I34" s="508">
        <v>0.79300000000000004</v>
      </c>
      <c r="J34" s="508">
        <v>0.79300000000000004</v>
      </c>
      <c r="K34" s="508">
        <v>0.79300000000000004</v>
      </c>
      <c r="L34" s="508">
        <v>0.79300000000000004</v>
      </c>
      <c r="M34" s="508">
        <v>0.79300000000000004</v>
      </c>
    </row>
    <row r="35" spans="1:13">
      <c r="A35" s="509">
        <v>3.3</v>
      </c>
      <c r="B35" s="508">
        <v>1.0149999999999999</v>
      </c>
      <c r="C35" s="508">
        <v>1.0149999999999999</v>
      </c>
      <c r="D35" s="508">
        <v>0.91439999999999999</v>
      </c>
      <c r="E35" s="508">
        <v>0.91439999999999999</v>
      </c>
      <c r="F35" s="508">
        <v>0.91439999999999999</v>
      </c>
      <c r="G35" s="508">
        <v>0.91439999999999999</v>
      </c>
      <c r="H35" s="508">
        <v>0.91439999999999999</v>
      </c>
      <c r="I35" s="508">
        <v>0.78220000000000001</v>
      </c>
      <c r="J35" s="508">
        <v>0.78220000000000001</v>
      </c>
      <c r="K35" s="508">
        <v>0.78220000000000001</v>
      </c>
      <c r="L35" s="508">
        <v>0.78220000000000001</v>
      </c>
      <c r="M35" s="508">
        <v>0.78220000000000001</v>
      </c>
    </row>
    <row r="36" spans="1:13">
      <c r="A36" s="509">
        <v>3.4</v>
      </c>
      <c r="B36" s="508">
        <v>1.0073000000000001</v>
      </c>
      <c r="C36" s="508">
        <v>1.0073000000000001</v>
      </c>
      <c r="D36" s="508">
        <v>0.90629999999999999</v>
      </c>
      <c r="E36" s="508">
        <v>0.90629999999999999</v>
      </c>
      <c r="F36" s="508">
        <v>0.90629999999999999</v>
      </c>
      <c r="G36" s="508">
        <v>0.90629999999999999</v>
      </c>
      <c r="H36" s="508">
        <v>0.90629999999999999</v>
      </c>
      <c r="I36" s="508">
        <v>0.77210000000000001</v>
      </c>
      <c r="J36" s="508">
        <v>0.77210000000000001</v>
      </c>
      <c r="K36" s="508">
        <v>0.77210000000000001</v>
      </c>
      <c r="L36" s="508">
        <v>0.77210000000000001</v>
      </c>
      <c r="M36" s="508">
        <v>0.77210000000000001</v>
      </c>
    </row>
    <row r="37" spans="1:13">
      <c r="A37" s="509">
        <v>3.5</v>
      </c>
      <c r="B37" s="508">
        <v>1</v>
      </c>
      <c r="C37" s="508">
        <v>1</v>
      </c>
      <c r="D37" s="508">
        <v>0.89870000000000005</v>
      </c>
      <c r="E37" s="508">
        <v>0.89870000000000005</v>
      </c>
      <c r="F37" s="508">
        <v>0.89870000000000005</v>
      </c>
      <c r="G37" s="508">
        <v>0.89870000000000005</v>
      </c>
      <c r="H37" s="508">
        <v>0.89870000000000005</v>
      </c>
      <c r="I37" s="508">
        <v>0.76239999999999997</v>
      </c>
      <c r="J37" s="508">
        <v>0.76239999999999997</v>
      </c>
      <c r="K37" s="508">
        <v>0.76239999999999997</v>
      </c>
      <c r="L37" s="508">
        <v>0.76239999999999997</v>
      </c>
      <c r="M37" s="508">
        <v>0.76239999999999997</v>
      </c>
    </row>
    <row r="38" spans="1:13">
      <c r="A38" s="509">
        <v>3.6</v>
      </c>
      <c r="B38" s="508">
        <v>0.99329999999999996</v>
      </c>
      <c r="C38" s="508">
        <v>0.99329999999999996</v>
      </c>
      <c r="D38" s="508">
        <v>0.89139999999999997</v>
      </c>
      <c r="E38" s="508">
        <v>0.89139999999999997</v>
      </c>
      <c r="F38" s="508">
        <v>0.89139999999999997</v>
      </c>
      <c r="G38" s="508">
        <v>0.89139999999999997</v>
      </c>
      <c r="H38" s="508">
        <v>0.89139999999999997</v>
      </c>
      <c r="I38" s="508">
        <v>0.75319999999999998</v>
      </c>
      <c r="J38" s="508">
        <v>0.75319999999999998</v>
      </c>
      <c r="K38" s="508">
        <v>0.75319999999999998</v>
      </c>
      <c r="L38" s="508">
        <v>0.75319999999999998</v>
      </c>
      <c r="M38" s="508">
        <v>0.75319999999999998</v>
      </c>
    </row>
    <row r="39" spans="1:13">
      <c r="A39" s="509">
        <v>3.7</v>
      </c>
      <c r="B39" s="508">
        <v>0.9869</v>
      </c>
      <c r="C39" s="508">
        <v>0.9869</v>
      </c>
      <c r="D39" s="508">
        <v>0.88449999999999995</v>
      </c>
      <c r="E39" s="508">
        <v>0.88449999999999995</v>
      </c>
      <c r="F39" s="508">
        <v>0.88449999999999995</v>
      </c>
      <c r="G39" s="508">
        <v>0.88449999999999995</v>
      </c>
      <c r="H39" s="508">
        <v>0.88449999999999995</v>
      </c>
      <c r="I39" s="508">
        <v>0.74460000000000004</v>
      </c>
      <c r="J39" s="508">
        <v>0.74460000000000004</v>
      </c>
      <c r="K39" s="508">
        <v>0.74460000000000004</v>
      </c>
      <c r="L39" s="508">
        <v>0.74460000000000004</v>
      </c>
      <c r="M39" s="508">
        <v>0.74460000000000004</v>
      </c>
    </row>
    <row r="40" spans="1:13">
      <c r="A40" s="509">
        <v>3.8</v>
      </c>
      <c r="B40" s="508">
        <v>0.98080000000000001</v>
      </c>
      <c r="C40" s="508">
        <v>0.98080000000000001</v>
      </c>
      <c r="D40" s="508">
        <v>0.87809999999999999</v>
      </c>
      <c r="E40" s="508">
        <v>0.87809999999999999</v>
      </c>
      <c r="F40" s="508">
        <v>0.87809999999999999</v>
      </c>
      <c r="G40" s="508">
        <v>0.87809999999999999</v>
      </c>
      <c r="H40" s="508">
        <v>0.87809999999999999</v>
      </c>
      <c r="I40" s="508">
        <v>0.73640000000000005</v>
      </c>
      <c r="J40" s="508">
        <v>0.73640000000000005</v>
      </c>
      <c r="K40" s="508">
        <v>0.73640000000000005</v>
      </c>
      <c r="L40" s="508">
        <v>0.73640000000000005</v>
      </c>
      <c r="M40" s="508">
        <v>0.73640000000000005</v>
      </c>
    </row>
    <row r="41" spans="1:13">
      <c r="A41" s="509">
        <v>3.9</v>
      </c>
      <c r="B41" s="508">
        <v>0.97509999999999997</v>
      </c>
      <c r="C41" s="508">
        <v>0.97509999999999997</v>
      </c>
      <c r="D41" s="508">
        <v>0.87209999999999999</v>
      </c>
      <c r="E41" s="508">
        <v>0.87209999999999999</v>
      </c>
      <c r="F41" s="508">
        <v>0.87209999999999999</v>
      </c>
      <c r="G41" s="508">
        <v>0.87209999999999999</v>
      </c>
      <c r="H41" s="508">
        <v>0.87209999999999999</v>
      </c>
      <c r="I41" s="508">
        <v>0.7288</v>
      </c>
      <c r="J41" s="508">
        <v>0.7288</v>
      </c>
      <c r="K41" s="508">
        <v>0.7288</v>
      </c>
      <c r="L41" s="508">
        <v>0.7288</v>
      </c>
      <c r="M41" s="508">
        <v>0.7288</v>
      </c>
    </row>
    <row r="42" spans="1:13">
      <c r="A42" s="509">
        <v>4</v>
      </c>
      <c r="B42" s="508">
        <v>0.96989999999999998</v>
      </c>
      <c r="C42" s="508">
        <v>0.96989999999999998</v>
      </c>
      <c r="D42" s="508">
        <v>0.86650000000000005</v>
      </c>
      <c r="E42" s="508">
        <v>0.86650000000000005</v>
      </c>
      <c r="F42" s="508">
        <v>0.86650000000000005</v>
      </c>
      <c r="G42" s="508">
        <v>0.86650000000000005</v>
      </c>
      <c r="H42" s="508">
        <v>0.86650000000000005</v>
      </c>
      <c r="I42" s="508">
        <v>0.7218</v>
      </c>
      <c r="J42" s="508">
        <v>0.7218</v>
      </c>
      <c r="K42" s="508">
        <v>0.7218</v>
      </c>
      <c r="L42" s="508">
        <v>0.7218</v>
      </c>
      <c r="M42" s="508">
        <v>0.7218</v>
      </c>
    </row>
    <row r="43" spans="1:13">
      <c r="A43" s="509">
        <v>4.0999999999999996</v>
      </c>
      <c r="B43" s="508">
        <v>0.96479999999999999</v>
      </c>
      <c r="C43" s="508">
        <v>0.96479999999999999</v>
      </c>
      <c r="D43" s="508">
        <v>0.86109999999999998</v>
      </c>
      <c r="E43" s="508">
        <v>0.86109999999999998</v>
      </c>
      <c r="F43" s="508">
        <v>0.86109999999999998</v>
      </c>
      <c r="G43" s="508">
        <v>0.86109999999999998</v>
      </c>
      <c r="H43" s="508">
        <v>0.86109999999999998</v>
      </c>
      <c r="I43" s="508">
        <v>0.71499999999999997</v>
      </c>
      <c r="J43" s="508">
        <v>0.71499999999999997</v>
      </c>
      <c r="K43" s="508">
        <v>0.71499999999999997</v>
      </c>
      <c r="L43" s="508">
        <v>0.71499999999999997</v>
      </c>
      <c r="M43" s="508">
        <v>0.71499999999999997</v>
      </c>
    </row>
    <row r="44" spans="1:13">
      <c r="A44" s="509">
        <v>4.2</v>
      </c>
      <c r="B44" s="508">
        <v>0.96</v>
      </c>
      <c r="C44" s="508">
        <v>0.96</v>
      </c>
      <c r="D44" s="508">
        <v>0.85599999999999998</v>
      </c>
      <c r="E44" s="508">
        <v>0.85599999999999998</v>
      </c>
      <c r="F44" s="508">
        <v>0.85599999999999998</v>
      </c>
      <c r="G44" s="508">
        <v>0.85599999999999998</v>
      </c>
      <c r="H44" s="508">
        <v>0.85599999999999998</v>
      </c>
      <c r="I44" s="508">
        <v>0.70840000000000003</v>
      </c>
      <c r="J44" s="508">
        <v>0.70840000000000003</v>
      </c>
      <c r="K44" s="508">
        <v>0.70840000000000003</v>
      </c>
      <c r="L44" s="508">
        <v>0.70840000000000003</v>
      </c>
      <c r="M44" s="508">
        <v>0.70840000000000003</v>
      </c>
    </row>
    <row r="45" spans="1:13">
      <c r="A45" s="509">
        <v>4.3</v>
      </c>
      <c r="B45" s="508">
        <v>0.95530000000000004</v>
      </c>
      <c r="C45" s="508">
        <v>0.95530000000000004</v>
      </c>
      <c r="D45" s="508">
        <v>0.85099999999999998</v>
      </c>
      <c r="E45" s="508">
        <v>0.85099999999999998</v>
      </c>
      <c r="F45" s="508">
        <v>0.85099999999999998</v>
      </c>
      <c r="G45" s="508">
        <v>0.85099999999999998</v>
      </c>
      <c r="H45" s="508">
        <v>0.85099999999999998</v>
      </c>
      <c r="I45" s="508">
        <v>0.70199999999999996</v>
      </c>
      <c r="J45" s="508">
        <v>0.70199999999999996</v>
      </c>
      <c r="K45" s="508">
        <v>0.70199999999999996</v>
      </c>
      <c r="L45" s="508">
        <v>0.70199999999999996</v>
      </c>
      <c r="M45" s="508">
        <v>0.70199999999999996</v>
      </c>
    </row>
    <row r="46" spans="1:13">
      <c r="A46" s="509">
        <v>4.4000000000000004</v>
      </c>
      <c r="B46" s="508">
        <v>0.95079999999999998</v>
      </c>
      <c r="C46" s="508">
        <v>0.95079999999999998</v>
      </c>
      <c r="D46" s="508">
        <v>0.84619999999999995</v>
      </c>
      <c r="E46" s="508">
        <v>0.84619999999999995</v>
      </c>
      <c r="F46" s="508">
        <v>0.84619999999999995</v>
      </c>
      <c r="G46" s="508">
        <v>0.84619999999999995</v>
      </c>
      <c r="H46" s="508">
        <v>0.84619999999999995</v>
      </c>
      <c r="I46" s="508">
        <v>0.69579999999999997</v>
      </c>
      <c r="J46" s="508">
        <v>0.69579999999999997</v>
      </c>
      <c r="K46" s="508">
        <v>0.69579999999999997</v>
      </c>
      <c r="L46" s="508">
        <v>0.69579999999999997</v>
      </c>
      <c r="M46" s="508">
        <v>0.69579999999999997</v>
      </c>
    </row>
    <row r="47" spans="1:13">
      <c r="A47" s="509">
        <v>4.5</v>
      </c>
      <c r="B47" s="508">
        <v>0.94640000000000002</v>
      </c>
      <c r="C47" s="508">
        <v>0.94640000000000002</v>
      </c>
      <c r="D47" s="508">
        <v>0.84150000000000003</v>
      </c>
      <c r="E47" s="508">
        <v>0.84150000000000003</v>
      </c>
      <c r="F47" s="508">
        <v>0.84150000000000003</v>
      </c>
      <c r="G47" s="508">
        <v>0.84150000000000003</v>
      </c>
      <c r="H47" s="508">
        <v>0.84150000000000003</v>
      </c>
      <c r="I47" s="508">
        <v>0.68989999999999996</v>
      </c>
      <c r="J47" s="508">
        <v>0.68989999999999996</v>
      </c>
      <c r="K47" s="508">
        <v>0.68989999999999996</v>
      </c>
      <c r="L47" s="508">
        <v>0.68989999999999996</v>
      </c>
      <c r="M47" s="508">
        <v>0.68989999999999996</v>
      </c>
    </row>
    <row r="48" spans="1:13">
      <c r="A48" s="509">
        <v>4.5999999999999996</v>
      </c>
      <c r="B48" s="508">
        <v>0.94230000000000003</v>
      </c>
      <c r="C48" s="508">
        <v>0.94230000000000003</v>
      </c>
      <c r="D48" s="508">
        <v>0.83709999999999996</v>
      </c>
      <c r="E48" s="508">
        <v>0.83709999999999996</v>
      </c>
      <c r="F48" s="508">
        <v>0.83709999999999996</v>
      </c>
      <c r="G48" s="508">
        <v>0.83709999999999996</v>
      </c>
      <c r="H48" s="508">
        <v>0.83709999999999996</v>
      </c>
      <c r="I48" s="508">
        <v>0.68430000000000002</v>
      </c>
      <c r="J48" s="508">
        <v>0.68430000000000002</v>
      </c>
      <c r="K48" s="508">
        <v>0.68430000000000002</v>
      </c>
      <c r="L48" s="508">
        <v>0.68430000000000002</v>
      </c>
      <c r="M48" s="508">
        <v>0.68430000000000002</v>
      </c>
    </row>
    <row r="49" spans="1:13">
      <c r="A49" s="509">
        <v>4.7</v>
      </c>
      <c r="B49" s="508">
        <v>0.93830000000000002</v>
      </c>
      <c r="C49" s="508">
        <v>0.93830000000000002</v>
      </c>
      <c r="D49" s="508">
        <v>0.83279999999999998</v>
      </c>
      <c r="E49" s="508">
        <v>0.83279999999999998</v>
      </c>
      <c r="F49" s="508">
        <v>0.83279999999999998</v>
      </c>
      <c r="G49" s="508">
        <v>0.83279999999999998</v>
      </c>
      <c r="H49" s="508">
        <v>0.83279999999999998</v>
      </c>
      <c r="I49" s="508">
        <v>0.67879999999999996</v>
      </c>
      <c r="J49" s="508">
        <v>0.67879999999999996</v>
      </c>
      <c r="K49" s="508">
        <v>0.67879999999999996</v>
      </c>
      <c r="L49" s="508">
        <v>0.67879999999999996</v>
      </c>
      <c r="M49" s="508">
        <v>0.67879999999999996</v>
      </c>
    </row>
    <row r="50" spans="1:13">
      <c r="A50" s="509">
        <v>4.8</v>
      </c>
      <c r="B50" s="508">
        <v>0.9345</v>
      </c>
      <c r="C50" s="508">
        <v>0.9345</v>
      </c>
      <c r="D50" s="508">
        <v>0.82869999999999999</v>
      </c>
      <c r="E50" s="508">
        <v>0.82869999999999999</v>
      </c>
      <c r="F50" s="508">
        <v>0.82869999999999999</v>
      </c>
      <c r="G50" s="508">
        <v>0.82869999999999999</v>
      </c>
      <c r="H50" s="508">
        <v>0.82869999999999999</v>
      </c>
      <c r="I50" s="508">
        <v>0.67359999999999998</v>
      </c>
      <c r="J50" s="508">
        <v>0.67359999999999998</v>
      </c>
      <c r="K50" s="508">
        <v>0.67359999999999998</v>
      </c>
      <c r="L50" s="508">
        <v>0.67359999999999998</v>
      </c>
      <c r="M50" s="508">
        <v>0.67359999999999998</v>
      </c>
    </row>
    <row r="51" spans="1:13">
      <c r="A51" s="509">
        <v>4.9000000000000004</v>
      </c>
      <c r="B51" s="508">
        <v>0.93079999999999996</v>
      </c>
      <c r="C51" s="508">
        <v>0.93079999999999996</v>
      </c>
      <c r="D51" s="508">
        <v>0.82479999999999998</v>
      </c>
      <c r="E51" s="508">
        <v>0.82479999999999998</v>
      </c>
      <c r="F51" s="508">
        <v>0.82479999999999998</v>
      </c>
      <c r="G51" s="508">
        <v>0.82479999999999998</v>
      </c>
      <c r="H51" s="508">
        <v>0.82479999999999998</v>
      </c>
      <c r="I51" s="508">
        <v>0.66849999999999998</v>
      </c>
      <c r="J51" s="508">
        <v>0.66849999999999998</v>
      </c>
      <c r="K51" s="508">
        <v>0.66849999999999998</v>
      </c>
      <c r="L51" s="508">
        <v>0.66849999999999998</v>
      </c>
      <c r="M51" s="508">
        <v>0.66849999999999998</v>
      </c>
    </row>
    <row r="52" spans="1:13">
      <c r="A52" s="509">
        <v>5</v>
      </c>
      <c r="B52" s="508">
        <v>0.9274</v>
      </c>
      <c r="C52" s="508">
        <v>0.9274</v>
      </c>
      <c r="D52" s="508">
        <v>0.82110000000000005</v>
      </c>
      <c r="E52" s="508">
        <v>0.82110000000000005</v>
      </c>
      <c r="F52" s="508">
        <v>0.82110000000000005</v>
      </c>
      <c r="G52" s="508">
        <v>0.82110000000000005</v>
      </c>
      <c r="H52" s="508">
        <v>0.82110000000000005</v>
      </c>
      <c r="I52" s="508">
        <v>0.66369999999999996</v>
      </c>
      <c r="J52" s="508">
        <v>0.66369999999999996</v>
      </c>
      <c r="K52" s="508">
        <v>0.66369999999999996</v>
      </c>
      <c r="L52" s="508">
        <v>0.66369999999999996</v>
      </c>
      <c r="M52" s="508">
        <v>0.66369999999999996</v>
      </c>
    </row>
    <row r="53" spans="1:13">
      <c r="A53" s="505">
        <v>5.0999999999999996</v>
      </c>
      <c r="B53" s="508">
        <v>0.92410000000000003</v>
      </c>
      <c r="C53" s="508">
        <v>0.92410000000000003</v>
      </c>
      <c r="D53" s="508">
        <v>0.8175</v>
      </c>
      <c r="E53" s="508">
        <v>0.8175</v>
      </c>
      <c r="F53" s="508">
        <v>0.8175</v>
      </c>
      <c r="G53" s="508">
        <v>0.8175</v>
      </c>
      <c r="H53" s="508">
        <v>0.8175</v>
      </c>
      <c r="I53" s="508">
        <v>0.65900000000000003</v>
      </c>
      <c r="J53" s="508">
        <v>0.65900000000000003</v>
      </c>
      <c r="K53" s="508">
        <v>0.65900000000000003</v>
      </c>
      <c r="L53" s="508">
        <v>0.65900000000000003</v>
      </c>
      <c r="M53" s="508">
        <v>0.65900000000000003</v>
      </c>
    </row>
    <row r="54" spans="1:13">
      <c r="A54" s="505">
        <v>5.2</v>
      </c>
      <c r="B54" s="508">
        <v>0.92090000000000005</v>
      </c>
      <c r="C54" s="508">
        <v>0.92090000000000005</v>
      </c>
      <c r="D54" s="508">
        <v>0.81399999999999995</v>
      </c>
      <c r="E54" s="508">
        <v>0.81399999999999995</v>
      </c>
      <c r="F54" s="508">
        <v>0.81399999999999995</v>
      </c>
      <c r="G54" s="508">
        <v>0.81399999999999995</v>
      </c>
      <c r="H54" s="508">
        <v>0.81399999999999995</v>
      </c>
      <c r="I54" s="508">
        <v>0.65449999999999997</v>
      </c>
      <c r="J54" s="508">
        <v>0.65449999999999997</v>
      </c>
      <c r="K54" s="508">
        <v>0.65449999999999997</v>
      </c>
      <c r="L54" s="508">
        <v>0.65449999999999997</v>
      </c>
      <c r="M54" s="508">
        <v>0.65449999999999997</v>
      </c>
    </row>
    <row r="55" spans="1:13">
      <c r="A55" s="505">
        <v>5.3</v>
      </c>
      <c r="B55" s="508">
        <v>0.91790000000000005</v>
      </c>
      <c r="C55" s="508">
        <v>0.91790000000000005</v>
      </c>
      <c r="D55" s="508">
        <v>0.81059999999999999</v>
      </c>
      <c r="E55" s="508">
        <v>0.81059999999999999</v>
      </c>
      <c r="F55" s="508">
        <v>0.81059999999999999</v>
      </c>
      <c r="G55" s="508">
        <v>0.81059999999999999</v>
      </c>
      <c r="H55" s="508">
        <v>0.81059999999999999</v>
      </c>
      <c r="I55" s="508">
        <v>0.6502</v>
      </c>
      <c r="J55" s="508">
        <v>0.6502</v>
      </c>
      <c r="K55" s="508">
        <v>0.6502</v>
      </c>
      <c r="L55" s="508">
        <v>0.6502</v>
      </c>
      <c r="M55" s="508">
        <v>0.6502</v>
      </c>
    </row>
    <row r="56" spans="1:13">
      <c r="A56" s="505">
        <v>5.4</v>
      </c>
      <c r="B56" s="508">
        <v>0.91490000000000005</v>
      </c>
      <c r="C56" s="508">
        <v>0.91490000000000005</v>
      </c>
      <c r="D56" s="508">
        <v>0.80740000000000001</v>
      </c>
      <c r="E56" s="508">
        <v>0.80740000000000001</v>
      </c>
      <c r="F56" s="508">
        <v>0.80740000000000001</v>
      </c>
      <c r="G56" s="508">
        <v>0.80740000000000001</v>
      </c>
      <c r="H56" s="508">
        <v>0.80740000000000001</v>
      </c>
      <c r="I56" s="508">
        <v>0.64590000000000003</v>
      </c>
      <c r="J56" s="508">
        <v>0.64590000000000003</v>
      </c>
      <c r="K56" s="508">
        <v>0.64590000000000003</v>
      </c>
      <c r="L56" s="508">
        <v>0.64590000000000003</v>
      </c>
      <c r="M56" s="508">
        <v>0.64590000000000003</v>
      </c>
    </row>
    <row r="57" spans="1:13">
      <c r="A57" s="505">
        <v>5.5</v>
      </c>
      <c r="B57" s="508">
        <v>0.91200000000000003</v>
      </c>
      <c r="C57" s="508">
        <v>0.91200000000000003</v>
      </c>
      <c r="D57" s="508">
        <v>0.80420000000000003</v>
      </c>
      <c r="E57" s="508">
        <v>0.80420000000000003</v>
      </c>
      <c r="F57" s="508">
        <v>0.80420000000000003</v>
      </c>
      <c r="G57" s="508">
        <v>0.80420000000000003</v>
      </c>
      <c r="H57" s="508">
        <v>0.80420000000000003</v>
      </c>
      <c r="I57" s="508">
        <v>0.64180000000000004</v>
      </c>
      <c r="J57" s="508">
        <v>0.64180000000000004</v>
      </c>
      <c r="K57" s="508">
        <v>0.64180000000000004</v>
      </c>
      <c r="L57" s="508">
        <v>0.64180000000000004</v>
      </c>
      <c r="M57" s="508">
        <v>0.64180000000000004</v>
      </c>
    </row>
    <row r="58" spans="1:13">
      <c r="A58" s="505">
        <v>5.6</v>
      </c>
      <c r="B58" s="508">
        <v>0.90910000000000002</v>
      </c>
      <c r="C58" s="508">
        <v>0.90910000000000002</v>
      </c>
      <c r="D58" s="508">
        <v>0.80120000000000002</v>
      </c>
      <c r="E58" s="508">
        <v>0.80120000000000002</v>
      </c>
      <c r="F58" s="508">
        <v>0.80120000000000002</v>
      </c>
      <c r="G58" s="508">
        <v>0.80120000000000002</v>
      </c>
      <c r="H58" s="508">
        <v>0.80120000000000002</v>
      </c>
      <c r="I58" s="508">
        <v>0.63790000000000002</v>
      </c>
      <c r="J58" s="508">
        <v>0.63790000000000002</v>
      </c>
      <c r="K58" s="508">
        <v>0.63790000000000002</v>
      </c>
      <c r="L58" s="508">
        <v>0.63790000000000002</v>
      </c>
      <c r="M58" s="508">
        <v>0.63790000000000002</v>
      </c>
    </row>
    <row r="59" spans="1:13">
      <c r="A59" s="509">
        <v>5.7</v>
      </c>
      <c r="B59" s="508">
        <v>0.90639999999999998</v>
      </c>
      <c r="C59" s="508">
        <v>0.90639999999999998</v>
      </c>
      <c r="D59" s="508">
        <v>0.79820000000000002</v>
      </c>
      <c r="E59" s="508">
        <v>0.79820000000000002</v>
      </c>
      <c r="F59" s="508">
        <v>0.79820000000000002</v>
      </c>
      <c r="G59" s="508">
        <v>0.79820000000000002</v>
      </c>
      <c r="H59" s="508">
        <v>0.79820000000000002</v>
      </c>
      <c r="I59" s="508">
        <v>0.6341</v>
      </c>
      <c r="J59" s="508">
        <v>0.6341</v>
      </c>
      <c r="K59" s="508">
        <v>0.6341</v>
      </c>
      <c r="L59" s="508">
        <v>0.6341</v>
      </c>
      <c r="M59" s="508">
        <v>0.6341</v>
      </c>
    </row>
    <row r="60" spans="1:13">
      <c r="A60" s="505">
        <v>5.8</v>
      </c>
      <c r="B60" s="508">
        <v>0.90380000000000005</v>
      </c>
      <c r="C60" s="508">
        <v>0.90380000000000005</v>
      </c>
      <c r="D60" s="508">
        <v>0.7954</v>
      </c>
      <c r="E60" s="508">
        <v>0.7954</v>
      </c>
      <c r="F60" s="508">
        <v>0.7954</v>
      </c>
      <c r="G60" s="508">
        <v>0.7954</v>
      </c>
      <c r="H60" s="508">
        <v>0.7954</v>
      </c>
      <c r="I60" s="508">
        <v>0.63039999999999996</v>
      </c>
      <c r="J60" s="508">
        <v>0.63039999999999996</v>
      </c>
      <c r="K60" s="508">
        <v>0.63039999999999996</v>
      </c>
      <c r="L60" s="508">
        <v>0.63039999999999996</v>
      </c>
      <c r="M60" s="508">
        <v>0.63039999999999996</v>
      </c>
    </row>
    <row r="61" spans="1:13">
      <c r="A61" s="505">
        <v>5.9</v>
      </c>
      <c r="B61" s="508">
        <v>0.90129999999999999</v>
      </c>
      <c r="C61" s="508">
        <v>0.90129999999999999</v>
      </c>
      <c r="D61" s="508">
        <v>0.79269999999999996</v>
      </c>
      <c r="E61" s="508">
        <v>0.79269999999999996</v>
      </c>
      <c r="F61" s="508">
        <v>0.79269999999999996</v>
      </c>
      <c r="G61" s="508">
        <v>0.79269999999999996</v>
      </c>
      <c r="H61" s="508">
        <v>0.79269999999999996</v>
      </c>
      <c r="I61" s="508">
        <v>0.62690000000000001</v>
      </c>
      <c r="J61" s="508">
        <v>0.62690000000000001</v>
      </c>
      <c r="K61" s="508">
        <v>0.62690000000000001</v>
      </c>
      <c r="L61" s="508">
        <v>0.62690000000000001</v>
      </c>
      <c r="M61" s="508">
        <v>0.62690000000000001</v>
      </c>
    </row>
    <row r="62" spans="1:13">
      <c r="A62" s="505">
        <v>6</v>
      </c>
      <c r="B62" s="508">
        <v>0.89890000000000003</v>
      </c>
      <c r="C62" s="508">
        <v>0.89890000000000003</v>
      </c>
      <c r="D62" s="508">
        <v>0.79020000000000001</v>
      </c>
      <c r="E62" s="508">
        <v>0.79020000000000001</v>
      </c>
      <c r="F62" s="508">
        <v>0.79020000000000001</v>
      </c>
      <c r="G62" s="508">
        <v>0.79020000000000001</v>
      </c>
      <c r="H62" s="508">
        <v>0.79020000000000001</v>
      </c>
      <c r="I62" s="508">
        <v>0.62350000000000005</v>
      </c>
      <c r="J62" s="508">
        <v>0.62350000000000005</v>
      </c>
      <c r="K62" s="508">
        <v>0.62350000000000005</v>
      </c>
      <c r="L62" s="508">
        <v>0.62350000000000005</v>
      </c>
      <c r="M62" s="508">
        <v>0.62350000000000005</v>
      </c>
    </row>
    <row r="63" spans="1:13">
      <c r="A63" s="505">
        <v>6.1</v>
      </c>
      <c r="B63" s="508">
        <v>0.89649999999999996</v>
      </c>
      <c r="C63" s="508">
        <v>0.89649999999999996</v>
      </c>
      <c r="D63" s="508">
        <v>0.78769999999999996</v>
      </c>
      <c r="E63" s="508">
        <v>0.78769999999999996</v>
      </c>
      <c r="F63" s="508">
        <v>0.78769999999999996</v>
      </c>
      <c r="G63" s="508">
        <v>0.78769999999999996</v>
      </c>
      <c r="H63" s="508">
        <v>0.78769999999999996</v>
      </c>
      <c r="I63" s="508">
        <v>0.62029999999999996</v>
      </c>
      <c r="J63" s="508">
        <v>0.62029999999999996</v>
      </c>
      <c r="K63" s="508">
        <v>0.62029999999999996</v>
      </c>
      <c r="L63" s="508">
        <v>0.62029999999999996</v>
      </c>
      <c r="M63" s="508">
        <v>0.62029999999999996</v>
      </c>
    </row>
    <row r="64" spans="1:13">
      <c r="A64" s="505">
        <v>6.2</v>
      </c>
      <c r="B64" s="508">
        <v>0.89429999999999998</v>
      </c>
      <c r="C64" s="508">
        <v>0.89429999999999998</v>
      </c>
      <c r="D64" s="508">
        <v>0.78520000000000001</v>
      </c>
      <c r="E64" s="508">
        <v>0.78520000000000001</v>
      </c>
      <c r="F64" s="508">
        <v>0.78520000000000001</v>
      </c>
      <c r="G64" s="508">
        <v>0.78520000000000001</v>
      </c>
      <c r="H64" s="508">
        <v>0.78520000000000001</v>
      </c>
      <c r="I64" s="508">
        <v>0.61719999999999997</v>
      </c>
      <c r="J64" s="508">
        <v>0.61719999999999997</v>
      </c>
      <c r="K64" s="508">
        <v>0.61719999999999997</v>
      </c>
      <c r="L64" s="508">
        <v>0.61719999999999997</v>
      </c>
      <c r="M64" s="508">
        <v>0.61719999999999997</v>
      </c>
    </row>
    <row r="65" spans="1:13">
      <c r="A65" s="505">
        <v>6.3</v>
      </c>
      <c r="B65" s="508">
        <v>0.89200000000000002</v>
      </c>
      <c r="C65" s="508">
        <v>0.89200000000000002</v>
      </c>
      <c r="D65" s="508">
        <v>0.78280000000000005</v>
      </c>
      <c r="E65" s="508">
        <v>0.78280000000000005</v>
      </c>
      <c r="F65" s="508">
        <v>0.78280000000000005</v>
      </c>
      <c r="G65" s="508">
        <v>0.78280000000000005</v>
      </c>
      <c r="H65" s="508">
        <v>0.78280000000000005</v>
      </c>
      <c r="I65" s="508">
        <v>0.61409999999999998</v>
      </c>
      <c r="J65" s="508">
        <v>0.61409999999999998</v>
      </c>
      <c r="K65" s="508">
        <v>0.61409999999999998</v>
      </c>
      <c r="L65" s="508">
        <v>0.61409999999999998</v>
      </c>
      <c r="M65" s="508">
        <v>0.61409999999999998</v>
      </c>
    </row>
    <row r="66" spans="1:13">
      <c r="A66" s="505">
        <v>6.4</v>
      </c>
      <c r="B66" s="508">
        <v>0.88990000000000002</v>
      </c>
      <c r="C66" s="508">
        <v>0.88990000000000002</v>
      </c>
      <c r="D66" s="508">
        <v>0.78039999999999998</v>
      </c>
      <c r="E66" s="508">
        <v>0.78039999999999998</v>
      </c>
      <c r="F66" s="508">
        <v>0.78039999999999998</v>
      </c>
      <c r="G66" s="508">
        <v>0.78039999999999998</v>
      </c>
      <c r="H66" s="508">
        <v>0.78039999999999998</v>
      </c>
      <c r="I66" s="508">
        <v>0.61099999999999999</v>
      </c>
      <c r="J66" s="508">
        <v>0.61099999999999999</v>
      </c>
      <c r="K66" s="508">
        <v>0.61099999999999999</v>
      </c>
      <c r="L66" s="508">
        <v>0.61099999999999999</v>
      </c>
      <c r="M66" s="508">
        <v>0.61099999999999999</v>
      </c>
    </row>
    <row r="67" spans="1:13">
      <c r="A67" s="505">
        <v>6.5</v>
      </c>
      <c r="B67" s="508">
        <v>0.88780000000000003</v>
      </c>
      <c r="C67" s="508">
        <v>0.88780000000000003</v>
      </c>
      <c r="D67" s="508">
        <v>0.77810000000000001</v>
      </c>
      <c r="E67" s="508">
        <v>0.77810000000000001</v>
      </c>
      <c r="F67" s="508">
        <v>0.77810000000000001</v>
      </c>
      <c r="G67" s="508">
        <v>0.77810000000000001</v>
      </c>
      <c r="H67" s="508">
        <v>0.77810000000000001</v>
      </c>
      <c r="I67" s="508">
        <v>0.60799999999999998</v>
      </c>
      <c r="J67" s="508">
        <v>0.60799999999999998</v>
      </c>
      <c r="K67" s="508">
        <v>0.60799999999999998</v>
      </c>
      <c r="L67" s="508">
        <v>0.60799999999999998</v>
      </c>
      <c r="M67" s="508">
        <v>0.60799999999999998</v>
      </c>
    </row>
    <row r="68" spans="1:13">
      <c r="A68" s="505">
        <v>6.6</v>
      </c>
      <c r="B68" s="508">
        <v>0.88580000000000003</v>
      </c>
      <c r="C68" s="508">
        <v>0.88580000000000003</v>
      </c>
      <c r="D68" s="508">
        <v>0.77580000000000005</v>
      </c>
      <c r="E68" s="508">
        <v>0.77580000000000005</v>
      </c>
      <c r="F68" s="508">
        <v>0.77580000000000005</v>
      </c>
      <c r="G68" s="508">
        <v>0.77580000000000005</v>
      </c>
      <c r="H68" s="508">
        <v>0.77580000000000005</v>
      </c>
      <c r="I68" s="508">
        <v>0.60499999999999998</v>
      </c>
      <c r="J68" s="508">
        <v>0.60499999999999998</v>
      </c>
      <c r="K68" s="508">
        <v>0.60499999999999998</v>
      </c>
      <c r="L68" s="508">
        <v>0.60499999999999998</v>
      </c>
      <c r="M68" s="508">
        <v>0.60499999999999998</v>
      </c>
    </row>
    <row r="69" spans="1:13">
      <c r="A69" s="505">
        <v>6.7</v>
      </c>
      <c r="B69" s="508">
        <v>0.88380000000000003</v>
      </c>
      <c r="C69" s="508">
        <v>0.88380000000000003</v>
      </c>
      <c r="D69" s="508">
        <v>0.77359999999999995</v>
      </c>
      <c r="E69" s="508">
        <v>0.77359999999999995</v>
      </c>
      <c r="F69" s="508">
        <v>0.77359999999999995</v>
      </c>
      <c r="G69" s="508">
        <v>0.77359999999999995</v>
      </c>
      <c r="H69" s="508">
        <v>0.77359999999999995</v>
      </c>
      <c r="I69" s="508">
        <v>0.60209999999999997</v>
      </c>
      <c r="J69" s="508">
        <v>0.60209999999999997</v>
      </c>
      <c r="K69" s="508">
        <v>0.60209999999999997</v>
      </c>
      <c r="L69" s="508">
        <v>0.60209999999999997</v>
      </c>
      <c r="M69" s="508">
        <v>0.60209999999999997</v>
      </c>
    </row>
    <row r="70" spans="1:13">
      <c r="A70" s="505">
        <v>6.8</v>
      </c>
      <c r="B70" s="508">
        <v>0.88190000000000002</v>
      </c>
      <c r="C70" s="508">
        <v>0.88190000000000002</v>
      </c>
      <c r="D70" s="508">
        <v>0.77159999999999995</v>
      </c>
      <c r="E70" s="508">
        <v>0.77159999999999995</v>
      </c>
      <c r="F70" s="508">
        <v>0.77159999999999995</v>
      </c>
      <c r="G70" s="508">
        <v>0.77159999999999995</v>
      </c>
      <c r="H70" s="508">
        <v>0.77159999999999995</v>
      </c>
      <c r="I70" s="508">
        <v>0.59930000000000005</v>
      </c>
      <c r="J70" s="508">
        <v>0.59930000000000005</v>
      </c>
      <c r="K70" s="508">
        <v>0.59930000000000005</v>
      </c>
      <c r="L70" s="508">
        <v>0.59930000000000005</v>
      </c>
      <c r="M70" s="508">
        <v>0.59930000000000005</v>
      </c>
    </row>
    <row r="71" spans="1:13">
      <c r="A71" s="505">
        <v>6.9</v>
      </c>
      <c r="B71" s="508">
        <v>0.88</v>
      </c>
      <c r="C71" s="508">
        <v>0.88</v>
      </c>
      <c r="D71" s="508">
        <v>0.76949999999999996</v>
      </c>
      <c r="E71" s="508">
        <v>0.76949999999999996</v>
      </c>
      <c r="F71" s="508">
        <v>0.76949999999999996</v>
      </c>
      <c r="G71" s="508">
        <v>0.76949999999999996</v>
      </c>
      <c r="H71" s="508">
        <v>0.76949999999999996</v>
      </c>
      <c r="I71" s="508">
        <v>0.59640000000000004</v>
      </c>
      <c r="J71" s="508">
        <v>0.59640000000000004</v>
      </c>
      <c r="K71" s="508">
        <v>0.59640000000000004</v>
      </c>
      <c r="L71" s="508">
        <v>0.59640000000000004</v>
      </c>
      <c r="M71" s="508">
        <v>0.59640000000000004</v>
      </c>
    </row>
    <row r="72" spans="1:13">
      <c r="A72" s="505">
        <v>7</v>
      </c>
      <c r="B72" s="508">
        <v>0.87819999999999998</v>
      </c>
      <c r="C72" s="508">
        <v>0.87819999999999998</v>
      </c>
      <c r="D72" s="508">
        <v>0.76749999999999996</v>
      </c>
      <c r="E72" s="508">
        <v>0.76749999999999996</v>
      </c>
      <c r="F72" s="508">
        <v>0.76749999999999996</v>
      </c>
      <c r="G72" s="508">
        <v>0.76749999999999996</v>
      </c>
      <c r="H72" s="508">
        <v>0.76749999999999996</v>
      </c>
      <c r="I72" s="508">
        <v>0.59360000000000002</v>
      </c>
      <c r="J72" s="508">
        <v>0.59360000000000002</v>
      </c>
      <c r="K72" s="508">
        <v>0.59360000000000002</v>
      </c>
      <c r="L72" s="508">
        <v>0.59360000000000002</v>
      </c>
      <c r="M72" s="508">
        <v>0.59360000000000002</v>
      </c>
    </row>
    <row r="73" spans="1:13">
      <c r="A73" s="505">
        <v>7.1</v>
      </c>
      <c r="B73" s="508">
        <v>0.87660000000000005</v>
      </c>
      <c r="C73" s="508">
        <v>0.87660000000000005</v>
      </c>
      <c r="D73" s="508">
        <v>0.76570000000000005</v>
      </c>
      <c r="E73" s="508">
        <v>0.76570000000000005</v>
      </c>
      <c r="F73" s="508">
        <v>0.76570000000000005</v>
      </c>
      <c r="G73" s="508">
        <v>0.76570000000000005</v>
      </c>
      <c r="H73" s="508">
        <v>0.76570000000000005</v>
      </c>
      <c r="I73" s="508">
        <v>0.59109999999999996</v>
      </c>
      <c r="J73" s="508">
        <v>0.59109999999999996</v>
      </c>
      <c r="K73" s="508">
        <v>0.59109999999999996</v>
      </c>
      <c r="L73" s="508">
        <v>0.59109999999999996</v>
      </c>
      <c r="M73" s="508">
        <v>0.59109999999999996</v>
      </c>
    </row>
    <row r="74" spans="1:13">
      <c r="A74" s="505">
        <v>7.2</v>
      </c>
      <c r="B74" s="508">
        <v>0.87490000000000001</v>
      </c>
      <c r="C74" s="508">
        <v>0.87490000000000001</v>
      </c>
      <c r="D74" s="508">
        <v>0.76380000000000003</v>
      </c>
      <c r="E74" s="508">
        <v>0.76380000000000003</v>
      </c>
      <c r="F74" s="508">
        <v>0.76380000000000003</v>
      </c>
      <c r="G74" s="508">
        <v>0.76380000000000003</v>
      </c>
      <c r="H74" s="508">
        <v>0.76380000000000003</v>
      </c>
      <c r="I74" s="508">
        <v>0.58860000000000001</v>
      </c>
      <c r="J74" s="508">
        <v>0.58860000000000001</v>
      </c>
      <c r="K74" s="508">
        <v>0.58860000000000001</v>
      </c>
      <c r="L74" s="508">
        <v>0.58860000000000001</v>
      </c>
      <c r="M74" s="508">
        <v>0.58860000000000001</v>
      </c>
    </row>
    <row r="75" spans="1:13">
      <c r="A75" s="505">
        <v>7.3</v>
      </c>
      <c r="B75" s="508">
        <v>0.87329999999999997</v>
      </c>
      <c r="C75" s="508">
        <v>0.87329999999999997</v>
      </c>
      <c r="D75" s="508">
        <v>0.76200000000000001</v>
      </c>
      <c r="E75" s="508">
        <v>0.76200000000000001</v>
      </c>
      <c r="F75" s="508">
        <v>0.76200000000000001</v>
      </c>
      <c r="G75" s="508">
        <v>0.76200000000000001</v>
      </c>
      <c r="H75" s="508">
        <v>0.76200000000000001</v>
      </c>
      <c r="I75" s="508">
        <v>0.58620000000000005</v>
      </c>
      <c r="J75" s="508">
        <v>0.58620000000000005</v>
      </c>
      <c r="K75" s="508">
        <v>0.58620000000000005</v>
      </c>
      <c r="L75" s="508">
        <v>0.58620000000000005</v>
      </c>
      <c r="M75" s="508">
        <v>0.58620000000000005</v>
      </c>
    </row>
    <row r="76" spans="1:13">
      <c r="A76" s="505">
        <v>7.4</v>
      </c>
      <c r="B76" s="508">
        <v>0.87160000000000004</v>
      </c>
      <c r="C76" s="508">
        <v>0.87160000000000004</v>
      </c>
      <c r="D76" s="508">
        <v>0.76029999999999998</v>
      </c>
      <c r="E76" s="508">
        <v>0.76029999999999998</v>
      </c>
      <c r="F76" s="508">
        <v>0.76029999999999998</v>
      </c>
      <c r="G76" s="508">
        <v>0.76029999999999998</v>
      </c>
      <c r="H76" s="508">
        <v>0.76029999999999998</v>
      </c>
      <c r="I76" s="508">
        <v>0.58379999999999999</v>
      </c>
      <c r="J76" s="508">
        <v>0.58379999999999999</v>
      </c>
      <c r="K76" s="508">
        <v>0.58379999999999999</v>
      </c>
      <c r="L76" s="508">
        <v>0.58379999999999999</v>
      </c>
      <c r="M76" s="508">
        <v>0.58379999999999999</v>
      </c>
    </row>
    <row r="77" spans="1:13">
      <c r="A77" s="505">
        <v>7.5</v>
      </c>
      <c r="B77" s="508">
        <v>0.87</v>
      </c>
      <c r="C77" s="508">
        <v>0.87</v>
      </c>
      <c r="D77" s="508">
        <v>0.75849999999999995</v>
      </c>
      <c r="E77" s="508">
        <v>0.75849999999999995</v>
      </c>
      <c r="F77" s="508">
        <v>0.75849999999999995</v>
      </c>
      <c r="G77" s="508">
        <v>0.75849999999999995</v>
      </c>
      <c r="H77" s="508">
        <v>0.75849999999999995</v>
      </c>
      <c r="I77" s="508">
        <v>0.58140000000000003</v>
      </c>
      <c r="J77" s="508">
        <v>0.58140000000000003</v>
      </c>
      <c r="K77" s="508">
        <v>0.58140000000000003</v>
      </c>
      <c r="L77" s="508">
        <v>0.58140000000000003</v>
      </c>
      <c r="M77" s="508">
        <v>0.58140000000000003</v>
      </c>
    </row>
    <row r="78" spans="1:13">
      <c r="A78" s="505">
        <v>7.6</v>
      </c>
      <c r="B78" s="508">
        <v>0.86839999999999995</v>
      </c>
      <c r="C78" s="508">
        <v>0.86839999999999995</v>
      </c>
      <c r="D78" s="508">
        <v>0.75680000000000003</v>
      </c>
      <c r="E78" s="508">
        <v>0.75680000000000003</v>
      </c>
      <c r="F78" s="508">
        <v>0.75680000000000003</v>
      </c>
      <c r="G78" s="508">
        <v>0.75680000000000003</v>
      </c>
      <c r="H78" s="508">
        <v>0.75680000000000003</v>
      </c>
      <c r="I78" s="508">
        <v>0.57899999999999996</v>
      </c>
      <c r="J78" s="508">
        <v>0.57899999999999996</v>
      </c>
      <c r="K78" s="508">
        <v>0.57899999999999996</v>
      </c>
      <c r="L78" s="508">
        <v>0.57899999999999996</v>
      </c>
      <c r="M78" s="508">
        <v>0.57899999999999996</v>
      </c>
    </row>
    <row r="79" spans="1:13">
      <c r="A79" s="505">
        <v>7.7</v>
      </c>
      <c r="B79" s="508">
        <v>0.8669</v>
      </c>
      <c r="C79" s="508">
        <v>0.8669</v>
      </c>
      <c r="D79" s="508">
        <v>0.755</v>
      </c>
      <c r="E79" s="508">
        <v>0.755</v>
      </c>
      <c r="F79" s="508">
        <v>0.755</v>
      </c>
      <c r="G79" s="508">
        <v>0.755</v>
      </c>
      <c r="H79" s="508">
        <v>0.755</v>
      </c>
      <c r="I79" s="508">
        <v>0.57669999999999999</v>
      </c>
      <c r="J79" s="508">
        <v>0.57669999999999999</v>
      </c>
      <c r="K79" s="508">
        <v>0.57669999999999999</v>
      </c>
      <c r="L79" s="508">
        <v>0.57669999999999999</v>
      </c>
      <c r="M79" s="508">
        <v>0.57669999999999999</v>
      </c>
    </row>
    <row r="80" spans="1:13">
      <c r="A80" s="505">
        <v>7.8</v>
      </c>
      <c r="B80" s="508">
        <v>0.86539999999999995</v>
      </c>
      <c r="C80" s="508">
        <v>0.86539999999999995</v>
      </c>
      <c r="D80" s="508">
        <v>0.75329999999999997</v>
      </c>
      <c r="E80" s="508">
        <v>0.75329999999999997</v>
      </c>
      <c r="F80" s="508">
        <v>0.75329999999999997</v>
      </c>
      <c r="G80" s="508">
        <v>0.75329999999999997</v>
      </c>
      <c r="H80" s="508">
        <v>0.75329999999999997</v>
      </c>
      <c r="I80" s="508">
        <v>0.57450000000000001</v>
      </c>
      <c r="J80" s="508">
        <v>0.57450000000000001</v>
      </c>
      <c r="K80" s="508">
        <v>0.57450000000000001</v>
      </c>
      <c r="L80" s="508">
        <v>0.57450000000000001</v>
      </c>
      <c r="M80" s="508">
        <v>0.57450000000000001</v>
      </c>
    </row>
    <row r="81" spans="1:13">
      <c r="A81" s="505">
        <v>7.9</v>
      </c>
      <c r="B81" s="508">
        <v>0.86380000000000001</v>
      </c>
      <c r="C81" s="508">
        <v>0.86380000000000001</v>
      </c>
      <c r="D81" s="508">
        <v>0.75170000000000003</v>
      </c>
      <c r="E81" s="508">
        <v>0.75170000000000003</v>
      </c>
      <c r="F81" s="508">
        <v>0.75170000000000003</v>
      </c>
      <c r="G81" s="508">
        <v>0.75170000000000003</v>
      </c>
      <c r="H81" s="508">
        <v>0.75170000000000003</v>
      </c>
      <c r="I81" s="508">
        <v>0.57220000000000004</v>
      </c>
      <c r="J81" s="508">
        <v>0.57220000000000004</v>
      </c>
      <c r="K81" s="508">
        <v>0.57220000000000004</v>
      </c>
      <c r="L81" s="508">
        <v>0.57220000000000004</v>
      </c>
      <c r="M81" s="508">
        <v>0.57220000000000004</v>
      </c>
    </row>
    <row r="82" spans="1:13">
      <c r="A82" s="505">
        <v>8</v>
      </c>
      <c r="B82" s="508">
        <v>0.86240000000000006</v>
      </c>
      <c r="C82" s="508">
        <v>0.86240000000000006</v>
      </c>
      <c r="D82" s="508">
        <v>0.75</v>
      </c>
      <c r="E82" s="508">
        <v>0.75</v>
      </c>
      <c r="F82" s="508">
        <v>0.75</v>
      </c>
      <c r="G82" s="508">
        <v>0.75</v>
      </c>
      <c r="H82" s="508">
        <v>0.75</v>
      </c>
      <c r="I82" s="508">
        <v>0.56989999999999996</v>
      </c>
      <c r="J82" s="508">
        <v>0.56989999999999996</v>
      </c>
      <c r="K82" s="508">
        <v>0.56989999999999996</v>
      </c>
      <c r="L82" s="508">
        <v>0.56989999999999996</v>
      </c>
      <c r="M82" s="508">
        <v>0.56989999999999996</v>
      </c>
    </row>
    <row r="83" spans="1:13">
      <c r="A83" s="505">
        <v>8.1</v>
      </c>
      <c r="B83" s="508">
        <v>0.86099999999999999</v>
      </c>
      <c r="C83" s="508">
        <v>0.86099999999999999</v>
      </c>
      <c r="D83" s="508">
        <v>0.74850000000000005</v>
      </c>
      <c r="E83" s="508">
        <v>0.74850000000000005</v>
      </c>
      <c r="F83" s="508">
        <v>0.74850000000000005</v>
      </c>
      <c r="G83" s="508">
        <v>0.74850000000000005</v>
      </c>
      <c r="H83" s="508">
        <v>0.74850000000000005</v>
      </c>
      <c r="I83" s="508">
        <v>0.56779999999999997</v>
      </c>
      <c r="J83" s="508">
        <v>0.56779999999999997</v>
      </c>
      <c r="K83" s="508">
        <v>0.56779999999999997</v>
      </c>
      <c r="L83" s="508">
        <v>0.56779999999999997</v>
      </c>
      <c r="M83" s="508">
        <v>0.56779999999999997</v>
      </c>
    </row>
    <row r="84" spans="1:13">
      <c r="A84" s="505">
        <v>8.1999999999999993</v>
      </c>
      <c r="B84" s="508">
        <v>0.85970000000000002</v>
      </c>
      <c r="C84" s="508">
        <v>0.85970000000000002</v>
      </c>
      <c r="D84" s="508">
        <v>0.747</v>
      </c>
      <c r="E84" s="508">
        <v>0.747</v>
      </c>
      <c r="F84" s="508">
        <v>0.747</v>
      </c>
      <c r="G84" s="508">
        <v>0.747</v>
      </c>
      <c r="H84" s="508">
        <v>0.747</v>
      </c>
      <c r="I84" s="508">
        <v>0.56589999999999996</v>
      </c>
      <c r="J84" s="508">
        <v>0.56589999999999996</v>
      </c>
      <c r="K84" s="508">
        <v>0.56589999999999996</v>
      </c>
      <c r="L84" s="508">
        <v>0.56589999999999996</v>
      </c>
      <c r="M84" s="508">
        <v>0.56589999999999996</v>
      </c>
    </row>
    <row r="85" spans="1:13">
      <c r="A85" s="505">
        <v>8.3000000000000007</v>
      </c>
      <c r="B85" s="508">
        <v>0.85840000000000005</v>
      </c>
      <c r="C85" s="508">
        <v>0.85840000000000005</v>
      </c>
      <c r="D85" s="508">
        <v>0.74560000000000004</v>
      </c>
      <c r="E85" s="508">
        <v>0.74560000000000004</v>
      </c>
      <c r="F85" s="508">
        <v>0.74560000000000004</v>
      </c>
      <c r="G85" s="508">
        <v>0.74560000000000004</v>
      </c>
      <c r="H85" s="508">
        <v>0.74560000000000004</v>
      </c>
      <c r="I85" s="508">
        <v>0.56389999999999996</v>
      </c>
      <c r="J85" s="508">
        <v>0.56389999999999996</v>
      </c>
      <c r="K85" s="508">
        <v>0.56389999999999996</v>
      </c>
      <c r="L85" s="508">
        <v>0.56389999999999996</v>
      </c>
      <c r="M85" s="508">
        <v>0.56389999999999996</v>
      </c>
    </row>
    <row r="86" spans="1:13">
      <c r="A86" s="505">
        <v>8.4</v>
      </c>
      <c r="B86" s="508">
        <v>0.85709999999999997</v>
      </c>
      <c r="C86" s="508">
        <v>0.85709999999999997</v>
      </c>
      <c r="D86" s="508">
        <v>0.74419999999999997</v>
      </c>
      <c r="E86" s="508">
        <v>0.74419999999999997</v>
      </c>
      <c r="F86" s="508">
        <v>0.74419999999999997</v>
      </c>
      <c r="G86" s="508">
        <v>0.74419999999999997</v>
      </c>
      <c r="H86" s="508">
        <v>0.74419999999999997</v>
      </c>
      <c r="I86" s="508">
        <v>0.56189999999999996</v>
      </c>
      <c r="J86" s="508">
        <v>0.56189999999999996</v>
      </c>
      <c r="K86" s="508">
        <v>0.56189999999999996</v>
      </c>
      <c r="L86" s="508">
        <v>0.56189999999999996</v>
      </c>
      <c r="M86" s="508">
        <v>0.56189999999999996</v>
      </c>
    </row>
    <row r="87" spans="1:13">
      <c r="A87" s="505">
        <v>8.5</v>
      </c>
      <c r="B87" s="508">
        <v>0.85580000000000001</v>
      </c>
      <c r="C87" s="508">
        <v>0.85580000000000001</v>
      </c>
      <c r="D87" s="508">
        <v>0.74270000000000003</v>
      </c>
      <c r="E87" s="508">
        <v>0.74270000000000003</v>
      </c>
      <c r="F87" s="508">
        <v>0.74270000000000003</v>
      </c>
      <c r="G87" s="508">
        <v>0.74270000000000003</v>
      </c>
      <c r="H87" s="508">
        <v>0.74270000000000003</v>
      </c>
      <c r="I87" s="508">
        <v>0.55989999999999995</v>
      </c>
      <c r="J87" s="508">
        <v>0.55989999999999995</v>
      </c>
      <c r="K87" s="508">
        <v>0.55989999999999995</v>
      </c>
      <c r="L87" s="508">
        <v>0.55989999999999995</v>
      </c>
      <c r="M87" s="508">
        <v>0.55989999999999995</v>
      </c>
    </row>
    <row r="88" spans="1:13">
      <c r="A88" s="505">
        <v>8.6</v>
      </c>
      <c r="B88" s="508">
        <v>0.85450000000000004</v>
      </c>
      <c r="C88" s="508">
        <v>0.85450000000000004</v>
      </c>
      <c r="D88" s="508">
        <v>0.74129999999999996</v>
      </c>
      <c r="E88" s="508">
        <v>0.74129999999999996</v>
      </c>
      <c r="F88" s="508">
        <v>0.74129999999999996</v>
      </c>
      <c r="G88" s="508">
        <v>0.74129999999999996</v>
      </c>
      <c r="H88" s="508">
        <v>0.74129999999999996</v>
      </c>
      <c r="I88" s="508">
        <v>0.55800000000000005</v>
      </c>
      <c r="J88" s="508">
        <v>0.55800000000000005</v>
      </c>
      <c r="K88" s="508">
        <v>0.55800000000000005</v>
      </c>
      <c r="L88" s="508">
        <v>0.55800000000000005</v>
      </c>
      <c r="M88" s="508">
        <v>0.55800000000000005</v>
      </c>
    </row>
    <row r="89" spans="1:13">
      <c r="A89" s="505">
        <v>8.6999999999999993</v>
      </c>
      <c r="B89" s="508">
        <v>0.85329999999999995</v>
      </c>
      <c r="C89" s="508">
        <v>0.85329999999999995</v>
      </c>
      <c r="D89" s="508">
        <v>0.7399</v>
      </c>
      <c r="E89" s="508">
        <v>0.7399</v>
      </c>
      <c r="F89" s="508">
        <v>0.7399</v>
      </c>
      <c r="G89" s="508">
        <v>0.7399</v>
      </c>
      <c r="H89" s="508">
        <v>0.7399</v>
      </c>
      <c r="I89" s="508">
        <v>0.55600000000000005</v>
      </c>
      <c r="J89" s="508">
        <v>0.55600000000000005</v>
      </c>
      <c r="K89" s="508">
        <v>0.55600000000000005</v>
      </c>
      <c r="L89" s="508">
        <v>0.55600000000000005</v>
      </c>
      <c r="M89" s="508">
        <v>0.55600000000000005</v>
      </c>
    </row>
    <row r="90" spans="1:13">
      <c r="A90" s="505">
        <v>8.8000000000000007</v>
      </c>
      <c r="B90" s="508">
        <v>0.85209999999999997</v>
      </c>
      <c r="C90" s="508">
        <v>0.85209999999999997</v>
      </c>
      <c r="D90" s="508">
        <v>0.73850000000000005</v>
      </c>
      <c r="E90" s="508">
        <v>0.73850000000000005</v>
      </c>
      <c r="F90" s="508">
        <v>0.73850000000000005</v>
      </c>
      <c r="G90" s="508">
        <v>0.73850000000000005</v>
      </c>
      <c r="H90" s="508">
        <v>0.73850000000000005</v>
      </c>
      <c r="I90" s="508">
        <v>0.55420000000000003</v>
      </c>
      <c r="J90" s="508">
        <v>0.55420000000000003</v>
      </c>
      <c r="K90" s="508">
        <v>0.55420000000000003</v>
      </c>
      <c r="L90" s="508">
        <v>0.55420000000000003</v>
      </c>
      <c r="M90" s="508">
        <v>0.55420000000000003</v>
      </c>
    </row>
    <row r="91" spans="1:13">
      <c r="A91" s="505">
        <v>8.9</v>
      </c>
      <c r="B91" s="508">
        <v>0.85099999999999998</v>
      </c>
      <c r="C91" s="508">
        <v>0.85099999999999998</v>
      </c>
      <c r="D91" s="508">
        <v>0.73719999999999997</v>
      </c>
      <c r="E91" s="508">
        <v>0.73719999999999997</v>
      </c>
      <c r="F91" s="508">
        <v>0.73719999999999997</v>
      </c>
      <c r="G91" s="508">
        <v>0.73719999999999997</v>
      </c>
      <c r="H91" s="508">
        <v>0.73719999999999997</v>
      </c>
      <c r="I91" s="508">
        <v>0.55230000000000001</v>
      </c>
      <c r="J91" s="508">
        <v>0.55230000000000001</v>
      </c>
      <c r="K91" s="508">
        <v>0.55230000000000001</v>
      </c>
      <c r="L91" s="508">
        <v>0.55230000000000001</v>
      </c>
      <c r="M91" s="508">
        <v>0.55230000000000001</v>
      </c>
    </row>
    <row r="92" spans="1:13">
      <c r="A92" s="509">
        <v>9</v>
      </c>
      <c r="B92" s="508">
        <v>0.8498</v>
      </c>
      <c r="C92" s="508">
        <v>0.8498</v>
      </c>
      <c r="D92" s="508">
        <v>0.7359</v>
      </c>
      <c r="E92" s="508">
        <v>0.7359</v>
      </c>
      <c r="F92" s="508">
        <v>0.7359</v>
      </c>
      <c r="G92" s="508">
        <v>0.7359</v>
      </c>
      <c r="H92" s="508">
        <v>0.7359</v>
      </c>
      <c r="I92" s="508">
        <v>0.55049999999999999</v>
      </c>
      <c r="J92" s="508">
        <v>0.55049999999999999</v>
      </c>
      <c r="K92" s="508">
        <v>0.55049999999999999</v>
      </c>
      <c r="L92" s="508">
        <v>0.55049999999999999</v>
      </c>
      <c r="M92" s="508">
        <v>0.55049999999999999</v>
      </c>
    </row>
    <row r="93" spans="1:13">
      <c r="A93" s="509">
        <v>9.1</v>
      </c>
      <c r="B93" s="508">
        <v>0.84870000000000001</v>
      </c>
      <c r="C93" s="508">
        <v>0.84870000000000001</v>
      </c>
      <c r="D93" s="508">
        <v>0.73470000000000002</v>
      </c>
      <c r="E93" s="508">
        <v>0.73470000000000002</v>
      </c>
      <c r="F93" s="508">
        <v>0.73470000000000002</v>
      </c>
      <c r="G93" s="508">
        <v>0.73470000000000002</v>
      </c>
      <c r="H93" s="508">
        <v>0.73470000000000002</v>
      </c>
      <c r="I93" s="508">
        <v>0.54879999999999995</v>
      </c>
      <c r="J93" s="508">
        <v>0.54879999999999995</v>
      </c>
      <c r="K93" s="508">
        <v>0.54879999999999995</v>
      </c>
      <c r="L93" s="508">
        <v>0.54879999999999995</v>
      </c>
      <c r="M93" s="508">
        <v>0.54879999999999995</v>
      </c>
    </row>
    <row r="94" spans="1:13">
      <c r="A94" s="509">
        <v>9.1999999999999993</v>
      </c>
      <c r="B94" s="508">
        <v>0.84770000000000001</v>
      </c>
      <c r="C94" s="508">
        <v>0.84770000000000001</v>
      </c>
      <c r="D94" s="508">
        <v>0.73350000000000004</v>
      </c>
      <c r="E94" s="508">
        <v>0.73350000000000004</v>
      </c>
      <c r="F94" s="508">
        <v>0.73350000000000004</v>
      </c>
      <c r="G94" s="508">
        <v>0.73350000000000004</v>
      </c>
      <c r="H94" s="508">
        <v>0.73350000000000004</v>
      </c>
      <c r="I94" s="508">
        <v>0.54710000000000003</v>
      </c>
      <c r="J94" s="508">
        <v>0.54710000000000003</v>
      </c>
      <c r="K94" s="508">
        <v>0.54710000000000003</v>
      </c>
      <c r="L94" s="508">
        <v>0.54710000000000003</v>
      </c>
      <c r="M94" s="508">
        <v>0.54710000000000003</v>
      </c>
    </row>
    <row r="95" spans="1:13">
      <c r="A95" s="509">
        <v>9.3000000000000007</v>
      </c>
      <c r="B95" s="508">
        <v>0.84660000000000002</v>
      </c>
      <c r="C95" s="508">
        <v>0.84660000000000002</v>
      </c>
      <c r="D95" s="508">
        <v>0.73229999999999995</v>
      </c>
      <c r="E95" s="508">
        <v>0.73229999999999995</v>
      </c>
      <c r="F95" s="508">
        <v>0.73229999999999995</v>
      </c>
      <c r="G95" s="508">
        <v>0.73229999999999995</v>
      </c>
      <c r="H95" s="508">
        <v>0.73229999999999995</v>
      </c>
      <c r="I95" s="508">
        <v>0.5454</v>
      </c>
      <c r="J95" s="508">
        <v>0.5454</v>
      </c>
      <c r="K95" s="508">
        <v>0.5454</v>
      </c>
      <c r="L95" s="508">
        <v>0.5454</v>
      </c>
      <c r="M95" s="508">
        <v>0.5454</v>
      </c>
    </row>
    <row r="96" spans="1:13">
      <c r="A96" s="509">
        <v>9.4</v>
      </c>
      <c r="B96" s="508">
        <v>0.84550000000000003</v>
      </c>
      <c r="C96" s="508">
        <v>0.84550000000000003</v>
      </c>
      <c r="D96" s="508">
        <v>0.73109999999999997</v>
      </c>
      <c r="E96" s="508">
        <v>0.73109999999999997</v>
      </c>
      <c r="F96" s="508">
        <v>0.73109999999999997</v>
      </c>
      <c r="G96" s="508">
        <v>0.73109999999999997</v>
      </c>
      <c r="H96" s="508">
        <v>0.73109999999999997</v>
      </c>
      <c r="I96" s="508">
        <v>0.54369999999999996</v>
      </c>
      <c r="J96" s="508">
        <v>0.54369999999999996</v>
      </c>
      <c r="K96" s="508">
        <v>0.54369999999999996</v>
      </c>
      <c r="L96" s="508">
        <v>0.54369999999999996</v>
      </c>
      <c r="M96" s="508">
        <v>0.54369999999999996</v>
      </c>
    </row>
    <row r="97" spans="1:14">
      <c r="A97" s="509">
        <v>9.5</v>
      </c>
      <c r="B97" s="508">
        <v>0.84450000000000003</v>
      </c>
      <c r="C97" s="508">
        <v>0.84450000000000003</v>
      </c>
      <c r="D97" s="508">
        <v>0.72989999999999999</v>
      </c>
      <c r="E97" s="508">
        <v>0.72989999999999999</v>
      </c>
      <c r="F97" s="508">
        <v>0.72989999999999999</v>
      </c>
      <c r="G97" s="508">
        <v>0.72989999999999999</v>
      </c>
      <c r="H97" s="508">
        <v>0.72989999999999999</v>
      </c>
      <c r="I97" s="508">
        <v>0.54200000000000004</v>
      </c>
      <c r="J97" s="508">
        <v>0.54200000000000004</v>
      </c>
      <c r="K97" s="508">
        <v>0.54200000000000004</v>
      </c>
      <c r="L97" s="508">
        <v>0.54200000000000004</v>
      </c>
      <c r="M97" s="508">
        <v>0.54200000000000004</v>
      </c>
    </row>
    <row r="98" spans="1:14">
      <c r="A98" s="509">
        <v>9.6</v>
      </c>
      <c r="B98" s="508">
        <v>0.84340000000000004</v>
      </c>
      <c r="C98" s="508">
        <v>0.84340000000000004</v>
      </c>
      <c r="D98" s="508">
        <v>0.72870000000000001</v>
      </c>
      <c r="E98" s="508">
        <v>0.72870000000000001</v>
      </c>
      <c r="F98" s="508">
        <v>0.72870000000000001</v>
      </c>
      <c r="G98" s="508">
        <v>0.72870000000000001</v>
      </c>
      <c r="H98" s="508">
        <v>0.72870000000000001</v>
      </c>
      <c r="I98" s="508">
        <v>0.5403</v>
      </c>
      <c r="J98" s="508">
        <v>0.5403</v>
      </c>
      <c r="K98" s="508">
        <v>0.5403</v>
      </c>
      <c r="L98" s="508">
        <v>0.5403</v>
      </c>
      <c r="M98" s="508">
        <v>0.5403</v>
      </c>
    </row>
    <row r="99" spans="1:14">
      <c r="A99" s="509">
        <v>9.6999999999999993</v>
      </c>
      <c r="B99" s="508">
        <v>0.84230000000000005</v>
      </c>
      <c r="C99" s="508">
        <v>0.84230000000000005</v>
      </c>
      <c r="D99" s="508">
        <v>0.72750000000000004</v>
      </c>
      <c r="E99" s="508">
        <v>0.72750000000000004</v>
      </c>
      <c r="F99" s="508">
        <v>0.72750000000000004</v>
      </c>
      <c r="G99" s="508">
        <v>0.72750000000000004</v>
      </c>
      <c r="H99" s="508">
        <v>0.72750000000000004</v>
      </c>
      <c r="I99" s="508">
        <v>0.53859999999999997</v>
      </c>
      <c r="J99" s="508">
        <v>0.53859999999999997</v>
      </c>
      <c r="K99" s="508">
        <v>0.53859999999999997</v>
      </c>
      <c r="L99" s="508">
        <v>0.53859999999999997</v>
      </c>
      <c r="M99" s="508">
        <v>0.53859999999999997</v>
      </c>
    </row>
    <row r="100" spans="1:14">
      <c r="A100" s="509">
        <v>9.8000000000000007</v>
      </c>
      <c r="B100" s="508">
        <v>0.84140000000000004</v>
      </c>
      <c r="C100" s="508">
        <v>0.84140000000000004</v>
      </c>
      <c r="D100" s="508">
        <v>0.72629999999999995</v>
      </c>
      <c r="E100" s="508">
        <v>0.72629999999999995</v>
      </c>
      <c r="F100" s="508">
        <v>0.72629999999999995</v>
      </c>
      <c r="G100" s="508">
        <v>0.72629999999999995</v>
      </c>
      <c r="H100" s="508">
        <v>0.72629999999999995</v>
      </c>
      <c r="I100" s="508">
        <v>0.53710000000000002</v>
      </c>
      <c r="J100" s="508">
        <v>0.53710000000000002</v>
      </c>
      <c r="K100" s="508">
        <v>0.53710000000000002</v>
      </c>
      <c r="L100" s="508">
        <v>0.53710000000000002</v>
      </c>
      <c r="M100" s="508">
        <v>0.53710000000000002</v>
      </c>
    </row>
    <row r="101" spans="1:14">
      <c r="A101" s="509">
        <v>9.9</v>
      </c>
      <c r="B101" s="508">
        <v>0.84050000000000002</v>
      </c>
      <c r="C101" s="508">
        <v>0.84050000000000002</v>
      </c>
      <c r="D101" s="508">
        <v>0.72519999999999996</v>
      </c>
      <c r="E101" s="508">
        <v>0.72519999999999996</v>
      </c>
      <c r="F101" s="508">
        <v>0.72519999999999996</v>
      </c>
      <c r="G101" s="508">
        <v>0.72519999999999996</v>
      </c>
      <c r="H101" s="508">
        <v>0.72519999999999996</v>
      </c>
      <c r="I101" s="508">
        <v>0.53549999999999998</v>
      </c>
      <c r="J101" s="508">
        <v>0.53549999999999998</v>
      </c>
      <c r="K101" s="508">
        <v>0.53549999999999998</v>
      </c>
      <c r="L101" s="508">
        <v>0.53549999999999998</v>
      </c>
      <c r="M101" s="508">
        <v>0.53549999999999998</v>
      </c>
    </row>
    <row r="102" spans="1:14">
      <c r="A102" s="509">
        <v>10</v>
      </c>
      <c r="B102" s="508">
        <v>0.83950000000000002</v>
      </c>
      <c r="C102" s="508">
        <v>0.83950000000000002</v>
      </c>
      <c r="D102" s="508">
        <v>0.72409999999999997</v>
      </c>
      <c r="E102" s="508">
        <v>0.72409999999999997</v>
      </c>
      <c r="F102" s="508">
        <v>0.72409999999999997</v>
      </c>
      <c r="G102" s="508">
        <v>0.72409999999999997</v>
      </c>
      <c r="H102" s="508">
        <v>0.72409999999999997</v>
      </c>
      <c r="I102" s="508">
        <v>0.53400000000000003</v>
      </c>
      <c r="J102" s="508">
        <v>0.53400000000000003</v>
      </c>
      <c r="K102" s="508">
        <v>0.53400000000000003</v>
      </c>
      <c r="L102" s="508">
        <v>0.53400000000000003</v>
      </c>
      <c r="M102" s="508">
        <v>0.53400000000000003</v>
      </c>
    </row>
    <row r="103" spans="1:14" ht="14.25">
      <c r="A103" s="503" t="s">
        <v>2169</v>
      </c>
      <c r="B103" s="504"/>
      <c r="C103" s="504"/>
      <c r="D103" s="504"/>
      <c r="E103" s="504"/>
      <c r="F103" s="504"/>
      <c r="G103" s="504"/>
      <c r="H103" s="504"/>
      <c r="I103" s="504"/>
      <c r="J103" s="504"/>
      <c r="K103" s="504"/>
      <c r="L103" s="504"/>
      <c r="M103" s="504"/>
      <c r="N103" s="504"/>
    </row>
    <row r="104" spans="1:14" ht="14.25">
      <c r="A104" s="505" t="s">
        <v>1747</v>
      </c>
      <c r="B104" s="506" t="s">
        <v>232</v>
      </c>
      <c r="C104" s="506" t="s">
        <v>243</v>
      </c>
      <c r="D104" s="506" t="s">
        <v>253</v>
      </c>
      <c r="E104" s="506" t="s">
        <v>261</v>
      </c>
      <c r="F104" s="506" t="s">
        <v>269</v>
      </c>
      <c r="G104" s="506" t="s">
        <v>275</v>
      </c>
      <c r="H104" s="507" t="s">
        <v>280</v>
      </c>
      <c r="I104" s="507" t="s">
        <v>285</v>
      </c>
      <c r="J104" s="510" t="s">
        <v>288</v>
      </c>
      <c r="K104" s="510" t="s">
        <v>291</v>
      </c>
      <c r="L104" s="510" t="s">
        <v>294</v>
      </c>
      <c r="M104" s="510" t="s">
        <v>297</v>
      </c>
      <c r="N104" s="504">
        <f>SUMPRODUCT((A105:A204=ROUNDDOWN(基准地价修正!G3,1))*(B104:M104=基准地价修正!G2)*(B105:M204))</f>
        <v>0.92410000000000003</v>
      </c>
    </row>
    <row r="105" spans="1:14">
      <c r="A105" s="505">
        <v>0.1</v>
      </c>
      <c r="B105" s="508">
        <v>13.733000000000001</v>
      </c>
      <c r="C105" s="508">
        <v>13.733000000000001</v>
      </c>
      <c r="D105" s="508">
        <v>12.787000000000001</v>
      </c>
      <c r="E105" s="508">
        <v>12.787000000000001</v>
      </c>
      <c r="F105" s="508">
        <v>12.787000000000001</v>
      </c>
      <c r="G105" s="508">
        <v>12.787000000000001</v>
      </c>
      <c r="H105" s="508">
        <v>12.787000000000001</v>
      </c>
      <c r="I105" s="508">
        <v>12.384</v>
      </c>
      <c r="J105" s="508">
        <v>12.384</v>
      </c>
      <c r="K105" s="508">
        <v>12.384</v>
      </c>
      <c r="L105" s="508">
        <v>12.384</v>
      </c>
      <c r="M105" s="508">
        <v>12.384</v>
      </c>
    </row>
    <row r="106" spans="1:14">
      <c r="A106" s="505">
        <v>0.2</v>
      </c>
      <c r="B106" s="508">
        <v>6.8665000000000003</v>
      </c>
      <c r="C106" s="508">
        <v>6.8665000000000003</v>
      </c>
      <c r="D106" s="508">
        <v>6.3935000000000004</v>
      </c>
      <c r="E106" s="508">
        <v>6.3935000000000004</v>
      </c>
      <c r="F106" s="508">
        <v>6.3935000000000004</v>
      </c>
      <c r="G106" s="508">
        <v>6.3935000000000004</v>
      </c>
      <c r="H106" s="508">
        <v>6.3935000000000004</v>
      </c>
      <c r="I106" s="508">
        <v>6.1920000000000002</v>
      </c>
      <c r="J106" s="508">
        <v>6.1920000000000002</v>
      </c>
      <c r="K106" s="508">
        <v>6.1920000000000002</v>
      </c>
      <c r="L106" s="508">
        <v>6.1920000000000002</v>
      </c>
      <c r="M106" s="508">
        <v>6.1920000000000002</v>
      </c>
    </row>
    <row r="107" spans="1:14">
      <c r="A107" s="505">
        <v>0.3</v>
      </c>
      <c r="B107" s="508">
        <v>4.5777000000000001</v>
      </c>
      <c r="C107" s="508">
        <v>4.5777000000000001</v>
      </c>
      <c r="D107" s="508">
        <v>4.2622999999999998</v>
      </c>
      <c r="E107" s="508">
        <v>4.2622999999999998</v>
      </c>
      <c r="F107" s="508">
        <v>4.2622999999999998</v>
      </c>
      <c r="G107" s="508">
        <v>4.2622999999999998</v>
      </c>
      <c r="H107" s="508">
        <v>4.2622999999999998</v>
      </c>
      <c r="I107" s="508">
        <v>4.1280000000000001</v>
      </c>
      <c r="J107" s="508">
        <v>4.1280000000000001</v>
      </c>
      <c r="K107" s="508">
        <v>4.1280000000000001</v>
      </c>
      <c r="L107" s="508">
        <v>4.1280000000000001</v>
      </c>
      <c r="M107" s="508">
        <v>4.1280000000000001</v>
      </c>
    </row>
    <row r="108" spans="1:14">
      <c r="A108" s="505">
        <v>0.4</v>
      </c>
      <c r="B108" s="508">
        <v>3.4333</v>
      </c>
      <c r="C108" s="508">
        <v>3.4333</v>
      </c>
      <c r="D108" s="508">
        <v>3.1968000000000001</v>
      </c>
      <c r="E108" s="508">
        <v>3.1968000000000001</v>
      </c>
      <c r="F108" s="508">
        <v>3.1968000000000001</v>
      </c>
      <c r="G108" s="508">
        <v>3.1968000000000001</v>
      </c>
      <c r="H108" s="508">
        <v>3.1968000000000001</v>
      </c>
      <c r="I108" s="508">
        <v>3.0960000000000001</v>
      </c>
      <c r="J108" s="508">
        <v>3.0960000000000001</v>
      </c>
      <c r="K108" s="508">
        <v>3.0960000000000001</v>
      </c>
      <c r="L108" s="508">
        <v>3.0960000000000001</v>
      </c>
      <c r="M108" s="508">
        <v>3.0960000000000001</v>
      </c>
    </row>
    <row r="109" spans="1:14">
      <c r="A109" s="505">
        <v>0.5</v>
      </c>
      <c r="B109" s="508">
        <v>2.7465999999999999</v>
      </c>
      <c r="C109" s="508">
        <v>2.7465999999999999</v>
      </c>
      <c r="D109" s="508">
        <v>2.5573999999999999</v>
      </c>
      <c r="E109" s="508">
        <v>2.5573999999999999</v>
      </c>
      <c r="F109" s="508">
        <v>2.5573999999999999</v>
      </c>
      <c r="G109" s="508">
        <v>2.5573999999999999</v>
      </c>
      <c r="H109" s="508">
        <v>2.5573999999999999</v>
      </c>
      <c r="I109" s="508">
        <v>2.4767999999999999</v>
      </c>
      <c r="J109" s="508">
        <v>2.4767999999999999</v>
      </c>
      <c r="K109" s="508">
        <v>2.4767999999999999</v>
      </c>
      <c r="L109" s="508">
        <v>2.4767999999999999</v>
      </c>
      <c r="M109" s="508">
        <v>2.4767999999999999</v>
      </c>
    </row>
    <row r="110" spans="1:14">
      <c r="A110" s="505">
        <v>0.6</v>
      </c>
      <c r="B110" s="508">
        <v>2.2888000000000002</v>
      </c>
      <c r="C110" s="508">
        <v>2.2888000000000002</v>
      </c>
      <c r="D110" s="508">
        <v>2.1312000000000002</v>
      </c>
      <c r="E110" s="508">
        <v>2.1312000000000002</v>
      </c>
      <c r="F110" s="508">
        <v>2.1312000000000002</v>
      </c>
      <c r="G110" s="508">
        <v>2.1312000000000002</v>
      </c>
      <c r="H110" s="508">
        <v>2.1312000000000002</v>
      </c>
      <c r="I110" s="508">
        <v>2.0640000000000001</v>
      </c>
      <c r="J110" s="508">
        <v>2.0640000000000001</v>
      </c>
      <c r="K110" s="508">
        <v>2.0640000000000001</v>
      </c>
      <c r="L110" s="508">
        <v>2.0640000000000001</v>
      </c>
      <c r="M110" s="508">
        <v>2.0640000000000001</v>
      </c>
    </row>
    <row r="111" spans="1:14">
      <c r="A111" s="505">
        <v>0.7</v>
      </c>
      <c r="B111" s="508">
        <v>1.9619</v>
      </c>
      <c r="C111" s="508">
        <v>1.9619</v>
      </c>
      <c r="D111" s="508">
        <v>1.8267</v>
      </c>
      <c r="E111" s="508">
        <v>1.8267</v>
      </c>
      <c r="F111" s="508">
        <v>1.8267</v>
      </c>
      <c r="G111" s="508">
        <v>1.8267</v>
      </c>
      <c r="H111" s="508">
        <v>1.8267</v>
      </c>
      <c r="I111" s="508">
        <v>1.7690999999999999</v>
      </c>
      <c r="J111" s="508">
        <v>1.7690999999999999</v>
      </c>
      <c r="K111" s="508">
        <v>1.7690999999999999</v>
      </c>
      <c r="L111" s="508">
        <v>1.7690999999999999</v>
      </c>
      <c r="M111" s="508">
        <v>1.7690999999999999</v>
      </c>
    </row>
    <row r="112" spans="1:14">
      <c r="A112" s="505">
        <v>0.8</v>
      </c>
      <c r="B112" s="508">
        <v>1.7165999999999999</v>
      </c>
      <c r="C112" s="508">
        <v>1.7165999999999999</v>
      </c>
      <c r="D112" s="508">
        <v>1.5984</v>
      </c>
      <c r="E112" s="508">
        <v>1.5984</v>
      </c>
      <c r="F112" s="508">
        <v>1.5984</v>
      </c>
      <c r="G112" s="508">
        <v>1.5984</v>
      </c>
      <c r="H112" s="508">
        <v>1.5984</v>
      </c>
      <c r="I112" s="508">
        <v>1.548</v>
      </c>
      <c r="J112" s="508">
        <v>1.548</v>
      </c>
      <c r="K112" s="508">
        <v>1.548</v>
      </c>
      <c r="L112" s="508">
        <v>1.548</v>
      </c>
      <c r="M112" s="508">
        <v>1.548</v>
      </c>
    </row>
    <row r="113" spans="1:13">
      <c r="A113" s="505">
        <v>0.9</v>
      </c>
      <c r="B113" s="508">
        <v>1.5259</v>
      </c>
      <c r="C113" s="508">
        <v>1.5259</v>
      </c>
      <c r="D113" s="508">
        <v>1.4208000000000001</v>
      </c>
      <c r="E113" s="508">
        <v>1.4208000000000001</v>
      </c>
      <c r="F113" s="508">
        <v>1.4208000000000001</v>
      </c>
      <c r="G113" s="508">
        <v>1.4208000000000001</v>
      </c>
      <c r="H113" s="508">
        <v>1.4208000000000001</v>
      </c>
      <c r="I113" s="508">
        <v>1.3759999999999999</v>
      </c>
      <c r="J113" s="508">
        <v>1.3759999999999999</v>
      </c>
      <c r="K113" s="508">
        <v>1.3759999999999999</v>
      </c>
      <c r="L113" s="508">
        <v>1.3759999999999999</v>
      </c>
      <c r="M113" s="508">
        <v>1.3759999999999999</v>
      </c>
    </row>
    <row r="114" spans="1:13">
      <c r="A114" s="505">
        <v>1</v>
      </c>
      <c r="B114" s="508">
        <v>1.3733</v>
      </c>
      <c r="C114" s="508">
        <v>1.3733</v>
      </c>
      <c r="D114" s="508">
        <v>1.2786999999999999</v>
      </c>
      <c r="E114" s="508">
        <v>1.2786999999999999</v>
      </c>
      <c r="F114" s="508">
        <v>1.2786999999999999</v>
      </c>
      <c r="G114" s="508">
        <v>1.2786999999999999</v>
      </c>
      <c r="H114" s="508">
        <v>1.2786999999999999</v>
      </c>
      <c r="I114" s="508">
        <v>1.2383999999999999</v>
      </c>
      <c r="J114" s="508">
        <v>1.2383999999999999</v>
      </c>
      <c r="K114" s="508">
        <v>1.2383999999999999</v>
      </c>
      <c r="L114" s="508">
        <v>1.2383999999999999</v>
      </c>
      <c r="M114" s="508">
        <v>1.2383999999999999</v>
      </c>
    </row>
    <row r="115" spans="1:13">
      <c r="A115" s="505">
        <v>1.1000000000000001</v>
      </c>
      <c r="B115" s="508">
        <v>1.3489</v>
      </c>
      <c r="C115" s="508">
        <v>1.3489</v>
      </c>
      <c r="D115" s="508">
        <v>1.2542</v>
      </c>
      <c r="E115" s="508">
        <v>1.2542</v>
      </c>
      <c r="F115" s="508">
        <v>1.2542</v>
      </c>
      <c r="G115" s="508">
        <v>1.2542</v>
      </c>
      <c r="H115" s="508">
        <v>1.2542</v>
      </c>
      <c r="I115" s="508">
        <v>1.2050000000000001</v>
      </c>
      <c r="J115" s="508">
        <v>1.2050000000000001</v>
      </c>
      <c r="K115" s="508">
        <v>1.2050000000000001</v>
      </c>
      <c r="L115" s="508">
        <v>1.2050000000000001</v>
      </c>
      <c r="M115" s="508">
        <v>1.2050000000000001</v>
      </c>
    </row>
    <row r="116" spans="1:13">
      <c r="A116" s="505">
        <v>1.2</v>
      </c>
      <c r="B116" s="508">
        <v>1.3255999999999999</v>
      </c>
      <c r="C116" s="508">
        <v>1.3255999999999999</v>
      </c>
      <c r="D116" s="508">
        <v>1.2305999999999999</v>
      </c>
      <c r="E116" s="508">
        <v>1.2305999999999999</v>
      </c>
      <c r="F116" s="508">
        <v>1.2305999999999999</v>
      </c>
      <c r="G116" s="508">
        <v>1.2305999999999999</v>
      </c>
      <c r="H116" s="508">
        <v>1.2305999999999999</v>
      </c>
      <c r="I116" s="508">
        <v>1.1741999999999999</v>
      </c>
      <c r="J116" s="508">
        <v>1.1741999999999999</v>
      </c>
      <c r="K116" s="508">
        <v>1.1741999999999999</v>
      </c>
      <c r="L116" s="508">
        <v>1.1741999999999999</v>
      </c>
      <c r="M116" s="508">
        <v>1.1741999999999999</v>
      </c>
    </row>
    <row r="117" spans="1:13">
      <c r="A117" s="505">
        <v>1.3</v>
      </c>
      <c r="B117" s="508">
        <v>1.3032999999999999</v>
      </c>
      <c r="C117" s="508">
        <v>1.3032999999999999</v>
      </c>
      <c r="D117" s="508">
        <v>1.2079</v>
      </c>
      <c r="E117" s="508">
        <v>1.2079</v>
      </c>
      <c r="F117" s="508">
        <v>1.2079</v>
      </c>
      <c r="G117" s="508">
        <v>1.2079</v>
      </c>
      <c r="H117" s="508">
        <v>1.2079</v>
      </c>
      <c r="I117" s="508">
        <v>1.1459999999999999</v>
      </c>
      <c r="J117" s="508">
        <v>1.1459999999999999</v>
      </c>
      <c r="K117" s="508">
        <v>1.1459999999999999</v>
      </c>
      <c r="L117" s="508">
        <v>1.1459999999999999</v>
      </c>
      <c r="M117" s="508">
        <v>1.1459999999999999</v>
      </c>
    </row>
    <row r="118" spans="1:13">
      <c r="A118" s="505">
        <v>1.4</v>
      </c>
      <c r="B118" s="508">
        <v>1.282</v>
      </c>
      <c r="C118" s="508">
        <v>1.282</v>
      </c>
      <c r="D118" s="508">
        <v>1.1861999999999999</v>
      </c>
      <c r="E118" s="508">
        <v>1.1861999999999999</v>
      </c>
      <c r="F118" s="508">
        <v>1.1861999999999999</v>
      </c>
      <c r="G118" s="508">
        <v>1.1861999999999999</v>
      </c>
      <c r="H118" s="508">
        <v>1.1861999999999999</v>
      </c>
      <c r="I118" s="508">
        <v>1.1200000000000001</v>
      </c>
      <c r="J118" s="508">
        <v>1.1200000000000001</v>
      </c>
      <c r="K118" s="508">
        <v>1.1200000000000001</v>
      </c>
      <c r="L118" s="508">
        <v>1.1200000000000001</v>
      </c>
      <c r="M118" s="508">
        <v>1.1200000000000001</v>
      </c>
    </row>
    <row r="119" spans="1:13">
      <c r="A119" s="505">
        <v>1.5</v>
      </c>
      <c r="B119" s="508">
        <v>1.2617</v>
      </c>
      <c r="C119" s="508">
        <v>1.2617</v>
      </c>
      <c r="D119" s="508">
        <v>1.1653</v>
      </c>
      <c r="E119" s="508">
        <v>1.1653</v>
      </c>
      <c r="F119" s="508">
        <v>1.1653</v>
      </c>
      <c r="G119" s="508">
        <v>1.1653</v>
      </c>
      <c r="H119" s="508">
        <v>1.1653</v>
      </c>
      <c r="I119" s="508">
        <v>1.0961000000000001</v>
      </c>
      <c r="J119" s="508">
        <v>1.0961000000000001</v>
      </c>
      <c r="K119" s="508">
        <v>1.0961000000000001</v>
      </c>
      <c r="L119" s="508">
        <v>1.0961000000000001</v>
      </c>
      <c r="M119" s="508">
        <v>1.0961000000000001</v>
      </c>
    </row>
    <row r="120" spans="1:13">
      <c r="A120" s="505">
        <v>1.6</v>
      </c>
      <c r="B120" s="508">
        <v>1.2423</v>
      </c>
      <c r="C120" s="508">
        <v>1.2423</v>
      </c>
      <c r="D120" s="508">
        <v>1.1453</v>
      </c>
      <c r="E120" s="508">
        <v>1.1453</v>
      </c>
      <c r="F120" s="508">
        <v>1.1453</v>
      </c>
      <c r="G120" s="508">
        <v>1.1453</v>
      </c>
      <c r="H120" s="508">
        <v>1.1453</v>
      </c>
      <c r="I120" s="508">
        <v>1.0740000000000001</v>
      </c>
      <c r="J120" s="508">
        <v>1.0740000000000001</v>
      </c>
      <c r="K120" s="508">
        <v>1.0740000000000001</v>
      </c>
      <c r="L120" s="508">
        <v>1.0740000000000001</v>
      </c>
      <c r="M120" s="508">
        <v>1.0740000000000001</v>
      </c>
    </row>
    <row r="121" spans="1:13">
      <c r="A121" s="505">
        <v>1.7</v>
      </c>
      <c r="B121" s="508">
        <v>1.2237</v>
      </c>
      <c r="C121" s="508">
        <v>1.2237</v>
      </c>
      <c r="D121" s="508">
        <v>1.1261000000000001</v>
      </c>
      <c r="E121" s="508">
        <v>1.1261000000000001</v>
      </c>
      <c r="F121" s="508">
        <v>1.1261000000000001</v>
      </c>
      <c r="G121" s="508">
        <v>1.1261000000000001</v>
      </c>
      <c r="H121" s="508">
        <v>1.1261000000000001</v>
      </c>
      <c r="I121" s="508">
        <v>1.0535000000000001</v>
      </c>
      <c r="J121" s="508">
        <v>1.0535000000000001</v>
      </c>
      <c r="K121" s="508">
        <v>1.0535000000000001</v>
      </c>
      <c r="L121" s="508">
        <v>1.0535000000000001</v>
      </c>
      <c r="M121" s="508">
        <v>1.0535000000000001</v>
      </c>
    </row>
    <row r="122" spans="1:13">
      <c r="A122" s="505">
        <v>1.8</v>
      </c>
      <c r="B122" s="508">
        <v>1.206</v>
      </c>
      <c r="C122" s="508">
        <v>1.206</v>
      </c>
      <c r="D122" s="508">
        <v>1.1076999999999999</v>
      </c>
      <c r="E122" s="508">
        <v>1.1076999999999999</v>
      </c>
      <c r="F122" s="508">
        <v>1.1076999999999999</v>
      </c>
      <c r="G122" s="508">
        <v>1.1076999999999999</v>
      </c>
      <c r="H122" s="508">
        <v>1.1076999999999999</v>
      </c>
      <c r="I122" s="508">
        <v>1.0345</v>
      </c>
      <c r="J122" s="508">
        <v>1.0345</v>
      </c>
      <c r="K122" s="508">
        <v>1.0345</v>
      </c>
      <c r="L122" s="508">
        <v>1.0345</v>
      </c>
      <c r="M122" s="508">
        <v>1.0345</v>
      </c>
    </row>
    <row r="123" spans="1:13">
      <c r="A123" s="505">
        <v>1.9</v>
      </c>
      <c r="B123" s="508">
        <v>1.1891</v>
      </c>
      <c r="C123" s="508">
        <v>1.1891</v>
      </c>
      <c r="D123" s="508">
        <v>1.0901000000000001</v>
      </c>
      <c r="E123" s="508">
        <v>1.0901000000000001</v>
      </c>
      <c r="F123" s="508">
        <v>1.0901000000000001</v>
      </c>
      <c r="G123" s="508">
        <v>1.0901000000000001</v>
      </c>
      <c r="H123" s="508">
        <v>1.0901000000000001</v>
      </c>
      <c r="I123" s="508">
        <v>1.0166999999999999</v>
      </c>
      <c r="J123" s="508">
        <v>1.0166999999999999</v>
      </c>
      <c r="K123" s="508">
        <v>1.0166999999999999</v>
      </c>
      <c r="L123" s="508">
        <v>1.0166999999999999</v>
      </c>
      <c r="M123" s="508">
        <v>1.0166999999999999</v>
      </c>
    </row>
    <row r="124" spans="1:13">
      <c r="A124" s="505">
        <v>2</v>
      </c>
      <c r="B124" s="508">
        <v>1.1729000000000001</v>
      </c>
      <c r="C124" s="508">
        <v>1.1729000000000001</v>
      </c>
      <c r="D124" s="508">
        <v>1.0732999999999999</v>
      </c>
      <c r="E124" s="508">
        <v>1.0732999999999999</v>
      </c>
      <c r="F124" s="508">
        <v>1.0732999999999999</v>
      </c>
      <c r="G124" s="508">
        <v>1.0732999999999999</v>
      </c>
      <c r="H124" s="508">
        <v>1.0732999999999999</v>
      </c>
      <c r="I124" s="508">
        <v>1</v>
      </c>
      <c r="J124" s="508">
        <v>1</v>
      </c>
      <c r="K124" s="508">
        <v>1</v>
      </c>
      <c r="L124" s="508">
        <v>1</v>
      </c>
      <c r="M124" s="508">
        <v>1</v>
      </c>
    </row>
    <row r="125" spans="1:13">
      <c r="A125" s="509">
        <v>2.1</v>
      </c>
      <c r="B125" s="508">
        <v>1.1574</v>
      </c>
      <c r="C125" s="508">
        <v>1.1574</v>
      </c>
      <c r="D125" s="508">
        <v>1.0571999999999999</v>
      </c>
      <c r="E125" s="508">
        <v>1.0571999999999999</v>
      </c>
      <c r="F125" s="508">
        <v>1.0571999999999999</v>
      </c>
      <c r="G125" s="508">
        <v>1.0571999999999999</v>
      </c>
      <c r="H125" s="508">
        <v>1.0571999999999999</v>
      </c>
      <c r="I125" s="508">
        <v>0.98409999999999997</v>
      </c>
      <c r="J125" s="508">
        <v>0.98409999999999997</v>
      </c>
      <c r="K125" s="508">
        <v>0.98409999999999997</v>
      </c>
      <c r="L125" s="508">
        <v>0.98409999999999997</v>
      </c>
      <c r="M125" s="508">
        <v>0.98409999999999997</v>
      </c>
    </row>
    <row r="126" spans="1:13">
      <c r="A126" s="509">
        <v>2.2000000000000002</v>
      </c>
      <c r="B126" s="508">
        <v>1.1426000000000001</v>
      </c>
      <c r="C126" s="508">
        <v>1.1426000000000001</v>
      </c>
      <c r="D126" s="508">
        <v>1.0419</v>
      </c>
      <c r="E126" s="508">
        <v>1.0419</v>
      </c>
      <c r="F126" s="508">
        <v>1.0419</v>
      </c>
      <c r="G126" s="508">
        <v>1.0419</v>
      </c>
      <c r="H126" s="508">
        <v>1.0419</v>
      </c>
      <c r="I126" s="508">
        <v>0.96889999999999998</v>
      </c>
      <c r="J126" s="508">
        <v>0.96889999999999998</v>
      </c>
      <c r="K126" s="508">
        <v>0.96889999999999998</v>
      </c>
      <c r="L126" s="508">
        <v>0.96889999999999998</v>
      </c>
      <c r="M126" s="508">
        <v>0.96889999999999998</v>
      </c>
    </row>
    <row r="127" spans="1:13">
      <c r="A127" s="509">
        <v>2.2999999999999998</v>
      </c>
      <c r="B127" s="508">
        <v>1.1285000000000001</v>
      </c>
      <c r="C127" s="508">
        <v>1.1285000000000001</v>
      </c>
      <c r="D127" s="508">
        <v>1.0271999999999999</v>
      </c>
      <c r="E127" s="508">
        <v>1.0271999999999999</v>
      </c>
      <c r="F127" s="508">
        <v>1.0271999999999999</v>
      </c>
      <c r="G127" s="508">
        <v>1.0271999999999999</v>
      </c>
      <c r="H127" s="508">
        <v>1.0271999999999999</v>
      </c>
      <c r="I127" s="508">
        <v>0.95440000000000003</v>
      </c>
      <c r="J127" s="508">
        <v>0.95440000000000003</v>
      </c>
      <c r="K127" s="508">
        <v>0.95440000000000003</v>
      </c>
      <c r="L127" s="508">
        <v>0.95440000000000003</v>
      </c>
      <c r="M127" s="508">
        <v>0.95440000000000003</v>
      </c>
    </row>
    <row r="128" spans="1:13">
      <c r="A128" s="509">
        <v>2.4</v>
      </c>
      <c r="B128" s="508">
        <v>1.1149</v>
      </c>
      <c r="C128" s="508">
        <v>1.1149</v>
      </c>
      <c r="D128" s="508">
        <v>1.0133000000000001</v>
      </c>
      <c r="E128" s="508">
        <v>1.0133000000000001</v>
      </c>
      <c r="F128" s="508">
        <v>1.0133000000000001</v>
      </c>
      <c r="G128" s="508">
        <v>1.0133000000000001</v>
      </c>
      <c r="H128" s="508">
        <v>1.0133000000000001</v>
      </c>
      <c r="I128" s="508">
        <v>0.9405</v>
      </c>
      <c r="J128" s="508">
        <v>0.9405</v>
      </c>
      <c r="K128" s="508">
        <v>0.9405</v>
      </c>
      <c r="L128" s="508">
        <v>0.9405</v>
      </c>
      <c r="M128" s="508">
        <v>0.9405</v>
      </c>
    </row>
    <row r="129" spans="1:13">
      <c r="A129" s="509">
        <v>2.5</v>
      </c>
      <c r="B129" s="508">
        <v>1.1020000000000001</v>
      </c>
      <c r="C129" s="508">
        <v>1.1020000000000001</v>
      </c>
      <c r="D129" s="508">
        <v>1</v>
      </c>
      <c r="E129" s="508">
        <v>1</v>
      </c>
      <c r="F129" s="508">
        <v>1</v>
      </c>
      <c r="G129" s="508">
        <v>1</v>
      </c>
      <c r="H129" s="508">
        <v>1</v>
      </c>
      <c r="I129" s="508">
        <v>0.92730000000000001</v>
      </c>
      <c r="J129" s="508">
        <v>0.92730000000000001</v>
      </c>
      <c r="K129" s="508">
        <v>0.92730000000000001</v>
      </c>
      <c r="L129" s="508">
        <v>0.92730000000000001</v>
      </c>
      <c r="M129" s="508">
        <v>0.92730000000000001</v>
      </c>
    </row>
    <row r="130" spans="1:13">
      <c r="A130" s="509">
        <v>2.6</v>
      </c>
      <c r="B130" s="508">
        <v>1.0895999999999999</v>
      </c>
      <c r="C130" s="508">
        <v>1.0895999999999999</v>
      </c>
      <c r="D130" s="508">
        <v>0.98740000000000006</v>
      </c>
      <c r="E130" s="508">
        <v>0.98740000000000006</v>
      </c>
      <c r="F130" s="508">
        <v>0.98740000000000006</v>
      </c>
      <c r="G130" s="508">
        <v>0.98740000000000006</v>
      </c>
      <c r="H130" s="508">
        <v>0.98740000000000006</v>
      </c>
      <c r="I130" s="508">
        <v>0.91469999999999996</v>
      </c>
      <c r="J130" s="508">
        <v>0.91469999999999996</v>
      </c>
      <c r="K130" s="508">
        <v>0.91469999999999996</v>
      </c>
      <c r="L130" s="508">
        <v>0.91469999999999996</v>
      </c>
      <c r="M130" s="508">
        <v>0.91469999999999996</v>
      </c>
    </row>
    <row r="131" spans="1:13">
      <c r="A131" s="509">
        <v>2.7</v>
      </c>
      <c r="B131" s="508">
        <v>1.0778000000000001</v>
      </c>
      <c r="C131" s="508">
        <v>1.0778000000000001</v>
      </c>
      <c r="D131" s="508">
        <v>0.97540000000000004</v>
      </c>
      <c r="E131" s="508">
        <v>0.97540000000000004</v>
      </c>
      <c r="F131" s="508">
        <v>0.97540000000000004</v>
      </c>
      <c r="G131" s="508">
        <v>0.97540000000000004</v>
      </c>
      <c r="H131" s="508">
        <v>0.97540000000000004</v>
      </c>
      <c r="I131" s="508">
        <v>0.90269999999999995</v>
      </c>
      <c r="J131" s="508">
        <v>0.90269999999999995</v>
      </c>
      <c r="K131" s="508">
        <v>0.90269999999999995</v>
      </c>
      <c r="L131" s="508">
        <v>0.90269999999999995</v>
      </c>
      <c r="M131" s="508">
        <v>0.90269999999999995</v>
      </c>
    </row>
    <row r="132" spans="1:13">
      <c r="A132" s="509">
        <v>2.8</v>
      </c>
      <c r="B132" s="508">
        <v>1.0665</v>
      </c>
      <c r="C132" s="508">
        <v>1.0665</v>
      </c>
      <c r="D132" s="508">
        <v>0.96399999999999997</v>
      </c>
      <c r="E132" s="508">
        <v>0.96399999999999997</v>
      </c>
      <c r="F132" s="508">
        <v>0.96399999999999997</v>
      </c>
      <c r="G132" s="508">
        <v>0.96399999999999997</v>
      </c>
      <c r="H132" s="508">
        <v>0.96399999999999997</v>
      </c>
      <c r="I132" s="508">
        <v>0.89119999999999999</v>
      </c>
      <c r="J132" s="508">
        <v>0.89119999999999999</v>
      </c>
      <c r="K132" s="508">
        <v>0.89119999999999999</v>
      </c>
      <c r="L132" s="508">
        <v>0.89119999999999999</v>
      </c>
      <c r="M132" s="508">
        <v>0.89119999999999999</v>
      </c>
    </row>
    <row r="133" spans="1:13">
      <c r="A133" s="509">
        <v>2.9</v>
      </c>
      <c r="B133" s="508">
        <v>1.0556000000000001</v>
      </c>
      <c r="C133" s="508">
        <v>1.0556000000000001</v>
      </c>
      <c r="D133" s="508">
        <v>0.95330000000000004</v>
      </c>
      <c r="E133" s="508">
        <v>0.95330000000000004</v>
      </c>
      <c r="F133" s="508">
        <v>0.95330000000000004</v>
      </c>
      <c r="G133" s="508">
        <v>0.95330000000000004</v>
      </c>
      <c r="H133" s="508">
        <v>0.95330000000000004</v>
      </c>
      <c r="I133" s="508">
        <v>0.88019999999999998</v>
      </c>
      <c r="J133" s="508">
        <v>0.88019999999999998</v>
      </c>
      <c r="K133" s="508">
        <v>0.88019999999999998</v>
      </c>
      <c r="L133" s="508">
        <v>0.88019999999999998</v>
      </c>
      <c r="M133" s="508">
        <v>0.88019999999999998</v>
      </c>
    </row>
    <row r="134" spans="1:13">
      <c r="A134" s="509">
        <v>3</v>
      </c>
      <c r="B134" s="508">
        <v>1.0452999999999999</v>
      </c>
      <c r="C134" s="508">
        <v>1.0452999999999999</v>
      </c>
      <c r="D134" s="508">
        <v>0.94299999999999995</v>
      </c>
      <c r="E134" s="508">
        <v>0.94299999999999995</v>
      </c>
      <c r="F134" s="508">
        <v>0.94299999999999995</v>
      </c>
      <c r="G134" s="508">
        <v>0.94299999999999995</v>
      </c>
      <c r="H134" s="508">
        <v>0.94299999999999995</v>
      </c>
      <c r="I134" s="508">
        <v>0.86970000000000003</v>
      </c>
      <c r="J134" s="508">
        <v>0.86970000000000003</v>
      </c>
      <c r="K134" s="508">
        <v>0.86970000000000003</v>
      </c>
      <c r="L134" s="508">
        <v>0.86970000000000003</v>
      </c>
      <c r="M134" s="508">
        <v>0.86970000000000003</v>
      </c>
    </row>
    <row r="135" spans="1:13">
      <c r="A135" s="509">
        <v>3.1</v>
      </c>
      <c r="B135" s="508">
        <v>1.0354000000000001</v>
      </c>
      <c r="C135" s="508">
        <v>1.0354000000000001</v>
      </c>
      <c r="D135" s="508">
        <v>0.93330000000000002</v>
      </c>
      <c r="E135" s="508">
        <v>0.93330000000000002</v>
      </c>
      <c r="F135" s="508">
        <v>0.93330000000000002</v>
      </c>
      <c r="G135" s="508">
        <v>0.93330000000000002</v>
      </c>
      <c r="H135" s="508">
        <v>0.93330000000000002</v>
      </c>
      <c r="I135" s="508">
        <v>0.85970000000000002</v>
      </c>
      <c r="J135" s="508">
        <v>0.85970000000000002</v>
      </c>
      <c r="K135" s="508">
        <v>0.85970000000000002</v>
      </c>
      <c r="L135" s="508">
        <v>0.85970000000000002</v>
      </c>
      <c r="M135" s="508">
        <v>0.85970000000000002</v>
      </c>
    </row>
    <row r="136" spans="1:13">
      <c r="A136" s="509">
        <v>3.2</v>
      </c>
      <c r="B136" s="508">
        <v>1.0259</v>
      </c>
      <c r="C136" s="508">
        <v>1.0259</v>
      </c>
      <c r="D136" s="508">
        <v>0.92410000000000003</v>
      </c>
      <c r="E136" s="508">
        <v>0.92410000000000003</v>
      </c>
      <c r="F136" s="508">
        <v>0.92410000000000003</v>
      </c>
      <c r="G136" s="508">
        <v>0.92410000000000003</v>
      </c>
      <c r="H136" s="508">
        <v>0.92410000000000003</v>
      </c>
      <c r="I136" s="508">
        <v>0.85019999999999996</v>
      </c>
      <c r="J136" s="508">
        <v>0.85019999999999996</v>
      </c>
      <c r="K136" s="508">
        <v>0.85019999999999996</v>
      </c>
      <c r="L136" s="508">
        <v>0.85019999999999996</v>
      </c>
      <c r="M136" s="508">
        <v>0.85019999999999996</v>
      </c>
    </row>
    <row r="137" spans="1:13">
      <c r="A137" s="509">
        <v>3.3</v>
      </c>
      <c r="B137" s="508">
        <v>1.0168999999999999</v>
      </c>
      <c r="C137" s="508">
        <v>1.0168999999999999</v>
      </c>
      <c r="D137" s="508">
        <v>0.91539999999999999</v>
      </c>
      <c r="E137" s="508">
        <v>0.91539999999999999</v>
      </c>
      <c r="F137" s="508">
        <v>0.91539999999999999</v>
      </c>
      <c r="G137" s="508">
        <v>0.91539999999999999</v>
      </c>
      <c r="H137" s="508">
        <v>0.91539999999999999</v>
      </c>
      <c r="I137" s="508">
        <v>0.84109999999999996</v>
      </c>
      <c r="J137" s="508">
        <v>0.84109999999999996</v>
      </c>
      <c r="K137" s="508">
        <v>0.84109999999999996</v>
      </c>
      <c r="L137" s="508">
        <v>0.84109999999999996</v>
      </c>
      <c r="M137" s="508">
        <v>0.84109999999999996</v>
      </c>
    </row>
    <row r="138" spans="1:13">
      <c r="A138" s="509">
        <v>3.4</v>
      </c>
      <c r="B138" s="508">
        <v>1.0082</v>
      </c>
      <c r="C138" s="508">
        <v>1.0082</v>
      </c>
      <c r="D138" s="508">
        <v>0.90710000000000002</v>
      </c>
      <c r="E138" s="508">
        <v>0.90710000000000002</v>
      </c>
      <c r="F138" s="508">
        <v>0.90710000000000002</v>
      </c>
      <c r="G138" s="508">
        <v>0.90710000000000002</v>
      </c>
      <c r="H138" s="508">
        <v>0.90710000000000002</v>
      </c>
      <c r="I138" s="508">
        <v>0.83240000000000003</v>
      </c>
      <c r="J138" s="508">
        <v>0.83240000000000003</v>
      </c>
      <c r="K138" s="508">
        <v>0.83240000000000003</v>
      </c>
      <c r="L138" s="508">
        <v>0.83240000000000003</v>
      </c>
      <c r="M138" s="508">
        <v>0.83240000000000003</v>
      </c>
    </row>
    <row r="139" spans="1:13">
      <c r="A139" s="509">
        <v>3.5</v>
      </c>
      <c r="B139" s="508">
        <v>1</v>
      </c>
      <c r="C139" s="508">
        <v>1</v>
      </c>
      <c r="D139" s="508">
        <v>0.89929999999999999</v>
      </c>
      <c r="E139" s="508">
        <v>0.89929999999999999</v>
      </c>
      <c r="F139" s="508">
        <v>0.89929999999999999</v>
      </c>
      <c r="G139" s="508">
        <v>0.89929999999999999</v>
      </c>
      <c r="H139" s="508">
        <v>0.89929999999999999</v>
      </c>
      <c r="I139" s="508">
        <v>0.82410000000000005</v>
      </c>
      <c r="J139" s="508">
        <v>0.82410000000000005</v>
      </c>
      <c r="K139" s="508">
        <v>0.82410000000000005</v>
      </c>
      <c r="L139" s="508">
        <v>0.82410000000000005</v>
      </c>
      <c r="M139" s="508">
        <v>0.82410000000000005</v>
      </c>
    </row>
    <row r="140" spans="1:13">
      <c r="A140" s="509">
        <v>3.6</v>
      </c>
      <c r="B140" s="508">
        <v>0.99219999999999997</v>
      </c>
      <c r="C140" s="508">
        <v>0.99219999999999997</v>
      </c>
      <c r="D140" s="508">
        <v>0.89190000000000003</v>
      </c>
      <c r="E140" s="508">
        <v>0.89190000000000003</v>
      </c>
      <c r="F140" s="508">
        <v>0.89190000000000003</v>
      </c>
      <c r="G140" s="508">
        <v>0.89190000000000003</v>
      </c>
      <c r="H140" s="508">
        <v>0.89190000000000003</v>
      </c>
      <c r="I140" s="508">
        <v>0.81620000000000004</v>
      </c>
      <c r="J140" s="508">
        <v>0.81620000000000004</v>
      </c>
      <c r="K140" s="508">
        <v>0.81620000000000004</v>
      </c>
      <c r="L140" s="508">
        <v>0.81620000000000004</v>
      </c>
      <c r="M140" s="508">
        <v>0.81620000000000004</v>
      </c>
    </row>
    <row r="141" spans="1:13">
      <c r="A141" s="509">
        <v>3.7</v>
      </c>
      <c r="B141" s="508">
        <v>0.98480000000000001</v>
      </c>
      <c r="C141" s="508">
        <v>0.98480000000000001</v>
      </c>
      <c r="D141" s="508">
        <v>0.88480000000000003</v>
      </c>
      <c r="E141" s="508">
        <v>0.88480000000000003</v>
      </c>
      <c r="F141" s="508">
        <v>0.88480000000000003</v>
      </c>
      <c r="G141" s="508">
        <v>0.88480000000000003</v>
      </c>
      <c r="H141" s="508">
        <v>0.88480000000000003</v>
      </c>
      <c r="I141" s="508">
        <v>0.80869999999999997</v>
      </c>
      <c r="J141" s="508">
        <v>0.80869999999999997</v>
      </c>
      <c r="K141" s="508">
        <v>0.80869999999999997</v>
      </c>
      <c r="L141" s="508">
        <v>0.80869999999999997</v>
      </c>
      <c r="M141" s="508">
        <v>0.80869999999999997</v>
      </c>
    </row>
    <row r="142" spans="1:13">
      <c r="A142" s="509">
        <v>3.8</v>
      </c>
      <c r="B142" s="508">
        <v>0.9778</v>
      </c>
      <c r="C142" s="508">
        <v>0.9778</v>
      </c>
      <c r="D142" s="508">
        <v>0.87809999999999999</v>
      </c>
      <c r="E142" s="508">
        <v>0.87809999999999999</v>
      </c>
      <c r="F142" s="508">
        <v>0.87809999999999999</v>
      </c>
      <c r="G142" s="508">
        <v>0.87809999999999999</v>
      </c>
      <c r="H142" s="508">
        <v>0.87809999999999999</v>
      </c>
      <c r="I142" s="508">
        <v>0.80159999999999998</v>
      </c>
      <c r="J142" s="508">
        <v>0.80159999999999998</v>
      </c>
      <c r="K142" s="508">
        <v>0.80159999999999998</v>
      </c>
      <c r="L142" s="508">
        <v>0.80159999999999998</v>
      </c>
      <c r="M142" s="508">
        <v>0.80159999999999998</v>
      </c>
    </row>
    <row r="143" spans="1:13">
      <c r="A143" s="509">
        <v>3.9</v>
      </c>
      <c r="B143" s="508">
        <v>0.97119999999999995</v>
      </c>
      <c r="C143" s="508">
        <v>0.97119999999999995</v>
      </c>
      <c r="D143" s="508">
        <v>0.87180000000000002</v>
      </c>
      <c r="E143" s="508">
        <v>0.87180000000000002</v>
      </c>
      <c r="F143" s="508">
        <v>0.87180000000000002</v>
      </c>
      <c r="G143" s="508">
        <v>0.87180000000000002</v>
      </c>
      <c r="H143" s="508">
        <v>0.87180000000000002</v>
      </c>
      <c r="I143" s="508">
        <v>0.79479999999999995</v>
      </c>
      <c r="J143" s="508">
        <v>0.79479999999999995</v>
      </c>
      <c r="K143" s="508">
        <v>0.79479999999999995</v>
      </c>
      <c r="L143" s="508">
        <v>0.79479999999999995</v>
      </c>
      <c r="M143" s="508">
        <v>0.79479999999999995</v>
      </c>
    </row>
    <row r="144" spans="1:13">
      <c r="A144" s="509">
        <v>4</v>
      </c>
      <c r="B144" s="508">
        <v>0.96499999999999997</v>
      </c>
      <c r="C144" s="508">
        <v>0.96499999999999997</v>
      </c>
      <c r="D144" s="508">
        <v>0.86580000000000001</v>
      </c>
      <c r="E144" s="508">
        <v>0.86580000000000001</v>
      </c>
      <c r="F144" s="508">
        <v>0.86580000000000001</v>
      </c>
      <c r="G144" s="508">
        <v>0.86580000000000001</v>
      </c>
      <c r="H144" s="508">
        <v>0.86580000000000001</v>
      </c>
      <c r="I144" s="508">
        <v>0.7883</v>
      </c>
      <c r="J144" s="508">
        <v>0.7883</v>
      </c>
      <c r="K144" s="508">
        <v>0.7883</v>
      </c>
      <c r="L144" s="508">
        <v>0.7883</v>
      </c>
      <c r="M144" s="508">
        <v>0.7883</v>
      </c>
    </row>
    <row r="145" spans="1:13">
      <c r="A145" s="509">
        <v>4.0999999999999996</v>
      </c>
      <c r="B145" s="508">
        <v>0.95909999999999995</v>
      </c>
      <c r="C145" s="508">
        <v>0.95909999999999995</v>
      </c>
      <c r="D145" s="508">
        <v>0.86009999999999998</v>
      </c>
      <c r="E145" s="508">
        <v>0.86009999999999998</v>
      </c>
      <c r="F145" s="508">
        <v>0.86009999999999998</v>
      </c>
      <c r="G145" s="508">
        <v>0.86009999999999998</v>
      </c>
      <c r="H145" s="508">
        <v>0.86009999999999998</v>
      </c>
      <c r="I145" s="508">
        <v>0.78200000000000003</v>
      </c>
      <c r="J145" s="508">
        <v>0.78200000000000003</v>
      </c>
      <c r="K145" s="508">
        <v>0.78200000000000003</v>
      </c>
      <c r="L145" s="508">
        <v>0.78200000000000003</v>
      </c>
      <c r="M145" s="508">
        <v>0.78200000000000003</v>
      </c>
    </row>
    <row r="146" spans="1:13">
      <c r="A146" s="509">
        <v>4.2</v>
      </c>
      <c r="B146" s="508">
        <v>0.95350000000000001</v>
      </c>
      <c r="C146" s="508">
        <v>0.95350000000000001</v>
      </c>
      <c r="D146" s="508">
        <v>0.85470000000000002</v>
      </c>
      <c r="E146" s="508">
        <v>0.85470000000000002</v>
      </c>
      <c r="F146" s="508">
        <v>0.85470000000000002</v>
      </c>
      <c r="G146" s="508">
        <v>0.85470000000000002</v>
      </c>
      <c r="H146" s="508">
        <v>0.85470000000000002</v>
      </c>
      <c r="I146" s="508">
        <v>0.77600000000000002</v>
      </c>
      <c r="J146" s="508">
        <v>0.77600000000000002</v>
      </c>
      <c r="K146" s="508">
        <v>0.77600000000000002</v>
      </c>
      <c r="L146" s="508">
        <v>0.77600000000000002</v>
      </c>
      <c r="M146" s="508">
        <v>0.77600000000000002</v>
      </c>
    </row>
    <row r="147" spans="1:13">
      <c r="A147" s="509">
        <v>4.3</v>
      </c>
      <c r="B147" s="508">
        <v>0.94820000000000004</v>
      </c>
      <c r="C147" s="508">
        <v>0.94820000000000004</v>
      </c>
      <c r="D147" s="508">
        <v>0.84960000000000002</v>
      </c>
      <c r="E147" s="508">
        <v>0.84960000000000002</v>
      </c>
      <c r="F147" s="508">
        <v>0.84960000000000002</v>
      </c>
      <c r="G147" s="508">
        <v>0.84960000000000002</v>
      </c>
      <c r="H147" s="508">
        <v>0.84960000000000002</v>
      </c>
      <c r="I147" s="508">
        <v>0.77029999999999998</v>
      </c>
      <c r="J147" s="508">
        <v>0.77029999999999998</v>
      </c>
      <c r="K147" s="508">
        <v>0.77029999999999998</v>
      </c>
      <c r="L147" s="508">
        <v>0.77029999999999998</v>
      </c>
      <c r="M147" s="508">
        <v>0.77029999999999998</v>
      </c>
    </row>
    <row r="148" spans="1:13">
      <c r="A148" s="509">
        <v>4.4000000000000004</v>
      </c>
      <c r="B148" s="508">
        <v>0.94320000000000004</v>
      </c>
      <c r="C148" s="508">
        <v>0.94320000000000004</v>
      </c>
      <c r="D148" s="508">
        <v>0.8448</v>
      </c>
      <c r="E148" s="508">
        <v>0.8448</v>
      </c>
      <c r="F148" s="508">
        <v>0.8448</v>
      </c>
      <c r="G148" s="508">
        <v>0.8448</v>
      </c>
      <c r="H148" s="508">
        <v>0.8448</v>
      </c>
      <c r="I148" s="508">
        <v>0.76490000000000002</v>
      </c>
      <c r="J148" s="508">
        <v>0.76490000000000002</v>
      </c>
      <c r="K148" s="508">
        <v>0.76490000000000002</v>
      </c>
      <c r="L148" s="508">
        <v>0.76490000000000002</v>
      </c>
      <c r="M148" s="508">
        <v>0.76490000000000002</v>
      </c>
    </row>
    <row r="149" spans="1:13">
      <c r="A149" s="509">
        <v>4.5</v>
      </c>
      <c r="B149" s="508">
        <v>0.9385</v>
      </c>
      <c r="C149" s="508">
        <v>0.9385</v>
      </c>
      <c r="D149" s="508">
        <v>0.84019999999999995</v>
      </c>
      <c r="E149" s="508">
        <v>0.84019999999999995</v>
      </c>
      <c r="F149" s="508">
        <v>0.84019999999999995</v>
      </c>
      <c r="G149" s="508">
        <v>0.84019999999999995</v>
      </c>
      <c r="H149" s="508">
        <v>0.84019999999999995</v>
      </c>
      <c r="I149" s="508">
        <v>0.75970000000000004</v>
      </c>
      <c r="J149" s="508">
        <v>0.75970000000000004</v>
      </c>
      <c r="K149" s="508">
        <v>0.75970000000000004</v>
      </c>
      <c r="L149" s="508">
        <v>0.75970000000000004</v>
      </c>
      <c r="M149" s="508">
        <v>0.75970000000000004</v>
      </c>
    </row>
    <row r="150" spans="1:13">
      <c r="A150" s="509">
        <v>4.5999999999999996</v>
      </c>
      <c r="B150" s="508">
        <v>0.93410000000000004</v>
      </c>
      <c r="C150" s="508">
        <v>0.93410000000000004</v>
      </c>
      <c r="D150" s="508">
        <v>0.83579999999999999</v>
      </c>
      <c r="E150" s="508">
        <v>0.83579999999999999</v>
      </c>
      <c r="F150" s="508">
        <v>0.83579999999999999</v>
      </c>
      <c r="G150" s="508">
        <v>0.83579999999999999</v>
      </c>
      <c r="H150" s="508">
        <v>0.83579999999999999</v>
      </c>
      <c r="I150" s="508">
        <v>0.75470000000000004</v>
      </c>
      <c r="J150" s="508">
        <v>0.75470000000000004</v>
      </c>
      <c r="K150" s="508">
        <v>0.75470000000000004</v>
      </c>
      <c r="L150" s="508">
        <v>0.75470000000000004</v>
      </c>
      <c r="M150" s="508">
        <v>0.75470000000000004</v>
      </c>
    </row>
    <row r="151" spans="1:13">
      <c r="A151" s="509">
        <v>4.7</v>
      </c>
      <c r="B151" s="508">
        <v>0.92989999999999995</v>
      </c>
      <c r="C151" s="508">
        <v>0.92989999999999995</v>
      </c>
      <c r="D151" s="508">
        <v>0.83160000000000001</v>
      </c>
      <c r="E151" s="508">
        <v>0.83160000000000001</v>
      </c>
      <c r="F151" s="508">
        <v>0.83160000000000001</v>
      </c>
      <c r="G151" s="508">
        <v>0.83160000000000001</v>
      </c>
      <c r="H151" s="508">
        <v>0.83160000000000001</v>
      </c>
      <c r="I151" s="508">
        <v>0.74990000000000001</v>
      </c>
      <c r="J151" s="508">
        <v>0.74990000000000001</v>
      </c>
      <c r="K151" s="508">
        <v>0.74990000000000001</v>
      </c>
      <c r="L151" s="508">
        <v>0.74990000000000001</v>
      </c>
      <c r="M151" s="508">
        <v>0.74990000000000001</v>
      </c>
    </row>
    <row r="152" spans="1:13">
      <c r="A152" s="509">
        <v>4.8</v>
      </c>
      <c r="B152" s="508">
        <v>0.92589999999999995</v>
      </c>
      <c r="C152" s="508">
        <v>0.92589999999999995</v>
      </c>
      <c r="D152" s="508">
        <v>0.82769999999999999</v>
      </c>
      <c r="E152" s="508">
        <v>0.82769999999999999</v>
      </c>
      <c r="F152" s="508">
        <v>0.82769999999999999</v>
      </c>
      <c r="G152" s="508">
        <v>0.82769999999999999</v>
      </c>
      <c r="H152" s="508">
        <v>0.82769999999999999</v>
      </c>
      <c r="I152" s="508">
        <v>0.74529999999999996</v>
      </c>
      <c r="J152" s="508">
        <v>0.74529999999999996</v>
      </c>
      <c r="K152" s="508">
        <v>0.74529999999999996</v>
      </c>
      <c r="L152" s="508">
        <v>0.74529999999999996</v>
      </c>
      <c r="M152" s="508">
        <v>0.74529999999999996</v>
      </c>
    </row>
    <row r="153" spans="1:13">
      <c r="A153" s="509">
        <v>4.9000000000000004</v>
      </c>
      <c r="B153" s="508">
        <v>0.92210000000000003</v>
      </c>
      <c r="C153" s="508">
        <v>0.92210000000000003</v>
      </c>
      <c r="D153" s="508">
        <v>0.82389999999999997</v>
      </c>
      <c r="E153" s="508">
        <v>0.82389999999999997</v>
      </c>
      <c r="F153" s="508">
        <v>0.82389999999999997</v>
      </c>
      <c r="G153" s="508">
        <v>0.82389999999999997</v>
      </c>
      <c r="H153" s="508">
        <v>0.82389999999999997</v>
      </c>
      <c r="I153" s="508">
        <v>0.7409</v>
      </c>
      <c r="J153" s="508">
        <v>0.7409</v>
      </c>
      <c r="K153" s="508">
        <v>0.7409</v>
      </c>
      <c r="L153" s="508">
        <v>0.7409</v>
      </c>
      <c r="M153" s="508">
        <v>0.7409</v>
      </c>
    </row>
    <row r="154" spans="1:13">
      <c r="A154" s="509">
        <v>5</v>
      </c>
      <c r="B154" s="508">
        <v>0.91849999999999998</v>
      </c>
      <c r="C154" s="508">
        <v>0.91849999999999998</v>
      </c>
      <c r="D154" s="508">
        <v>0.82030000000000003</v>
      </c>
      <c r="E154" s="508">
        <v>0.82030000000000003</v>
      </c>
      <c r="F154" s="508">
        <v>0.82030000000000003</v>
      </c>
      <c r="G154" s="508">
        <v>0.82030000000000003</v>
      </c>
      <c r="H154" s="508">
        <v>0.82030000000000003</v>
      </c>
      <c r="I154" s="508">
        <v>0.73670000000000002</v>
      </c>
      <c r="J154" s="508">
        <v>0.73670000000000002</v>
      </c>
      <c r="K154" s="508">
        <v>0.73670000000000002</v>
      </c>
      <c r="L154" s="508">
        <v>0.73670000000000002</v>
      </c>
      <c r="M154" s="508">
        <v>0.73670000000000002</v>
      </c>
    </row>
    <row r="155" spans="1:13">
      <c r="A155" s="505">
        <v>5.0999999999999996</v>
      </c>
      <c r="B155" s="508">
        <v>0.91510000000000002</v>
      </c>
      <c r="C155" s="508">
        <v>0.91510000000000002</v>
      </c>
      <c r="D155" s="508">
        <v>0.81689999999999996</v>
      </c>
      <c r="E155" s="508">
        <v>0.81689999999999996</v>
      </c>
      <c r="F155" s="508">
        <v>0.81689999999999996</v>
      </c>
      <c r="G155" s="508">
        <v>0.81689999999999996</v>
      </c>
      <c r="H155" s="508">
        <v>0.81689999999999996</v>
      </c>
      <c r="I155" s="508">
        <v>0.73270000000000002</v>
      </c>
      <c r="J155" s="508">
        <v>0.73270000000000002</v>
      </c>
      <c r="K155" s="508">
        <v>0.73270000000000002</v>
      </c>
      <c r="L155" s="508">
        <v>0.73270000000000002</v>
      </c>
      <c r="M155" s="508">
        <v>0.73270000000000002</v>
      </c>
    </row>
    <row r="156" spans="1:13">
      <c r="A156" s="505">
        <v>5.2</v>
      </c>
      <c r="B156" s="508">
        <v>0.91190000000000004</v>
      </c>
      <c r="C156" s="508">
        <v>0.91190000000000004</v>
      </c>
      <c r="D156" s="508">
        <v>0.81359999999999999</v>
      </c>
      <c r="E156" s="508">
        <v>0.81359999999999999</v>
      </c>
      <c r="F156" s="508">
        <v>0.81359999999999999</v>
      </c>
      <c r="G156" s="508">
        <v>0.81359999999999999</v>
      </c>
      <c r="H156" s="508">
        <v>0.81359999999999999</v>
      </c>
      <c r="I156" s="508">
        <v>0.72889999999999999</v>
      </c>
      <c r="J156" s="508">
        <v>0.72889999999999999</v>
      </c>
      <c r="K156" s="508">
        <v>0.72889999999999999</v>
      </c>
      <c r="L156" s="508">
        <v>0.72889999999999999</v>
      </c>
      <c r="M156" s="508">
        <v>0.72889999999999999</v>
      </c>
    </row>
    <row r="157" spans="1:13">
      <c r="A157" s="505">
        <v>5.3</v>
      </c>
      <c r="B157" s="508">
        <v>0.90880000000000005</v>
      </c>
      <c r="C157" s="508">
        <v>0.90880000000000005</v>
      </c>
      <c r="D157" s="508">
        <v>0.8105</v>
      </c>
      <c r="E157" s="508">
        <v>0.8105</v>
      </c>
      <c r="F157" s="508">
        <v>0.8105</v>
      </c>
      <c r="G157" s="508">
        <v>0.8105</v>
      </c>
      <c r="H157" s="508">
        <v>0.8105</v>
      </c>
      <c r="I157" s="508">
        <v>0.72529999999999994</v>
      </c>
      <c r="J157" s="508">
        <v>0.72529999999999994</v>
      </c>
      <c r="K157" s="508">
        <v>0.72529999999999994</v>
      </c>
      <c r="L157" s="508">
        <v>0.72529999999999994</v>
      </c>
      <c r="M157" s="508">
        <v>0.72529999999999994</v>
      </c>
    </row>
    <row r="158" spans="1:13">
      <c r="A158" s="505">
        <v>5.4</v>
      </c>
      <c r="B158" s="508">
        <v>0.90580000000000005</v>
      </c>
      <c r="C158" s="508">
        <v>0.90580000000000005</v>
      </c>
      <c r="D158" s="508">
        <v>0.8075</v>
      </c>
      <c r="E158" s="508">
        <v>0.8075</v>
      </c>
      <c r="F158" s="508">
        <v>0.8075</v>
      </c>
      <c r="G158" s="508">
        <v>0.8075</v>
      </c>
      <c r="H158" s="508">
        <v>0.8075</v>
      </c>
      <c r="I158" s="508">
        <v>0.7218</v>
      </c>
      <c r="J158" s="508">
        <v>0.7218</v>
      </c>
      <c r="K158" s="508">
        <v>0.7218</v>
      </c>
      <c r="L158" s="508">
        <v>0.7218</v>
      </c>
      <c r="M158" s="508">
        <v>0.7218</v>
      </c>
    </row>
    <row r="159" spans="1:13">
      <c r="A159" s="505">
        <v>5.5</v>
      </c>
      <c r="B159" s="508">
        <v>0.90290000000000004</v>
      </c>
      <c r="C159" s="508">
        <v>0.90290000000000004</v>
      </c>
      <c r="D159" s="508">
        <v>0.80469999999999997</v>
      </c>
      <c r="E159" s="508">
        <v>0.80469999999999997</v>
      </c>
      <c r="F159" s="508">
        <v>0.80469999999999997</v>
      </c>
      <c r="G159" s="508">
        <v>0.80469999999999997</v>
      </c>
      <c r="H159" s="508">
        <v>0.80469999999999997</v>
      </c>
      <c r="I159" s="508">
        <v>0.71840000000000004</v>
      </c>
      <c r="J159" s="508">
        <v>0.71840000000000004</v>
      </c>
      <c r="K159" s="508">
        <v>0.71840000000000004</v>
      </c>
      <c r="L159" s="508">
        <v>0.71840000000000004</v>
      </c>
      <c r="M159" s="508">
        <v>0.71840000000000004</v>
      </c>
    </row>
    <row r="160" spans="1:13">
      <c r="A160" s="505">
        <v>5.6</v>
      </c>
      <c r="B160" s="508">
        <v>0.90010000000000001</v>
      </c>
      <c r="C160" s="508">
        <v>0.90010000000000001</v>
      </c>
      <c r="D160" s="508">
        <v>0.80200000000000005</v>
      </c>
      <c r="E160" s="508">
        <v>0.80200000000000005</v>
      </c>
      <c r="F160" s="508">
        <v>0.80200000000000005</v>
      </c>
      <c r="G160" s="508">
        <v>0.80200000000000005</v>
      </c>
      <c r="H160" s="508">
        <v>0.80200000000000005</v>
      </c>
      <c r="I160" s="508">
        <v>0.71509999999999996</v>
      </c>
      <c r="J160" s="508">
        <v>0.71509999999999996</v>
      </c>
      <c r="K160" s="508">
        <v>0.71509999999999996</v>
      </c>
      <c r="L160" s="508">
        <v>0.71509999999999996</v>
      </c>
      <c r="M160" s="508">
        <v>0.71509999999999996</v>
      </c>
    </row>
    <row r="161" spans="1:13">
      <c r="A161" s="509">
        <v>5.7</v>
      </c>
      <c r="B161" s="508">
        <v>0.89749999999999996</v>
      </c>
      <c r="C161" s="508">
        <v>0.89749999999999996</v>
      </c>
      <c r="D161" s="508">
        <v>0.79930000000000001</v>
      </c>
      <c r="E161" s="508">
        <v>0.79930000000000001</v>
      </c>
      <c r="F161" s="508">
        <v>0.79930000000000001</v>
      </c>
      <c r="G161" s="508">
        <v>0.79930000000000001</v>
      </c>
      <c r="H161" s="508">
        <v>0.79930000000000001</v>
      </c>
      <c r="I161" s="508">
        <v>0.71189999999999998</v>
      </c>
      <c r="J161" s="508">
        <v>0.71189999999999998</v>
      </c>
      <c r="K161" s="508">
        <v>0.71189999999999998</v>
      </c>
      <c r="L161" s="508">
        <v>0.71189999999999998</v>
      </c>
      <c r="M161" s="508">
        <v>0.71189999999999998</v>
      </c>
    </row>
    <row r="162" spans="1:13">
      <c r="A162" s="505">
        <v>5.8</v>
      </c>
      <c r="B162" s="508">
        <v>0.89500000000000002</v>
      </c>
      <c r="C162" s="508">
        <v>0.89500000000000002</v>
      </c>
      <c r="D162" s="508">
        <v>0.79679999999999995</v>
      </c>
      <c r="E162" s="508">
        <v>0.79679999999999995</v>
      </c>
      <c r="F162" s="508">
        <v>0.79679999999999995</v>
      </c>
      <c r="G162" s="508">
        <v>0.79679999999999995</v>
      </c>
      <c r="H162" s="508">
        <v>0.79679999999999995</v>
      </c>
      <c r="I162" s="508">
        <v>0.70879999999999999</v>
      </c>
      <c r="J162" s="508">
        <v>0.70879999999999999</v>
      </c>
      <c r="K162" s="508">
        <v>0.70879999999999999</v>
      </c>
      <c r="L162" s="508">
        <v>0.70879999999999999</v>
      </c>
      <c r="M162" s="508">
        <v>0.70879999999999999</v>
      </c>
    </row>
    <row r="163" spans="1:13">
      <c r="A163" s="505">
        <v>5.9</v>
      </c>
      <c r="B163" s="508">
        <v>0.89259999999999995</v>
      </c>
      <c r="C163" s="508">
        <v>0.89259999999999995</v>
      </c>
      <c r="D163" s="508">
        <v>0.7944</v>
      </c>
      <c r="E163" s="508">
        <v>0.7944</v>
      </c>
      <c r="F163" s="508">
        <v>0.7944</v>
      </c>
      <c r="G163" s="508">
        <v>0.7944</v>
      </c>
      <c r="H163" s="508">
        <v>0.7944</v>
      </c>
      <c r="I163" s="508">
        <v>0.70579999999999998</v>
      </c>
      <c r="J163" s="508">
        <v>0.70579999999999998</v>
      </c>
      <c r="K163" s="508">
        <v>0.70579999999999998</v>
      </c>
      <c r="L163" s="508">
        <v>0.70579999999999998</v>
      </c>
      <c r="M163" s="508">
        <v>0.70579999999999998</v>
      </c>
    </row>
    <row r="164" spans="1:13">
      <c r="A164" s="505">
        <v>6</v>
      </c>
      <c r="B164" s="508">
        <v>0.89029999999999998</v>
      </c>
      <c r="C164" s="508">
        <v>0.89029999999999998</v>
      </c>
      <c r="D164" s="508">
        <v>0.79200000000000004</v>
      </c>
      <c r="E164" s="508">
        <v>0.79200000000000004</v>
      </c>
      <c r="F164" s="508">
        <v>0.79200000000000004</v>
      </c>
      <c r="G164" s="508">
        <v>0.79200000000000004</v>
      </c>
      <c r="H164" s="508">
        <v>0.79200000000000004</v>
      </c>
      <c r="I164" s="508">
        <v>0.70289999999999997</v>
      </c>
      <c r="J164" s="508">
        <v>0.70289999999999997</v>
      </c>
      <c r="K164" s="508">
        <v>0.70289999999999997</v>
      </c>
      <c r="L164" s="508">
        <v>0.70289999999999997</v>
      </c>
      <c r="M164" s="508">
        <v>0.70289999999999997</v>
      </c>
    </row>
    <row r="165" spans="1:13">
      <c r="A165" s="505">
        <v>6.1</v>
      </c>
      <c r="B165" s="508">
        <v>0.8881</v>
      </c>
      <c r="C165" s="508">
        <v>0.8881</v>
      </c>
      <c r="D165" s="508">
        <v>0.78979999999999995</v>
      </c>
      <c r="E165" s="508">
        <v>0.78979999999999995</v>
      </c>
      <c r="F165" s="508">
        <v>0.78979999999999995</v>
      </c>
      <c r="G165" s="508">
        <v>0.78979999999999995</v>
      </c>
      <c r="H165" s="508">
        <v>0.78979999999999995</v>
      </c>
      <c r="I165" s="508">
        <v>0.70009999999999994</v>
      </c>
      <c r="J165" s="508">
        <v>0.70009999999999994</v>
      </c>
      <c r="K165" s="508">
        <v>0.70009999999999994</v>
      </c>
      <c r="L165" s="508">
        <v>0.70009999999999994</v>
      </c>
      <c r="M165" s="508">
        <v>0.70009999999999994</v>
      </c>
    </row>
    <row r="166" spans="1:13">
      <c r="A166" s="505">
        <v>6.2</v>
      </c>
      <c r="B166" s="508">
        <v>0.88600000000000001</v>
      </c>
      <c r="C166" s="508">
        <v>0.88600000000000001</v>
      </c>
      <c r="D166" s="508">
        <v>0.78759999999999997</v>
      </c>
      <c r="E166" s="508">
        <v>0.78759999999999997</v>
      </c>
      <c r="F166" s="508">
        <v>0.78759999999999997</v>
      </c>
      <c r="G166" s="508">
        <v>0.78759999999999997</v>
      </c>
      <c r="H166" s="508">
        <v>0.78759999999999997</v>
      </c>
      <c r="I166" s="508">
        <v>0.69740000000000002</v>
      </c>
      <c r="J166" s="508">
        <v>0.69740000000000002</v>
      </c>
      <c r="K166" s="508">
        <v>0.69740000000000002</v>
      </c>
      <c r="L166" s="508">
        <v>0.69740000000000002</v>
      </c>
      <c r="M166" s="508">
        <v>0.69740000000000002</v>
      </c>
    </row>
    <row r="167" spans="1:13">
      <c r="A167" s="505">
        <v>6.3</v>
      </c>
      <c r="B167" s="508">
        <v>0.88390000000000002</v>
      </c>
      <c r="C167" s="508">
        <v>0.88390000000000002</v>
      </c>
      <c r="D167" s="508">
        <v>0.78549999999999998</v>
      </c>
      <c r="E167" s="508">
        <v>0.78549999999999998</v>
      </c>
      <c r="F167" s="508">
        <v>0.78549999999999998</v>
      </c>
      <c r="G167" s="508">
        <v>0.78549999999999998</v>
      </c>
      <c r="H167" s="508">
        <v>0.78549999999999998</v>
      </c>
      <c r="I167" s="508">
        <v>0.69479999999999997</v>
      </c>
      <c r="J167" s="508">
        <v>0.69479999999999997</v>
      </c>
      <c r="K167" s="508">
        <v>0.69479999999999997</v>
      </c>
      <c r="L167" s="508">
        <v>0.69479999999999997</v>
      </c>
      <c r="M167" s="508">
        <v>0.69479999999999997</v>
      </c>
    </row>
    <row r="168" spans="1:13">
      <c r="A168" s="505">
        <v>6.4</v>
      </c>
      <c r="B168" s="508">
        <v>0.88190000000000002</v>
      </c>
      <c r="C168" s="508">
        <v>0.88190000000000002</v>
      </c>
      <c r="D168" s="508">
        <v>0.78339999999999999</v>
      </c>
      <c r="E168" s="508">
        <v>0.78339999999999999</v>
      </c>
      <c r="F168" s="508">
        <v>0.78339999999999999</v>
      </c>
      <c r="G168" s="508">
        <v>0.78339999999999999</v>
      </c>
      <c r="H168" s="508">
        <v>0.78339999999999999</v>
      </c>
      <c r="I168" s="508">
        <v>0.69230000000000003</v>
      </c>
      <c r="J168" s="508">
        <v>0.69230000000000003</v>
      </c>
      <c r="K168" s="508">
        <v>0.69230000000000003</v>
      </c>
      <c r="L168" s="508">
        <v>0.69230000000000003</v>
      </c>
      <c r="M168" s="508">
        <v>0.69230000000000003</v>
      </c>
    </row>
    <row r="169" spans="1:13">
      <c r="A169" s="505">
        <v>6.5</v>
      </c>
      <c r="B169" s="508">
        <v>0.88</v>
      </c>
      <c r="C169" s="508">
        <v>0.88</v>
      </c>
      <c r="D169" s="508">
        <v>0.78139999999999998</v>
      </c>
      <c r="E169" s="508">
        <v>0.78139999999999998</v>
      </c>
      <c r="F169" s="508">
        <v>0.78139999999999998</v>
      </c>
      <c r="G169" s="508">
        <v>0.78139999999999998</v>
      </c>
      <c r="H169" s="508">
        <v>0.78139999999999998</v>
      </c>
      <c r="I169" s="508">
        <v>0.68989999999999996</v>
      </c>
      <c r="J169" s="508">
        <v>0.68989999999999996</v>
      </c>
      <c r="K169" s="508">
        <v>0.68989999999999996</v>
      </c>
      <c r="L169" s="508">
        <v>0.68989999999999996</v>
      </c>
      <c r="M169" s="508">
        <v>0.68989999999999996</v>
      </c>
    </row>
    <row r="170" spans="1:13">
      <c r="A170" s="505">
        <v>6.6</v>
      </c>
      <c r="B170" s="508">
        <v>0.87809999999999999</v>
      </c>
      <c r="C170" s="508">
        <v>0.87809999999999999</v>
      </c>
      <c r="D170" s="508">
        <v>0.77949999999999997</v>
      </c>
      <c r="E170" s="508">
        <v>0.77949999999999997</v>
      </c>
      <c r="F170" s="508">
        <v>0.77949999999999997</v>
      </c>
      <c r="G170" s="508">
        <v>0.77949999999999997</v>
      </c>
      <c r="H170" s="508">
        <v>0.77949999999999997</v>
      </c>
      <c r="I170" s="508">
        <v>0.68759999999999999</v>
      </c>
      <c r="J170" s="508">
        <v>0.68759999999999999</v>
      </c>
      <c r="K170" s="508">
        <v>0.68759999999999999</v>
      </c>
      <c r="L170" s="508">
        <v>0.68759999999999999</v>
      </c>
      <c r="M170" s="508">
        <v>0.68759999999999999</v>
      </c>
    </row>
    <row r="171" spans="1:13">
      <c r="A171" s="505">
        <v>6.7</v>
      </c>
      <c r="B171" s="508">
        <v>0.87629999999999997</v>
      </c>
      <c r="C171" s="508">
        <v>0.87629999999999997</v>
      </c>
      <c r="D171" s="508">
        <v>0.77759999999999996</v>
      </c>
      <c r="E171" s="508">
        <v>0.77759999999999996</v>
      </c>
      <c r="F171" s="508">
        <v>0.77759999999999996</v>
      </c>
      <c r="G171" s="508">
        <v>0.77759999999999996</v>
      </c>
      <c r="H171" s="508">
        <v>0.77759999999999996</v>
      </c>
      <c r="I171" s="508">
        <v>0.68530000000000002</v>
      </c>
      <c r="J171" s="508">
        <v>0.68530000000000002</v>
      </c>
      <c r="K171" s="508">
        <v>0.68530000000000002</v>
      </c>
      <c r="L171" s="508">
        <v>0.68530000000000002</v>
      </c>
      <c r="M171" s="508">
        <v>0.68530000000000002</v>
      </c>
    </row>
    <row r="172" spans="1:13">
      <c r="A172" s="505">
        <v>6.8</v>
      </c>
      <c r="B172" s="508">
        <v>0.87450000000000006</v>
      </c>
      <c r="C172" s="508">
        <v>0.87450000000000006</v>
      </c>
      <c r="D172" s="508">
        <v>0.77569999999999995</v>
      </c>
      <c r="E172" s="508">
        <v>0.77569999999999995</v>
      </c>
      <c r="F172" s="508">
        <v>0.77569999999999995</v>
      </c>
      <c r="G172" s="508">
        <v>0.77569999999999995</v>
      </c>
      <c r="H172" s="508">
        <v>0.77569999999999995</v>
      </c>
      <c r="I172" s="508">
        <v>0.68310000000000004</v>
      </c>
      <c r="J172" s="508">
        <v>0.68310000000000004</v>
      </c>
      <c r="K172" s="508">
        <v>0.68310000000000004</v>
      </c>
      <c r="L172" s="508">
        <v>0.68310000000000004</v>
      </c>
      <c r="M172" s="508">
        <v>0.68310000000000004</v>
      </c>
    </row>
    <row r="173" spans="1:13">
      <c r="A173" s="505">
        <v>6.9</v>
      </c>
      <c r="B173" s="508">
        <v>0.87280000000000002</v>
      </c>
      <c r="C173" s="508">
        <v>0.87280000000000002</v>
      </c>
      <c r="D173" s="508">
        <v>0.77390000000000003</v>
      </c>
      <c r="E173" s="508">
        <v>0.77390000000000003</v>
      </c>
      <c r="F173" s="508">
        <v>0.77390000000000003</v>
      </c>
      <c r="G173" s="508">
        <v>0.77390000000000003</v>
      </c>
      <c r="H173" s="508">
        <v>0.77390000000000003</v>
      </c>
      <c r="I173" s="508">
        <v>0.68089999999999995</v>
      </c>
      <c r="J173" s="508">
        <v>0.68089999999999995</v>
      </c>
      <c r="K173" s="508">
        <v>0.68089999999999995</v>
      </c>
      <c r="L173" s="508">
        <v>0.68089999999999995</v>
      </c>
      <c r="M173" s="508">
        <v>0.68089999999999995</v>
      </c>
    </row>
    <row r="174" spans="1:13">
      <c r="A174" s="505">
        <v>7</v>
      </c>
      <c r="B174" s="508">
        <v>0.87109999999999999</v>
      </c>
      <c r="C174" s="508">
        <v>0.87109999999999999</v>
      </c>
      <c r="D174" s="508">
        <v>0.77210000000000001</v>
      </c>
      <c r="E174" s="508">
        <v>0.77210000000000001</v>
      </c>
      <c r="F174" s="508">
        <v>0.77210000000000001</v>
      </c>
      <c r="G174" s="508">
        <v>0.77210000000000001</v>
      </c>
      <c r="H174" s="508">
        <v>0.77210000000000001</v>
      </c>
      <c r="I174" s="508">
        <v>0.67879999999999996</v>
      </c>
      <c r="J174" s="508">
        <v>0.67879999999999996</v>
      </c>
      <c r="K174" s="508">
        <v>0.67879999999999996</v>
      </c>
      <c r="L174" s="508">
        <v>0.67879999999999996</v>
      </c>
      <c r="M174" s="508">
        <v>0.67879999999999996</v>
      </c>
    </row>
    <row r="175" spans="1:13">
      <c r="A175" s="505">
        <v>7.1</v>
      </c>
      <c r="B175" s="508">
        <v>0.86939999999999995</v>
      </c>
      <c r="C175" s="508">
        <v>0.86939999999999995</v>
      </c>
      <c r="D175" s="508">
        <v>0.77039999999999997</v>
      </c>
      <c r="E175" s="508">
        <v>0.77039999999999997</v>
      </c>
      <c r="F175" s="508">
        <v>0.77039999999999997</v>
      </c>
      <c r="G175" s="508">
        <v>0.77039999999999997</v>
      </c>
      <c r="H175" s="508">
        <v>0.77039999999999997</v>
      </c>
      <c r="I175" s="508">
        <v>0.67669999999999997</v>
      </c>
      <c r="J175" s="508">
        <v>0.67669999999999997</v>
      </c>
      <c r="K175" s="508">
        <v>0.67669999999999997</v>
      </c>
      <c r="L175" s="508">
        <v>0.67669999999999997</v>
      </c>
      <c r="M175" s="508">
        <v>0.67669999999999997</v>
      </c>
    </row>
    <row r="176" spans="1:13">
      <c r="A176" s="505">
        <v>7.2</v>
      </c>
      <c r="B176" s="508">
        <v>0.86770000000000003</v>
      </c>
      <c r="C176" s="508">
        <v>0.86770000000000003</v>
      </c>
      <c r="D176" s="508">
        <v>0.76870000000000005</v>
      </c>
      <c r="E176" s="508">
        <v>0.76870000000000005</v>
      </c>
      <c r="F176" s="508">
        <v>0.76870000000000005</v>
      </c>
      <c r="G176" s="508">
        <v>0.76870000000000005</v>
      </c>
      <c r="H176" s="508">
        <v>0.76870000000000005</v>
      </c>
      <c r="I176" s="508">
        <v>0.67469999999999997</v>
      </c>
      <c r="J176" s="508">
        <v>0.67469999999999997</v>
      </c>
      <c r="K176" s="508">
        <v>0.67469999999999997</v>
      </c>
      <c r="L176" s="508">
        <v>0.67469999999999997</v>
      </c>
      <c r="M176" s="508">
        <v>0.67469999999999997</v>
      </c>
    </row>
    <row r="177" spans="1:13">
      <c r="A177" s="505">
        <v>7.3</v>
      </c>
      <c r="B177" s="508">
        <v>0.86609999999999998</v>
      </c>
      <c r="C177" s="508">
        <v>0.86609999999999998</v>
      </c>
      <c r="D177" s="508">
        <v>0.76700000000000002</v>
      </c>
      <c r="E177" s="508">
        <v>0.76700000000000002</v>
      </c>
      <c r="F177" s="508">
        <v>0.76700000000000002</v>
      </c>
      <c r="G177" s="508">
        <v>0.76700000000000002</v>
      </c>
      <c r="H177" s="508">
        <v>0.76700000000000002</v>
      </c>
      <c r="I177" s="508">
        <v>0.67269999999999996</v>
      </c>
      <c r="J177" s="508">
        <v>0.67269999999999996</v>
      </c>
      <c r="K177" s="508">
        <v>0.67269999999999996</v>
      </c>
      <c r="L177" s="508">
        <v>0.67269999999999996</v>
      </c>
      <c r="M177" s="508">
        <v>0.67269999999999996</v>
      </c>
    </row>
    <row r="178" spans="1:13">
      <c r="A178" s="505">
        <v>7.4</v>
      </c>
      <c r="B178" s="508">
        <v>0.86450000000000005</v>
      </c>
      <c r="C178" s="508">
        <v>0.86450000000000005</v>
      </c>
      <c r="D178" s="508">
        <v>0.76529999999999998</v>
      </c>
      <c r="E178" s="508">
        <v>0.76529999999999998</v>
      </c>
      <c r="F178" s="508">
        <v>0.76529999999999998</v>
      </c>
      <c r="G178" s="508">
        <v>0.76529999999999998</v>
      </c>
      <c r="H178" s="508">
        <v>0.76529999999999998</v>
      </c>
      <c r="I178" s="508">
        <v>0.67079999999999995</v>
      </c>
      <c r="J178" s="508">
        <v>0.67079999999999995</v>
      </c>
      <c r="K178" s="508">
        <v>0.67079999999999995</v>
      </c>
      <c r="L178" s="508">
        <v>0.67079999999999995</v>
      </c>
      <c r="M178" s="508">
        <v>0.67079999999999995</v>
      </c>
    </row>
    <row r="179" spans="1:13">
      <c r="A179" s="505">
        <v>7.5</v>
      </c>
      <c r="B179" s="508">
        <v>0.86299999999999999</v>
      </c>
      <c r="C179" s="508">
        <v>0.86299999999999999</v>
      </c>
      <c r="D179" s="508">
        <v>0.76359999999999995</v>
      </c>
      <c r="E179" s="508">
        <v>0.76359999999999995</v>
      </c>
      <c r="F179" s="508">
        <v>0.76359999999999995</v>
      </c>
      <c r="G179" s="508">
        <v>0.76359999999999995</v>
      </c>
      <c r="H179" s="508">
        <v>0.76359999999999995</v>
      </c>
      <c r="I179" s="508">
        <v>0.66890000000000005</v>
      </c>
      <c r="J179" s="508">
        <v>0.66890000000000005</v>
      </c>
      <c r="K179" s="508">
        <v>0.66890000000000005</v>
      </c>
      <c r="L179" s="508">
        <v>0.66890000000000005</v>
      </c>
      <c r="M179" s="508">
        <v>0.66890000000000005</v>
      </c>
    </row>
    <row r="180" spans="1:13">
      <c r="A180" s="505">
        <v>7.6</v>
      </c>
      <c r="B180" s="508">
        <v>0.86150000000000004</v>
      </c>
      <c r="C180" s="508">
        <v>0.86150000000000004</v>
      </c>
      <c r="D180" s="508">
        <v>0.76200000000000001</v>
      </c>
      <c r="E180" s="508">
        <v>0.76200000000000001</v>
      </c>
      <c r="F180" s="508">
        <v>0.76200000000000001</v>
      </c>
      <c r="G180" s="508">
        <v>0.76200000000000001</v>
      </c>
      <c r="H180" s="508">
        <v>0.76200000000000001</v>
      </c>
      <c r="I180" s="508">
        <v>0.66700000000000004</v>
      </c>
      <c r="J180" s="508">
        <v>0.66700000000000004</v>
      </c>
      <c r="K180" s="508">
        <v>0.66700000000000004</v>
      </c>
      <c r="L180" s="508">
        <v>0.66700000000000004</v>
      </c>
      <c r="M180" s="508">
        <v>0.66700000000000004</v>
      </c>
    </row>
    <row r="181" spans="1:13">
      <c r="A181" s="505">
        <v>7.7</v>
      </c>
      <c r="B181" s="508">
        <v>0.86</v>
      </c>
      <c r="C181" s="508">
        <v>0.86</v>
      </c>
      <c r="D181" s="508">
        <v>0.76039999999999996</v>
      </c>
      <c r="E181" s="508">
        <v>0.76039999999999996</v>
      </c>
      <c r="F181" s="508">
        <v>0.76039999999999996</v>
      </c>
      <c r="G181" s="508">
        <v>0.76039999999999996</v>
      </c>
      <c r="H181" s="508">
        <v>0.76039999999999996</v>
      </c>
      <c r="I181" s="508">
        <v>0.66510000000000002</v>
      </c>
      <c r="J181" s="508">
        <v>0.66510000000000002</v>
      </c>
      <c r="K181" s="508">
        <v>0.66510000000000002</v>
      </c>
      <c r="L181" s="508">
        <v>0.66510000000000002</v>
      </c>
      <c r="M181" s="508">
        <v>0.66510000000000002</v>
      </c>
    </row>
    <row r="182" spans="1:13">
      <c r="A182" s="505">
        <v>7.8</v>
      </c>
      <c r="B182" s="508">
        <v>0.85850000000000004</v>
      </c>
      <c r="C182" s="508">
        <v>0.85850000000000004</v>
      </c>
      <c r="D182" s="508">
        <v>0.75880000000000003</v>
      </c>
      <c r="E182" s="508">
        <v>0.75880000000000003</v>
      </c>
      <c r="F182" s="508">
        <v>0.75880000000000003</v>
      </c>
      <c r="G182" s="508">
        <v>0.75880000000000003</v>
      </c>
      <c r="H182" s="508">
        <v>0.75880000000000003</v>
      </c>
      <c r="I182" s="508">
        <v>0.6633</v>
      </c>
      <c r="J182" s="508">
        <v>0.6633</v>
      </c>
      <c r="K182" s="508">
        <v>0.6633</v>
      </c>
      <c r="L182" s="508">
        <v>0.6633</v>
      </c>
      <c r="M182" s="508">
        <v>0.6633</v>
      </c>
    </row>
    <row r="183" spans="1:13">
      <c r="A183" s="505">
        <v>7.9</v>
      </c>
      <c r="B183" s="508">
        <v>0.85699999999999998</v>
      </c>
      <c r="C183" s="508">
        <v>0.85699999999999998</v>
      </c>
      <c r="D183" s="508">
        <v>0.75719999999999998</v>
      </c>
      <c r="E183" s="508">
        <v>0.75719999999999998</v>
      </c>
      <c r="F183" s="508">
        <v>0.75719999999999998</v>
      </c>
      <c r="G183" s="508">
        <v>0.75719999999999998</v>
      </c>
      <c r="H183" s="508">
        <v>0.75719999999999998</v>
      </c>
      <c r="I183" s="508">
        <v>0.66149999999999998</v>
      </c>
      <c r="J183" s="508">
        <v>0.66149999999999998</v>
      </c>
      <c r="K183" s="508">
        <v>0.66149999999999998</v>
      </c>
      <c r="L183" s="508">
        <v>0.66149999999999998</v>
      </c>
      <c r="M183" s="508">
        <v>0.66149999999999998</v>
      </c>
    </row>
    <row r="184" spans="1:13">
      <c r="A184" s="505">
        <v>8</v>
      </c>
      <c r="B184" s="508">
        <v>0.85550000000000004</v>
      </c>
      <c r="C184" s="508">
        <v>0.85550000000000004</v>
      </c>
      <c r="D184" s="508">
        <v>0.75570000000000004</v>
      </c>
      <c r="E184" s="508">
        <v>0.75570000000000004</v>
      </c>
      <c r="F184" s="508">
        <v>0.75570000000000004</v>
      </c>
      <c r="G184" s="508">
        <v>0.75570000000000004</v>
      </c>
      <c r="H184" s="508">
        <v>0.75570000000000004</v>
      </c>
      <c r="I184" s="508">
        <v>0.65969999999999995</v>
      </c>
      <c r="J184" s="508">
        <v>0.65969999999999995</v>
      </c>
      <c r="K184" s="508">
        <v>0.65969999999999995</v>
      </c>
      <c r="L184" s="508">
        <v>0.65969999999999995</v>
      </c>
      <c r="M184" s="508">
        <v>0.65969999999999995</v>
      </c>
    </row>
    <row r="185" spans="1:13">
      <c r="A185" s="505">
        <v>8.1</v>
      </c>
      <c r="B185" s="508">
        <v>0.85399999999999998</v>
      </c>
      <c r="C185" s="508">
        <v>0.85399999999999998</v>
      </c>
      <c r="D185" s="508">
        <v>0.75419999999999998</v>
      </c>
      <c r="E185" s="508">
        <v>0.75419999999999998</v>
      </c>
      <c r="F185" s="508">
        <v>0.75419999999999998</v>
      </c>
      <c r="G185" s="508">
        <v>0.75419999999999998</v>
      </c>
      <c r="H185" s="508">
        <v>0.75419999999999998</v>
      </c>
      <c r="I185" s="508">
        <v>0.65800000000000003</v>
      </c>
      <c r="J185" s="508">
        <v>0.65800000000000003</v>
      </c>
      <c r="K185" s="508">
        <v>0.65800000000000003</v>
      </c>
      <c r="L185" s="508">
        <v>0.65800000000000003</v>
      </c>
      <c r="M185" s="508">
        <v>0.65800000000000003</v>
      </c>
    </row>
    <row r="186" spans="1:13">
      <c r="A186" s="505">
        <v>8.1999999999999993</v>
      </c>
      <c r="B186" s="508">
        <v>0.85250000000000004</v>
      </c>
      <c r="C186" s="508">
        <v>0.85250000000000004</v>
      </c>
      <c r="D186" s="508">
        <v>0.75270000000000004</v>
      </c>
      <c r="E186" s="508">
        <v>0.75270000000000004</v>
      </c>
      <c r="F186" s="508">
        <v>0.75270000000000004</v>
      </c>
      <c r="G186" s="508">
        <v>0.75270000000000004</v>
      </c>
      <c r="H186" s="508">
        <v>0.75270000000000004</v>
      </c>
      <c r="I186" s="508">
        <v>0.65629999999999999</v>
      </c>
      <c r="J186" s="508">
        <v>0.65629999999999999</v>
      </c>
      <c r="K186" s="508">
        <v>0.65629999999999999</v>
      </c>
      <c r="L186" s="508">
        <v>0.65629999999999999</v>
      </c>
      <c r="M186" s="508">
        <v>0.65629999999999999</v>
      </c>
    </row>
    <row r="187" spans="1:13">
      <c r="A187" s="505">
        <v>8.3000000000000007</v>
      </c>
      <c r="B187" s="508">
        <v>0.85109999999999997</v>
      </c>
      <c r="C187" s="508">
        <v>0.85109999999999997</v>
      </c>
      <c r="D187" s="508">
        <v>0.75119999999999998</v>
      </c>
      <c r="E187" s="508">
        <v>0.75119999999999998</v>
      </c>
      <c r="F187" s="508">
        <v>0.75119999999999998</v>
      </c>
      <c r="G187" s="508">
        <v>0.75119999999999998</v>
      </c>
      <c r="H187" s="508">
        <v>0.75119999999999998</v>
      </c>
      <c r="I187" s="508">
        <v>0.65459999999999996</v>
      </c>
      <c r="J187" s="508">
        <v>0.65459999999999996</v>
      </c>
      <c r="K187" s="508">
        <v>0.65459999999999996</v>
      </c>
      <c r="L187" s="508">
        <v>0.65459999999999996</v>
      </c>
      <c r="M187" s="508">
        <v>0.65459999999999996</v>
      </c>
    </row>
    <row r="188" spans="1:13">
      <c r="A188" s="505">
        <v>8.4</v>
      </c>
      <c r="B188" s="508">
        <v>0.84970000000000001</v>
      </c>
      <c r="C188" s="508">
        <v>0.84970000000000001</v>
      </c>
      <c r="D188" s="508">
        <v>0.74970000000000003</v>
      </c>
      <c r="E188" s="508">
        <v>0.74970000000000003</v>
      </c>
      <c r="F188" s="508">
        <v>0.74970000000000003</v>
      </c>
      <c r="G188" s="508">
        <v>0.74970000000000003</v>
      </c>
      <c r="H188" s="508">
        <v>0.74970000000000003</v>
      </c>
      <c r="I188" s="508">
        <v>0.65300000000000002</v>
      </c>
      <c r="J188" s="508">
        <v>0.65300000000000002</v>
      </c>
      <c r="K188" s="508">
        <v>0.65300000000000002</v>
      </c>
      <c r="L188" s="508">
        <v>0.65300000000000002</v>
      </c>
      <c r="M188" s="508">
        <v>0.65300000000000002</v>
      </c>
    </row>
    <row r="189" spans="1:13">
      <c r="A189" s="505">
        <v>8.5</v>
      </c>
      <c r="B189" s="508">
        <v>0.84830000000000005</v>
      </c>
      <c r="C189" s="508">
        <v>0.84830000000000005</v>
      </c>
      <c r="D189" s="508">
        <v>0.74819999999999998</v>
      </c>
      <c r="E189" s="508">
        <v>0.74819999999999998</v>
      </c>
      <c r="F189" s="508">
        <v>0.74819999999999998</v>
      </c>
      <c r="G189" s="508">
        <v>0.74819999999999998</v>
      </c>
      <c r="H189" s="508">
        <v>0.74819999999999998</v>
      </c>
      <c r="I189" s="508">
        <v>0.65139999999999998</v>
      </c>
      <c r="J189" s="508">
        <v>0.65139999999999998</v>
      </c>
      <c r="K189" s="508">
        <v>0.65139999999999998</v>
      </c>
      <c r="L189" s="508">
        <v>0.65139999999999998</v>
      </c>
      <c r="M189" s="508">
        <v>0.65139999999999998</v>
      </c>
    </row>
    <row r="190" spans="1:13">
      <c r="A190" s="505">
        <v>8.6</v>
      </c>
      <c r="B190" s="508">
        <v>0.84689999999999999</v>
      </c>
      <c r="C190" s="508">
        <v>0.84689999999999999</v>
      </c>
      <c r="D190" s="508">
        <v>0.74670000000000003</v>
      </c>
      <c r="E190" s="508">
        <v>0.74670000000000003</v>
      </c>
      <c r="F190" s="508">
        <v>0.74670000000000003</v>
      </c>
      <c r="G190" s="508">
        <v>0.74670000000000003</v>
      </c>
      <c r="H190" s="508">
        <v>0.74670000000000003</v>
      </c>
      <c r="I190" s="508">
        <v>0.64980000000000004</v>
      </c>
      <c r="J190" s="508">
        <v>0.64980000000000004</v>
      </c>
      <c r="K190" s="508">
        <v>0.64980000000000004</v>
      </c>
      <c r="L190" s="508">
        <v>0.64980000000000004</v>
      </c>
      <c r="M190" s="508">
        <v>0.64980000000000004</v>
      </c>
    </row>
    <row r="191" spans="1:13">
      <c r="A191" s="505">
        <v>8.6999999999999993</v>
      </c>
      <c r="B191" s="508">
        <v>0.84550000000000003</v>
      </c>
      <c r="C191" s="508">
        <v>0.84550000000000003</v>
      </c>
      <c r="D191" s="508">
        <v>0.74519999999999997</v>
      </c>
      <c r="E191" s="508">
        <v>0.74519999999999997</v>
      </c>
      <c r="F191" s="508">
        <v>0.74519999999999997</v>
      </c>
      <c r="G191" s="508">
        <v>0.74519999999999997</v>
      </c>
      <c r="H191" s="508">
        <v>0.74519999999999997</v>
      </c>
      <c r="I191" s="508">
        <v>0.6482</v>
      </c>
      <c r="J191" s="508">
        <v>0.6482</v>
      </c>
      <c r="K191" s="508">
        <v>0.6482</v>
      </c>
      <c r="L191" s="508">
        <v>0.6482</v>
      </c>
      <c r="M191" s="508">
        <v>0.6482</v>
      </c>
    </row>
    <row r="192" spans="1:13">
      <c r="A192" s="505">
        <v>8.8000000000000007</v>
      </c>
      <c r="B192" s="508">
        <v>0.84409999999999996</v>
      </c>
      <c r="C192" s="508">
        <v>0.84409999999999996</v>
      </c>
      <c r="D192" s="508">
        <v>0.74370000000000003</v>
      </c>
      <c r="E192" s="508">
        <v>0.74370000000000003</v>
      </c>
      <c r="F192" s="508">
        <v>0.74370000000000003</v>
      </c>
      <c r="G192" s="508">
        <v>0.74370000000000003</v>
      </c>
      <c r="H192" s="508">
        <v>0.74370000000000003</v>
      </c>
      <c r="I192" s="508">
        <v>0.64659999999999995</v>
      </c>
      <c r="J192" s="508">
        <v>0.64659999999999995</v>
      </c>
      <c r="K192" s="508">
        <v>0.64659999999999995</v>
      </c>
      <c r="L192" s="508">
        <v>0.64659999999999995</v>
      </c>
      <c r="M192" s="508">
        <v>0.64659999999999995</v>
      </c>
    </row>
    <row r="193" spans="1:13">
      <c r="A193" s="505">
        <v>8.9</v>
      </c>
      <c r="B193" s="508">
        <v>0.84279999999999999</v>
      </c>
      <c r="C193" s="508">
        <v>0.84279999999999999</v>
      </c>
      <c r="D193" s="508">
        <v>0.74219999999999997</v>
      </c>
      <c r="E193" s="508">
        <v>0.74219999999999997</v>
      </c>
      <c r="F193" s="508">
        <v>0.74219999999999997</v>
      </c>
      <c r="G193" s="508">
        <v>0.74219999999999997</v>
      </c>
      <c r="H193" s="508">
        <v>0.74219999999999997</v>
      </c>
      <c r="I193" s="508">
        <v>0.64500000000000002</v>
      </c>
      <c r="J193" s="508">
        <v>0.64500000000000002</v>
      </c>
      <c r="K193" s="508">
        <v>0.64500000000000002</v>
      </c>
      <c r="L193" s="508">
        <v>0.64500000000000002</v>
      </c>
      <c r="M193" s="508">
        <v>0.64500000000000002</v>
      </c>
    </row>
    <row r="194" spans="1:13">
      <c r="A194" s="509">
        <v>9</v>
      </c>
      <c r="B194" s="508">
        <v>0.84150000000000003</v>
      </c>
      <c r="C194" s="508">
        <v>0.84150000000000003</v>
      </c>
      <c r="D194" s="508">
        <v>0.74070000000000003</v>
      </c>
      <c r="E194" s="508">
        <v>0.74070000000000003</v>
      </c>
      <c r="F194" s="508">
        <v>0.74070000000000003</v>
      </c>
      <c r="G194" s="508">
        <v>0.74070000000000003</v>
      </c>
      <c r="H194" s="508">
        <v>0.74070000000000003</v>
      </c>
      <c r="I194" s="508">
        <v>0.64349999999999996</v>
      </c>
      <c r="J194" s="508">
        <v>0.64349999999999996</v>
      </c>
      <c r="K194" s="508">
        <v>0.64349999999999996</v>
      </c>
      <c r="L194" s="508">
        <v>0.64349999999999996</v>
      </c>
      <c r="M194" s="508">
        <v>0.64349999999999996</v>
      </c>
    </row>
    <row r="195" spans="1:13">
      <c r="A195" s="509">
        <v>9.1</v>
      </c>
      <c r="B195" s="508">
        <v>0.84019999999999995</v>
      </c>
      <c r="C195" s="508">
        <v>0.84019999999999995</v>
      </c>
      <c r="D195" s="508">
        <v>0.73919999999999997</v>
      </c>
      <c r="E195" s="508">
        <v>0.73919999999999997</v>
      </c>
      <c r="F195" s="508">
        <v>0.73919999999999997</v>
      </c>
      <c r="G195" s="508">
        <v>0.73919999999999997</v>
      </c>
      <c r="H195" s="508">
        <v>0.73919999999999997</v>
      </c>
      <c r="I195" s="508">
        <v>0.64200000000000002</v>
      </c>
      <c r="J195" s="508">
        <v>0.64200000000000002</v>
      </c>
      <c r="K195" s="508">
        <v>0.64200000000000002</v>
      </c>
      <c r="L195" s="508">
        <v>0.64200000000000002</v>
      </c>
      <c r="M195" s="508">
        <v>0.64200000000000002</v>
      </c>
    </row>
    <row r="196" spans="1:13">
      <c r="A196" s="509">
        <v>9.1999999999999993</v>
      </c>
      <c r="B196" s="508">
        <v>0.83889999999999998</v>
      </c>
      <c r="C196" s="508">
        <v>0.83889999999999998</v>
      </c>
      <c r="D196" s="508">
        <v>0.73770000000000002</v>
      </c>
      <c r="E196" s="508">
        <v>0.73770000000000002</v>
      </c>
      <c r="F196" s="508">
        <v>0.73770000000000002</v>
      </c>
      <c r="G196" s="508">
        <v>0.73770000000000002</v>
      </c>
      <c r="H196" s="508">
        <v>0.73770000000000002</v>
      </c>
      <c r="I196" s="508">
        <v>0.64059999999999995</v>
      </c>
      <c r="J196" s="508">
        <v>0.64059999999999995</v>
      </c>
      <c r="K196" s="508">
        <v>0.64059999999999995</v>
      </c>
      <c r="L196" s="508">
        <v>0.64059999999999995</v>
      </c>
      <c r="M196" s="508">
        <v>0.64059999999999995</v>
      </c>
    </row>
    <row r="197" spans="1:13">
      <c r="A197" s="509">
        <v>9.3000000000000007</v>
      </c>
      <c r="B197" s="508">
        <v>0.83760000000000001</v>
      </c>
      <c r="C197" s="508">
        <v>0.83760000000000001</v>
      </c>
      <c r="D197" s="508">
        <v>0.73629999999999995</v>
      </c>
      <c r="E197" s="508">
        <v>0.73629999999999995</v>
      </c>
      <c r="F197" s="508">
        <v>0.73629999999999995</v>
      </c>
      <c r="G197" s="508">
        <v>0.73629999999999995</v>
      </c>
      <c r="H197" s="508">
        <v>0.73629999999999995</v>
      </c>
      <c r="I197" s="508">
        <v>0.63919999999999999</v>
      </c>
      <c r="J197" s="508">
        <v>0.63919999999999999</v>
      </c>
      <c r="K197" s="508">
        <v>0.63919999999999999</v>
      </c>
      <c r="L197" s="508">
        <v>0.63919999999999999</v>
      </c>
      <c r="M197" s="508">
        <v>0.63919999999999999</v>
      </c>
    </row>
    <row r="198" spans="1:13">
      <c r="A198" s="509">
        <v>9.4</v>
      </c>
      <c r="B198" s="508">
        <v>0.83630000000000004</v>
      </c>
      <c r="C198" s="508">
        <v>0.83630000000000004</v>
      </c>
      <c r="D198" s="508">
        <v>0.7349</v>
      </c>
      <c r="E198" s="508">
        <v>0.7349</v>
      </c>
      <c r="F198" s="508">
        <v>0.7349</v>
      </c>
      <c r="G198" s="508">
        <v>0.7349</v>
      </c>
      <c r="H198" s="508">
        <v>0.7349</v>
      </c>
      <c r="I198" s="508">
        <v>0.63780000000000003</v>
      </c>
      <c r="J198" s="508">
        <v>0.63780000000000003</v>
      </c>
      <c r="K198" s="508">
        <v>0.63780000000000003</v>
      </c>
      <c r="L198" s="508">
        <v>0.63780000000000003</v>
      </c>
      <c r="M198" s="508">
        <v>0.63780000000000003</v>
      </c>
    </row>
    <row r="199" spans="1:13">
      <c r="A199" s="509">
        <v>9.5</v>
      </c>
      <c r="B199" s="508">
        <v>0.83499999999999996</v>
      </c>
      <c r="C199" s="508">
        <v>0.83499999999999996</v>
      </c>
      <c r="D199" s="508">
        <v>0.73350000000000004</v>
      </c>
      <c r="E199" s="508">
        <v>0.73350000000000004</v>
      </c>
      <c r="F199" s="508">
        <v>0.73350000000000004</v>
      </c>
      <c r="G199" s="508">
        <v>0.73350000000000004</v>
      </c>
      <c r="H199" s="508">
        <v>0.73350000000000004</v>
      </c>
      <c r="I199" s="508">
        <v>0.63639999999999997</v>
      </c>
      <c r="J199" s="508">
        <v>0.63639999999999997</v>
      </c>
      <c r="K199" s="508">
        <v>0.63639999999999997</v>
      </c>
      <c r="L199" s="508">
        <v>0.63639999999999997</v>
      </c>
      <c r="M199" s="508">
        <v>0.63639999999999997</v>
      </c>
    </row>
    <row r="200" spans="1:13">
      <c r="A200" s="509">
        <v>9.6</v>
      </c>
      <c r="B200" s="508">
        <v>0.83379999999999999</v>
      </c>
      <c r="C200" s="508">
        <v>0.83379999999999999</v>
      </c>
      <c r="D200" s="508">
        <v>0.73209999999999997</v>
      </c>
      <c r="E200" s="508">
        <v>0.73209999999999997</v>
      </c>
      <c r="F200" s="508">
        <v>0.73209999999999997</v>
      </c>
      <c r="G200" s="508">
        <v>0.73209999999999997</v>
      </c>
      <c r="H200" s="508">
        <v>0.73209999999999997</v>
      </c>
      <c r="I200" s="508">
        <v>0.63500000000000001</v>
      </c>
      <c r="J200" s="508">
        <v>0.63500000000000001</v>
      </c>
      <c r="K200" s="508">
        <v>0.63500000000000001</v>
      </c>
      <c r="L200" s="508">
        <v>0.63500000000000001</v>
      </c>
      <c r="M200" s="508">
        <v>0.63500000000000001</v>
      </c>
    </row>
    <row r="201" spans="1:13">
      <c r="A201" s="509">
        <v>9.6999999999999993</v>
      </c>
      <c r="B201" s="508">
        <v>0.83260000000000001</v>
      </c>
      <c r="C201" s="508">
        <v>0.83260000000000001</v>
      </c>
      <c r="D201" s="508">
        <v>0.73070000000000002</v>
      </c>
      <c r="E201" s="508">
        <v>0.73070000000000002</v>
      </c>
      <c r="F201" s="508">
        <v>0.73070000000000002</v>
      </c>
      <c r="G201" s="508">
        <v>0.73070000000000002</v>
      </c>
      <c r="H201" s="508">
        <v>0.73070000000000002</v>
      </c>
      <c r="I201" s="508">
        <v>0.63360000000000005</v>
      </c>
      <c r="J201" s="508">
        <v>0.63360000000000005</v>
      </c>
      <c r="K201" s="508">
        <v>0.63360000000000005</v>
      </c>
      <c r="L201" s="508">
        <v>0.63360000000000005</v>
      </c>
      <c r="M201" s="508">
        <v>0.63360000000000005</v>
      </c>
    </row>
    <row r="202" spans="1:13">
      <c r="A202" s="509">
        <v>9.8000000000000007</v>
      </c>
      <c r="B202" s="508">
        <v>0.83140000000000003</v>
      </c>
      <c r="C202" s="508">
        <v>0.83140000000000003</v>
      </c>
      <c r="D202" s="508">
        <v>0.72929999999999995</v>
      </c>
      <c r="E202" s="508">
        <v>0.72929999999999995</v>
      </c>
      <c r="F202" s="508">
        <v>0.72929999999999995</v>
      </c>
      <c r="G202" s="508">
        <v>0.72929999999999995</v>
      </c>
      <c r="H202" s="508">
        <v>0.72929999999999995</v>
      </c>
      <c r="I202" s="508">
        <v>0.63219999999999998</v>
      </c>
      <c r="J202" s="508">
        <v>0.63219999999999998</v>
      </c>
      <c r="K202" s="508">
        <v>0.63219999999999998</v>
      </c>
      <c r="L202" s="508">
        <v>0.63219999999999998</v>
      </c>
      <c r="M202" s="508">
        <v>0.63219999999999998</v>
      </c>
    </row>
    <row r="203" spans="1:13">
      <c r="A203" s="509">
        <v>9.9</v>
      </c>
      <c r="B203" s="508">
        <v>0.83020000000000005</v>
      </c>
      <c r="C203" s="508">
        <v>0.83020000000000005</v>
      </c>
      <c r="D203" s="508">
        <v>0.72799999999999998</v>
      </c>
      <c r="E203" s="508">
        <v>0.72799999999999998</v>
      </c>
      <c r="F203" s="508">
        <v>0.72799999999999998</v>
      </c>
      <c r="G203" s="508">
        <v>0.72799999999999998</v>
      </c>
      <c r="H203" s="508">
        <v>0.72799999999999998</v>
      </c>
      <c r="I203" s="508">
        <v>0.63080000000000003</v>
      </c>
      <c r="J203" s="508">
        <v>0.63080000000000003</v>
      </c>
      <c r="K203" s="508">
        <v>0.63080000000000003</v>
      </c>
      <c r="L203" s="508">
        <v>0.63080000000000003</v>
      </c>
      <c r="M203" s="508">
        <v>0.63080000000000003</v>
      </c>
    </row>
    <row r="204" spans="1:13">
      <c r="A204" s="509">
        <v>10</v>
      </c>
      <c r="B204" s="508">
        <v>0.82899999999999996</v>
      </c>
      <c r="C204" s="508">
        <v>0.82899999999999996</v>
      </c>
      <c r="D204" s="508">
        <v>0.72670000000000001</v>
      </c>
      <c r="E204" s="508">
        <v>0.72670000000000001</v>
      </c>
      <c r="F204" s="508">
        <v>0.72670000000000001</v>
      </c>
      <c r="G204" s="508">
        <v>0.72670000000000001</v>
      </c>
      <c r="H204" s="508">
        <v>0.72670000000000001</v>
      </c>
      <c r="I204" s="508">
        <v>0.62939999999999996</v>
      </c>
      <c r="J204" s="508">
        <v>0.62939999999999996</v>
      </c>
      <c r="K204" s="508">
        <v>0.62939999999999996</v>
      </c>
      <c r="L204" s="508">
        <v>0.62939999999999996</v>
      </c>
      <c r="M204" s="508">
        <v>0.62939999999999996</v>
      </c>
    </row>
    <row r="205" spans="1:13" ht="14.25">
      <c r="A205" s="503" t="s">
        <v>2170</v>
      </c>
      <c r="B205" s="504"/>
      <c r="C205" s="504"/>
      <c r="D205" s="504"/>
      <c r="E205" s="504"/>
      <c r="F205" s="504"/>
      <c r="G205" s="504"/>
      <c r="H205" s="504"/>
      <c r="I205" s="504"/>
      <c r="J205" s="504"/>
      <c r="K205" s="504"/>
      <c r="L205" s="504"/>
      <c r="M205" s="504"/>
    </row>
    <row r="206" spans="1:13">
      <c r="A206" s="505" t="s">
        <v>1747</v>
      </c>
      <c r="B206" s="506" t="s">
        <v>232</v>
      </c>
      <c r="C206" s="506" t="s">
        <v>243</v>
      </c>
      <c r="D206" s="506" t="s">
        <v>253</v>
      </c>
      <c r="E206" s="506" t="s">
        <v>261</v>
      </c>
      <c r="F206" s="506" t="s">
        <v>269</v>
      </c>
      <c r="G206" s="506" t="s">
        <v>275</v>
      </c>
      <c r="H206" s="507" t="s">
        <v>280</v>
      </c>
      <c r="I206" s="507" t="s">
        <v>285</v>
      </c>
      <c r="J206" s="510" t="s">
        <v>288</v>
      </c>
      <c r="K206" s="510" t="s">
        <v>291</v>
      </c>
      <c r="L206" s="510" t="s">
        <v>294</v>
      </c>
      <c r="M206" s="510" t="s">
        <v>297</v>
      </c>
    </row>
    <row r="207" spans="1:13">
      <c r="A207" s="505">
        <v>0.1</v>
      </c>
      <c r="B207" s="508">
        <v>12.172000000000001</v>
      </c>
      <c r="C207" s="508">
        <v>12.172000000000001</v>
      </c>
      <c r="D207" s="508">
        <v>12.375999999999999</v>
      </c>
      <c r="E207" s="508">
        <v>12.375999999999999</v>
      </c>
      <c r="F207" s="508">
        <v>12.375999999999999</v>
      </c>
      <c r="G207" s="508">
        <v>12.375999999999999</v>
      </c>
      <c r="H207" s="508">
        <v>12.375999999999999</v>
      </c>
      <c r="I207" s="508">
        <v>11.071999999999999</v>
      </c>
      <c r="J207" s="508">
        <v>11.071999999999999</v>
      </c>
      <c r="K207" s="508">
        <v>11.071999999999999</v>
      </c>
      <c r="L207" s="508">
        <v>11.071999999999999</v>
      </c>
      <c r="M207" s="508">
        <v>11.071999999999999</v>
      </c>
    </row>
    <row r="208" spans="1:13">
      <c r="A208" s="505">
        <v>0.2</v>
      </c>
      <c r="B208" s="508">
        <v>6.0860000000000003</v>
      </c>
      <c r="C208" s="508">
        <v>6.0860000000000003</v>
      </c>
      <c r="D208" s="508">
        <v>6.1879999999999997</v>
      </c>
      <c r="E208" s="508">
        <v>6.1879999999999997</v>
      </c>
      <c r="F208" s="508">
        <v>6.1879999999999997</v>
      </c>
      <c r="G208" s="508">
        <v>6.1879999999999997</v>
      </c>
      <c r="H208" s="508">
        <v>6.1879999999999997</v>
      </c>
      <c r="I208" s="508">
        <v>5.5359999999999996</v>
      </c>
      <c r="J208" s="508">
        <v>5.5359999999999996</v>
      </c>
      <c r="K208" s="508">
        <v>5.5359999999999996</v>
      </c>
      <c r="L208" s="508">
        <v>5.5359999999999996</v>
      </c>
      <c r="M208" s="508">
        <v>5.5359999999999996</v>
      </c>
    </row>
    <row r="209" spans="1:13">
      <c r="A209" s="505">
        <v>0.3</v>
      </c>
      <c r="B209" s="508">
        <v>4.0572999999999997</v>
      </c>
      <c r="C209" s="508">
        <v>4.0572999999999997</v>
      </c>
      <c r="D209" s="508">
        <v>4.1253000000000002</v>
      </c>
      <c r="E209" s="508">
        <v>4.1253000000000002</v>
      </c>
      <c r="F209" s="508">
        <v>4.1253000000000002</v>
      </c>
      <c r="G209" s="508">
        <v>4.1253000000000002</v>
      </c>
      <c r="H209" s="508">
        <v>4.1253000000000002</v>
      </c>
      <c r="I209" s="508">
        <v>3.6907000000000001</v>
      </c>
      <c r="J209" s="508">
        <v>3.6907000000000001</v>
      </c>
      <c r="K209" s="508">
        <v>3.6907000000000001</v>
      </c>
      <c r="L209" s="508">
        <v>3.6907000000000001</v>
      </c>
      <c r="M209" s="508">
        <v>3.6907000000000001</v>
      </c>
    </row>
    <row r="210" spans="1:13">
      <c r="A210" s="505">
        <v>0.4</v>
      </c>
      <c r="B210" s="508">
        <v>3.0430000000000001</v>
      </c>
      <c r="C210" s="508">
        <v>3.0430000000000001</v>
      </c>
      <c r="D210" s="508">
        <v>3.0939999999999999</v>
      </c>
      <c r="E210" s="508">
        <v>3.0939999999999999</v>
      </c>
      <c r="F210" s="508">
        <v>3.0939999999999999</v>
      </c>
      <c r="G210" s="508">
        <v>3.0939999999999999</v>
      </c>
      <c r="H210" s="508">
        <v>3.0939999999999999</v>
      </c>
      <c r="I210" s="508">
        <v>2.7679999999999998</v>
      </c>
      <c r="J210" s="508">
        <v>2.7679999999999998</v>
      </c>
      <c r="K210" s="508">
        <v>2.7679999999999998</v>
      </c>
      <c r="L210" s="508">
        <v>2.7679999999999998</v>
      </c>
      <c r="M210" s="508">
        <v>2.7679999999999998</v>
      </c>
    </row>
    <row r="211" spans="1:13">
      <c r="A211" s="505">
        <v>0.5</v>
      </c>
      <c r="B211" s="508">
        <v>2.4344000000000001</v>
      </c>
      <c r="C211" s="508">
        <v>2.4344000000000001</v>
      </c>
      <c r="D211" s="508">
        <v>2.4752000000000001</v>
      </c>
      <c r="E211" s="508">
        <v>2.4752000000000001</v>
      </c>
      <c r="F211" s="508">
        <v>2.4752000000000001</v>
      </c>
      <c r="G211" s="508">
        <v>2.4752000000000001</v>
      </c>
      <c r="H211" s="508">
        <v>2.4752000000000001</v>
      </c>
      <c r="I211" s="508">
        <v>2.2143999999999999</v>
      </c>
      <c r="J211" s="508">
        <v>2.2143999999999999</v>
      </c>
      <c r="K211" s="508">
        <v>2.2143999999999999</v>
      </c>
      <c r="L211" s="508">
        <v>2.2143999999999999</v>
      </c>
      <c r="M211" s="508">
        <v>2.2143999999999999</v>
      </c>
    </row>
    <row r="212" spans="1:13">
      <c r="A212" s="505">
        <v>0.6</v>
      </c>
      <c r="B212" s="508">
        <v>2.0287000000000002</v>
      </c>
      <c r="C212" s="508">
        <v>2.0287000000000002</v>
      </c>
      <c r="D212" s="508">
        <v>2.0627</v>
      </c>
      <c r="E212" s="508">
        <v>2.0627</v>
      </c>
      <c r="F212" s="508">
        <v>2.0627</v>
      </c>
      <c r="G212" s="508">
        <v>2.0627</v>
      </c>
      <c r="H212" s="508">
        <v>2.0627</v>
      </c>
      <c r="I212" s="508">
        <v>1.8452999999999999</v>
      </c>
      <c r="J212" s="508">
        <v>1.8452999999999999</v>
      </c>
      <c r="K212" s="508">
        <v>1.8452999999999999</v>
      </c>
      <c r="L212" s="508">
        <v>1.8452999999999999</v>
      </c>
      <c r="M212" s="508">
        <v>1.8452999999999999</v>
      </c>
    </row>
    <row r="213" spans="1:13">
      <c r="A213" s="505">
        <v>0.7</v>
      </c>
      <c r="B213" s="508">
        <v>1.7388999999999999</v>
      </c>
      <c r="C213" s="508">
        <v>1.7388999999999999</v>
      </c>
      <c r="D213" s="508">
        <v>1.768</v>
      </c>
      <c r="E213" s="508">
        <v>1.768</v>
      </c>
      <c r="F213" s="508">
        <v>1.768</v>
      </c>
      <c r="G213" s="508">
        <v>1.768</v>
      </c>
      <c r="H213" s="508">
        <v>1.768</v>
      </c>
      <c r="I213" s="508">
        <v>1.5817000000000001</v>
      </c>
      <c r="J213" s="508">
        <v>1.5817000000000001</v>
      </c>
      <c r="K213" s="508">
        <v>1.5817000000000001</v>
      </c>
      <c r="L213" s="508">
        <v>1.5817000000000001</v>
      </c>
      <c r="M213" s="508">
        <v>1.5817000000000001</v>
      </c>
    </row>
    <row r="214" spans="1:13">
      <c r="A214" s="505">
        <v>0.8</v>
      </c>
      <c r="B214" s="508">
        <v>1.5215000000000001</v>
      </c>
      <c r="C214" s="508">
        <v>1.5215000000000001</v>
      </c>
      <c r="D214" s="508">
        <v>1.5469999999999999</v>
      </c>
      <c r="E214" s="508">
        <v>1.5469999999999999</v>
      </c>
      <c r="F214" s="508">
        <v>1.5469999999999999</v>
      </c>
      <c r="G214" s="508">
        <v>1.5469999999999999</v>
      </c>
      <c r="H214" s="508">
        <v>1.5469999999999999</v>
      </c>
      <c r="I214" s="508">
        <v>1.3839999999999999</v>
      </c>
      <c r="J214" s="508">
        <v>1.3839999999999999</v>
      </c>
      <c r="K214" s="508">
        <v>1.3839999999999999</v>
      </c>
      <c r="L214" s="508">
        <v>1.3839999999999999</v>
      </c>
      <c r="M214" s="508">
        <v>1.3839999999999999</v>
      </c>
    </row>
    <row r="215" spans="1:13">
      <c r="A215" s="505">
        <v>0.9</v>
      </c>
      <c r="B215" s="508">
        <v>1.3524</v>
      </c>
      <c r="C215" s="508">
        <v>1.3524</v>
      </c>
      <c r="D215" s="508">
        <v>1.3751</v>
      </c>
      <c r="E215" s="508">
        <v>1.3751</v>
      </c>
      <c r="F215" s="508">
        <v>1.3751</v>
      </c>
      <c r="G215" s="508">
        <v>1.3751</v>
      </c>
      <c r="H215" s="508">
        <v>1.3751</v>
      </c>
      <c r="I215" s="508">
        <v>1.2302</v>
      </c>
      <c r="J215" s="508">
        <v>1.2302</v>
      </c>
      <c r="K215" s="508">
        <v>1.2302</v>
      </c>
      <c r="L215" s="508">
        <v>1.2302</v>
      </c>
      <c r="M215" s="508">
        <v>1.2302</v>
      </c>
    </row>
    <row r="216" spans="1:13">
      <c r="A216" s="505">
        <v>1</v>
      </c>
      <c r="B216" s="508">
        <v>1.2172000000000001</v>
      </c>
      <c r="C216" s="508">
        <v>1.2172000000000001</v>
      </c>
      <c r="D216" s="508">
        <v>1.2376</v>
      </c>
      <c r="E216" s="508">
        <v>1.2376</v>
      </c>
      <c r="F216" s="508">
        <v>1.2376</v>
      </c>
      <c r="G216" s="508">
        <v>1.2376</v>
      </c>
      <c r="H216" s="508">
        <v>1.2376</v>
      </c>
      <c r="I216" s="508">
        <v>1.1072</v>
      </c>
      <c r="J216" s="508">
        <v>1.1072</v>
      </c>
      <c r="K216" s="508">
        <v>1.1072</v>
      </c>
      <c r="L216" s="508">
        <v>1.1072</v>
      </c>
      <c r="M216" s="508">
        <v>1.1072</v>
      </c>
    </row>
    <row r="217" spans="1:13">
      <c r="A217" s="505">
        <v>1.1000000000000001</v>
      </c>
      <c r="B217" s="508">
        <v>1.198</v>
      </c>
      <c r="C217" s="508">
        <v>1.198</v>
      </c>
      <c r="D217" s="508">
        <v>1.2156</v>
      </c>
      <c r="E217" s="508">
        <v>1.2156</v>
      </c>
      <c r="F217" s="508">
        <v>1.2156</v>
      </c>
      <c r="G217" s="508">
        <v>1.2156</v>
      </c>
      <c r="H217" s="508">
        <v>1.2156</v>
      </c>
      <c r="I217" s="508">
        <v>1.0829</v>
      </c>
      <c r="J217" s="508">
        <v>1.0829</v>
      </c>
      <c r="K217" s="508">
        <v>1.0829</v>
      </c>
      <c r="L217" s="508">
        <v>1.0829</v>
      </c>
      <c r="M217" s="508">
        <v>1.0829</v>
      </c>
    </row>
    <row r="218" spans="1:13">
      <c r="A218" s="505">
        <v>1.2</v>
      </c>
      <c r="B218" s="508">
        <v>1.1795</v>
      </c>
      <c r="C218" s="508">
        <v>1.1795</v>
      </c>
      <c r="D218" s="508">
        <v>1.1947000000000001</v>
      </c>
      <c r="E218" s="508">
        <v>1.1947000000000001</v>
      </c>
      <c r="F218" s="508">
        <v>1.1947000000000001</v>
      </c>
      <c r="G218" s="508">
        <v>1.1947000000000001</v>
      </c>
      <c r="H218" s="508">
        <v>1.1947000000000001</v>
      </c>
      <c r="I218" s="508">
        <v>1.0601</v>
      </c>
      <c r="J218" s="508">
        <v>1.0601</v>
      </c>
      <c r="K218" s="508">
        <v>1.0601</v>
      </c>
      <c r="L218" s="508">
        <v>1.0601</v>
      </c>
      <c r="M218" s="508">
        <v>1.0601</v>
      </c>
    </row>
    <row r="219" spans="1:13">
      <c r="A219" s="505">
        <v>1.3</v>
      </c>
      <c r="B219" s="508">
        <v>1.1617999999999999</v>
      </c>
      <c r="C219" s="508">
        <v>1.1617999999999999</v>
      </c>
      <c r="D219" s="508">
        <v>1.1748000000000001</v>
      </c>
      <c r="E219" s="508">
        <v>1.1748000000000001</v>
      </c>
      <c r="F219" s="508">
        <v>1.1748000000000001</v>
      </c>
      <c r="G219" s="508">
        <v>1.1748000000000001</v>
      </c>
      <c r="H219" s="508">
        <v>1.1748000000000001</v>
      </c>
      <c r="I219" s="508">
        <v>1.0387999999999999</v>
      </c>
      <c r="J219" s="508">
        <v>1.0387999999999999</v>
      </c>
      <c r="K219" s="508">
        <v>1.0387999999999999</v>
      </c>
      <c r="L219" s="508">
        <v>1.0387999999999999</v>
      </c>
      <c r="M219" s="508">
        <v>1.0387999999999999</v>
      </c>
    </row>
    <row r="220" spans="1:13">
      <c r="A220" s="505">
        <v>1.4</v>
      </c>
      <c r="B220" s="508">
        <v>1.1448</v>
      </c>
      <c r="C220" s="508">
        <v>1.1448</v>
      </c>
      <c r="D220" s="508">
        <v>1.1557999999999999</v>
      </c>
      <c r="E220" s="508">
        <v>1.1557999999999999</v>
      </c>
      <c r="F220" s="508">
        <v>1.1557999999999999</v>
      </c>
      <c r="G220" s="508">
        <v>1.1557999999999999</v>
      </c>
      <c r="H220" s="508">
        <v>1.1557999999999999</v>
      </c>
      <c r="I220" s="508">
        <v>1.0187999999999999</v>
      </c>
      <c r="J220" s="508">
        <v>1.0187999999999999</v>
      </c>
      <c r="K220" s="508">
        <v>1.0187999999999999</v>
      </c>
      <c r="L220" s="508">
        <v>1.0187999999999999</v>
      </c>
      <c r="M220" s="508">
        <v>1.0187999999999999</v>
      </c>
    </row>
    <row r="221" spans="1:13">
      <c r="A221" s="505">
        <v>1.5</v>
      </c>
      <c r="B221" s="508">
        <v>1.1285000000000001</v>
      </c>
      <c r="C221" s="508">
        <v>1.1285000000000001</v>
      </c>
      <c r="D221" s="508">
        <v>1.1377999999999999</v>
      </c>
      <c r="E221" s="508">
        <v>1.1377999999999999</v>
      </c>
      <c r="F221" s="508">
        <v>1.1377999999999999</v>
      </c>
      <c r="G221" s="508">
        <v>1.1377999999999999</v>
      </c>
      <c r="H221" s="508">
        <v>1.1377999999999999</v>
      </c>
      <c r="I221" s="508">
        <v>1</v>
      </c>
      <c r="J221" s="508">
        <v>1</v>
      </c>
      <c r="K221" s="508">
        <v>1</v>
      </c>
      <c r="L221" s="508">
        <v>1</v>
      </c>
      <c r="M221" s="508">
        <v>1</v>
      </c>
    </row>
    <row r="222" spans="1:13">
      <c r="A222" s="505">
        <v>1.6</v>
      </c>
      <c r="B222" s="508">
        <v>1.1129</v>
      </c>
      <c r="C222" s="508">
        <v>1.1129</v>
      </c>
      <c r="D222" s="508">
        <v>1.1206</v>
      </c>
      <c r="E222" s="508">
        <v>1.1206</v>
      </c>
      <c r="F222" s="508">
        <v>1.1206</v>
      </c>
      <c r="G222" s="508">
        <v>1.1206</v>
      </c>
      <c r="H222" s="508">
        <v>1.1206</v>
      </c>
      <c r="I222" s="508">
        <v>0.98240000000000005</v>
      </c>
      <c r="J222" s="508">
        <v>0.98240000000000005</v>
      </c>
      <c r="K222" s="508">
        <v>0.98240000000000005</v>
      </c>
      <c r="L222" s="508">
        <v>0.98240000000000005</v>
      </c>
      <c r="M222" s="508">
        <v>0.98240000000000005</v>
      </c>
    </row>
    <row r="223" spans="1:13">
      <c r="A223" s="505">
        <v>1.7</v>
      </c>
      <c r="B223" s="508">
        <v>1.0980000000000001</v>
      </c>
      <c r="C223" s="508">
        <v>1.0980000000000001</v>
      </c>
      <c r="D223" s="508">
        <v>1.1043000000000001</v>
      </c>
      <c r="E223" s="508">
        <v>1.1043000000000001</v>
      </c>
      <c r="F223" s="508">
        <v>1.1043000000000001</v>
      </c>
      <c r="G223" s="508">
        <v>1.1043000000000001</v>
      </c>
      <c r="H223" s="508">
        <v>1.1043000000000001</v>
      </c>
      <c r="I223" s="508">
        <v>0.96579999999999999</v>
      </c>
      <c r="J223" s="508">
        <v>0.96579999999999999</v>
      </c>
      <c r="K223" s="508">
        <v>0.96579999999999999</v>
      </c>
      <c r="L223" s="508">
        <v>0.96579999999999999</v>
      </c>
      <c r="M223" s="508">
        <v>0.96579999999999999</v>
      </c>
    </row>
    <row r="224" spans="1:13">
      <c r="A224" s="505">
        <v>1.8</v>
      </c>
      <c r="B224" s="508">
        <v>1.0835999999999999</v>
      </c>
      <c r="C224" s="508">
        <v>1.0835999999999999</v>
      </c>
      <c r="D224" s="508">
        <v>1.0888</v>
      </c>
      <c r="E224" s="508">
        <v>1.0888</v>
      </c>
      <c r="F224" s="508">
        <v>1.0888</v>
      </c>
      <c r="G224" s="508">
        <v>1.0888</v>
      </c>
      <c r="H224" s="508">
        <v>1.0888</v>
      </c>
      <c r="I224" s="508">
        <v>0.95030000000000003</v>
      </c>
      <c r="J224" s="508">
        <v>0.95030000000000003</v>
      </c>
      <c r="K224" s="508">
        <v>0.95030000000000003</v>
      </c>
      <c r="L224" s="508">
        <v>0.95030000000000003</v>
      </c>
      <c r="M224" s="508">
        <v>0.95030000000000003</v>
      </c>
    </row>
    <row r="225" spans="1:13">
      <c r="A225" s="505">
        <v>1.9</v>
      </c>
      <c r="B225" s="508">
        <v>1.0698000000000001</v>
      </c>
      <c r="C225" s="508">
        <v>1.0698000000000001</v>
      </c>
      <c r="D225" s="508">
        <v>1.0741000000000001</v>
      </c>
      <c r="E225" s="508">
        <v>1.0741000000000001</v>
      </c>
      <c r="F225" s="508">
        <v>1.0741000000000001</v>
      </c>
      <c r="G225" s="508">
        <v>1.0741000000000001</v>
      </c>
      <c r="H225" s="508">
        <v>1.0741000000000001</v>
      </c>
      <c r="I225" s="508">
        <v>0.93610000000000004</v>
      </c>
      <c r="J225" s="508">
        <v>0.93610000000000004</v>
      </c>
      <c r="K225" s="508">
        <v>0.93610000000000004</v>
      </c>
      <c r="L225" s="508">
        <v>0.93610000000000004</v>
      </c>
      <c r="M225" s="508">
        <v>0.93610000000000004</v>
      </c>
    </row>
    <row r="226" spans="1:13">
      <c r="A226" s="505">
        <v>2</v>
      </c>
      <c r="B226" s="508">
        <v>1.0568</v>
      </c>
      <c r="C226" s="508">
        <v>1.0568</v>
      </c>
      <c r="D226" s="508">
        <v>1.0601</v>
      </c>
      <c r="E226" s="508">
        <v>1.0601</v>
      </c>
      <c r="F226" s="508">
        <v>1.0601</v>
      </c>
      <c r="G226" s="508">
        <v>1.0601</v>
      </c>
      <c r="H226" s="508">
        <v>1.0601</v>
      </c>
      <c r="I226" s="508">
        <v>0.9224</v>
      </c>
      <c r="J226" s="508">
        <v>0.9224</v>
      </c>
      <c r="K226" s="508">
        <v>0.9224</v>
      </c>
      <c r="L226" s="508">
        <v>0.9224</v>
      </c>
      <c r="M226" s="508">
        <v>0.9224</v>
      </c>
    </row>
    <row r="227" spans="1:13">
      <c r="A227" s="509">
        <v>2.1</v>
      </c>
      <c r="B227" s="508">
        <v>1.0443</v>
      </c>
      <c r="C227" s="508">
        <v>1.0443</v>
      </c>
      <c r="D227" s="508">
        <v>1.0468</v>
      </c>
      <c r="E227" s="508">
        <v>1.0468</v>
      </c>
      <c r="F227" s="508">
        <v>1.0468</v>
      </c>
      <c r="G227" s="508">
        <v>1.0468</v>
      </c>
      <c r="H227" s="508">
        <v>1.0468</v>
      </c>
      <c r="I227" s="508">
        <v>0.90959999999999996</v>
      </c>
      <c r="J227" s="508">
        <v>0.90959999999999996</v>
      </c>
      <c r="K227" s="508">
        <v>0.90959999999999996</v>
      </c>
      <c r="L227" s="508">
        <v>0.90959999999999996</v>
      </c>
      <c r="M227" s="508">
        <v>0.90959999999999996</v>
      </c>
    </row>
    <row r="228" spans="1:13">
      <c r="A228" s="509">
        <v>2.2000000000000002</v>
      </c>
      <c r="B228" s="508">
        <v>1.0325</v>
      </c>
      <c r="C228" s="508">
        <v>1.0325</v>
      </c>
      <c r="D228" s="508">
        <v>1.0342</v>
      </c>
      <c r="E228" s="508">
        <v>1.0342</v>
      </c>
      <c r="F228" s="508">
        <v>1.0342</v>
      </c>
      <c r="G228" s="508">
        <v>1.0342</v>
      </c>
      <c r="H228" s="508">
        <v>1.0342</v>
      </c>
      <c r="I228" s="508">
        <v>0.89749999999999996</v>
      </c>
      <c r="J228" s="508">
        <v>0.89749999999999996</v>
      </c>
      <c r="K228" s="508">
        <v>0.89749999999999996</v>
      </c>
      <c r="L228" s="508">
        <v>0.89749999999999996</v>
      </c>
      <c r="M228" s="508">
        <v>0.89749999999999996</v>
      </c>
    </row>
    <row r="229" spans="1:13">
      <c r="A229" s="509">
        <v>2.2999999999999998</v>
      </c>
      <c r="B229" s="508">
        <v>1.0209999999999999</v>
      </c>
      <c r="C229" s="508">
        <v>1.0209999999999999</v>
      </c>
      <c r="D229" s="508">
        <v>1.0222</v>
      </c>
      <c r="E229" s="508">
        <v>1.0222</v>
      </c>
      <c r="F229" s="508">
        <v>1.0222</v>
      </c>
      <c r="G229" s="508">
        <v>1.0222</v>
      </c>
      <c r="H229" s="508">
        <v>1.0222</v>
      </c>
      <c r="I229" s="508">
        <v>0.88619999999999999</v>
      </c>
      <c r="J229" s="508">
        <v>0.88619999999999999</v>
      </c>
      <c r="K229" s="508">
        <v>0.88619999999999999</v>
      </c>
      <c r="L229" s="508">
        <v>0.88619999999999999</v>
      </c>
      <c r="M229" s="508">
        <v>0.88619999999999999</v>
      </c>
    </row>
    <row r="230" spans="1:13">
      <c r="A230" s="509">
        <v>2.4</v>
      </c>
      <c r="B230" s="508">
        <v>1.0102</v>
      </c>
      <c r="C230" s="508">
        <v>1.0102</v>
      </c>
      <c r="D230" s="508">
        <v>1.0107999999999999</v>
      </c>
      <c r="E230" s="508">
        <v>1.0107999999999999</v>
      </c>
      <c r="F230" s="508">
        <v>1.0107999999999999</v>
      </c>
      <c r="G230" s="508">
        <v>1.0107999999999999</v>
      </c>
      <c r="H230" s="508">
        <v>1.0107999999999999</v>
      </c>
      <c r="I230" s="508">
        <v>0.87529999999999997</v>
      </c>
      <c r="J230" s="508">
        <v>0.87529999999999997</v>
      </c>
      <c r="K230" s="508">
        <v>0.87529999999999997</v>
      </c>
      <c r="L230" s="508">
        <v>0.87529999999999997</v>
      </c>
      <c r="M230" s="508">
        <v>0.87529999999999997</v>
      </c>
    </row>
    <row r="231" spans="1:13">
      <c r="A231" s="509">
        <v>2.5</v>
      </c>
      <c r="B231" s="508">
        <v>1</v>
      </c>
      <c r="C231" s="508">
        <v>1</v>
      </c>
      <c r="D231" s="508">
        <v>1</v>
      </c>
      <c r="E231" s="508">
        <v>1</v>
      </c>
      <c r="F231" s="508">
        <v>1</v>
      </c>
      <c r="G231" s="508">
        <v>1</v>
      </c>
      <c r="H231" s="508">
        <v>1</v>
      </c>
      <c r="I231" s="508">
        <v>0.86509999999999998</v>
      </c>
      <c r="J231" s="508">
        <v>0.86509999999999998</v>
      </c>
      <c r="K231" s="508">
        <v>0.86509999999999998</v>
      </c>
      <c r="L231" s="508">
        <v>0.86509999999999998</v>
      </c>
      <c r="M231" s="508">
        <v>0.86509999999999998</v>
      </c>
    </row>
    <row r="232" spans="1:13">
      <c r="A232" s="509">
        <v>2.6</v>
      </c>
      <c r="B232" s="508">
        <v>0.99029999999999996</v>
      </c>
      <c r="C232" s="508">
        <v>0.99029999999999996</v>
      </c>
      <c r="D232" s="508">
        <v>0.98970000000000002</v>
      </c>
      <c r="E232" s="508">
        <v>0.98970000000000002</v>
      </c>
      <c r="F232" s="508">
        <v>0.98970000000000002</v>
      </c>
      <c r="G232" s="508">
        <v>0.98970000000000002</v>
      </c>
      <c r="H232" s="508">
        <v>0.98970000000000002</v>
      </c>
      <c r="I232" s="508">
        <v>0.85529999999999995</v>
      </c>
      <c r="J232" s="508">
        <v>0.85529999999999995</v>
      </c>
      <c r="K232" s="508">
        <v>0.85529999999999995</v>
      </c>
      <c r="L232" s="508">
        <v>0.85529999999999995</v>
      </c>
      <c r="M232" s="508">
        <v>0.85529999999999995</v>
      </c>
    </row>
    <row r="233" spans="1:13">
      <c r="A233" s="509">
        <v>2.7</v>
      </c>
      <c r="B233" s="508">
        <v>0.98109999999999997</v>
      </c>
      <c r="C233" s="508">
        <v>0.98109999999999997</v>
      </c>
      <c r="D233" s="508">
        <v>0.97989999999999999</v>
      </c>
      <c r="E233" s="508">
        <v>0.97989999999999999</v>
      </c>
      <c r="F233" s="508">
        <v>0.97989999999999999</v>
      </c>
      <c r="G233" s="508">
        <v>0.97989999999999999</v>
      </c>
      <c r="H233" s="508">
        <v>0.97989999999999999</v>
      </c>
      <c r="I233" s="508">
        <v>0.84599999999999997</v>
      </c>
      <c r="J233" s="508">
        <v>0.84599999999999997</v>
      </c>
      <c r="K233" s="508">
        <v>0.84599999999999997</v>
      </c>
      <c r="L233" s="508">
        <v>0.84599999999999997</v>
      </c>
      <c r="M233" s="508">
        <v>0.84599999999999997</v>
      </c>
    </row>
    <row r="234" spans="1:13">
      <c r="A234" s="509">
        <v>2.8</v>
      </c>
      <c r="B234" s="508">
        <v>0.97240000000000004</v>
      </c>
      <c r="C234" s="508">
        <v>0.97240000000000004</v>
      </c>
      <c r="D234" s="508">
        <v>0.97060000000000002</v>
      </c>
      <c r="E234" s="508">
        <v>0.97060000000000002</v>
      </c>
      <c r="F234" s="508">
        <v>0.97060000000000002</v>
      </c>
      <c r="G234" s="508">
        <v>0.97060000000000002</v>
      </c>
      <c r="H234" s="508">
        <v>0.97060000000000002</v>
      </c>
      <c r="I234" s="508">
        <v>0.83709999999999996</v>
      </c>
      <c r="J234" s="508">
        <v>0.83709999999999996</v>
      </c>
      <c r="K234" s="508">
        <v>0.83709999999999996</v>
      </c>
      <c r="L234" s="508">
        <v>0.83709999999999996</v>
      </c>
      <c r="M234" s="508">
        <v>0.83709999999999996</v>
      </c>
    </row>
    <row r="235" spans="1:13">
      <c r="A235" s="509">
        <v>2.9</v>
      </c>
      <c r="B235" s="508">
        <v>0.96419999999999995</v>
      </c>
      <c r="C235" s="508">
        <v>0.96419999999999995</v>
      </c>
      <c r="D235" s="508">
        <v>0.96179999999999999</v>
      </c>
      <c r="E235" s="508">
        <v>0.96179999999999999</v>
      </c>
      <c r="F235" s="508">
        <v>0.96179999999999999</v>
      </c>
      <c r="G235" s="508">
        <v>0.96179999999999999</v>
      </c>
      <c r="H235" s="508">
        <v>0.96179999999999999</v>
      </c>
      <c r="I235" s="508">
        <v>0.82850000000000001</v>
      </c>
      <c r="J235" s="508">
        <v>0.82850000000000001</v>
      </c>
      <c r="K235" s="508">
        <v>0.82850000000000001</v>
      </c>
      <c r="L235" s="508">
        <v>0.82850000000000001</v>
      </c>
      <c r="M235" s="508">
        <v>0.82850000000000001</v>
      </c>
    </row>
    <row r="236" spans="1:13">
      <c r="A236" s="509">
        <v>3</v>
      </c>
      <c r="B236" s="508">
        <v>0.95640000000000003</v>
      </c>
      <c r="C236" s="508">
        <v>0.95640000000000003</v>
      </c>
      <c r="D236" s="508">
        <v>0.95340000000000003</v>
      </c>
      <c r="E236" s="508">
        <v>0.95340000000000003</v>
      </c>
      <c r="F236" s="508">
        <v>0.95340000000000003</v>
      </c>
      <c r="G236" s="508">
        <v>0.95340000000000003</v>
      </c>
      <c r="H236" s="508">
        <v>0.95340000000000003</v>
      </c>
      <c r="I236" s="508">
        <v>0.82040000000000002</v>
      </c>
      <c r="J236" s="508">
        <v>0.82040000000000002</v>
      </c>
      <c r="K236" s="508">
        <v>0.82040000000000002</v>
      </c>
      <c r="L236" s="508">
        <v>0.82040000000000002</v>
      </c>
      <c r="M236" s="508">
        <v>0.82040000000000002</v>
      </c>
    </row>
    <row r="237" spans="1:13">
      <c r="A237" s="509">
        <v>3.1</v>
      </c>
      <c r="B237" s="508">
        <v>0.94899999999999995</v>
      </c>
      <c r="C237" s="508">
        <v>0.94899999999999995</v>
      </c>
      <c r="D237" s="508">
        <v>0.94550000000000001</v>
      </c>
      <c r="E237" s="508">
        <v>0.94550000000000001</v>
      </c>
      <c r="F237" s="508">
        <v>0.94550000000000001</v>
      </c>
      <c r="G237" s="508">
        <v>0.94550000000000001</v>
      </c>
      <c r="H237" s="508">
        <v>0.94550000000000001</v>
      </c>
      <c r="I237" s="508">
        <v>0.81259999999999999</v>
      </c>
      <c r="J237" s="508">
        <v>0.81259999999999999</v>
      </c>
      <c r="K237" s="508">
        <v>0.81259999999999999</v>
      </c>
      <c r="L237" s="508">
        <v>0.81259999999999999</v>
      </c>
      <c r="M237" s="508">
        <v>0.81259999999999999</v>
      </c>
    </row>
    <row r="238" spans="1:13">
      <c r="A238" s="509">
        <v>3.2</v>
      </c>
      <c r="B238" s="508">
        <v>0.94199999999999995</v>
      </c>
      <c r="C238" s="508">
        <v>0.94199999999999995</v>
      </c>
      <c r="D238" s="508">
        <v>0.93789999999999996</v>
      </c>
      <c r="E238" s="508">
        <v>0.93789999999999996</v>
      </c>
      <c r="F238" s="508">
        <v>0.93789999999999996</v>
      </c>
      <c r="G238" s="508">
        <v>0.93789999999999996</v>
      </c>
      <c r="H238" s="508">
        <v>0.93789999999999996</v>
      </c>
      <c r="I238" s="508">
        <v>0.80530000000000002</v>
      </c>
      <c r="J238" s="508">
        <v>0.80530000000000002</v>
      </c>
      <c r="K238" s="508">
        <v>0.80530000000000002</v>
      </c>
      <c r="L238" s="508">
        <v>0.80530000000000002</v>
      </c>
      <c r="M238" s="508">
        <v>0.80530000000000002</v>
      </c>
    </row>
    <row r="239" spans="1:13">
      <c r="A239" s="509">
        <v>3.3</v>
      </c>
      <c r="B239" s="508">
        <v>0.93540000000000001</v>
      </c>
      <c r="C239" s="508">
        <v>0.93540000000000001</v>
      </c>
      <c r="D239" s="508">
        <v>0.93069999999999997</v>
      </c>
      <c r="E239" s="508">
        <v>0.93069999999999997</v>
      </c>
      <c r="F239" s="508">
        <v>0.93069999999999997</v>
      </c>
      <c r="G239" s="508">
        <v>0.93069999999999997</v>
      </c>
      <c r="H239" s="508">
        <v>0.93069999999999997</v>
      </c>
      <c r="I239" s="508">
        <v>0.79820000000000002</v>
      </c>
      <c r="J239" s="508">
        <v>0.79820000000000002</v>
      </c>
      <c r="K239" s="508">
        <v>0.79820000000000002</v>
      </c>
      <c r="L239" s="508">
        <v>0.79820000000000002</v>
      </c>
      <c r="M239" s="508">
        <v>0.79820000000000002</v>
      </c>
    </row>
    <row r="240" spans="1:13">
      <c r="A240" s="509">
        <v>3.4</v>
      </c>
      <c r="B240" s="508">
        <v>0.92920000000000003</v>
      </c>
      <c r="C240" s="508">
        <v>0.92920000000000003</v>
      </c>
      <c r="D240" s="508">
        <v>0.92390000000000005</v>
      </c>
      <c r="E240" s="508">
        <v>0.92390000000000005</v>
      </c>
      <c r="F240" s="508">
        <v>0.92390000000000005</v>
      </c>
      <c r="G240" s="508">
        <v>0.92390000000000005</v>
      </c>
      <c r="H240" s="508">
        <v>0.92390000000000005</v>
      </c>
      <c r="I240" s="508">
        <v>0.79139999999999999</v>
      </c>
      <c r="J240" s="508">
        <v>0.79139999999999999</v>
      </c>
      <c r="K240" s="508">
        <v>0.79139999999999999</v>
      </c>
      <c r="L240" s="508">
        <v>0.79139999999999999</v>
      </c>
      <c r="M240" s="508">
        <v>0.79139999999999999</v>
      </c>
    </row>
    <row r="241" spans="1:13">
      <c r="A241" s="509">
        <v>3.5</v>
      </c>
      <c r="B241" s="508">
        <v>0.9234</v>
      </c>
      <c r="C241" s="508">
        <v>0.9234</v>
      </c>
      <c r="D241" s="508">
        <v>0.91749999999999998</v>
      </c>
      <c r="E241" s="508">
        <v>0.91749999999999998</v>
      </c>
      <c r="F241" s="508">
        <v>0.91749999999999998</v>
      </c>
      <c r="G241" s="508">
        <v>0.91749999999999998</v>
      </c>
      <c r="H241" s="508">
        <v>0.91749999999999998</v>
      </c>
      <c r="I241" s="508">
        <v>0.78490000000000004</v>
      </c>
      <c r="J241" s="508">
        <v>0.78490000000000004</v>
      </c>
      <c r="K241" s="508">
        <v>0.78490000000000004</v>
      </c>
      <c r="L241" s="508">
        <v>0.78490000000000004</v>
      </c>
      <c r="M241" s="508">
        <v>0.78490000000000004</v>
      </c>
    </row>
    <row r="242" spans="1:13">
      <c r="A242" s="509">
        <v>3.6</v>
      </c>
      <c r="B242" s="508">
        <v>0.91790000000000005</v>
      </c>
      <c r="C242" s="508">
        <v>0.91790000000000005</v>
      </c>
      <c r="D242" s="508">
        <v>0.91139999999999999</v>
      </c>
      <c r="E242" s="508">
        <v>0.91139999999999999</v>
      </c>
      <c r="F242" s="508">
        <v>0.91139999999999999</v>
      </c>
      <c r="G242" s="508">
        <v>0.91139999999999999</v>
      </c>
      <c r="H242" s="508">
        <v>0.91139999999999999</v>
      </c>
      <c r="I242" s="508">
        <v>0.77880000000000005</v>
      </c>
      <c r="J242" s="508">
        <v>0.77880000000000005</v>
      </c>
      <c r="K242" s="508">
        <v>0.77880000000000005</v>
      </c>
      <c r="L242" s="508">
        <v>0.77880000000000005</v>
      </c>
      <c r="M242" s="508">
        <v>0.77880000000000005</v>
      </c>
    </row>
    <row r="243" spans="1:13">
      <c r="A243" s="509">
        <v>3.7</v>
      </c>
      <c r="B243" s="508">
        <v>0.91269999999999996</v>
      </c>
      <c r="C243" s="508">
        <v>0.91269999999999996</v>
      </c>
      <c r="D243" s="508">
        <v>0.90559999999999996</v>
      </c>
      <c r="E243" s="508">
        <v>0.90559999999999996</v>
      </c>
      <c r="F243" s="508">
        <v>0.90559999999999996</v>
      </c>
      <c r="G243" s="508">
        <v>0.90559999999999996</v>
      </c>
      <c r="H243" s="508">
        <v>0.90559999999999996</v>
      </c>
      <c r="I243" s="508">
        <v>0.77300000000000002</v>
      </c>
      <c r="J243" s="508">
        <v>0.77300000000000002</v>
      </c>
      <c r="K243" s="508">
        <v>0.77300000000000002</v>
      </c>
      <c r="L243" s="508">
        <v>0.77300000000000002</v>
      </c>
      <c r="M243" s="508">
        <v>0.77300000000000002</v>
      </c>
    </row>
    <row r="244" spans="1:13">
      <c r="A244" s="509">
        <v>3.8</v>
      </c>
      <c r="B244" s="508">
        <v>0.90780000000000005</v>
      </c>
      <c r="C244" s="508">
        <v>0.90780000000000005</v>
      </c>
      <c r="D244" s="508">
        <v>0.90010000000000001</v>
      </c>
      <c r="E244" s="508">
        <v>0.90010000000000001</v>
      </c>
      <c r="F244" s="508">
        <v>0.90010000000000001</v>
      </c>
      <c r="G244" s="508">
        <v>0.90010000000000001</v>
      </c>
      <c r="H244" s="508">
        <v>0.90010000000000001</v>
      </c>
      <c r="I244" s="508">
        <v>0.76739999999999997</v>
      </c>
      <c r="J244" s="508">
        <v>0.76739999999999997</v>
      </c>
      <c r="K244" s="508">
        <v>0.76739999999999997</v>
      </c>
      <c r="L244" s="508">
        <v>0.76739999999999997</v>
      </c>
      <c r="M244" s="508">
        <v>0.76739999999999997</v>
      </c>
    </row>
    <row r="245" spans="1:13">
      <c r="A245" s="509">
        <v>3.9</v>
      </c>
      <c r="B245" s="508">
        <v>0.9032</v>
      </c>
      <c r="C245" s="508">
        <v>0.9032</v>
      </c>
      <c r="D245" s="508">
        <v>0.89490000000000003</v>
      </c>
      <c r="E245" s="508">
        <v>0.89490000000000003</v>
      </c>
      <c r="F245" s="508">
        <v>0.89490000000000003</v>
      </c>
      <c r="G245" s="508">
        <v>0.89490000000000003</v>
      </c>
      <c r="H245" s="508">
        <v>0.89490000000000003</v>
      </c>
      <c r="I245" s="508">
        <v>0.7621</v>
      </c>
      <c r="J245" s="508">
        <v>0.7621</v>
      </c>
      <c r="K245" s="508">
        <v>0.7621</v>
      </c>
      <c r="L245" s="508">
        <v>0.7621</v>
      </c>
      <c r="M245" s="508">
        <v>0.7621</v>
      </c>
    </row>
    <row r="246" spans="1:13">
      <c r="A246" s="509">
        <v>4</v>
      </c>
      <c r="B246" s="508">
        <v>0.89890000000000003</v>
      </c>
      <c r="C246" s="508">
        <v>0.89890000000000003</v>
      </c>
      <c r="D246" s="508">
        <v>0.89</v>
      </c>
      <c r="E246" s="508">
        <v>0.89</v>
      </c>
      <c r="F246" s="508">
        <v>0.89</v>
      </c>
      <c r="G246" s="508">
        <v>0.89</v>
      </c>
      <c r="H246" s="508">
        <v>0.89</v>
      </c>
      <c r="I246" s="508">
        <v>0.7571</v>
      </c>
      <c r="J246" s="508">
        <v>0.7571</v>
      </c>
      <c r="K246" s="508">
        <v>0.7571</v>
      </c>
      <c r="L246" s="508">
        <v>0.7571</v>
      </c>
      <c r="M246" s="508">
        <v>0.7571</v>
      </c>
    </row>
    <row r="247" spans="1:13">
      <c r="A247" s="509">
        <v>4.0999999999999996</v>
      </c>
      <c r="B247" s="508">
        <v>0.89480000000000004</v>
      </c>
      <c r="C247" s="508">
        <v>0.89480000000000004</v>
      </c>
      <c r="D247" s="508">
        <v>0.88539999999999996</v>
      </c>
      <c r="E247" s="508">
        <v>0.88539999999999996</v>
      </c>
      <c r="F247" s="508">
        <v>0.88539999999999996</v>
      </c>
      <c r="G247" s="508">
        <v>0.88539999999999996</v>
      </c>
      <c r="H247" s="508">
        <v>0.88539999999999996</v>
      </c>
      <c r="I247" s="508">
        <v>0.75229999999999997</v>
      </c>
      <c r="J247" s="508">
        <v>0.75229999999999997</v>
      </c>
      <c r="K247" s="508">
        <v>0.75229999999999997</v>
      </c>
      <c r="L247" s="508">
        <v>0.75229999999999997</v>
      </c>
      <c r="M247" s="508">
        <v>0.75229999999999997</v>
      </c>
    </row>
    <row r="248" spans="1:13">
      <c r="A248" s="509">
        <v>4.2</v>
      </c>
      <c r="B248" s="508">
        <v>0.89100000000000001</v>
      </c>
      <c r="C248" s="508">
        <v>0.89100000000000001</v>
      </c>
      <c r="D248" s="508">
        <v>0.88109999999999999</v>
      </c>
      <c r="E248" s="508">
        <v>0.88109999999999999</v>
      </c>
      <c r="F248" s="508">
        <v>0.88109999999999999</v>
      </c>
      <c r="G248" s="508">
        <v>0.88109999999999999</v>
      </c>
      <c r="H248" s="508">
        <v>0.88109999999999999</v>
      </c>
      <c r="I248" s="508">
        <v>0.74780000000000002</v>
      </c>
      <c r="J248" s="508">
        <v>0.74780000000000002</v>
      </c>
      <c r="K248" s="508">
        <v>0.74780000000000002</v>
      </c>
      <c r="L248" s="508">
        <v>0.74780000000000002</v>
      </c>
      <c r="M248" s="508">
        <v>0.74780000000000002</v>
      </c>
    </row>
    <row r="249" spans="1:13">
      <c r="A249" s="509">
        <v>4.3</v>
      </c>
      <c r="B249" s="508">
        <v>0.88739999999999997</v>
      </c>
      <c r="C249" s="508">
        <v>0.88739999999999997</v>
      </c>
      <c r="D249" s="508">
        <v>0.877</v>
      </c>
      <c r="E249" s="508">
        <v>0.877</v>
      </c>
      <c r="F249" s="508">
        <v>0.877</v>
      </c>
      <c r="G249" s="508">
        <v>0.877</v>
      </c>
      <c r="H249" s="508">
        <v>0.877</v>
      </c>
      <c r="I249" s="508">
        <v>0.74329999999999996</v>
      </c>
      <c r="J249" s="508">
        <v>0.74329999999999996</v>
      </c>
      <c r="K249" s="508">
        <v>0.74329999999999996</v>
      </c>
      <c r="L249" s="508">
        <v>0.74329999999999996</v>
      </c>
      <c r="M249" s="508">
        <v>0.74329999999999996</v>
      </c>
    </row>
    <row r="250" spans="1:13">
      <c r="A250" s="509">
        <v>4.4000000000000004</v>
      </c>
      <c r="B250" s="508">
        <v>0.88400000000000001</v>
      </c>
      <c r="C250" s="508">
        <v>0.88400000000000001</v>
      </c>
      <c r="D250" s="508">
        <v>0.87309999999999999</v>
      </c>
      <c r="E250" s="508">
        <v>0.87309999999999999</v>
      </c>
      <c r="F250" s="508">
        <v>0.87309999999999999</v>
      </c>
      <c r="G250" s="508">
        <v>0.87309999999999999</v>
      </c>
      <c r="H250" s="508">
        <v>0.87309999999999999</v>
      </c>
      <c r="I250" s="508">
        <v>0.73909999999999998</v>
      </c>
      <c r="J250" s="508">
        <v>0.73909999999999998</v>
      </c>
      <c r="K250" s="508">
        <v>0.73909999999999998</v>
      </c>
      <c r="L250" s="508">
        <v>0.73909999999999998</v>
      </c>
      <c r="M250" s="508">
        <v>0.73909999999999998</v>
      </c>
    </row>
    <row r="251" spans="1:13">
      <c r="A251" s="509">
        <v>4.5</v>
      </c>
      <c r="B251" s="508">
        <v>0.88080000000000003</v>
      </c>
      <c r="C251" s="508">
        <v>0.88080000000000003</v>
      </c>
      <c r="D251" s="508">
        <v>0.86939999999999995</v>
      </c>
      <c r="E251" s="508">
        <v>0.86939999999999995</v>
      </c>
      <c r="F251" s="508">
        <v>0.86939999999999995</v>
      </c>
      <c r="G251" s="508">
        <v>0.86939999999999995</v>
      </c>
      <c r="H251" s="508">
        <v>0.86939999999999995</v>
      </c>
      <c r="I251" s="508">
        <v>0.73499999999999999</v>
      </c>
      <c r="J251" s="508">
        <v>0.73499999999999999</v>
      </c>
      <c r="K251" s="508">
        <v>0.73499999999999999</v>
      </c>
      <c r="L251" s="508">
        <v>0.73499999999999999</v>
      </c>
      <c r="M251" s="508">
        <v>0.73499999999999999</v>
      </c>
    </row>
    <row r="252" spans="1:13">
      <c r="A252" s="509">
        <v>4.5999999999999996</v>
      </c>
      <c r="B252" s="508">
        <v>0.87780000000000002</v>
      </c>
      <c r="C252" s="508">
        <v>0.87780000000000002</v>
      </c>
      <c r="D252" s="508">
        <v>0.8659</v>
      </c>
      <c r="E252" s="508">
        <v>0.8659</v>
      </c>
      <c r="F252" s="508">
        <v>0.8659</v>
      </c>
      <c r="G252" s="508">
        <v>0.8659</v>
      </c>
      <c r="H252" s="508">
        <v>0.8659</v>
      </c>
      <c r="I252" s="508">
        <v>0.73109999999999997</v>
      </c>
      <c r="J252" s="508">
        <v>0.73109999999999997</v>
      </c>
      <c r="K252" s="508">
        <v>0.73109999999999997</v>
      </c>
      <c r="L252" s="508">
        <v>0.73109999999999997</v>
      </c>
      <c r="M252" s="508">
        <v>0.73109999999999997</v>
      </c>
    </row>
    <row r="253" spans="1:13">
      <c r="A253" s="509">
        <v>4.7</v>
      </c>
      <c r="B253" s="508">
        <v>0.875</v>
      </c>
      <c r="C253" s="508">
        <v>0.875</v>
      </c>
      <c r="D253" s="508">
        <v>0.86260000000000003</v>
      </c>
      <c r="E253" s="508">
        <v>0.86260000000000003</v>
      </c>
      <c r="F253" s="508">
        <v>0.86260000000000003</v>
      </c>
      <c r="G253" s="508">
        <v>0.86260000000000003</v>
      </c>
      <c r="H253" s="508">
        <v>0.86260000000000003</v>
      </c>
      <c r="I253" s="508">
        <v>0.72750000000000004</v>
      </c>
      <c r="J253" s="508">
        <v>0.72750000000000004</v>
      </c>
      <c r="K253" s="508">
        <v>0.72750000000000004</v>
      </c>
      <c r="L253" s="508">
        <v>0.72750000000000004</v>
      </c>
      <c r="M253" s="508">
        <v>0.72750000000000004</v>
      </c>
    </row>
    <row r="254" spans="1:13">
      <c r="A254" s="509">
        <v>4.8</v>
      </c>
      <c r="B254" s="508">
        <v>0.87229999999999996</v>
      </c>
      <c r="C254" s="508">
        <v>0.87229999999999996</v>
      </c>
      <c r="D254" s="508">
        <v>0.85950000000000004</v>
      </c>
      <c r="E254" s="508">
        <v>0.85950000000000004</v>
      </c>
      <c r="F254" s="508">
        <v>0.85950000000000004</v>
      </c>
      <c r="G254" s="508">
        <v>0.85950000000000004</v>
      </c>
      <c r="H254" s="508">
        <v>0.85950000000000004</v>
      </c>
      <c r="I254" s="508">
        <v>0.72399999999999998</v>
      </c>
      <c r="J254" s="508">
        <v>0.72399999999999998</v>
      </c>
      <c r="K254" s="508">
        <v>0.72399999999999998</v>
      </c>
      <c r="L254" s="508">
        <v>0.72399999999999998</v>
      </c>
      <c r="M254" s="508">
        <v>0.72399999999999998</v>
      </c>
    </row>
    <row r="255" spans="1:13">
      <c r="A255" s="509">
        <v>4.9000000000000004</v>
      </c>
      <c r="B255" s="508">
        <v>0.86980000000000002</v>
      </c>
      <c r="C255" s="508">
        <v>0.86980000000000002</v>
      </c>
      <c r="D255" s="508">
        <v>0.85660000000000003</v>
      </c>
      <c r="E255" s="508">
        <v>0.85660000000000003</v>
      </c>
      <c r="F255" s="508">
        <v>0.85660000000000003</v>
      </c>
      <c r="G255" s="508">
        <v>0.85660000000000003</v>
      </c>
      <c r="H255" s="508">
        <v>0.85660000000000003</v>
      </c>
      <c r="I255" s="508">
        <v>0.7208</v>
      </c>
      <c r="J255" s="508">
        <v>0.7208</v>
      </c>
      <c r="K255" s="508">
        <v>0.7208</v>
      </c>
      <c r="L255" s="508">
        <v>0.7208</v>
      </c>
      <c r="M255" s="508">
        <v>0.7208</v>
      </c>
    </row>
    <row r="256" spans="1:13">
      <c r="A256" s="509">
        <v>5</v>
      </c>
      <c r="B256" s="508">
        <v>0.86739999999999995</v>
      </c>
      <c r="C256" s="508">
        <v>0.86739999999999995</v>
      </c>
      <c r="D256" s="508">
        <v>0.8538</v>
      </c>
      <c r="E256" s="508">
        <v>0.8538</v>
      </c>
      <c r="F256" s="508">
        <v>0.8538</v>
      </c>
      <c r="G256" s="508">
        <v>0.8538</v>
      </c>
      <c r="H256" s="508">
        <v>0.8538</v>
      </c>
      <c r="I256" s="508">
        <v>0.71760000000000002</v>
      </c>
      <c r="J256" s="508">
        <v>0.71760000000000002</v>
      </c>
      <c r="K256" s="508">
        <v>0.71760000000000002</v>
      </c>
      <c r="L256" s="508">
        <v>0.71760000000000002</v>
      </c>
      <c r="M256" s="508">
        <v>0.71760000000000002</v>
      </c>
    </row>
    <row r="257" spans="1:13">
      <c r="A257" s="505">
        <v>5.0999999999999996</v>
      </c>
      <c r="B257" s="508">
        <v>0.86519999999999997</v>
      </c>
      <c r="C257" s="508">
        <v>0.86519999999999997</v>
      </c>
      <c r="D257" s="508">
        <v>0.85109999999999997</v>
      </c>
      <c r="E257" s="508">
        <v>0.85109999999999997</v>
      </c>
      <c r="F257" s="508">
        <v>0.85109999999999997</v>
      </c>
      <c r="G257" s="508">
        <v>0.85109999999999997</v>
      </c>
      <c r="H257" s="508">
        <v>0.85109999999999997</v>
      </c>
      <c r="I257" s="508">
        <v>0.7147</v>
      </c>
      <c r="J257" s="508">
        <v>0.7147</v>
      </c>
      <c r="K257" s="508">
        <v>0.7147</v>
      </c>
      <c r="L257" s="508">
        <v>0.7147</v>
      </c>
      <c r="M257" s="508">
        <v>0.7147</v>
      </c>
    </row>
    <row r="258" spans="1:13">
      <c r="A258" s="505">
        <v>5.2</v>
      </c>
      <c r="B258" s="508">
        <v>0.86309999999999998</v>
      </c>
      <c r="C258" s="508">
        <v>0.86309999999999998</v>
      </c>
      <c r="D258" s="508">
        <v>0.84860000000000002</v>
      </c>
      <c r="E258" s="508">
        <v>0.84860000000000002</v>
      </c>
      <c r="F258" s="508">
        <v>0.84860000000000002</v>
      </c>
      <c r="G258" s="508">
        <v>0.84860000000000002</v>
      </c>
      <c r="H258" s="508">
        <v>0.84860000000000002</v>
      </c>
      <c r="I258" s="508">
        <v>0.71189999999999998</v>
      </c>
      <c r="J258" s="508">
        <v>0.71189999999999998</v>
      </c>
      <c r="K258" s="508">
        <v>0.71189999999999998</v>
      </c>
      <c r="L258" s="508">
        <v>0.71189999999999998</v>
      </c>
      <c r="M258" s="508">
        <v>0.71189999999999998</v>
      </c>
    </row>
    <row r="259" spans="1:13">
      <c r="A259" s="505">
        <v>5.3</v>
      </c>
      <c r="B259" s="508">
        <v>0.86119999999999997</v>
      </c>
      <c r="C259" s="508">
        <v>0.86119999999999997</v>
      </c>
      <c r="D259" s="508">
        <v>0.84619999999999995</v>
      </c>
      <c r="E259" s="508">
        <v>0.84619999999999995</v>
      </c>
      <c r="F259" s="508">
        <v>0.84619999999999995</v>
      </c>
      <c r="G259" s="508">
        <v>0.84619999999999995</v>
      </c>
      <c r="H259" s="508">
        <v>0.84619999999999995</v>
      </c>
      <c r="I259" s="508">
        <v>0.70909999999999995</v>
      </c>
      <c r="J259" s="508">
        <v>0.70909999999999995</v>
      </c>
      <c r="K259" s="508">
        <v>0.70909999999999995</v>
      </c>
      <c r="L259" s="508">
        <v>0.70909999999999995</v>
      </c>
      <c r="M259" s="508">
        <v>0.70909999999999995</v>
      </c>
    </row>
    <row r="260" spans="1:13">
      <c r="A260" s="505">
        <v>5.4</v>
      </c>
      <c r="B260" s="508">
        <v>0.85940000000000005</v>
      </c>
      <c r="C260" s="508">
        <v>0.85940000000000005</v>
      </c>
      <c r="D260" s="508">
        <v>0.84389999999999998</v>
      </c>
      <c r="E260" s="508">
        <v>0.84389999999999998</v>
      </c>
      <c r="F260" s="508">
        <v>0.84389999999999998</v>
      </c>
      <c r="G260" s="508">
        <v>0.84389999999999998</v>
      </c>
      <c r="H260" s="508">
        <v>0.84389999999999998</v>
      </c>
      <c r="I260" s="508">
        <v>0.70650000000000002</v>
      </c>
      <c r="J260" s="508">
        <v>0.70650000000000002</v>
      </c>
      <c r="K260" s="508">
        <v>0.70650000000000002</v>
      </c>
      <c r="L260" s="508">
        <v>0.70650000000000002</v>
      </c>
      <c r="M260" s="508">
        <v>0.70650000000000002</v>
      </c>
    </row>
    <row r="261" spans="1:13">
      <c r="A261" s="505">
        <v>5.5</v>
      </c>
      <c r="B261" s="508">
        <v>0.85770000000000002</v>
      </c>
      <c r="C261" s="508">
        <v>0.85770000000000002</v>
      </c>
      <c r="D261" s="508">
        <v>0.84179999999999999</v>
      </c>
      <c r="E261" s="508">
        <v>0.84179999999999999</v>
      </c>
      <c r="F261" s="508">
        <v>0.84179999999999999</v>
      </c>
      <c r="G261" s="508">
        <v>0.84179999999999999</v>
      </c>
      <c r="H261" s="508">
        <v>0.84179999999999999</v>
      </c>
      <c r="I261" s="508">
        <v>0.70399999999999996</v>
      </c>
      <c r="J261" s="508">
        <v>0.70399999999999996</v>
      </c>
      <c r="K261" s="508">
        <v>0.70399999999999996</v>
      </c>
      <c r="L261" s="508">
        <v>0.70399999999999996</v>
      </c>
      <c r="M261" s="508">
        <v>0.70399999999999996</v>
      </c>
    </row>
    <row r="262" spans="1:13">
      <c r="A262" s="505">
        <v>5.6</v>
      </c>
      <c r="B262" s="508">
        <v>0.85599999999999998</v>
      </c>
      <c r="C262" s="508">
        <v>0.85599999999999998</v>
      </c>
      <c r="D262" s="508">
        <v>0.83979999999999999</v>
      </c>
      <c r="E262" s="508">
        <v>0.83979999999999999</v>
      </c>
      <c r="F262" s="508">
        <v>0.83979999999999999</v>
      </c>
      <c r="G262" s="508">
        <v>0.83979999999999999</v>
      </c>
      <c r="H262" s="508">
        <v>0.83979999999999999</v>
      </c>
      <c r="I262" s="508">
        <v>0.7016</v>
      </c>
      <c r="J262" s="508">
        <v>0.7016</v>
      </c>
      <c r="K262" s="508">
        <v>0.7016</v>
      </c>
      <c r="L262" s="508">
        <v>0.7016</v>
      </c>
      <c r="M262" s="508">
        <v>0.7016</v>
      </c>
    </row>
    <row r="263" spans="1:13">
      <c r="A263" s="509">
        <v>5.7</v>
      </c>
      <c r="B263" s="508">
        <v>0.85440000000000005</v>
      </c>
      <c r="C263" s="508">
        <v>0.85440000000000005</v>
      </c>
      <c r="D263" s="508">
        <v>0.83789999999999998</v>
      </c>
      <c r="E263" s="508">
        <v>0.83789999999999998</v>
      </c>
      <c r="F263" s="508">
        <v>0.83789999999999998</v>
      </c>
      <c r="G263" s="508">
        <v>0.83789999999999998</v>
      </c>
      <c r="H263" s="508">
        <v>0.83789999999999998</v>
      </c>
      <c r="I263" s="508">
        <v>0.69940000000000002</v>
      </c>
      <c r="J263" s="508">
        <v>0.69940000000000002</v>
      </c>
      <c r="K263" s="508">
        <v>0.69940000000000002</v>
      </c>
      <c r="L263" s="508">
        <v>0.69940000000000002</v>
      </c>
      <c r="M263" s="508">
        <v>0.69940000000000002</v>
      </c>
    </row>
    <row r="264" spans="1:13">
      <c r="A264" s="505">
        <v>5.8</v>
      </c>
      <c r="B264" s="508">
        <v>0.85289999999999999</v>
      </c>
      <c r="C264" s="508">
        <v>0.85289999999999999</v>
      </c>
      <c r="D264" s="508">
        <v>0.83599999999999997</v>
      </c>
      <c r="E264" s="508">
        <v>0.83599999999999997</v>
      </c>
      <c r="F264" s="508">
        <v>0.83599999999999997</v>
      </c>
      <c r="G264" s="508">
        <v>0.83599999999999997</v>
      </c>
      <c r="H264" s="508">
        <v>0.83599999999999997</v>
      </c>
      <c r="I264" s="508">
        <v>0.69720000000000004</v>
      </c>
      <c r="J264" s="508">
        <v>0.69720000000000004</v>
      </c>
      <c r="K264" s="508">
        <v>0.69720000000000004</v>
      </c>
      <c r="L264" s="508">
        <v>0.69720000000000004</v>
      </c>
      <c r="M264" s="508">
        <v>0.69720000000000004</v>
      </c>
    </row>
    <row r="265" spans="1:13">
      <c r="A265" s="505">
        <v>5.9</v>
      </c>
      <c r="B265" s="508">
        <v>0.85150000000000003</v>
      </c>
      <c r="C265" s="508">
        <v>0.85150000000000003</v>
      </c>
      <c r="D265" s="508">
        <v>0.83430000000000004</v>
      </c>
      <c r="E265" s="508">
        <v>0.83430000000000004</v>
      </c>
      <c r="F265" s="508">
        <v>0.83430000000000004</v>
      </c>
      <c r="G265" s="508">
        <v>0.83430000000000004</v>
      </c>
      <c r="H265" s="508">
        <v>0.83430000000000004</v>
      </c>
      <c r="I265" s="508">
        <v>0.69520000000000004</v>
      </c>
      <c r="J265" s="508">
        <v>0.69520000000000004</v>
      </c>
      <c r="K265" s="508">
        <v>0.69520000000000004</v>
      </c>
      <c r="L265" s="508">
        <v>0.69520000000000004</v>
      </c>
      <c r="M265" s="508">
        <v>0.69520000000000004</v>
      </c>
    </row>
    <row r="266" spans="1:13">
      <c r="A266" s="505">
        <v>6</v>
      </c>
      <c r="B266" s="508">
        <v>0.85019999999999996</v>
      </c>
      <c r="C266" s="508">
        <v>0.85019999999999996</v>
      </c>
      <c r="D266" s="508">
        <v>0.8327</v>
      </c>
      <c r="E266" s="508">
        <v>0.8327</v>
      </c>
      <c r="F266" s="508">
        <v>0.8327</v>
      </c>
      <c r="G266" s="508">
        <v>0.8327</v>
      </c>
      <c r="H266" s="508">
        <v>0.8327</v>
      </c>
      <c r="I266" s="508">
        <v>0.69320000000000004</v>
      </c>
      <c r="J266" s="508">
        <v>0.69320000000000004</v>
      </c>
      <c r="K266" s="508">
        <v>0.69320000000000004</v>
      </c>
      <c r="L266" s="508">
        <v>0.69320000000000004</v>
      </c>
      <c r="M266" s="508">
        <v>0.69320000000000004</v>
      </c>
    </row>
    <row r="267" spans="1:13">
      <c r="A267" s="505">
        <v>6.1</v>
      </c>
      <c r="B267" s="508">
        <v>0.84899999999999998</v>
      </c>
      <c r="C267" s="508">
        <v>0.84899999999999998</v>
      </c>
      <c r="D267" s="508">
        <v>0.83109999999999995</v>
      </c>
      <c r="E267" s="508">
        <v>0.83109999999999995</v>
      </c>
      <c r="F267" s="508">
        <v>0.83109999999999995</v>
      </c>
      <c r="G267" s="508">
        <v>0.83109999999999995</v>
      </c>
      <c r="H267" s="508">
        <v>0.83109999999999995</v>
      </c>
      <c r="I267" s="508">
        <v>0.69130000000000003</v>
      </c>
      <c r="J267" s="508">
        <v>0.69130000000000003</v>
      </c>
      <c r="K267" s="508">
        <v>0.69130000000000003</v>
      </c>
      <c r="L267" s="508">
        <v>0.69130000000000003</v>
      </c>
      <c r="M267" s="508">
        <v>0.69130000000000003</v>
      </c>
    </row>
    <row r="268" spans="1:13">
      <c r="A268" s="505">
        <v>6.2</v>
      </c>
      <c r="B268" s="508">
        <v>0.8478</v>
      </c>
      <c r="C268" s="508">
        <v>0.8478</v>
      </c>
      <c r="D268" s="508">
        <v>0.8296</v>
      </c>
      <c r="E268" s="508">
        <v>0.8296</v>
      </c>
      <c r="F268" s="508">
        <v>0.8296</v>
      </c>
      <c r="G268" s="508">
        <v>0.8296</v>
      </c>
      <c r="H268" s="508">
        <v>0.8296</v>
      </c>
      <c r="I268" s="508">
        <v>0.68940000000000001</v>
      </c>
      <c r="J268" s="508">
        <v>0.68940000000000001</v>
      </c>
      <c r="K268" s="508">
        <v>0.68940000000000001</v>
      </c>
      <c r="L268" s="508">
        <v>0.68940000000000001</v>
      </c>
      <c r="M268" s="508">
        <v>0.68940000000000001</v>
      </c>
    </row>
    <row r="269" spans="1:13">
      <c r="A269" s="505">
        <v>6.3</v>
      </c>
      <c r="B269" s="508">
        <v>0.84670000000000001</v>
      </c>
      <c r="C269" s="508">
        <v>0.84670000000000001</v>
      </c>
      <c r="D269" s="508">
        <v>0.82820000000000005</v>
      </c>
      <c r="E269" s="508">
        <v>0.82820000000000005</v>
      </c>
      <c r="F269" s="508">
        <v>0.82820000000000005</v>
      </c>
      <c r="G269" s="508">
        <v>0.82820000000000005</v>
      </c>
      <c r="H269" s="508">
        <v>0.82820000000000005</v>
      </c>
      <c r="I269" s="508">
        <v>0.68769999999999998</v>
      </c>
      <c r="J269" s="508">
        <v>0.68769999999999998</v>
      </c>
      <c r="K269" s="508">
        <v>0.68769999999999998</v>
      </c>
      <c r="L269" s="508">
        <v>0.68769999999999998</v>
      </c>
      <c r="M269" s="508">
        <v>0.68769999999999998</v>
      </c>
    </row>
    <row r="270" spans="1:13">
      <c r="A270" s="505">
        <v>6.4</v>
      </c>
      <c r="B270" s="508">
        <v>0.84570000000000001</v>
      </c>
      <c r="C270" s="508">
        <v>0.84570000000000001</v>
      </c>
      <c r="D270" s="508">
        <v>0.82689999999999997</v>
      </c>
      <c r="E270" s="508">
        <v>0.82689999999999997</v>
      </c>
      <c r="F270" s="508">
        <v>0.82689999999999997</v>
      </c>
      <c r="G270" s="508">
        <v>0.82689999999999997</v>
      </c>
      <c r="H270" s="508">
        <v>0.82689999999999997</v>
      </c>
      <c r="I270" s="508">
        <v>0.68610000000000004</v>
      </c>
      <c r="J270" s="508">
        <v>0.68610000000000004</v>
      </c>
      <c r="K270" s="508">
        <v>0.68610000000000004</v>
      </c>
      <c r="L270" s="508">
        <v>0.68610000000000004</v>
      </c>
      <c r="M270" s="508">
        <v>0.68610000000000004</v>
      </c>
    </row>
    <row r="271" spans="1:13">
      <c r="A271" s="505">
        <v>6.5</v>
      </c>
      <c r="B271" s="508">
        <v>0.84470000000000001</v>
      </c>
      <c r="C271" s="508">
        <v>0.84470000000000001</v>
      </c>
      <c r="D271" s="508">
        <v>0.82569999999999999</v>
      </c>
      <c r="E271" s="508">
        <v>0.82569999999999999</v>
      </c>
      <c r="F271" s="508">
        <v>0.82569999999999999</v>
      </c>
      <c r="G271" s="508">
        <v>0.82569999999999999</v>
      </c>
      <c r="H271" s="508">
        <v>0.82569999999999999</v>
      </c>
      <c r="I271" s="508">
        <v>0.68440000000000001</v>
      </c>
      <c r="J271" s="508">
        <v>0.68440000000000001</v>
      </c>
      <c r="K271" s="508">
        <v>0.68440000000000001</v>
      </c>
      <c r="L271" s="508">
        <v>0.68440000000000001</v>
      </c>
      <c r="M271" s="508">
        <v>0.68440000000000001</v>
      </c>
    </row>
    <row r="272" spans="1:13">
      <c r="A272" s="505">
        <v>6.6</v>
      </c>
      <c r="B272" s="508">
        <v>0.84370000000000001</v>
      </c>
      <c r="C272" s="508">
        <v>0.84370000000000001</v>
      </c>
      <c r="D272" s="508">
        <v>0.82450000000000001</v>
      </c>
      <c r="E272" s="508">
        <v>0.82450000000000001</v>
      </c>
      <c r="F272" s="508">
        <v>0.82450000000000001</v>
      </c>
      <c r="G272" s="508">
        <v>0.82450000000000001</v>
      </c>
      <c r="H272" s="508">
        <v>0.82450000000000001</v>
      </c>
      <c r="I272" s="508">
        <v>0.68289999999999995</v>
      </c>
      <c r="J272" s="508">
        <v>0.68289999999999995</v>
      </c>
      <c r="K272" s="508">
        <v>0.68289999999999995</v>
      </c>
      <c r="L272" s="508">
        <v>0.68289999999999995</v>
      </c>
      <c r="M272" s="508">
        <v>0.68289999999999995</v>
      </c>
    </row>
    <row r="273" spans="1:13">
      <c r="A273" s="505">
        <v>6.7</v>
      </c>
      <c r="B273" s="508">
        <v>0.8427</v>
      </c>
      <c r="C273" s="508">
        <v>0.8427</v>
      </c>
      <c r="D273" s="508">
        <v>0.82330000000000003</v>
      </c>
      <c r="E273" s="508">
        <v>0.82330000000000003</v>
      </c>
      <c r="F273" s="508">
        <v>0.82330000000000003</v>
      </c>
      <c r="G273" s="508">
        <v>0.82330000000000003</v>
      </c>
      <c r="H273" s="508">
        <v>0.82330000000000003</v>
      </c>
      <c r="I273" s="508">
        <v>0.68130000000000002</v>
      </c>
      <c r="J273" s="508">
        <v>0.68130000000000002</v>
      </c>
      <c r="K273" s="508">
        <v>0.68130000000000002</v>
      </c>
      <c r="L273" s="508">
        <v>0.68130000000000002</v>
      </c>
      <c r="M273" s="508">
        <v>0.68130000000000002</v>
      </c>
    </row>
    <row r="274" spans="1:13">
      <c r="A274" s="505">
        <v>6.8</v>
      </c>
      <c r="B274" s="508">
        <v>0.84179999999999999</v>
      </c>
      <c r="C274" s="508">
        <v>0.84179999999999999</v>
      </c>
      <c r="D274" s="508">
        <v>0.82210000000000005</v>
      </c>
      <c r="E274" s="508">
        <v>0.82210000000000005</v>
      </c>
      <c r="F274" s="508">
        <v>0.82210000000000005</v>
      </c>
      <c r="G274" s="508">
        <v>0.82210000000000005</v>
      </c>
      <c r="H274" s="508">
        <v>0.82210000000000005</v>
      </c>
      <c r="I274" s="508">
        <v>0.67979999999999996</v>
      </c>
      <c r="J274" s="508">
        <v>0.67979999999999996</v>
      </c>
      <c r="K274" s="508">
        <v>0.67979999999999996</v>
      </c>
      <c r="L274" s="508">
        <v>0.67979999999999996</v>
      </c>
      <c r="M274" s="508">
        <v>0.67979999999999996</v>
      </c>
    </row>
    <row r="275" spans="1:13">
      <c r="A275" s="505">
        <v>6.9</v>
      </c>
      <c r="B275" s="508">
        <v>0.84089999999999998</v>
      </c>
      <c r="C275" s="508">
        <v>0.84089999999999998</v>
      </c>
      <c r="D275" s="508">
        <v>0.82099999999999995</v>
      </c>
      <c r="E275" s="508">
        <v>0.82099999999999995</v>
      </c>
      <c r="F275" s="508">
        <v>0.82099999999999995</v>
      </c>
      <c r="G275" s="508">
        <v>0.82099999999999995</v>
      </c>
      <c r="H275" s="508">
        <v>0.82099999999999995</v>
      </c>
      <c r="I275" s="508">
        <v>0.67849999999999999</v>
      </c>
      <c r="J275" s="508">
        <v>0.67849999999999999</v>
      </c>
      <c r="K275" s="508">
        <v>0.67849999999999999</v>
      </c>
      <c r="L275" s="508">
        <v>0.67849999999999999</v>
      </c>
      <c r="M275" s="508">
        <v>0.67849999999999999</v>
      </c>
    </row>
    <row r="276" spans="1:13">
      <c r="A276" s="505">
        <v>7</v>
      </c>
      <c r="B276" s="508">
        <v>0.84009999999999996</v>
      </c>
      <c r="C276" s="508">
        <v>0.84009999999999996</v>
      </c>
      <c r="D276" s="508">
        <v>0.81989999999999996</v>
      </c>
      <c r="E276" s="508">
        <v>0.81989999999999996</v>
      </c>
      <c r="F276" s="508">
        <v>0.81989999999999996</v>
      </c>
      <c r="G276" s="508">
        <v>0.81989999999999996</v>
      </c>
      <c r="H276" s="508">
        <v>0.81989999999999996</v>
      </c>
      <c r="I276" s="508">
        <v>0.67720000000000002</v>
      </c>
      <c r="J276" s="508">
        <v>0.67720000000000002</v>
      </c>
      <c r="K276" s="508">
        <v>0.67720000000000002</v>
      </c>
      <c r="L276" s="508">
        <v>0.67720000000000002</v>
      </c>
      <c r="M276" s="508">
        <v>0.67720000000000002</v>
      </c>
    </row>
    <row r="277" spans="1:13">
      <c r="A277" s="505">
        <v>7.1</v>
      </c>
      <c r="B277" s="508">
        <v>0.83930000000000005</v>
      </c>
      <c r="C277" s="508">
        <v>0.83930000000000005</v>
      </c>
      <c r="D277" s="508">
        <v>0.81889999999999996</v>
      </c>
      <c r="E277" s="508">
        <v>0.81889999999999996</v>
      </c>
      <c r="F277" s="508">
        <v>0.81889999999999996</v>
      </c>
      <c r="G277" s="508">
        <v>0.81889999999999996</v>
      </c>
      <c r="H277" s="508">
        <v>0.81889999999999996</v>
      </c>
      <c r="I277" s="508">
        <v>0.67589999999999995</v>
      </c>
      <c r="J277" s="508">
        <v>0.67589999999999995</v>
      </c>
      <c r="K277" s="508">
        <v>0.67589999999999995</v>
      </c>
      <c r="L277" s="508">
        <v>0.67589999999999995</v>
      </c>
      <c r="M277" s="508">
        <v>0.67589999999999995</v>
      </c>
    </row>
    <row r="278" spans="1:13">
      <c r="A278" s="505">
        <v>7.2</v>
      </c>
      <c r="B278" s="508">
        <v>0.83850000000000002</v>
      </c>
      <c r="C278" s="508">
        <v>0.83850000000000002</v>
      </c>
      <c r="D278" s="508">
        <v>0.81789999999999996</v>
      </c>
      <c r="E278" s="508">
        <v>0.81789999999999996</v>
      </c>
      <c r="F278" s="508">
        <v>0.81789999999999996</v>
      </c>
      <c r="G278" s="508">
        <v>0.81789999999999996</v>
      </c>
      <c r="H278" s="508">
        <v>0.81789999999999996</v>
      </c>
      <c r="I278" s="508">
        <v>0.67459999999999998</v>
      </c>
      <c r="J278" s="508">
        <v>0.67459999999999998</v>
      </c>
      <c r="K278" s="508">
        <v>0.67459999999999998</v>
      </c>
      <c r="L278" s="508">
        <v>0.67459999999999998</v>
      </c>
      <c r="M278" s="508">
        <v>0.67459999999999998</v>
      </c>
    </row>
    <row r="279" spans="1:13">
      <c r="A279" s="505">
        <v>7.3</v>
      </c>
      <c r="B279" s="508">
        <v>0.8377</v>
      </c>
      <c r="C279" s="508">
        <v>0.8377</v>
      </c>
      <c r="D279" s="508">
        <v>0.81689999999999996</v>
      </c>
      <c r="E279" s="508">
        <v>0.81689999999999996</v>
      </c>
      <c r="F279" s="508">
        <v>0.81689999999999996</v>
      </c>
      <c r="G279" s="508">
        <v>0.81689999999999996</v>
      </c>
      <c r="H279" s="508">
        <v>0.81689999999999996</v>
      </c>
      <c r="I279" s="508">
        <v>0.6734</v>
      </c>
      <c r="J279" s="508">
        <v>0.6734</v>
      </c>
      <c r="K279" s="508">
        <v>0.6734</v>
      </c>
      <c r="L279" s="508">
        <v>0.6734</v>
      </c>
      <c r="M279" s="508">
        <v>0.6734</v>
      </c>
    </row>
    <row r="280" spans="1:13">
      <c r="A280" s="505">
        <v>7.4</v>
      </c>
      <c r="B280" s="508">
        <v>0.83699999999999997</v>
      </c>
      <c r="C280" s="508">
        <v>0.83699999999999997</v>
      </c>
      <c r="D280" s="508">
        <v>0.81599999999999995</v>
      </c>
      <c r="E280" s="508">
        <v>0.81599999999999995</v>
      </c>
      <c r="F280" s="508">
        <v>0.81599999999999995</v>
      </c>
      <c r="G280" s="508">
        <v>0.81599999999999995</v>
      </c>
      <c r="H280" s="508">
        <v>0.81599999999999995</v>
      </c>
      <c r="I280" s="508">
        <v>0.67210000000000003</v>
      </c>
      <c r="J280" s="508">
        <v>0.67210000000000003</v>
      </c>
      <c r="K280" s="508">
        <v>0.67210000000000003</v>
      </c>
      <c r="L280" s="508">
        <v>0.67210000000000003</v>
      </c>
      <c r="M280" s="508">
        <v>0.67210000000000003</v>
      </c>
    </row>
    <row r="281" spans="1:13">
      <c r="A281" s="505">
        <v>7.5</v>
      </c>
      <c r="B281" s="508">
        <v>0.83630000000000004</v>
      </c>
      <c r="C281" s="508">
        <v>0.83630000000000004</v>
      </c>
      <c r="D281" s="508">
        <v>0.81510000000000005</v>
      </c>
      <c r="E281" s="508">
        <v>0.81510000000000005</v>
      </c>
      <c r="F281" s="508">
        <v>0.81510000000000005</v>
      </c>
      <c r="G281" s="508">
        <v>0.81510000000000005</v>
      </c>
      <c r="H281" s="508">
        <v>0.81510000000000005</v>
      </c>
      <c r="I281" s="508">
        <v>0.67090000000000005</v>
      </c>
      <c r="J281" s="508">
        <v>0.67090000000000005</v>
      </c>
      <c r="K281" s="508">
        <v>0.67090000000000005</v>
      </c>
      <c r="L281" s="508">
        <v>0.67090000000000005</v>
      </c>
      <c r="M281" s="508">
        <v>0.67090000000000005</v>
      </c>
    </row>
    <row r="282" spans="1:13">
      <c r="A282" s="505">
        <v>7.6</v>
      </c>
      <c r="B282" s="508">
        <v>0.83560000000000001</v>
      </c>
      <c r="C282" s="508">
        <v>0.83560000000000001</v>
      </c>
      <c r="D282" s="508">
        <v>0.81420000000000003</v>
      </c>
      <c r="E282" s="508">
        <v>0.81420000000000003</v>
      </c>
      <c r="F282" s="508">
        <v>0.81420000000000003</v>
      </c>
      <c r="G282" s="508">
        <v>0.81420000000000003</v>
      </c>
      <c r="H282" s="508">
        <v>0.81420000000000003</v>
      </c>
      <c r="I282" s="508">
        <v>0.66979999999999995</v>
      </c>
      <c r="J282" s="508">
        <v>0.66979999999999995</v>
      </c>
      <c r="K282" s="508">
        <v>0.66979999999999995</v>
      </c>
      <c r="L282" s="508">
        <v>0.66979999999999995</v>
      </c>
      <c r="M282" s="508">
        <v>0.66979999999999995</v>
      </c>
    </row>
    <row r="283" spans="1:13">
      <c r="A283" s="505">
        <v>7.7</v>
      </c>
      <c r="B283" s="508">
        <v>0.83489999999999998</v>
      </c>
      <c r="C283" s="508">
        <v>0.83489999999999998</v>
      </c>
      <c r="D283" s="508">
        <v>0.81330000000000002</v>
      </c>
      <c r="E283" s="508">
        <v>0.81330000000000002</v>
      </c>
      <c r="F283" s="508">
        <v>0.81330000000000002</v>
      </c>
      <c r="G283" s="508">
        <v>0.81330000000000002</v>
      </c>
      <c r="H283" s="508">
        <v>0.81330000000000002</v>
      </c>
      <c r="I283" s="508">
        <v>0.66869999999999996</v>
      </c>
      <c r="J283" s="508">
        <v>0.66869999999999996</v>
      </c>
      <c r="K283" s="508">
        <v>0.66869999999999996</v>
      </c>
      <c r="L283" s="508">
        <v>0.66869999999999996</v>
      </c>
      <c r="M283" s="508">
        <v>0.66869999999999996</v>
      </c>
    </row>
    <row r="284" spans="1:13">
      <c r="A284" s="505">
        <v>7.8</v>
      </c>
      <c r="B284" s="508">
        <v>0.83420000000000005</v>
      </c>
      <c r="C284" s="508">
        <v>0.83420000000000005</v>
      </c>
      <c r="D284" s="508">
        <v>0.81240000000000001</v>
      </c>
      <c r="E284" s="508">
        <v>0.81240000000000001</v>
      </c>
      <c r="F284" s="508">
        <v>0.81240000000000001</v>
      </c>
      <c r="G284" s="508">
        <v>0.81240000000000001</v>
      </c>
      <c r="H284" s="508">
        <v>0.81240000000000001</v>
      </c>
      <c r="I284" s="508">
        <v>0.66759999999999997</v>
      </c>
      <c r="J284" s="508">
        <v>0.66759999999999997</v>
      </c>
      <c r="K284" s="508">
        <v>0.66759999999999997</v>
      </c>
      <c r="L284" s="508">
        <v>0.66759999999999997</v>
      </c>
      <c r="M284" s="508">
        <v>0.66759999999999997</v>
      </c>
    </row>
    <row r="285" spans="1:13">
      <c r="A285" s="505">
        <v>7.9</v>
      </c>
      <c r="B285" s="508">
        <v>0.83350000000000002</v>
      </c>
      <c r="C285" s="508">
        <v>0.83350000000000002</v>
      </c>
      <c r="D285" s="508">
        <v>0.81159999999999999</v>
      </c>
      <c r="E285" s="508">
        <v>0.81159999999999999</v>
      </c>
      <c r="F285" s="508">
        <v>0.81159999999999999</v>
      </c>
      <c r="G285" s="508">
        <v>0.81159999999999999</v>
      </c>
      <c r="H285" s="508">
        <v>0.81159999999999999</v>
      </c>
      <c r="I285" s="508">
        <v>0.66649999999999998</v>
      </c>
      <c r="J285" s="508">
        <v>0.66649999999999998</v>
      </c>
      <c r="K285" s="508">
        <v>0.66649999999999998</v>
      </c>
      <c r="L285" s="508">
        <v>0.66649999999999998</v>
      </c>
      <c r="M285" s="508">
        <v>0.66649999999999998</v>
      </c>
    </row>
    <row r="286" spans="1:13">
      <c r="A286" s="505">
        <v>8</v>
      </c>
      <c r="B286" s="508">
        <v>0.83279999999999998</v>
      </c>
      <c r="C286" s="508">
        <v>0.83279999999999998</v>
      </c>
      <c r="D286" s="508">
        <v>0.81079999999999997</v>
      </c>
      <c r="E286" s="508">
        <v>0.81079999999999997</v>
      </c>
      <c r="F286" s="508">
        <v>0.81079999999999997</v>
      </c>
      <c r="G286" s="508">
        <v>0.81079999999999997</v>
      </c>
      <c r="H286" s="508">
        <v>0.81079999999999997</v>
      </c>
      <c r="I286" s="508">
        <v>0.66549999999999998</v>
      </c>
      <c r="J286" s="508">
        <v>0.66549999999999998</v>
      </c>
      <c r="K286" s="508">
        <v>0.66549999999999998</v>
      </c>
      <c r="L286" s="508">
        <v>0.66549999999999998</v>
      </c>
      <c r="M286" s="508">
        <v>0.66549999999999998</v>
      </c>
    </row>
    <row r="287" spans="1:13">
      <c r="A287" s="505">
        <v>8.1</v>
      </c>
      <c r="B287" s="508">
        <v>0.83220000000000005</v>
      </c>
      <c r="C287" s="508">
        <v>0.83220000000000005</v>
      </c>
      <c r="D287" s="508">
        <v>0.81</v>
      </c>
      <c r="E287" s="508">
        <v>0.81</v>
      </c>
      <c r="F287" s="508">
        <v>0.81</v>
      </c>
      <c r="G287" s="508">
        <v>0.81</v>
      </c>
      <c r="H287" s="508">
        <v>0.81</v>
      </c>
      <c r="I287" s="508">
        <v>0.66439999999999999</v>
      </c>
      <c r="J287" s="508">
        <v>0.66439999999999999</v>
      </c>
      <c r="K287" s="508">
        <v>0.66439999999999999</v>
      </c>
      <c r="L287" s="508">
        <v>0.66439999999999999</v>
      </c>
      <c r="M287" s="508">
        <v>0.66439999999999999</v>
      </c>
    </row>
    <row r="288" spans="1:13">
      <c r="A288" s="505">
        <v>8.1999999999999993</v>
      </c>
      <c r="B288" s="508">
        <v>0.83160000000000001</v>
      </c>
      <c r="C288" s="508">
        <v>0.83160000000000001</v>
      </c>
      <c r="D288" s="508">
        <v>0.80920000000000003</v>
      </c>
      <c r="E288" s="508">
        <v>0.80920000000000003</v>
      </c>
      <c r="F288" s="508">
        <v>0.80920000000000003</v>
      </c>
      <c r="G288" s="508">
        <v>0.80920000000000003</v>
      </c>
      <c r="H288" s="508">
        <v>0.80920000000000003</v>
      </c>
      <c r="I288" s="508">
        <v>0.66339999999999999</v>
      </c>
      <c r="J288" s="508">
        <v>0.66339999999999999</v>
      </c>
      <c r="K288" s="508">
        <v>0.66339999999999999</v>
      </c>
      <c r="L288" s="508">
        <v>0.66339999999999999</v>
      </c>
      <c r="M288" s="508">
        <v>0.66339999999999999</v>
      </c>
    </row>
    <row r="289" spans="1:13">
      <c r="A289" s="505">
        <v>8.3000000000000007</v>
      </c>
      <c r="B289" s="508">
        <v>0.83099999999999996</v>
      </c>
      <c r="C289" s="508">
        <v>0.83099999999999996</v>
      </c>
      <c r="D289" s="508">
        <v>0.80840000000000001</v>
      </c>
      <c r="E289" s="508">
        <v>0.80840000000000001</v>
      </c>
      <c r="F289" s="508">
        <v>0.80840000000000001</v>
      </c>
      <c r="G289" s="508">
        <v>0.80840000000000001</v>
      </c>
      <c r="H289" s="508">
        <v>0.80840000000000001</v>
      </c>
      <c r="I289" s="508">
        <v>0.66239999999999999</v>
      </c>
      <c r="J289" s="508">
        <v>0.66239999999999999</v>
      </c>
      <c r="K289" s="508">
        <v>0.66239999999999999</v>
      </c>
      <c r="L289" s="508">
        <v>0.66239999999999999</v>
      </c>
      <c r="M289" s="508">
        <v>0.66239999999999999</v>
      </c>
    </row>
    <row r="290" spans="1:13">
      <c r="A290" s="505">
        <v>8.4</v>
      </c>
      <c r="B290" s="508">
        <v>0.83040000000000003</v>
      </c>
      <c r="C290" s="508">
        <v>0.83040000000000003</v>
      </c>
      <c r="D290" s="508">
        <v>0.80759999999999998</v>
      </c>
      <c r="E290" s="508">
        <v>0.80759999999999998</v>
      </c>
      <c r="F290" s="508">
        <v>0.80759999999999998</v>
      </c>
      <c r="G290" s="508">
        <v>0.80759999999999998</v>
      </c>
      <c r="H290" s="508">
        <v>0.80759999999999998</v>
      </c>
      <c r="I290" s="508">
        <v>0.66139999999999999</v>
      </c>
      <c r="J290" s="508">
        <v>0.66139999999999999</v>
      </c>
      <c r="K290" s="508">
        <v>0.66139999999999999</v>
      </c>
      <c r="L290" s="508">
        <v>0.66139999999999999</v>
      </c>
      <c r="M290" s="508">
        <v>0.66139999999999999</v>
      </c>
    </row>
    <row r="291" spans="1:13">
      <c r="A291" s="505">
        <v>8.5</v>
      </c>
      <c r="B291" s="508">
        <v>0.82979999999999998</v>
      </c>
      <c r="C291" s="508">
        <v>0.82979999999999998</v>
      </c>
      <c r="D291" s="508">
        <v>0.80679999999999996</v>
      </c>
      <c r="E291" s="508">
        <v>0.80679999999999996</v>
      </c>
      <c r="F291" s="508">
        <v>0.80679999999999996</v>
      </c>
      <c r="G291" s="508">
        <v>0.80679999999999996</v>
      </c>
      <c r="H291" s="508">
        <v>0.80679999999999996</v>
      </c>
      <c r="I291" s="508">
        <v>0.66049999999999998</v>
      </c>
      <c r="J291" s="508">
        <v>0.66049999999999998</v>
      </c>
      <c r="K291" s="508">
        <v>0.66049999999999998</v>
      </c>
      <c r="L291" s="508">
        <v>0.66049999999999998</v>
      </c>
      <c r="M291" s="508">
        <v>0.66049999999999998</v>
      </c>
    </row>
    <row r="292" spans="1:13">
      <c r="A292" s="505">
        <v>8.6</v>
      </c>
      <c r="B292" s="508">
        <v>0.82920000000000005</v>
      </c>
      <c r="C292" s="508">
        <v>0.82920000000000005</v>
      </c>
      <c r="D292" s="508">
        <v>0.80600000000000005</v>
      </c>
      <c r="E292" s="508">
        <v>0.80600000000000005</v>
      </c>
      <c r="F292" s="508">
        <v>0.80600000000000005</v>
      </c>
      <c r="G292" s="508">
        <v>0.80600000000000005</v>
      </c>
      <c r="H292" s="508">
        <v>0.80600000000000005</v>
      </c>
      <c r="I292" s="508">
        <v>0.65949999999999998</v>
      </c>
      <c r="J292" s="508">
        <v>0.65949999999999998</v>
      </c>
      <c r="K292" s="508">
        <v>0.65949999999999998</v>
      </c>
      <c r="L292" s="508">
        <v>0.65949999999999998</v>
      </c>
      <c r="M292" s="508">
        <v>0.65949999999999998</v>
      </c>
    </row>
    <row r="293" spans="1:13">
      <c r="A293" s="505">
        <v>8.6999999999999993</v>
      </c>
      <c r="B293" s="508">
        <v>0.8286</v>
      </c>
      <c r="C293" s="508">
        <v>0.8286</v>
      </c>
      <c r="D293" s="508">
        <v>0.80520000000000003</v>
      </c>
      <c r="E293" s="508">
        <v>0.80520000000000003</v>
      </c>
      <c r="F293" s="508">
        <v>0.80520000000000003</v>
      </c>
      <c r="G293" s="508">
        <v>0.80520000000000003</v>
      </c>
      <c r="H293" s="508">
        <v>0.80520000000000003</v>
      </c>
      <c r="I293" s="508">
        <v>0.65859999999999996</v>
      </c>
      <c r="J293" s="508">
        <v>0.65859999999999996</v>
      </c>
      <c r="K293" s="508">
        <v>0.65859999999999996</v>
      </c>
      <c r="L293" s="508">
        <v>0.65859999999999996</v>
      </c>
      <c r="M293" s="508">
        <v>0.65859999999999996</v>
      </c>
    </row>
    <row r="294" spans="1:13">
      <c r="A294" s="505">
        <v>8.8000000000000007</v>
      </c>
      <c r="B294" s="508">
        <v>0.82799999999999996</v>
      </c>
      <c r="C294" s="508">
        <v>0.82799999999999996</v>
      </c>
      <c r="D294" s="508">
        <v>0.8044</v>
      </c>
      <c r="E294" s="508">
        <v>0.8044</v>
      </c>
      <c r="F294" s="508">
        <v>0.8044</v>
      </c>
      <c r="G294" s="508">
        <v>0.8044</v>
      </c>
      <c r="H294" s="508">
        <v>0.8044</v>
      </c>
      <c r="I294" s="508">
        <v>0.65759999999999996</v>
      </c>
      <c r="J294" s="508">
        <v>0.65759999999999996</v>
      </c>
      <c r="K294" s="508">
        <v>0.65759999999999996</v>
      </c>
      <c r="L294" s="508">
        <v>0.65759999999999996</v>
      </c>
      <c r="M294" s="508">
        <v>0.65759999999999996</v>
      </c>
    </row>
    <row r="295" spans="1:13">
      <c r="A295" s="505">
        <v>8.9</v>
      </c>
      <c r="B295" s="508">
        <v>0.82740000000000002</v>
      </c>
      <c r="C295" s="508">
        <v>0.82740000000000002</v>
      </c>
      <c r="D295" s="508">
        <v>0.80359999999999998</v>
      </c>
      <c r="E295" s="508">
        <v>0.80359999999999998</v>
      </c>
      <c r="F295" s="508">
        <v>0.80359999999999998</v>
      </c>
      <c r="G295" s="508">
        <v>0.80359999999999998</v>
      </c>
      <c r="H295" s="508">
        <v>0.80359999999999998</v>
      </c>
      <c r="I295" s="508">
        <v>0.65669999999999995</v>
      </c>
      <c r="J295" s="508">
        <v>0.65669999999999995</v>
      </c>
      <c r="K295" s="508">
        <v>0.65669999999999995</v>
      </c>
      <c r="L295" s="508">
        <v>0.65669999999999995</v>
      </c>
      <c r="M295" s="508">
        <v>0.65669999999999995</v>
      </c>
    </row>
    <row r="296" spans="1:13">
      <c r="A296" s="509">
        <v>9</v>
      </c>
      <c r="B296" s="508">
        <v>0.82679999999999998</v>
      </c>
      <c r="C296" s="508">
        <v>0.82679999999999998</v>
      </c>
      <c r="D296" s="508">
        <v>0.80279999999999996</v>
      </c>
      <c r="E296" s="508">
        <v>0.80279999999999996</v>
      </c>
      <c r="F296" s="508">
        <v>0.80279999999999996</v>
      </c>
      <c r="G296" s="508">
        <v>0.80279999999999996</v>
      </c>
      <c r="H296" s="508">
        <v>0.80279999999999996</v>
      </c>
      <c r="I296" s="508">
        <v>0.65569999999999995</v>
      </c>
      <c r="J296" s="508">
        <v>0.65569999999999995</v>
      </c>
      <c r="K296" s="508">
        <v>0.65569999999999995</v>
      </c>
      <c r="L296" s="508">
        <v>0.65569999999999995</v>
      </c>
      <c r="M296" s="508">
        <v>0.65569999999999995</v>
      </c>
    </row>
    <row r="297" spans="1:13">
      <c r="A297" s="509">
        <v>9.1</v>
      </c>
      <c r="B297" s="508">
        <v>0.82620000000000005</v>
      </c>
      <c r="C297" s="508">
        <v>0.82620000000000005</v>
      </c>
      <c r="D297" s="508">
        <v>0.80200000000000005</v>
      </c>
      <c r="E297" s="508">
        <v>0.80200000000000005</v>
      </c>
      <c r="F297" s="508">
        <v>0.80200000000000005</v>
      </c>
      <c r="G297" s="508">
        <v>0.80200000000000005</v>
      </c>
      <c r="H297" s="508">
        <v>0.80200000000000005</v>
      </c>
      <c r="I297" s="508">
        <v>0.65480000000000005</v>
      </c>
      <c r="J297" s="508">
        <v>0.65480000000000005</v>
      </c>
      <c r="K297" s="508">
        <v>0.65480000000000005</v>
      </c>
      <c r="L297" s="508">
        <v>0.65480000000000005</v>
      </c>
      <c r="M297" s="508">
        <v>0.65480000000000005</v>
      </c>
    </row>
    <row r="298" spans="1:13">
      <c r="A298" s="509">
        <v>9.1999999999999993</v>
      </c>
      <c r="B298" s="508">
        <v>0.8256</v>
      </c>
      <c r="C298" s="508">
        <v>0.8256</v>
      </c>
      <c r="D298" s="508">
        <v>0.80120000000000002</v>
      </c>
      <c r="E298" s="508">
        <v>0.80120000000000002</v>
      </c>
      <c r="F298" s="508">
        <v>0.80120000000000002</v>
      </c>
      <c r="G298" s="508">
        <v>0.80120000000000002</v>
      </c>
      <c r="H298" s="508">
        <v>0.80120000000000002</v>
      </c>
      <c r="I298" s="508">
        <v>0.65380000000000005</v>
      </c>
      <c r="J298" s="508">
        <v>0.65380000000000005</v>
      </c>
      <c r="K298" s="508">
        <v>0.65380000000000005</v>
      </c>
      <c r="L298" s="508">
        <v>0.65380000000000005</v>
      </c>
      <c r="M298" s="508">
        <v>0.65380000000000005</v>
      </c>
    </row>
    <row r="299" spans="1:13">
      <c r="A299" s="509">
        <v>9.3000000000000007</v>
      </c>
      <c r="B299" s="508">
        <v>0.82499999999999996</v>
      </c>
      <c r="C299" s="508">
        <v>0.82499999999999996</v>
      </c>
      <c r="D299" s="508">
        <v>0.8004</v>
      </c>
      <c r="E299" s="508">
        <v>0.8004</v>
      </c>
      <c r="F299" s="508">
        <v>0.8004</v>
      </c>
      <c r="G299" s="508">
        <v>0.8004</v>
      </c>
      <c r="H299" s="508">
        <v>0.8004</v>
      </c>
      <c r="I299" s="508">
        <v>0.65290000000000004</v>
      </c>
      <c r="J299" s="508">
        <v>0.65290000000000004</v>
      </c>
      <c r="K299" s="508">
        <v>0.65290000000000004</v>
      </c>
      <c r="L299" s="508">
        <v>0.65290000000000004</v>
      </c>
      <c r="M299" s="508">
        <v>0.65290000000000004</v>
      </c>
    </row>
    <row r="300" spans="1:13">
      <c r="A300" s="509">
        <v>9.4</v>
      </c>
      <c r="B300" s="508">
        <v>0.82440000000000002</v>
      </c>
      <c r="C300" s="508">
        <v>0.82440000000000002</v>
      </c>
      <c r="D300" s="508">
        <v>0.79959999999999998</v>
      </c>
      <c r="E300" s="508">
        <v>0.79959999999999998</v>
      </c>
      <c r="F300" s="508">
        <v>0.79959999999999998</v>
      </c>
      <c r="G300" s="508">
        <v>0.79959999999999998</v>
      </c>
      <c r="H300" s="508">
        <v>0.79959999999999998</v>
      </c>
      <c r="I300" s="508">
        <v>0.65190000000000003</v>
      </c>
      <c r="J300" s="508">
        <v>0.65190000000000003</v>
      </c>
      <c r="K300" s="508">
        <v>0.65190000000000003</v>
      </c>
      <c r="L300" s="508">
        <v>0.65190000000000003</v>
      </c>
      <c r="M300" s="508">
        <v>0.65190000000000003</v>
      </c>
    </row>
    <row r="301" spans="1:13">
      <c r="A301" s="509">
        <v>9.5</v>
      </c>
      <c r="B301" s="508">
        <v>0.82379999999999998</v>
      </c>
      <c r="C301" s="508">
        <v>0.82379999999999998</v>
      </c>
      <c r="D301" s="508">
        <v>0.79879999999999995</v>
      </c>
      <c r="E301" s="508">
        <v>0.79879999999999995</v>
      </c>
      <c r="F301" s="508">
        <v>0.79879999999999995</v>
      </c>
      <c r="G301" s="508">
        <v>0.79879999999999995</v>
      </c>
      <c r="H301" s="508">
        <v>0.79879999999999995</v>
      </c>
      <c r="I301" s="508">
        <v>0.65100000000000002</v>
      </c>
      <c r="J301" s="508">
        <v>0.65100000000000002</v>
      </c>
      <c r="K301" s="508">
        <v>0.65100000000000002</v>
      </c>
      <c r="L301" s="508">
        <v>0.65100000000000002</v>
      </c>
      <c r="M301" s="508">
        <v>0.65100000000000002</v>
      </c>
    </row>
    <row r="302" spans="1:13">
      <c r="A302" s="509">
        <v>9.6</v>
      </c>
      <c r="B302" s="508">
        <v>0.82320000000000004</v>
      </c>
      <c r="C302" s="508">
        <v>0.82320000000000004</v>
      </c>
      <c r="D302" s="508">
        <v>0.79800000000000004</v>
      </c>
      <c r="E302" s="508">
        <v>0.79800000000000004</v>
      </c>
      <c r="F302" s="508">
        <v>0.79800000000000004</v>
      </c>
      <c r="G302" s="508">
        <v>0.79800000000000004</v>
      </c>
      <c r="H302" s="508">
        <v>0.79800000000000004</v>
      </c>
      <c r="I302" s="508">
        <v>0.65</v>
      </c>
      <c r="J302" s="508">
        <v>0.65</v>
      </c>
      <c r="K302" s="508">
        <v>0.65</v>
      </c>
      <c r="L302" s="508">
        <v>0.65</v>
      </c>
      <c r="M302" s="508">
        <v>0.65</v>
      </c>
    </row>
    <row r="303" spans="1:13">
      <c r="A303" s="509">
        <v>9.6999999999999993</v>
      </c>
      <c r="B303" s="508">
        <v>0.8226</v>
      </c>
      <c r="C303" s="508">
        <v>0.8226</v>
      </c>
      <c r="D303" s="508">
        <v>0.79720000000000002</v>
      </c>
      <c r="E303" s="508">
        <v>0.79720000000000002</v>
      </c>
      <c r="F303" s="508">
        <v>0.79720000000000002</v>
      </c>
      <c r="G303" s="508">
        <v>0.79720000000000002</v>
      </c>
      <c r="H303" s="508">
        <v>0.79720000000000002</v>
      </c>
      <c r="I303" s="508">
        <v>0.64900000000000002</v>
      </c>
      <c r="J303" s="508">
        <v>0.64900000000000002</v>
      </c>
      <c r="K303" s="508">
        <v>0.64900000000000002</v>
      </c>
      <c r="L303" s="508">
        <v>0.64900000000000002</v>
      </c>
      <c r="M303" s="508">
        <v>0.64900000000000002</v>
      </c>
    </row>
    <row r="304" spans="1:13">
      <c r="A304" s="509">
        <v>9.8000000000000007</v>
      </c>
      <c r="B304" s="508">
        <v>0.82199999999999995</v>
      </c>
      <c r="C304" s="508">
        <v>0.82199999999999995</v>
      </c>
      <c r="D304" s="508">
        <v>0.7964</v>
      </c>
      <c r="E304" s="508">
        <v>0.7964</v>
      </c>
      <c r="F304" s="508">
        <v>0.7964</v>
      </c>
      <c r="G304" s="508">
        <v>0.7964</v>
      </c>
      <c r="H304" s="508">
        <v>0.7964</v>
      </c>
      <c r="I304" s="508">
        <v>0.64810000000000001</v>
      </c>
      <c r="J304" s="508">
        <v>0.64810000000000001</v>
      </c>
      <c r="K304" s="508">
        <v>0.64810000000000001</v>
      </c>
      <c r="L304" s="508">
        <v>0.64810000000000001</v>
      </c>
      <c r="M304" s="508">
        <v>0.64810000000000001</v>
      </c>
    </row>
    <row r="305" spans="1:13">
      <c r="A305" s="509">
        <v>9.9</v>
      </c>
      <c r="B305" s="508">
        <v>0.82140000000000002</v>
      </c>
      <c r="C305" s="508">
        <v>0.82140000000000002</v>
      </c>
      <c r="D305" s="508">
        <v>0.79559999999999997</v>
      </c>
      <c r="E305" s="508">
        <v>0.79559999999999997</v>
      </c>
      <c r="F305" s="508">
        <v>0.79559999999999997</v>
      </c>
      <c r="G305" s="508">
        <v>0.79559999999999997</v>
      </c>
      <c r="H305" s="508">
        <v>0.79559999999999997</v>
      </c>
      <c r="I305" s="508">
        <v>0.64710000000000001</v>
      </c>
      <c r="J305" s="508">
        <v>0.64710000000000001</v>
      </c>
      <c r="K305" s="508">
        <v>0.64710000000000001</v>
      </c>
      <c r="L305" s="508">
        <v>0.64710000000000001</v>
      </c>
      <c r="M305" s="508">
        <v>0.64710000000000001</v>
      </c>
    </row>
    <row r="306" spans="1:13">
      <c r="A306" s="509">
        <v>10</v>
      </c>
      <c r="B306" s="508">
        <v>0.82079999999999997</v>
      </c>
      <c r="C306" s="508">
        <v>0.82079999999999997</v>
      </c>
      <c r="D306" s="508">
        <v>0.79479999999999995</v>
      </c>
      <c r="E306" s="508">
        <v>0.79479999999999995</v>
      </c>
      <c r="F306" s="508">
        <v>0.79479999999999995</v>
      </c>
      <c r="G306" s="508">
        <v>0.79479999999999995</v>
      </c>
      <c r="H306" s="508">
        <v>0.79479999999999995</v>
      </c>
      <c r="I306" s="508">
        <v>0.6462</v>
      </c>
      <c r="J306" s="508">
        <v>0.6462</v>
      </c>
      <c r="K306" s="508">
        <v>0.6462</v>
      </c>
      <c r="L306" s="508">
        <v>0.6462</v>
      </c>
      <c r="M306" s="508">
        <v>0.6462</v>
      </c>
    </row>
    <row r="307" spans="1:13" ht="14.25">
      <c r="A307" s="503" t="s">
        <v>2171</v>
      </c>
      <c r="B307" s="504"/>
      <c r="C307" s="504"/>
      <c r="D307" s="504"/>
      <c r="E307" s="504"/>
      <c r="F307" s="504"/>
      <c r="G307" s="504"/>
      <c r="H307" s="504"/>
      <c r="I307" s="504"/>
      <c r="J307" s="504"/>
      <c r="K307" s="504"/>
      <c r="L307" s="504"/>
      <c r="M307" s="504"/>
    </row>
    <row r="308" spans="1:13">
      <c r="A308" s="505" t="s">
        <v>1747</v>
      </c>
      <c r="B308" s="506" t="s">
        <v>232</v>
      </c>
      <c r="C308" s="506" t="s">
        <v>243</v>
      </c>
      <c r="D308" s="506" t="s">
        <v>253</v>
      </c>
      <c r="E308" s="506" t="s">
        <v>261</v>
      </c>
      <c r="F308" s="506" t="s">
        <v>269</v>
      </c>
      <c r="G308" s="506" t="s">
        <v>275</v>
      </c>
      <c r="H308" s="507" t="s">
        <v>280</v>
      </c>
      <c r="I308" s="507" t="s">
        <v>285</v>
      </c>
      <c r="J308" s="510" t="s">
        <v>288</v>
      </c>
      <c r="K308" s="510" t="s">
        <v>291</v>
      </c>
      <c r="L308" s="510" t="s">
        <v>294</v>
      </c>
      <c r="M308" s="510" t="s">
        <v>297</v>
      </c>
    </row>
    <row r="309" spans="1:13">
      <c r="A309" s="505">
        <v>0.1</v>
      </c>
      <c r="B309" s="508">
        <v>11.506</v>
      </c>
      <c r="C309" s="508">
        <v>11.506</v>
      </c>
      <c r="D309" s="508">
        <v>12.015000000000001</v>
      </c>
      <c r="E309" s="508">
        <v>12.015000000000001</v>
      </c>
      <c r="F309" s="508">
        <v>12.015000000000001</v>
      </c>
      <c r="G309" s="508">
        <v>11.118</v>
      </c>
      <c r="H309" s="508">
        <v>11.118</v>
      </c>
      <c r="I309" s="508">
        <v>10</v>
      </c>
      <c r="J309" s="508">
        <v>10</v>
      </c>
      <c r="K309" s="508">
        <v>10</v>
      </c>
      <c r="L309" s="508">
        <v>10</v>
      </c>
      <c r="M309" s="508">
        <v>10</v>
      </c>
    </row>
    <row r="310" spans="1:13">
      <c r="A310" s="505">
        <v>0.2</v>
      </c>
      <c r="B310" s="508">
        <v>5.7530000000000001</v>
      </c>
      <c r="C310" s="508">
        <v>5.7530000000000001</v>
      </c>
      <c r="D310" s="508">
        <v>6.0075000000000003</v>
      </c>
      <c r="E310" s="508">
        <v>6.0075000000000003</v>
      </c>
      <c r="F310" s="508">
        <v>6.0075000000000003</v>
      </c>
      <c r="G310" s="508">
        <v>5.5590000000000002</v>
      </c>
      <c r="H310" s="508">
        <v>5.5590000000000002</v>
      </c>
      <c r="I310" s="508">
        <v>5</v>
      </c>
      <c r="J310" s="508">
        <v>5</v>
      </c>
      <c r="K310" s="508">
        <v>5</v>
      </c>
      <c r="L310" s="508">
        <v>5</v>
      </c>
      <c r="M310" s="508">
        <v>5</v>
      </c>
    </row>
    <row r="311" spans="1:13">
      <c r="A311" s="505">
        <v>0.3</v>
      </c>
      <c r="B311" s="508">
        <v>3.8353000000000002</v>
      </c>
      <c r="C311" s="508">
        <v>3.8353000000000002</v>
      </c>
      <c r="D311" s="508">
        <v>4.0049999999999999</v>
      </c>
      <c r="E311" s="508">
        <v>4.0049999999999999</v>
      </c>
      <c r="F311" s="508">
        <v>4.0049999999999999</v>
      </c>
      <c r="G311" s="508">
        <v>3.706</v>
      </c>
      <c r="H311" s="508">
        <v>3.706</v>
      </c>
      <c r="I311" s="508">
        <v>3.3332999999999999</v>
      </c>
      <c r="J311" s="508">
        <v>3.3332999999999999</v>
      </c>
      <c r="K311" s="508">
        <v>3.3332999999999999</v>
      </c>
      <c r="L311" s="508">
        <v>3.3332999999999999</v>
      </c>
      <c r="M311" s="508">
        <v>3.3332999999999999</v>
      </c>
    </row>
    <row r="312" spans="1:13">
      <c r="A312" s="505">
        <v>0.4</v>
      </c>
      <c r="B312" s="508">
        <v>2.8765000000000001</v>
      </c>
      <c r="C312" s="508">
        <v>2.8765000000000001</v>
      </c>
      <c r="D312" s="508">
        <v>3.0038</v>
      </c>
      <c r="E312" s="508">
        <v>3.0038</v>
      </c>
      <c r="F312" s="508">
        <v>3.0038</v>
      </c>
      <c r="G312" s="508">
        <v>2.7795000000000001</v>
      </c>
      <c r="H312" s="508">
        <v>2.7795000000000001</v>
      </c>
      <c r="I312" s="508">
        <v>2.5</v>
      </c>
      <c r="J312" s="508">
        <v>2.5</v>
      </c>
      <c r="K312" s="508">
        <v>2.5</v>
      </c>
      <c r="L312" s="508">
        <v>2.5</v>
      </c>
      <c r="M312" s="508">
        <v>2.5</v>
      </c>
    </row>
    <row r="313" spans="1:13">
      <c r="A313" s="505">
        <v>0.5</v>
      </c>
      <c r="B313" s="508">
        <v>2.3012000000000001</v>
      </c>
      <c r="C313" s="508">
        <v>2.3012000000000001</v>
      </c>
      <c r="D313" s="508">
        <v>2.403</v>
      </c>
      <c r="E313" s="508">
        <v>2.403</v>
      </c>
      <c r="F313" s="508">
        <v>2.403</v>
      </c>
      <c r="G313" s="508">
        <v>2.2235999999999998</v>
      </c>
      <c r="H313" s="508">
        <v>2.2235999999999998</v>
      </c>
      <c r="I313" s="508">
        <v>2</v>
      </c>
      <c r="J313" s="508">
        <v>2</v>
      </c>
      <c r="K313" s="508">
        <v>2</v>
      </c>
      <c r="L313" s="508">
        <v>2</v>
      </c>
      <c r="M313" s="508">
        <v>2</v>
      </c>
    </row>
    <row r="314" spans="1:13">
      <c r="A314" s="505">
        <v>0.6</v>
      </c>
      <c r="B314" s="508">
        <v>1.9177</v>
      </c>
      <c r="C314" s="508">
        <v>1.9177</v>
      </c>
      <c r="D314" s="508">
        <v>2.0024999999999999</v>
      </c>
      <c r="E314" s="508">
        <v>2.0024999999999999</v>
      </c>
      <c r="F314" s="508">
        <v>2.0024999999999999</v>
      </c>
      <c r="G314" s="508">
        <v>1.853</v>
      </c>
      <c r="H314" s="508">
        <v>1.853</v>
      </c>
      <c r="I314" s="508">
        <v>1.6667000000000001</v>
      </c>
      <c r="J314" s="508">
        <v>1.6667000000000001</v>
      </c>
      <c r="K314" s="508">
        <v>1.6667000000000001</v>
      </c>
      <c r="L314" s="508">
        <v>1.6667000000000001</v>
      </c>
      <c r="M314" s="508">
        <v>1.6667000000000001</v>
      </c>
    </row>
    <row r="315" spans="1:13">
      <c r="A315" s="505">
        <v>0.7</v>
      </c>
      <c r="B315" s="508">
        <v>1.6436999999999999</v>
      </c>
      <c r="C315" s="508">
        <v>1.6436999999999999</v>
      </c>
      <c r="D315" s="508">
        <v>1.7163999999999999</v>
      </c>
      <c r="E315" s="508">
        <v>1.7163999999999999</v>
      </c>
      <c r="F315" s="508">
        <v>1.7163999999999999</v>
      </c>
      <c r="G315" s="508">
        <v>1.5883</v>
      </c>
      <c r="H315" s="508">
        <v>1.5883</v>
      </c>
      <c r="I315" s="508">
        <v>1.4286000000000001</v>
      </c>
      <c r="J315" s="508">
        <v>1.4286000000000001</v>
      </c>
      <c r="K315" s="508">
        <v>1.4286000000000001</v>
      </c>
      <c r="L315" s="508">
        <v>1.4286000000000001</v>
      </c>
      <c r="M315" s="508">
        <v>1.4286000000000001</v>
      </c>
    </row>
    <row r="316" spans="1:13">
      <c r="A316" s="505">
        <v>0.8</v>
      </c>
      <c r="B316" s="508">
        <v>1.4382999999999999</v>
      </c>
      <c r="C316" s="508">
        <v>1.4382999999999999</v>
      </c>
      <c r="D316" s="508">
        <v>1.5019</v>
      </c>
      <c r="E316" s="508">
        <v>1.5019</v>
      </c>
      <c r="F316" s="508">
        <v>1.5019</v>
      </c>
      <c r="G316" s="508">
        <v>1.3897999999999999</v>
      </c>
      <c r="H316" s="508">
        <v>1.3897999999999999</v>
      </c>
      <c r="I316" s="508">
        <v>1.25</v>
      </c>
      <c r="J316" s="508">
        <v>1.25</v>
      </c>
      <c r="K316" s="508">
        <v>1.25</v>
      </c>
      <c r="L316" s="508">
        <v>1.25</v>
      </c>
      <c r="M316" s="508">
        <v>1.25</v>
      </c>
    </row>
    <row r="317" spans="1:13">
      <c r="A317" s="505">
        <v>0.9</v>
      </c>
      <c r="B317" s="508">
        <v>1.2784</v>
      </c>
      <c r="C317" s="508">
        <v>1.2784</v>
      </c>
      <c r="D317" s="508">
        <v>1.335</v>
      </c>
      <c r="E317" s="508">
        <v>1.335</v>
      </c>
      <c r="F317" s="508">
        <v>1.335</v>
      </c>
      <c r="G317" s="508">
        <v>1.2353000000000001</v>
      </c>
      <c r="H317" s="508">
        <v>1.2353000000000001</v>
      </c>
      <c r="I317" s="508">
        <v>1.1111</v>
      </c>
      <c r="J317" s="508">
        <v>1.1111</v>
      </c>
      <c r="K317" s="508">
        <v>1.1111</v>
      </c>
      <c r="L317" s="508">
        <v>1.1111</v>
      </c>
      <c r="M317" s="508">
        <v>1.1111</v>
      </c>
    </row>
    <row r="318" spans="1:13">
      <c r="A318" s="505">
        <v>1</v>
      </c>
      <c r="B318" s="508">
        <v>1.1506000000000001</v>
      </c>
      <c r="C318" s="508">
        <v>1.1506000000000001</v>
      </c>
      <c r="D318" s="508">
        <v>1.2015</v>
      </c>
      <c r="E318" s="508">
        <v>1.2015</v>
      </c>
      <c r="F318" s="508">
        <v>1.2015</v>
      </c>
      <c r="G318" s="508">
        <v>1.1117999999999999</v>
      </c>
      <c r="H318" s="508">
        <v>1.1117999999999999</v>
      </c>
      <c r="I318" s="508">
        <v>1</v>
      </c>
      <c r="J318" s="508">
        <v>1</v>
      </c>
      <c r="K318" s="508">
        <v>1</v>
      </c>
      <c r="L318" s="508">
        <v>1</v>
      </c>
      <c r="M318" s="508">
        <v>1</v>
      </c>
    </row>
    <row r="319" spans="1:13">
      <c r="A319" s="505">
        <v>1.1000000000000001</v>
      </c>
      <c r="B319" s="508">
        <v>1.1158999999999999</v>
      </c>
      <c r="C319" s="508">
        <v>1.1158999999999999</v>
      </c>
      <c r="D319" s="508">
        <v>1.1440999999999999</v>
      </c>
      <c r="E319" s="508">
        <v>1.1440999999999999</v>
      </c>
      <c r="F319" s="508">
        <v>1.1440999999999999</v>
      </c>
      <c r="G319" s="508">
        <v>1.0492999999999999</v>
      </c>
      <c r="H319" s="508">
        <v>1.0492999999999999</v>
      </c>
      <c r="I319" s="508">
        <v>0.93730000000000002</v>
      </c>
      <c r="J319" s="508">
        <v>0.93730000000000002</v>
      </c>
      <c r="K319" s="508">
        <v>0.93730000000000002</v>
      </c>
      <c r="L319" s="508">
        <v>0.93730000000000002</v>
      </c>
      <c r="M319" s="508">
        <v>0.93730000000000002</v>
      </c>
    </row>
    <row r="320" spans="1:13">
      <c r="A320" s="505">
        <v>1.2</v>
      </c>
      <c r="B320" s="508">
        <v>1.0837000000000001</v>
      </c>
      <c r="C320" s="508">
        <v>1.0837000000000001</v>
      </c>
      <c r="D320" s="508">
        <v>1.0972999999999999</v>
      </c>
      <c r="E320" s="508">
        <v>1.0972999999999999</v>
      </c>
      <c r="F320" s="508">
        <v>1.0972999999999999</v>
      </c>
      <c r="G320" s="508">
        <v>1</v>
      </c>
      <c r="H320" s="508">
        <v>1</v>
      </c>
      <c r="I320" s="508">
        <v>0.88890000000000002</v>
      </c>
      <c r="J320" s="508">
        <v>0.88890000000000002</v>
      </c>
      <c r="K320" s="508">
        <v>0.88890000000000002</v>
      </c>
      <c r="L320" s="508">
        <v>0.88890000000000002</v>
      </c>
      <c r="M320" s="508">
        <v>0.88890000000000002</v>
      </c>
    </row>
    <row r="321" spans="1:13">
      <c r="A321" s="505">
        <v>1.3</v>
      </c>
      <c r="B321" s="508">
        <v>1.0538000000000001</v>
      </c>
      <c r="C321" s="508">
        <v>1.0538000000000001</v>
      </c>
      <c r="D321" s="508">
        <v>1.0589999999999999</v>
      </c>
      <c r="E321" s="508">
        <v>1.0589999999999999</v>
      </c>
      <c r="F321" s="508">
        <v>1.0589999999999999</v>
      </c>
      <c r="G321" s="508">
        <v>0.96140000000000003</v>
      </c>
      <c r="H321" s="508">
        <v>0.96140000000000003</v>
      </c>
      <c r="I321" s="508">
        <v>0.85209999999999997</v>
      </c>
      <c r="J321" s="508">
        <v>0.85209999999999997</v>
      </c>
      <c r="K321" s="508">
        <v>0.85209999999999997</v>
      </c>
      <c r="L321" s="508">
        <v>0.85209999999999997</v>
      </c>
      <c r="M321" s="508">
        <v>0.85209999999999997</v>
      </c>
    </row>
    <row r="322" spans="1:13">
      <c r="A322" s="505">
        <v>1.4</v>
      </c>
      <c r="B322" s="508">
        <v>1.026</v>
      </c>
      <c r="C322" s="508">
        <v>1.026</v>
      </c>
      <c r="D322" s="508">
        <v>1.0271999999999999</v>
      </c>
      <c r="E322" s="508">
        <v>1.0271999999999999</v>
      </c>
      <c r="F322" s="508">
        <v>1.0271999999999999</v>
      </c>
      <c r="G322" s="508">
        <v>0.93079999999999996</v>
      </c>
      <c r="H322" s="508">
        <v>0.93079999999999996</v>
      </c>
      <c r="I322" s="508">
        <v>0.82379999999999998</v>
      </c>
      <c r="J322" s="508">
        <v>0.82379999999999998</v>
      </c>
      <c r="K322" s="508">
        <v>0.82379999999999998</v>
      </c>
      <c r="L322" s="508">
        <v>0.82379999999999998</v>
      </c>
      <c r="M322" s="508">
        <v>0.82379999999999998</v>
      </c>
    </row>
    <row r="323" spans="1:13">
      <c r="A323" s="505">
        <v>1.5</v>
      </c>
      <c r="B323" s="508">
        <v>1</v>
      </c>
      <c r="C323" s="508">
        <v>1</v>
      </c>
      <c r="D323" s="508">
        <v>1</v>
      </c>
      <c r="E323" s="508">
        <v>1</v>
      </c>
      <c r="F323" s="508">
        <v>1</v>
      </c>
      <c r="G323" s="508">
        <v>0.90559999999999996</v>
      </c>
      <c r="H323" s="508">
        <v>0.90559999999999996</v>
      </c>
      <c r="I323" s="508">
        <v>0.80110000000000003</v>
      </c>
      <c r="J323" s="508">
        <v>0.80110000000000003</v>
      </c>
      <c r="K323" s="508">
        <v>0.80110000000000003</v>
      </c>
      <c r="L323" s="508">
        <v>0.80110000000000003</v>
      </c>
      <c r="M323" s="508">
        <v>0.80110000000000003</v>
      </c>
    </row>
    <row r="324" spans="1:13">
      <c r="A324" s="505">
        <v>1.6</v>
      </c>
      <c r="B324" s="508">
        <v>0.97570000000000001</v>
      </c>
      <c r="C324" s="508">
        <v>0.97570000000000001</v>
      </c>
      <c r="D324" s="508">
        <v>0.97519999999999996</v>
      </c>
      <c r="E324" s="508">
        <v>0.97519999999999996</v>
      </c>
      <c r="F324" s="508">
        <v>0.97519999999999996</v>
      </c>
      <c r="G324" s="508">
        <v>0.8831</v>
      </c>
      <c r="H324" s="508">
        <v>0.8831</v>
      </c>
      <c r="I324" s="508">
        <v>0.78100000000000003</v>
      </c>
      <c r="J324" s="508">
        <v>0.78100000000000003</v>
      </c>
      <c r="K324" s="508">
        <v>0.78100000000000003</v>
      </c>
      <c r="L324" s="508">
        <v>0.78100000000000003</v>
      </c>
      <c r="M324" s="508">
        <v>0.78100000000000003</v>
      </c>
    </row>
    <row r="325" spans="1:13">
      <c r="A325" s="505">
        <v>1.7</v>
      </c>
      <c r="B325" s="508">
        <v>0.95289999999999997</v>
      </c>
      <c r="C325" s="508">
        <v>0.95289999999999997</v>
      </c>
      <c r="D325" s="508">
        <v>0.95189999999999997</v>
      </c>
      <c r="E325" s="508">
        <v>0.95189999999999997</v>
      </c>
      <c r="F325" s="508">
        <v>0.95189999999999997</v>
      </c>
      <c r="G325" s="508">
        <v>0.86180000000000001</v>
      </c>
      <c r="H325" s="508">
        <v>0.86180000000000001</v>
      </c>
      <c r="I325" s="508">
        <v>0.7621</v>
      </c>
      <c r="J325" s="508">
        <v>0.7621</v>
      </c>
      <c r="K325" s="508">
        <v>0.7621</v>
      </c>
      <c r="L325" s="508">
        <v>0.7621</v>
      </c>
      <c r="M325" s="508">
        <v>0.7621</v>
      </c>
    </row>
    <row r="326" spans="1:13">
      <c r="A326" s="505">
        <v>1.8</v>
      </c>
      <c r="B326" s="508">
        <v>0.93149999999999999</v>
      </c>
      <c r="C326" s="508">
        <v>0.93149999999999999</v>
      </c>
      <c r="D326" s="508">
        <v>0.93</v>
      </c>
      <c r="E326" s="508">
        <v>0.93</v>
      </c>
      <c r="F326" s="508">
        <v>0.93</v>
      </c>
      <c r="G326" s="508">
        <v>0.84179999999999999</v>
      </c>
      <c r="H326" s="508">
        <v>0.84179999999999999</v>
      </c>
      <c r="I326" s="508">
        <v>0.74419999999999997</v>
      </c>
      <c r="J326" s="508">
        <v>0.74419999999999997</v>
      </c>
      <c r="K326" s="508">
        <v>0.74419999999999997</v>
      </c>
      <c r="L326" s="508">
        <v>0.74419999999999997</v>
      </c>
      <c r="M326" s="508">
        <v>0.74419999999999997</v>
      </c>
    </row>
    <row r="327" spans="1:13">
      <c r="A327" s="505">
        <v>1.9</v>
      </c>
      <c r="B327" s="508">
        <v>0.91139999999999999</v>
      </c>
      <c r="C327" s="508">
        <v>0.91139999999999999</v>
      </c>
      <c r="D327" s="508">
        <v>0.90939999999999999</v>
      </c>
      <c r="E327" s="508">
        <v>0.90939999999999999</v>
      </c>
      <c r="F327" s="508">
        <v>0.90939999999999999</v>
      </c>
      <c r="G327" s="508">
        <v>0.82289999999999996</v>
      </c>
      <c r="H327" s="508">
        <v>0.82289999999999996</v>
      </c>
      <c r="I327" s="508">
        <v>0.72740000000000005</v>
      </c>
      <c r="J327" s="508">
        <v>0.72740000000000005</v>
      </c>
      <c r="K327" s="508">
        <v>0.72740000000000005</v>
      </c>
      <c r="L327" s="508">
        <v>0.72740000000000005</v>
      </c>
      <c r="M327" s="508">
        <v>0.72740000000000005</v>
      </c>
    </row>
    <row r="328" spans="1:13">
      <c r="A328" s="505">
        <v>2</v>
      </c>
      <c r="B328" s="508">
        <v>0.89270000000000005</v>
      </c>
      <c r="C328" s="508">
        <v>0.89270000000000005</v>
      </c>
      <c r="D328" s="508">
        <v>0.8901</v>
      </c>
      <c r="E328" s="508">
        <v>0.8901</v>
      </c>
      <c r="F328" s="508">
        <v>0.8901</v>
      </c>
      <c r="G328" s="508">
        <v>0.80530000000000002</v>
      </c>
      <c r="H328" s="508">
        <v>0.80530000000000002</v>
      </c>
      <c r="I328" s="508">
        <v>0.71160000000000001</v>
      </c>
      <c r="J328" s="508">
        <v>0.71160000000000001</v>
      </c>
      <c r="K328" s="508">
        <v>0.71160000000000001</v>
      </c>
      <c r="L328" s="508">
        <v>0.71160000000000001</v>
      </c>
      <c r="M328" s="508">
        <v>0.71160000000000001</v>
      </c>
    </row>
    <row r="329" spans="1:13">
      <c r="A329" s="509">
        <v>2.1</v>
      </c>
      <c r="B329" s="508">
        <v>0.87519999999999998</v>
      </c>
      <c r="C329" s="508">
        <v>0.87519999999999998</v>
      </c>
      <c r="D329" s="508">
        <v>0.872</v>
      </c>
      <c r="E329" s="508">
        <v>0.872</v>
      </c>
      <c r="F329" s="508">
        <v>0.872</v>
      </c>
      <c r="G329" s="508">
        <v>0.78869999999999996</v>
      </c>
      <c r="H329" s="508">
        <v>0.78869999999999996</v>
      </c>
      <c r="I329" s="508">
        <v>0.69669999999999999</v>
      </c>
      <c r="J329" s="508">
        <v>0.69669999999999999</v>
      </c>
      <c r="K329" s="508">
        <v>0.69669999999999999</v>
      </c>
      <c r="L329" s="508">
        <v>0.69669999999999999</v>
      </c>
      <c r="M329" s="508">
        <v>0.69669999999999999</v>
      </c>
    </row>
    <row r="330" spans="1:13">
      <c r="A330" s="509">
        <v>2.2000000000000002</v>
      </c>
      <c r="B330" s="508">
        <v>0.85880000000000001</v>
      </c>
      <c r="C330" s="508">
        <v>0.85880000000000001</v>
      </c>
      <c r="D330" s="508">
        <v>0.85499999999999998</v>
      </c>
      <c r="E330" s="508">
        <v>0.85499999999999998</v>
      </c>
      <c r="F330" s="508">
        <v>0.85499999999999998</v>
      </c>
      <c r="G330" s="508">
        <v>0.77300000000000002</v>
      </c>
      <c r="H330" s="508">
        <v>0.77300000000000002</v>
      </c>
      <c r="I330" s="508">
        <v>0.68269999999999997</v>
      </c>
      <c r="J330" s="508">
        <v>0.68269999999999997</v>
      </c>
      <c r="K330" s="508">
        <v>0.68269999999999997</v>
      </c>
      <c r="L330" s="508">
        <v>0.68269999999999997</v>
      </c>
      <c r="M330" s="508">
        <v>0.68269999999999997</v>
      </c>
    </row>
    <row r="331" spans="1:13">
      <c r="A331" s="509">
        <v>2.2999999999999998</v>
      </c>
      <c r="B331" s="508">
        <v>0.84360000000000002</v>
      </c>
      <c r="C331" s="508">
        <v>0.84360000000000002</v>
      </c>
      <c r="D331" s="508">
        <v>0.83899999999999997</v>
      </c>
      <c r="E331" s="508">
        <v>0.83899999999999997</v>
      </c>
      <c r="F331" s="508">
        <v>0.83899999999999997</v>
      </c>
      <c r="G331" s="508">
        <v>0.75839999999999996</v>
      </c>
      <c r="H331" s="508">
        <v>0.75839999999999996</v>
      </c>
      <c r="I331" s="508">
        <v>0.66949999999999998</v>
      </c>
      <c r="J331" s="508">
        <v>0.66949999999999998</v>
      </c>
      <c r="K331" s="508">
        <v>0.66949999999999998</v>
      </c>
      <c r="L331" s="508">
        <v>0.66949999999999998</v>
      </c>
      <c r="M331" s="508">
        <v>0.66949999999999998</v>
      </c>
    </row>
    <row r="332" spans="1:13">
      <c r="A332" s="509">
        <v>2.4</v>
      </c>
      <c r="B332" s="508">
        <v>0.82940000000000003</v>
      </c>
      <c r="C332" s="508">
        <v>0.82940000000000003</v>
      </c>
      <c r="D332" s="508">
        <v>0.82410000000000005</v>
      </c>
      <c r="E332" s="508">
        <v>0.82410000000000005</v>
      </c>
      <c r="F332" s="508">
        <v>0.82410000000000005</v>
      </c>
      <c r="G332" s="508">
        <v>0.74460000000000004</v>
      </c>
      <c r="H332" s="508">
        <v>0.74460000000000004</v>
      </c>
      <c r="I332" s="508">
        <v>0.65710000000000002</v>
      </c>
      <c r="J332" s="508">
        <v>0.65710000000000002</v>
      </c>
      <c r="K332" s="508">
        <v>0.65710000000000002</v>
      </c>
      <c r="L332" s="508">
        <v>0.65710000000000002</v>
      </c>
      <c r="M332" s="508">
        <v>0.65710000000000002</v>
      </c>
    </row>
    <row r="333" spans="1:13">
      <c r="A333" s="509">
        <v>2.5</v>
      </c>
      <c r="B333" s="508">
        <v>0.81620000000000004</v>
      </c>
      <c r="C333" s="508">
        <v>0.81620000000000004</v>
      </c>
      <c r="D333" s="508">
        <v>0.81020000000000003</v>
      </c>
      <c r="E333" s="508">
        <v>0.81020000000000003</v>
      </c>
      <c r="F333" s="508">
        <v>0.81020000000000003</v>
      </c>
      <c r="G333" s="508">
        <v>0.73180000000000001</v>
      </c>
      <c r="H333" s="508">
        <v>0.73180000000000001</v>
      </c>
      <c r="I333" s="508">
        <v>0.64549999999999996</v>
      </c>
      <c r="J333" s="508">
        <v>0.64549999999999996</v>
      </c>
      <c r="K333" s="508">
        <v>0.64549999999999996</v>
      </c>
      <c r="L333" s="508">
        <v>0.64549999999999996</v>
      </c>
      <c r="M333" s="508">
        <v>0.64549999999999996</v>
      </c>
    </row>
    <row r="334" spans="1:13">
      <c r="A334" s="509">
        <v>2.6</v>
      </c>
      <c r="B334" s="508">
        <v>0.80389999999999995</v>
      </c>
      <c r="C334" s="508">
        <v>0.80389999999999995</v>
      </c>
      <c r="D334" s="508">
        <v>0.79710000000000003</v>
      </c>
      <c r="E334" s="508">
        <v>0.79710000000000003</v>
      </c>
      <c r="F334" s="508">
        <v>0.79710000000000003</v>
      </c>
      <c r="G334" s="508">
        <v>0.71970000000000001</v>
      </c>
      <c r="H334" s="508">
        <v>0.71970000000000001</v>
      </c>
      <c r="I334" s="508">
        <v>0.63460000000000005</v>
      </c>
      <c r="J334" s="508">
        <v>0.63460000000000005</v>
      </c>
      <c r="K334" s="508">
        <v>0.63460000000000005</v>
      </c>
      <c r="L334" s="508">
        <v>0.63460000000000005</v>
      </c>
      <c r="M334" s="508">
        <v>0.63460000000000005</v>
      </c>
    </row>
    <row r="335" spans="1:13">
      <c r="A335" s="509">
        <v>2.7</v>
      </c>
      <c r="B335" s="508">
        <v>0.79249999999999998</v>
      </c>
      <c r="C335" s="508">
        <v>0.79249999999999998</v>
      </c>
      <c r="D335" s="508">
        <v>0.78490000000000004</v>
      </c>
      <c r="E335" s="508">
        <v>0.78490000000000004</v>
      </c>
      <c r="F335" s="508">
        <v>0.78490000000000004</v>
      </c>
      <c r="G335" s="508">
        <v>0.70840000000000003</v>
      </c>
      <c r="H335" s="508">
        <v>0.70840000000000003</v>
      </c>
      <c r="I335" s="508">
        <v>0.62439999999999996</v>
      </c>
      <c r="J335" s="508">
        <v>0.62439999999999996</v>
      </c>
      <c r="K335" s="508">
        <v>0.62439999999999996</v>
      </c>
      <c r="L335" s="508">
        <v>0.62439999999999996</v>
      </c>
      <c r="M335" s="508">
        <v>0.62439999999999996</v>
      </c>
    </row>
    <row r="336" spans="1:13">
      <c r="A336" s="509">
        <v>2.8</v>
      </c>
      <c r="B336" s="508">
        <v>0.78190000000000004</v>
      </c>
      <c r="C336" s="508">
        <v>0.78190000000000004</v>
      </c>
      <c r="D336" s="508">
        <v>0.77359999999999995</v>
      </c>
      <c r="E336" s="508">
        <v>0.77359999999999995</v>
      </c>
      <c r="F336" s="508">
        <v>0.77359999999999995</v>
      </c>
      <c r="G336" s="508">
        <v>0.69789999999999996</v>
      </c>
      <c r="H336" s="508">
        <v>0.69789999999999996</v>
      </c>
      <c r="I336" s="508">
        <v>0.61480000000000001</v>
      </c>
      <c r="J336" s="508">
        <v>0.61480000000000001</v>
      </c>
      <c r="K336" s="508">
        <v>0.61480000000000001</v>
      </c>
      <c r="L336" s="508">
        <v>0.61480000000000001</v>
      </c>
      <c r="M336" s="508">
        <v>0.61480000000000001</v>
      </c>
    </row>
    <row r="337" spans="1:13">
      <c r="A337" s="509">
        <v>2.9</v>
      </c>
      <c r="B337" s="508">
        <v>0.77210000000000001</v>
      </c>
      <c r="C337" s="508">
        <v>0.77210000000000001</v>
      </c>
      <c r="D337" s="508">
        <v>0.76300000000000001</v>
      </c>
      <c r="E337" s="508">
        <v>0.76300000000000001</v>
      </c>
      <c r="F337" s="508">
        <v>0.76300000000000001</v>
      </c>
      <c r="G337" s="508">
        <v>0.68799999999999994</v>
      </c>
      <c r="H337" s="508">
        <v>0.68799999999999994</v>
      </c>
      <c r="I337" s="508">
        <v>0.60589999999999999</v>
      </c>
      <c r="J337" s="508">
        <v>0.60589999999999999</v>
      </c>
      <c r="K337" s="508">
        <v>0.60589999999999999</v>
      </c>
      <c r="L337" s="508">
        <v>0.60589999999999999</v>
      </c>
      <c r="M337" s="508">
        <v>0.60589999999999999</v>
      </c>
    </row>
    <row r="338" spans="1:13">
      <c r="A338" s="509">
        <v>3</v>
      </c>
      <c r="B338" s="508">
        <v>0.7631</v>
      </c>
      <c r="C338" s="508">
        <v>0.7631</v>
      </c>
      <c r="D338" s="508">
        <v>0.75309999999999999</v>
      </c>
      <c r="E338" s="508">
        <v>0.75309999999999999</v>
      </c>
      <c r="F338" s="508">
        <v>0.75309999999999999</v>
      </c>
      <c r="G338" s="508">
        <v>0.67879999999999996</v>
      </c>
      <c r="H338" s="508">
        <v>0.67879999999999996</v>
      </c>
      <c r="I338" s="508">
        <v>0.59750000000000003</v>
      </c>
      <c r="J338" s="508">
        <v>0.59750000000000003</v>
      </c>
      <c r="K338" s="508">
        <v>0.59750000000000003</v>
      </c>
      <c r="L338" s="508">
        <v>0.59750000000000003</v>
      </c>
      <c r="M338" s="508">
        <v>0.59750000000000003</v>
      </c>
    </row>
    <row r="339" spans="1:13">
      <c r="A339" s="509">
        <v>3.1</v>
      </c>
      <c r="B339" s="508">
        <v>0.75470000000000004</v>
      </c>
      <c r="C339" s="508">
        <v>0.75470000000000004</v>
      </c>
      <c r="D339" s="508">
        <v>0.74399999999999999</v>
      </c>
      <c r="E339" s="508">
        <v>0.74399999999999999</v>
      </c>
      <c r="F339" s="508">
        <v>0.74399999999999999</v>
      </c>
      <c r="G339" s="508">
        <v>0.67020000000000002</v>
      </c>
      <c r="H339" s="508">
        <v>0.67020000000000002</v>
      </c>
      <c r="I339" s="508">
        <v>0.5897</v>
      </c>
      <c r="J339" s="508">
        <v>0.5897</v>
      </c>
      <c r="K339" s="508">
        <v>0.5897</v>
      </c>
      <c r="L339" s="508">
        <v>0.5897</v>
      </c>
      <c r="M339" s="508">
        <v>0.5897</v>
      </c>
    </row>
    <row r="340" spans="1:13">
      <c r="A340" s="509">
        <v>3.2</v>
      </c>
      <c r="B340" s="508">
        <v>0.747</v>
      </c>
      <c r="C340" s="508">
        <v>0.747</v>
      </c>
      <c r="D340" s="508">
        <v>0.73540000000000005</v>
      </c>
      <c r="E340" s="508">
        <v>0.73540000000000005</v>
      </c>
      <c r="F340" s="508">
        <v>0.73540000000000005</v>
      </c>
      <c r="G340" s="508">
        <v>0.66220000000000001</v>
      </c>
      <c r="H340" s="508">
        <v>0.66220000000000001</v>
      </c>
      <c r="I340" s="508">
        <v>0.58230000000000004</v>
      </c>
      <c r="J340" s="508">
        <v>0.58230000000000004</v>
      </c>
      <c r="K340" s="508">
        <v>0.58230000000000004</v>
      </c>
      <c r="L340" s="508">
        <v>0.58230000000000004</v>
      </c>
      <c r="M340" s="508">
        <v>0.58230000000000004</v>
      </c>
    </row>
    <row r="341" spans="1:13">
      <c r="A341" s="509">
        <v>3.3</v>
      </c>
      <c r="B341" s="508">
        <v>0.7399</v>
      </c>
      <c r="C341" s="508">
        <v>0.7399</v>
      </c>
      <c r="D341" s="508">
        <v>0.72750000000000004</v>
      </c>
      <c r="E341" s="508">
        <v>0.72750000000000004</v>
      </c>
      <c r="F341" s="508">
        <v>0.72750000000000004</v>
      </c>
      <c r="G341" s="508">
        <v>0.65480000000000005</v>
      </c>
      <c r="H341" s="508">
        <v>0.65480000000000005</v>
      </c>
      <c r="I341" s="508">
        <v>0.57540000000000002</v>
      </c>
      <c r="J341" s="508">
        <v>0.57540000000000002</v>
      </c>
      <c r="K341" s="508">
        <v>0.57540000000000002</v>
      </c>
      <c r="L341" s="508">
        <v>0.57540000000000002</v>
      </c>
      <c r="M341" s="508">
        <v>0.57540000000000002</v>
      </c>
    </row>
    <row r="342" spans="1:13">
      <c r="A342" s="509">
        <v>3.4</v>
      </c>
      <c r="B342" s="508">
        <v>0.73340000000000005</v>
      </c>
      <c r="C342" s="508">
        <v>0.73340000000000005</v>
      </c>
      <c r="D342" s="508">
        <v>0.72009999999999996</v>
      </c>
      <c r="E342" s="508">
        <v>0.72009999999999996</v>
      </c>
      <c r="F342" s="508">
        <v>0.72009999999999996</v>
      </c>
      <c r="G342" s="508">
        <v>0.64780000000000004</v>
      </c>
      <c r="H342" s="508">
        <v>0.64780000000000004</v>
      </c>
      <c r="I342" s="508">
        <v>0.56899999999999995</v>
      </c>
      <c r="J342" s="508">
        <v>0.56899999999999995</v>
      </c>
      <c r="K342" s="508">
        <v>0.56899999999999995</v>
      </c>
      <c r="L342" s="508">
        <v>0.56899999999999995</v>
      </c>
      <c r="M342" s="508">
        <v>0.56899999999999995</v>
      </c>
    </row>
    <row r="343" spans="1:13">
      <c r="A343" s="509">
        <v>3.5</v>
      </c>
      <c r="B343" s="508">
        <v>0.72740000000000005</v>
      </c>
      <c r="C343" s="508">
        <v>0.72740000000000005</v>
      </c>
      <c r="D343" s="508">
        <v>0.71330000000000005</v>
      </c>
      <c r="E343" s="508">
        <v>0.71330000000000005</v>
      </c>
      <c r="F343" s="508">
        <v>0.71330000000000005</v>
      </c>
      <c r="G343" s="508">
        <v>0.64129999999999998</v>
      </c>
      <c r="H343" s="508">
        <v>0.64129999999999998</v>
      </c>
      <c r="I343" s="508">
        <v>0.56310000000000004</v>
      </c>
      <c r="J343" s="508">
        <v>0.56310000000000004</v>
      </c>
      <c r="K343" s="508">
        <v>0.56310000000000004</v>
      </c>
      <c r="L343" s="508">
        <v>0.56310000000000004</v>
      </c>
      <c r="M343" s="508">
        <v>0.56310000000000004</v>
      </c>
    </row>
    <row r="344" spans="1:13">
      <c r="A344" s="509">
        <v>3.6</v>
      </c>
      <c r="B344" s="508">
        <v>0.72189999999999999</v>
      </c>
      <c r="C344" s="508">
        <v>0.72189999999999999</v>
      </c>
      <c r="D344" s="508">
        <v>0.70699999999999996</v>
      </c>
      <c r="E344" s="508">
        <v>0.70699999999999996</v>
      </c>
      <c r="F344" s="508">
        <v>0.70699999999999996</v>
      </c>
      <c r="G344" s="508">
        <v>0.63529999999999998</v>
      </c>
      <c r="H344" s="508">
        <v>0.63529999999999998</v>
      </c>
      <c r="I344" s="508">
        <v>0.5575</v>
      </c>
      <c r="J344" s="508">
        <v>0.5575</v>
      </c>
      <c r="K344" s="508">
        <v>0.5575</v>
      </c>
      <c r="L344" s="508">
        <v>0.5575</v>
      </c>
      <c r="M344" s="508">
        <v>0.5575</v>
      </c>
    </row>
    <row r="345" spans="1:13">
      <c r="A345" s="509">
        <v>3.7</v>
      </c>
      <c r="B345" s="508">
        <v>0.71679999999999999</v>
      </c>
      <c r="C345" s="508">
        <v>0.71679999999999999</v>
      </c>
      <c r="D345" s="508">
        <v>0.70109999999999995</v>
      </c>
      <c r="E345" s="508">
        <v>0.70109999999999995</v>
      </c>
      <c r="F345" s="508">
        <v>0.70109999999999995</v>
      </c>
      <c r="G345" s="508">
        <v>0.62970000000000004</v>
      </c>
      <c r="H345" s="508">
        <v>0.62970000000000004</v>
      </c>
      <c r="I345" s="508">
        <v>0.55230000000000001</v>
      </c>
      <c r="J345" s="508">
        <v>0.55230000000000001</v>
      </c>
      <c r="K345" s="508">
        <v>0.55230000000000001</v>
      </c>
      <c r="L345" s="508">
        <v>0.55230000000000001</v>
      </c>
      <c r="M345" s="508">
        <v>0.55230000000000001</v>
      </c>
    </row>
    <row r="346" spans="1:13">
      <c r="A346" s="509">
        <v>3.8</v>
      </c>
      <c r="B346" s="508">
        <v>0.71220000000000006</v>
      </c>
      <c r="C346" s="508">
        <v>0.71220000000000006</v>
      </c>
      <c r="D346" s="508">
        <v>0.6956</v>
      </c>
      <c r="E346" s="508">
        <v>0.6956</v>
      </c>
      <c r="F346" s="508">
        <v>0.6956</v>
      </c>
      <c r="G346" s="508">
        <v>0.62439999999999996</v>
      </c>
      <c r="H346" s="508">
        <v>0.62439999999999996</v>
      </c>
      <c r="I346" s="508">
        <v>0.5474</v>
      </c>
      <c r="J346" s="508">
        <v>0.5474</v>
      </c>
      <c r="K346" s="508">
        <v>0.5474</v>
      </c>
      <c r="L346" s="508">
        <v>0.5474</v>
      </c>
      <c r="M346" s="508">
        <v>0.5474</v>
      </c>
    </row>
    <row r="347" spans="1:13">
      <c r="A347" s="509">
        <v>3.9</v>
      </c>
      <c r="B347" s="508">
        <v>0.70799999999999996</v>
      </c>
      <c r="C347" s="508">
        <v>0.70799999999999996</v>
      </c>
      <c r="D347" s="508">
        <v>0.69059999999999999</v>
      </c>
      <c r="E347" s="508">
        <v>0.69059999999999999</v>
      </c>
      <c r="F347" s="508">
        <v>0.69059999999999999</v>
      </c>
      <c r="G347" s="508">
        <v>0.61950000000000005</v>
      </c>
      <c r="H347" s="508">
        <v>0.61950000000000005</v>
      </c>
      <c r="I347" s="508">
        <v>0.54279999999999995</v>
      </c>
      <c r="J347" s="508">
        <v>0.54279999999999995</v>
      </c>
      <c r="K347" s="508">
        <v>0.54279999999999995</v>
      </c>
      <c r="L347" s="508">
        <v>0.54279999999999995</v>
      </c>
      <c r="M347" s="508">
        <v>0.54279999999999995</v>
      </c>
    </row>
    <row r="348" spans="1:13">
      <c r="A348" s="509">
        <v>4</v>
      </c>
      <c r="B348" s="508">
        <v>0.70409999999999995</v>
      </c>
      <c r="C348" s="508">
        <v>0.70409999999999995</v>
      </c>
      <c r="D348" s="508">
        <v>0.68589999999999995</v>
      </c>
      <c r="E348" s="508">
        <v>0.68589999999999995</v>
      </c>
      <c r="F348" s="508">
        <v>0.68589999999999995</v>
      </c>
      <c r="G348" s="508">
        <v>0.61499999999999999</v>
      </c>
      <c r="H348" s="508">
        <v>0.61499999999999999</v>
      </c>
      <c r="I348" s="508">
        <v>0.53859999999999997</v>
      </c>
      <c r="J348" s="508">
        <v>0.53859999999999997</v>
      </c>
      <c r="K348" s="508">
        <v>0.53859999999999997</v>
      </c>
      <c r="L348" s="508">
        <v>0.53859999999999997</v>
      </c>
      <c r="M348" s="508">
        <v>0.53859999999999997</v>
      </c>
    </row>
    <row r="349" spans="1:13">
      <c r="A349" s="509">
        <v>4.0999999999999996</v>
      </c>
      <c r="B349" s="508">
        <v>0.7006</v>
      </c>
      <c r="C349" s="508">
        <v>0.7006</v>
      </c>
      <c r="D349" s="508">
        <v>0.68159999999999998</v>
      </c>
      <c r="E349" s="508">
        <v>0.68159999999999998</v>
      </c>
      <c r="F349" s="508">
        <v>0.68159999999999998</v>
      </c>
      <c r="G349" s="508">
        <v>0.61080000000000001</v>
      </c>
      <c r="H349" s="508">
        <v>0.61080000000000001</v>
      </c>
      <c r="I349" s="508">
        <v>0.53459999999999996</v>
      </c>
      <c r="J349" s="508">
        <v>0.53459999999999996</v>
      </c>
      <c r="K349" s="508">
        <v>0.53459999999999996</v>
      </c>
      <c r="L349" s="508">
        <v>0.53459999999999996</v>
      </c>
      <c r="M349" s="508">
        <v>0.53459999999999996</v>
      </c>
    </row>
    <row r="350" spans="1:13">
      <c r="A350" s="509">
        <v>4.2</v>
      </c>
      <c r="B350" s="508">
        <v>0.69740000000000002</v>
      </c>
      <c r="C350" s="508">
        <v>0.69740000000000002</v>
      </c>
      <c r="D350" s="508">
        <v>0.67759999999999998</v>
      </c>
      <c r="E350" s="508">
        <v>0.67759999999999998</v>
      </c>
      <c r="F350" s="508">
        <v>0.67759999999999998</v>
      </c>
      <c r="G350" s="508">
        <v>0.60699999999999998</v>
      </c>
      <c r="H350" s="508">
        <v>0.60699999999999998</v>
      </c>
      <c r="I350" s="508">
        <v>0.53090000000000004</v>
      </c>
      <c r="J350" s="508">
        <v>0.53090000000000004</v>
      </c>
      <c r="K350" s="508">
        <v>0.53090000000000004</v>
      </c>
      <c r="L350" s="508">
        <v>0.53090000000000004</v>
      </c>
      <c r="M350" s="508">
        <v>0.53090000000000004</v>
      </c>
    </row>
    <row r="351" spans="1:13">
      <c r="A351" s="509">
        <v>4.3</v>
      </c>
      <c r="B351" s="508">
        <v>0.69450000000000001</v>
      </c>
      <c r="C351" s="508">
        <v>0.69450000000000001</v>
      </c>
      <c r="D351" s="508">
        <v>0.67390000000000005</v>
      </c>
      <c r="E351" s="508">
        <v>0.67390000000000005</v>
      </c>
      <c r="F351" s="508">
        <v>0.67390000000000005</v>
      </c>
      <c r="G351" s="508">
        <v>0.60329999999999995</v>
      </c>
      <c r="H351" s="508">
        <v>0.60329999999999995</v>
      </c>
      <c r="I351" s="508">
        <v>0.52739999999999998</v>
      </c>
      <c r="J351" s="508">
        <v>0.52739999999999998</v>
      </c>
      <c r="K351" s="508">
        <v>0.52739999999999998</v>
      </c>
      <c r="L351" s="508">
        <v>0.52739999999999998</v>
      </c>
      <c r="M351" s="508">
        <v>0.52739999999999998</v>
      </c>
    </row>
    <row r="352" spans="1:13">
      <c r="A352" s="509">
        <v>4.4000000000000004</v>
      </c>
      <c r="B352" s="508">
        <v>0.69179999999999997</v>
      </c>
      <c r="C352" s="508">
        <v>0.69179999999999997</v>
      </c>
      <c r="D352" s="508">
        <v>0.67049999999999998</v>
      </c>
      <c r="E352" s="508">
        <v>0.67049999999999998</v>
      </c>
      <c r="F352" s="508">
        <v>0.67049999999999998</v>
      </c>
      <c r="G352" s="508">
        <v>0.59989999999999999</v>
      </c>
      <c r="H352" s="508">
        <v>0.59989999999999999</v>
      </c>
      <c r="I352" s="508">
        <v>0.5242</v>
      </c>
      <c r="J352" s="508">
        <v>0.5242</v>
      </c>
      <c r="K352" s="508">
        <v>0.5242</v>
      </c>
      <c r="L352" s="508">
        <v>0.5242</v>
      </c>
      <c r="M352" s="508">
        <v>0.5242</v>
      </c>
    </row>
    <row r="353" spans="1:13">
      <c r="A353" s="509">
        <v>4.5</v>
      </c>
      <c r="B353" s="508">
        <v>0.68940000000000001</v>
      </c>
      <c r="C353" s="508">
        <v>0.68940000000000001</v>
      </c>
      <c r="D353" s="508">
        <v>0.6673</v>
      </c>
      <c r="E353" s="508">
        <v>0.6673</v>
      </c>
      <c r="F353" s="508">
        <v>0.6673</v>
      </c>
      <c r="G353" s="508">
        <v>0.59670000000000001</v>
      </c>
      <c r="H353" s="508">
        <v>0.59670000000000001</v>
      </c>
      <c r="I353" s="508">
        <v>0.52110000000000001</v>
      </c>
      <c r="J353" s="508">
        <v>0.52110000000000001</v>
      </c>
      <c r="K353" s="508">
        <v>0.52110000000000001</v>
      </c>
      <c r="L353" s="508">
        <v>0.52110000000000001</v>
      </c>
      <c r="M353" s="508">
        <v>0.52110000000000001</v>
      </c>
    </row>
    <row r="354" spans="1:13">
      <c r="A354" s="509">
        <v>4.5999999999999996</v>
      </c>
      <c r="B354" s="508">
        <v>0.68720000000000003</v>
      </c>
      <c r="C354" s="508">
        <v>0.68720000000000003</v>
      </c>
      <c r="D354" s="508">
        <v>0.6643</v>
      </c>
      <c r="E354" s="508">
        <v>0.6643</v>
      </c>
      <c r="F354" s="508">
        <v>0.6643</v>
      </c>
      <c r="G354" s="508">
        <v>0.59379999999999999</v>
      </c>
      <c r="H354" s="508">
        <v>0.59379999999999999</v>
      </c>
      <c r="I354" s="508">
        <v>0.51819999999999999</v>
      </c>
      <c r="J354" s="508">
        <v>0.51819999999999999</v>
      </c>
      <c r="K354" s="508">
        <v>0.51819999999999999</v>
      </c>
      <c r="L354" s="508">
        <v>0.51819999999999999</v>
      </c>
      <c r="M354" s="508">
        <v>0.51819999999999999</v>
      </c>
    </row>
    <row r="355" spans="1:13">
      <c r="A355" s="509">
        <v>4.7</v>
      </c>
      <c r="B355" s="508">
        <v>0.68520000000000003</v>
      </c>
      <c r="C355" s="508">
        <v>0.68520000000000003</v>
      </c>
      <c r="D355" s="508">
        <v>0.66149999999999998</v>
      </c>
      <c r="E355" s="508">
        <v>0.66149999999999998</v>
      </c>
      <c r="F355" s="508">
        <v>0.66149999999999998</v>
      </c>
      <c r="G355" s="508">
        <v>0.59109999999999996</v>
      </c>
      <c r="H355" s="508">
        <v>0.59109999999999996</v>
      </c>
      <c r="I355" s="508">
        <v>0.51559999999999995</v>
      </c>
      <c r="J355" s="508">
        <v>0.51559999999999995</v>
      </c>
      <c r="K355" s="508">
        <v>0.51559999999999995</v>
      </c>
      <c r="L355" s="508">
        <v>0.51559999999999995</v>
      </c>
      <c r="M355" s="508">
        <v>0.51559999999999995</v>
      </c>
    </row>
    <row r="356" spans="1:13">
      <c r="A356" s="509">
        <v>4.8</v>
      </c>
      <c r="B356" s="508">
        <v>0.68340000000000001</v>
      </c>
      <c r="C356" s="508">
        <v>0.68340000000000001</v>
      </c>
      <c r="D356" s="508">
        <v>0.65900000000000003</v>
      </c>
      <c r="E356" s="508">
        <v>0.65900000000000003</v>
      </c>
      <c r="F356" s="508">
        <v>0.65900000000000003</v>
      </c>
      <c r="G356" s="508">
        <v>0.58850000000000002</v>
      </c>
      <c r="H356" s="508">
        <v>0.58850000000000002</v>
      </c>
      <c r="I356" s="508">
        <v>0.51300000000000001</v>
      </c>
      <c r="J356" s="508">
        <v>0.51300000000000001</v>
      </c>
      <c r="K356" s="508">
        <v>0.51300000000000001</v>
      </c>
      <c r="L356" s="508">
        <v>0.51300000000000001</v>
      </c>
      <c r="M356" s="508">
        <v>0.51300000000000001</v>
      </c>
    </row>
    <row r="357" spans="1:13">
      <c r="A357" s="509">
        <v>4.9000000000000004</v>
      </c>
      <c r="B357" s="508">
        <v>0.68179999999999996</v>
      </c>
      <c r="C357" s="508">
        <v>0.68179999999999996</v>
      </c>
      <c r="D357" s="508">
        <v>0.65659999999999996</v>
      </c>
      <c r="E357" s="508">
        <v>0.65659999999999996</v>
      </c>
      <c r="F357" s="508">
        <v>0.65659999999999996</v>
      </c>
      <c r="G357" s="508">
        <v>0.58599999999999997</v>
      </c>
      <c r="H357" s="508">
        <v>0.58599999999999997</v>
      </c>
      <c r="I357" s="508">
        <v>0.51060000000000005</v>
      </c>
      <c r="J357" s="508">
        <v>0.51060000000000005</v>
      </c>
      <c r="K357" s="508">
        <v>0.51060000000000005</v>
      </c>
      <c r="L357" s="508">
        <v>0.51060000000000005</v>
      </c>
      <c r="M357" s="508">
        <v>0.51060000000000005</v>
      </c>
    </row>
    <row r="358" spans="1:13">
      <c r="A358" s="509">
        <v>5</v>
      </c>
      <c r="B358" s="508">
        <v>0.68030000000000002</v>
      </c>
      <c r="C358" s="508">
        <v>0.68030000000000002</v>
      </c>
      <c r="D358" s="508">
        <v>0.65439999999999998</v>
      </c>
      <c r="E358" s="508">
        <v>0.65439999999999998</v>
      </c>
      <c r="F358" s="508">
        <v>0.65439999999999998</v>
      </c>
      <c r="G358" s="508">
        <v>0.58379999999999999</v>
      </c>
      <c r="H358" s="508">
        <v>0.58379999999999999</v>
      </c>
      <c r="I358" s="508">
        <v>0.50839999999999996</v>
      </c>
      <c r="J358" s="508">
        <v>0.50839999999999996</v>
      </c>
      <c r="K358" s="508">
        <v>0.50839999999999996</v>
      </c>
      <c r="L358" s="508">
        <v>0.50839999999999996</v>
      </c>
      <c r="M358" s="508">
        <v>0.50839999999999996</v>
      </c>
    </row>
    <row r="359" spans="1:13">
      <c r="A359" s="505">
        <v>5.0999999999999996</v>
      </c>
      <c r="B359" s="508">
        <v>0.67889999999999995</v>
      </c>
      <c r="C359" s="508">
        <v>0.67889999999999995</v>
      </c>
      <c r="D359" s="508">
        <v>0.65229999999999999</v>
      </c>
      <c r="E359" s="508">
        <v>0.65229999999999999</v>
      </c>
      <c r="F359" s="508">
        <v>0.65229999999999999</v>
      </c>
      <c r="G359" s="508">
        <v>0.58160000000000001</v>
      </c>
      <c r="H359" s="508">
        <v>0.58160000000000001</v>
      </c>
      <c r="I359" s="508">
        <v>0.50629999999999997</v>
      </c>
      <c r="J359" s="508">
        <v>0.50629999999999997</v>
      </c>
      <c r="K359" s="508">
        <v>0.50629999999999997</v>
      </c>
      <c r="L359" s="508">
        <v>0.50629999999999997</v>
      </c>
      <c r="M359" s="508">
        <v>0.50629999999999997</v>
      </c>
    </row>
    <row r="360" spans="1:13">
      <c r="A360" s="505">
        <v>5.2</v>
      </c>
      <c r="B360" s="508">
        <v>0.67749999999999999</v>
      </c>
      <c r="C360" s="508">
        <v>0.67749999999999999</v>
      </c>
      <c r="D360" s="508">
        <v>0.65029999999999999</v>
      </c>
      <c r="E360" s="508">
        <v>0.65029999999999999</v>
      </c>
      <c r="F360" s="508">
        <v>0.65029999999999999</v>
      </c>
      <c r="G360" s="508">
        <v>0.57950000000000002</v>
      </c>
      <c r="H360" s="508">
        <v>0.57950000000000002</v>
      </c>
      <c r="I360" s="508">
        <v>0.50419999999999998</v>
      </c>
      <c r="J360" s="508">
        <v>0.50419999999999998</v>
      </c>
      <c r="K360" s="508">
        <v>0.50419999999999998</v>
      </c>
      <c r="L360" s="508">
        <v>0.50419999999999998</v>
      </c>
      <c r="M360" s="508">
        <v>0.50419999999999998</v>
      </c>
    </row>
    <row r="361" spans="1:13">
      <c r="A361" s="505">
        <v>5.3</v>
      </c>
      <c r="B361" s="508">
        <v>0.67620000000000002</v>
      </c>
      <c r="C361" s="508">
        <v>0.67620000000000002</v>
      </c>
      <c r="D361" s="508">
        <v>0.64839999999999998</v>
      </c>
      <c r="E361" s="508">
        <v>0.64839999999999998</v>
      </c>
      <c r="F361" s="508">
        <v>0.64839999999999998</v>
      </c>
      <c r="G361" s="508">
        <v>0.5776</v>
      </c>
      <c r="H361" s="508">
        <v>0.5776</v>
      </c>
      <c r="I361" s="508">
        <v>0.50229999999999997</v>
      </c>
      <c r="J361" s="508">
        <v>0.50229999999999997</v>
      </c>
      <c r="K361" s="508">
        <v>0.50229999999999997</v>
      </c>
      <c r="L361" s="508">
        <v>0.50229999999999997</v>
      </c>
      <c r="M361" s="508">
        <v>0.50229999999999997</v>
      </c>
    </row>
    <row r="362" spans="1:13">
      <c r="A362" s="505">
        <v>5.4</v>
      </c>
      <c r="B362" s="508">
        <v>0.67500000000000004</v>
      </c>
      <c r="C362" s="508">
        <v>0.67500000000000004</v>
      </c>
      <c r="D362" s="508">
        <v>0.64670000000000005</v>
      </c>
      <c r="E362" s="508">
        <v>0.64670000000000005</v>
      </c>
      <c r="F362" s="508">
        <v>0.64670000000000005</v>
      </c>
      <c r="G362" s="508">
        <v>0.57579999999999998</v>
      </c>
      <c r="H362" s="508">
        <v>0.57579999999999998</v>
      </c>
      <c r="I362" s="508">
        <v>0.50039999999999996</v>
      </c>
      <c r="J362" s="508">
        <v>0.50039999999999996</v>
      </c>
      <c r="K362" s="508">
        <v>0.50039999999999996</v>
      </c>
      <c r="L362" s="508">
        <v>0.50039999999999996</v>
      </c>
      <c r="M362" s="508">
        <v>0.50039999999999996</v>
      </c>
    </row>
    <row r="363" spans="1:13">
      <c r="A363" s="505">
        <v>5.5</v>
      </c>
      <c r="B363" s="508">
        <v>0.67379999999999995</v>
      </c>
      <c r="C363" s="508">
        <v>0.67379999999999995</v>
      </c>
      <c r="D363" s="508">
        <v>0.64500000000000002</v>
      </c>
      <c r="E363" s="508">
        <v>0.64500000000000002</v>
      </c>
      <c r="F363" s="508">
        <v>0.64500000000000002</v>
      </c>
      <c r="G363" s="508">
        <v>0.57399999999999995</v>
      </c>
      <c r="H363" s="508">
        <v>0.57399999999999995</v>
      </c>
      <c r="I363" s="508">
        <v>0.49869999999999998</v>
      </c>
      <c r="J363" s="508">
        <v>0.49869999999999998</v>
      </c>
      <c r="K363" s="508">
        <v>0.49869999999999998</v>
      </c>
      <c r="L363" s="508">
        <v>0.49869999999999998</v>
      </c>
      <c r="M363" s="508">
        <v>0.49869999999999998</v>
      </c>
    </row>
    <row r="364" spans="1:13">
      <c r="A364" s="505">
        <v>5.6</v>
      </c>
      <c r="B364" s="508">
        <v>0.67259999999999998</v>
      </c>
      <c r="C364" s="508">
        <v>0.67259999999999998</v>
      </c>
      <c r="D364" s="508">
        <v>0.64339999999999997</v>
      </c>
      <c r="E364" s="508">
        <v>0.64339999999999997</v>
      </c>
      <c r="F364" s="508">
        <v>0.64339999999999997</v>
      </c>
      <c r="G364" s="508">
        <v>0.57240000000000002</v>
      </c>
      <c r="H364" s="508">
        <v>0.57240000000000002</v>
      </c>
      <c r="I364" s="508">
        <v>0.49690000000000001</v>
      </c>
      <c r="J364" s="508">
        <v>0.49690000000000001</v>
      </c>
      <c r="K364" s="508">
        <v>0.49690000000000001</v>
      </c>
      <c r="L364" s="508">
        <v>0.49690000000000001</v>
      </c>
      <c r="M364" s="508">
        <v>0.49690000000000001</v>
      </c>
    </row>
    <row r="365" spans="1:13">
      <c r="A365" s="509">
        <v>5.7</v>
      </c>
      <c r="B365" s="508">
        <v>0.6714</v>
      </c>
      <c r="C365" s="508">
        <v>0.6714</v>
      </c>
      <c r="D365" s="508">
        <v>0.64190000000000003</v>
      </c>
      <c r="E365" s="508">
        <v>0.64190000000000003</v>
      </c>
      <c r="F365" s="508">
        <v>0.64190000000000003</v>
      </c>
      <c r="G365" s="508">
        <v>0.57069999999999999</v>
      </c>
      <c r="H365" s="508">
        <v>0.57069999999999999</v>
      </c>
      <c r="I365" s="508">
        <v>0.49519999999999997</v>
      </c>
      <c r="J365" s="508">
        <v>0.49519999999999997</v>
      </c>
      <c r="K365" s="508">
        <v>0.49519999999999997</v>
      </c>
      <c r="L365" s="508">
        <v>0.49519999999999997</v>
      </c>
      <c r="M365" s="508">
        <v>0.49519999999999997</v>
      </c>
    </row>
    <row r="366" spans="1:13">
      <c r="A366" s="505">
        <v>5.8</v>
      </c>
      <c r="B366" s="508">
        <v>0.67020000000000002</v>
      </c>
      <c r="C366" s="508">
        <v>0.67020000000000002</v>
      </c>
      <c r="D366" s="508">
        <v>0.64039999999999997</v>
      </c>
      <c r="E366" s="508">
        <v>0.64039999999999997</v>
      </c>
      <c r="F366" s="508">
        <v>0.64039999999999997</v>
      </c>
      <c r="G366" s="508">
        <v>0.56910000000000005</v>
      </c>
      <c r="H366" s="508">
        <v>0.56910000000000005</v>
      </c>
      <c r="I366" s="508">
        <v>0.49359999999999998</v>
      </c>
      <c r="J366" s="508">
        <v>0.49359999999999998</v>
      </c>
      <c r="K366" s="508">
        <v>0.49359999999999998</v>
      </c>
      <c r="L366" s="508">
        <v>0.49359999999999998</v>
      </c>
      <c r="M366" s="508">
        <v>0.49359999999999998</v>
      </c>
    </row>
    <row r="367" spans="1:13">
      <c r="A367" s="505">
        <v>5.9</v>
      </c>
      <c r="B367" s="508">
        <v>0.66910000000000003</v>
      </c>
      <c r="C367" s="508">
        <v>0.66910000000000003</v>
      </c>
      <c r="D367" s="508">
        <v>0.63890000000000002</v>
      </c>
      <c r="E367" s="508">
        <v>0.63890000000000002</v>
      </c>
      <c r="F367" s="508">
        <v>0.63890000000000002</v>
      </c>
      <c r="G367" s="508">
        <v>0.5675</v>
      </c>
      <c r="H367" s="508">
        <v>0.5675</v>
      </c>
      <c r="I367" s="508">
        <v>0.4919</v>
      </c>
      <c r="J367" s="508">
        <v>0.4919</v>
      </c>
      <c r="K367" s="508">
        <v>0.4919</v>
      </c>
      <c r="L367" s="508">
        <v>0.4919</v>
      </c>
      <c r="M367" s="508">
        <v>0.4919</v>
      </c>
    </row>
    <row r="368" spans="1:13">
      <c r="A368" s="505">
        <v>6</v>
      </c>
      <c r="B368" s="508">
        <v>0.66800000000000004</v>
      </c>
      <c r="C368" s="508">
        <v>0.66800000000000004</v>
      </c>
      <c r="D368" s="508">
        <v>0.63739999999999997</v>
      </c>
      <c r="E368" s="508">
        <v>0.63739999999999997</v>
      </c>
      <c r="F368" s="508">
        <v>0.63739999999999997</v>
      </c>
      <c r="G368" s="508">
        <v>0.56589999999999996</v>
      </c>
      <c r="H368" s="508">
        <v>0.56589999999999996</v>
      </c>
      <c r="I368" s="508">
        <v>0.49020000000000002</v>
      </c>
      <c r="J368" s="508">
        <v>0.49020000000000002</v>
      </c>
      <c r="K368" s="508">
        <v>0.49020000000000002</v>
      </c>
      <c r="L368" s="508">
        <v>0.49020000000000002</v>
      </c>
      <c r="M368" s="508">
        <v>0.49020000000000002</v>
      </c>
    </row>
    <row r="369" spans="1:13">
      <c r="A369" s="505">
        <v>6.1</v>
      </c>
      <c r="B369" s="508">
        <v>0.66690000000000005</v>
      </c>
      <c r="C369" s="508">
        <v>0.66690000000000005</v>
      </c>
      <c r="D369" s="508">
        <v>0.63590000000000002</v>
      </c>
      <c r="E369" s="508">
        <v>0.63590000000000002</v>
      </c>
      <c r="F369" s="508">
        <v>0.63590000000000002</v>
      </c>
      <c r="G369" s="508">
        <v>0.56440000000000001</v>
      </c>
      <c r="H369" s="508">
        <v>0.56440000000000001</v>
      </c>
      <c r="I369" s="508">
        <v>0.48849999999999999</v>
      </c>
      <c r="J369" s="508">
        <v>0.48849999999999999</v>
      </c>
      <c r="K369" s="508">
        <v>0.48849999999999999</v>
      </c>
      <c r="L369" s="508">
        <v>0.48849999999999999</v>
      </c>
      <c r="M369" s="508">
        <v>0.48849999999999999</v>
      </c>
    </row>
    <row r="370" spans="1:13">
      <c r="A370" s="505">
        <v>6.2</v>
      </c>
      <c r="B370" s="508">
        <v>0.66579999999999995</v>
      </c>
      <c r="C370" s="508">
        <v>0.66579999999999995</v>
      </c>
      <c r="D370" s="508">
        <v>0.63439999999999996</v>
      </c>
      <c r="E370" s="508">
        <v>0.63439999999999996</v>
      </c>
      <c r="F370" s="508">
        <v>0.63439999999999996</v>
      </c>
      <c r="G370" s="508">
        <v>0.56289999999999996</v>
      </c>
      <c r="H370" s="508">
        <v>0.56289999999999996</v>
      </c>
      <c r="I370" s="508">
        <v>0.48680000000000001</v>
      </c>
      <c r="J370" s="508">
        <v>0.48680000000000001</v>
      </c>
      <c r="K370" s="508">
        <v>0.48680000000000001</v>
      </c>
      <c r="L370" s="508">
        <v>0.48680000000000001</v>
      </c>
      <c r="M370" s="508">
        <v>0.48680000000000001</v>
      </c>
    </row>
    <row r="371" spans="1:13">
      <c r="A371" s="505">
        <v>6.3</v>
      </c>
      <c r="B371" s="508">
        <v>0.66469999999999996</v>
      </c>
      <c r="C371" s="508">
        <v>0.66469999999999996</v>
      </c>
      <c r="D371" s="508">
        <v>0.63290000000000002</v>
      </c>
      <c r="E371" s="508">
        <v>0.63290000000000002</v>
      </c>
      <c r="F371" s="508">
        <v>0.63290000000000002</v>
      </c>
      <c r="G371" s="508">
        <v>0.56130000000000002</v>
      </c>
      <c r="H371" s="508">
        <v>0.56130000000000002</v>
      </c>
      <c r="I371" s="508">
        <v>0.48509999999999998</v>
      </c>
      <c r="J371" s="508">
        <v>0.48509999999999998</v>
      </c>
      <c r="K371" s="508">
        <v>0.48509999999999998</v>
      </c>
      <c r="L371" s="508">
        <v>0.48509999999999998</v>
      </c>
      <c r="M371" s="508">
        <v>0.48509999999999998</v>
      </c>
    </row>
    <row r="372" spans="1:13">
      <c r="A372" s="505">
        <v>6.4</v>
      </c>
      <c r="B372" s="508">
        <v>0.66359999999999997</v>
      </c>
      <c r="C372" s="508">
        <v>0.66359999999999997</v>
      </c>
      <c r="D372" s="508">
        <v>0.63139999999999996</v>
      </c>
      <c r="E372" s="508">
        <v>0.63139999999999996</v>
      </c>
      <c r="F372" s="508">
        <v>0.63139999999999996</v>
      </c>
      <c r="G372" s="508">
        <v>0.55979999999999996</v>
      </c>
      <c r="H372" s="508">
        <v>0.55979999999999996</v>
      </c>
      <c r="I372" s="508">
        <v>0.48349999999999999</v>
      </c>
      <c r="J372" s="508">
        <v>0.48349999999999999</v>
      </c>
      <c r="K372" s="508">
        <v>0.48349999999999999</v>
      </c>
      <c r="L372" s="508">
        <v>0.48349999999999999</v>
      </c>
      <c r="M372" s="508">
        <v>0.48349999999999999</v>
      </c>
    </row>
    <row r="373" spans="1:13">
      <c r="A373" s="505">
        <v>6.5</v>
      </c>
      <c r="B373" s="508">
        <v>0.66249999999999998</v>
      </c>
      <c r="C373" s="508">
        <v>0.66249999999999998</v>
      </c>
      <c r="D373" s="508">
        <v>0.63</v>
      </c>
      <c r="E373" s="508">
        <v>0.63</v>
      </c>
      <c r="F373" s="508">
        <v>0.63</v>
      </c>
      <c r="G373" s="508">
        <v>0.55820000000000003</v>
      </c>
      <c r="H373" s="508">
        <v>0.55820000000000003</v>
      </c>
      <c r="I373" s="508">
        <v>0.4819</v>
      </c>
      <c r="J373" s="508">
        <v>0.4819</v>
      </c>
      <c r="K373" s="508">
        <v>0.4819</v>
      </c>
      <c r="L373" s="508">
        <v>0.4819</v>
      </c>
      <c r="M373" s="508">
        <v>0.4819</v>
      </c>
    </row>
    <row r="374" spans="1:13">
      <c r="A374" s="505">
        <v>6.6</v>
      </c>
      <c r="B374" s="508">
        <v>0.66149999999999998</v>
      </c>
      <c r="C374" s="508">
        <v>0.66149999999999998</v>
      </c>
      <c r="D374" s="508">
        <v>0.62860000000000005</v>
      </c>
      <c r="E374" s="508">
        <v>0.62860000000000005</v>
      </c>
      <c r="F374" s="508">
        <v>0.62860000000000005</v>
      </c>
      <c r="G374" s="508">
        <v>0.55669999999999997</v>
      </c>
      <c r="H374" s="508">
        <v>0.55669999999999997</v>
      </c>
      <c r="I374" s="508">
        <v>0.4803</v>
      </c>
      <c r="J374" s="508">
        <v>0.4803</v>
      </c>
      <c r="K374" s="508">
        <v>0.4803</v>
      </c>
      <c r="L374" s="508">
        <v>0.4803</v>
      </c>
      <c r="M374" s="508">
        <v>0.4803</v>
      </c>
    </row>
    <row r="375" spans="1:13">
      <c r="A375" s="505">
        <v>6.7</v>
      </c>
      <c r="B375" s="508">
        <v>0.66049999999999998</v>
      </c>
      <c r="C375" s="508">
        <v>0.66049999999999998</v>
      </c>
      <c r="D375" s="508">
        <v>0.62719999999999998</v>
      </c>
      <c r="E375" s="508">
        <v>0.62719999999999998</v>
      </c>
      <c r="F375" s="508">
        <v>0.62719999999999998</v>
      </c>
      <c r="G375" s="508">
        <v>0.55520000000000003</v>
      </c>
      <c r="H375" s="508">
        <v>0.55520000000000003</v>
      </c>
      <c r="I375" s="508">
        <v>0.47870000000000001</v>
      </c>
      <c r="J375" s="508">
        <v>0.47870000000000001</v>
      </c>
      <c r="K375" s="508">
        <v>0.47870000000000001</v>
      </c>
      <c r="L375" s="508">
        <v>0.47870000000000001</v>
      </c>
      <c r="M375" s="508">
        <v>0.47870000000000001</v>
      </c>
    </row>
    <row r="376" spans="1:13">
      <c r="A376" s="505">
        <v>6.8</v>
      </c>
      <c r="B376" s="508">
        <v>0.65949999999999998</v>
      </c>
      <c r="C376" s="508">
        <v>0.65949999999999998</v>
      </c>
      <c r="D376" s="508">
        <v>0.62580000000000002</v>
      </c>
      <c r="E376" s="508">
        <v>0.62580000000000002</v>
      </c>
      <c r="F376" s="508">
        <v>0.62580000000000002</v>
      </c>
      <c r="G376" s="508">
        <v>0.55359999999999998</v>
      </c>
      <c r="H376" s="508">
        <v>0.55359999999999998</v>
      </c>
      <c r="I376" s="508">
        <v>0.47710000000000002</v>
      </c>
      <c r="J376" s="508">
        <v>0.47710000000000002</v>
      </c>
      <c r="K376" s="508">
        <v>0.47710000000000002</v>
      </c>
      <c r="L376" s="508">
        <v>0.47710000000000002</v>
      </c>
      <c r="M376" s="508">
        <v>0.47710000000000002</v>
      </c>
    </row>
    <row r="377" spans="1:13">
      <c r="A377" s="505">
        <v>6.9</v>
      </c>
      <c r="B377" s="508">
        <v>0.65849999999999997</v>
      </c>
      <c r="C377" s="508">
        <v>0.65849999999999997</v>
      </c>
      <c r="D377" s="508">
        <v>0.62439999999999996</v>
      </c>
      <c r="E377" s="508">
        <v>0.62439999999999996</v>
      </c>
      <c r="F377" s="508">
        <v>0.62439999999999996</v>
      </c>
      <c r="G377" s="508">
        <v>0.55220000000000002</v>
      </c>
      <c r="H377" s="508">
        <v>0.55220000000000002</v>
      </c>
      <c r="I377" s="508">
        <v>0.47549999999999998</v>
      </c>
      <c r="J377" s="508">
        <v>0.47549999999999998</v>
      </c>
      <c r="K377" s="508">
        <v>0.47549999999999998</v>
      </c>
      <c r="L377" s="508">
        <v>0.47549999999999998</v>
      </c>
      <c r="M377" s="508">
        <v>0.47549999999999998</v>
      </c>
    </row>
    <row r="378" spans="1:13">
      <c r="A378" s="505">
        <v>7</v>
      </c>
      <c r="B378" s="508">
        <v>0.65749999999999997</v>
      </c>
      <c r="C378" s="508">
        <v>0.65749999999999997</v>
      </c>
      <c r="D378" s="508">
        <v>0.623</v>
      </c>
      <c r="E378" s="508">
        <v>0.623</v>
      </c>
      <c r="F378" s="508">
        <v>0.623</v>
      </c>
      <c r="G378" s="508">
        <v>0.55069999999999997</v>
      </c>
      <c r="H378" s="508">
        <v>0.55069999999999997</v>
      </c>
      <c r="I378" s="508">
        <v>0.47389999999999999</v>
      </c>
      <c r="J378" s="508">
        <v>0.47389999999999999</v>
      </c>
      <c r="K378" s="508">
        <v>0.47389999999999999</v>
      </c>
      <c r="L378" s="508">
        <v>0.47389999999999999</v>
      </c>
      <c r="M378" s="508">
        <v>0.47389999999999999</v>
      </c>
    </row>
    <row r="379" spans="1:13">
      <c r="A379" s="505">
        <v>7.1</v>
      </c>
      <c r="B379" s="508">
        <v>0.65649999999999997</v>
      </c>
      <c r="C379" s="508">
        <v>0.65649999999999997</v>
      </c>
      <c r="D379" s="508">
        <v>0.62160000000000004</v>
      </c>
      <c r="E379" s="508">
        <v>0.62160000000000004</v>
      </c>
      <c r="F379" s="508">
        <v>0.62160000000000004</v>
      </c>
      <c r="G379" s="508">
        <v>0.54930000000000001</v>
      </c>
      <c r="H379" s="508">
        <v>0.54930000000000001</v>
      </c>
      <c r="I379" s="508">
        <v>0.47239999999999999</v>
      </c>
      <c r="J379" s="508">
        <v>0.47239999999999999</v>
      </c>
      <c r="K379" s="508">
        <v>0.47239999999999999</v>
      </c>
      <c r="L379" s="508">
        <v>0.47239999999999999</v>
      </c>
      <c r="M379" s="508">
        <v>0.47239999999999999</v>
      </c>
    </row>
    <row r="380" spans="1:13">
      <c r="A380" s="505">
        <v>7.2</v>
      </c>
      <c r="B380" s="508">
        <v>0.65549999999999997</v>
      </c>
      <c r="C380" s="508">
        <v>0.65549999999999997</v>
      </c>
      <c r="D380" s="508">
        <v>0.62019999999999997</v>
      </c>
      <c r="E380" s="508">
        <v>0.62019999999999997</v>
      </c>
      <c r="F380" s="508">
        <v>0.62019999999999997</v>
      </c>
      <c r="G380" s="508">
        <v>0.54779999999999995</v>
      </c>
      <c r="H380" s="508">
        <v>0.54779999999999995</v>
      </c>
      <c r="I380" s="508">
        <v>0.47089999999999999</v>
      </c>
      <c r="J380" s="508">
        <v>0.47089999999999999</v>
      </c>
      <c r="K380" s="508">
        <v>0.47089999999999999</v>
      </c>
      <c r="L380" s="508">
        <v>0.47089999999999999</v>
      </c>
      <c r="M380" s="508">
        <v>0.47089999999999999</v>
      </c>
    </row>
    <row r="381" spans="1:13">
      <c r="A381" s="505">
        <v>7.3</v>
      </c>
      <c r="B381" s="508">
        <v>0.65449999999999997</v>
      </c>
      <c r="C381" s="508">
        <v>0.65449999999999997</v>
      </c>
      <c r="D381" s="508">
        <v>0.61880000000000002</v>
      </c>
      <c r="E381" s="508">
        <v>0.61880000000000002</v>
      </c>
      <c r="F381" s="508">
        <v>0.61880000000000002</v>
      </c>
      <c r="G381" s="508">
        <v>0.5464</v>
      </c>
      <c r="H381" s="508">
        <v>0.5464</v>
      </c>
      <c r="I381" s="508">
        <v>0.46939999999999998</v>
      </c>
      <c r="J381" s="508">
        <v>0.46939999999999998</v>
      </c>
      <c r="K381" s="508">
        <v>0.46939999999999998</v>
      </c>
      <c r="L381" s="508">
        <v>0.46939999999999998</v>
      </c>
      <c r="M381" s="508">
        <v>0.46939999999999998</v>
      </c>
    </row>
    <row r="382" spans="1:13">
      <c r="A382" s="505">
        <v>7.4</v>
      </c>
      <c r="B382" s="508">
        <v>0.65349999999999997</v>
      </c>
      <c r="C382" s="508">
        <v>0.65349999999999997</v>
      </c>
      <c r="D382" s="508">
        <v>0.61750000000000005</v>
      </c>
      <c r="E382" s="508">
        <v>0.61750000000000005</v>
      </c>
      <c r="F382" s="508">
        <v>0.61750000000000005</v>
      </c>
      <c r="G382" s="508">
        <v>0.54490000000000005</v>
      </c>
      <c r="H382" s="508">
        <v>0.54490000000000005</v>
      </c>
      <c r="I382" s="508">
        <v>0.46779999999999999</v>
      </c>
      <c r="J382" s="508">
        <v>0.46779999999999999</v>
      </c>
      <c r="K382" s="508">
        <v>0.46779999999999999</v>
      </c>
      <c r="L382" s="508">
        <v>0.46779999999999999</v>
      </c>
      <c r="M382" s="508">
        <v>0.46779999999999999</v>
      </c>
    </row>
    <row r="383" spans="1:13">
      <c r="A383" s="505">
        <v>7.5</v>
      </c>
      <c r="B383" s="508">
        <v>0.65249999999999997</v>
      </c>
      <c r="C383" s="508">
        <v>0.65249999999999997</v>
      </c>
      <c r="D383" s="508">
        <v>0.61619999999999997</v>
      </c>
      <c r="E383" s="508">
        <v>0.61619999999999997</v>
      </c>
      <c r="F383" s="508">
        <v>0.61619999999999997</v>
      </c>
      <c r="G383" s="508">
        <v>0.54349999999999998</v>
      </c>
      <c r="H383" s="508">
        <v>0.54349999999999998</v>
      </c>
      <c r="I383" s="508">
        <v>0.46629999999999999</v>
      </c>
      <c r="J383" s="508">
        <v>0.46629999999999999</v>
      </c>
      <c r="K383" s="508">
        <v>0.46629999999999999</v>
      </c>
      <c r="L383" s="508">
        <v>0.46629999999999999</v>
      </c>
      <c r="M383" s="508">
        <v>0.46629999999999999</v>
      </c>
    </row>
    <row r="384" spans="1:13">
      <c r="A384" s="505">
        <v>7.6</v>
      </c>
      <c r="B384" s="508">
        <v>0.65149999999999997</v>
      </c>
      <c r="C384" s="508">
        <v>0.65149999999999997</v>
      </c>
      <c r="D384" s="508">
        <v>0.6149</v>
      </c>
      <c r="E384" s="508">
        <v>0.6149</v>
      </c>
      <c r="F384" s="508">
        <v>0.6149</v>
      </c>
      <c r="G384" s="508">
        <v>0.54200000000000004</v>
      </c>
      <c r="H384" s="508">
        <v>0.54200000000000004</v>
      </c>
      <c r="I384" s="508">
        <v>0.46479999999999999</v>
      </c>
      <c r="J384" s="508">
        <v>0.46479999999999999</v>
      </c>
      <c r="K384" s="508">
        <v>0.46479999999999999</v>
      </c>
      <c r="L384" s="508">
        <v>0.46479999999999999</v>
      </c>
      <c r="M384" s="508">
        <v>0.46479999999999999</v>
      </c>
    </row>
    <row r="385" spans="1:13">
      <c r="A385" s="505">
        <v>7.7</v>
      </c>
      <c r="B385" s="508">
        <v>0.65049999999999997</v>
      </c>
      <c r="C385" s="508">
        <v>0.65049999999999997</v>
      </c>
      <c r="D385" s="508">
        <v>0.61360000000000003</v>
      </c>
      <c r="E385" s="508">
        <v>0.61360000000000003</v>
      </c>
      <c r="F385" s="508">
        <v>0.61360000000000003</v>
      </c>
      <c r="G385" s="508">
        <v>0.54059999999999997</v>
      </c>
      <c r="H385" s="508">
        <v>0.54059999999999997</v>
      </c>
      <c r="I385" s="508">
        <v>0.46329999999999999</v>
      </c>
      <c r="J385" s="508">
        <v>0.46329999999999999</v>
      </c>
      <c r="K385" s="508">
        <v>0.46329999999999999</v>
      </c>
      <c r="L385" s="508">
        <v>0.46329999999999999</v>
      </c>
      <c r="M385" s="508">
        <v>0.46329999999999999</v>
      </c>
    </row>
    <row r="386" spans="1:13">
      <c r="A386" s="505">
        <v>7.8</v>
      </c>
      <c r="B386" s="508">
        <v>0.64949999999999997</v>
      </c>
      <c r="C386" s="508">
        <v>0.64949999999999997</v>
      </c>
      <c r="D386" s="508">
        <v>0.61229999999999996</v>
      </c>
      <c r="E386" s="508">
        <v>0.61229999999999996</v>
      </c>
      <c r="F386" s="508">
        <v>0.61229999999999996</v>
      </c>
      <c r="G386" s="508">
        <v>0.53910000000000002</v>
      </c>
      <c r="H386" s="508">
        <v>0.53910000000000002</v>
      </c>
      <c r="I386" s="508">
        <v>0.4617</v>
      </c>
      <c r="J386" s="508">
        <v>0.4617</v>
      </c>
      <c r="K386" s="508">
        <v>0.4617</v>
      </c>
      <c r="L386" s="508">
        <v>0.4617</v>
      </c>
      <c r="M386" s="508">
        <v>0.4617</v>
      </c>
    </row>
    <row r="387" spans="1:13">
      <c r="A387" s="505">
        <v>7.9</v>
      </c>
      <c r="B387" s="508">
        <v>0.64849999999999997</v>
      </c>
      <c r="C387" s="508">
        <v>0.64849999999999997</v>
      </c>
      <c r="D387" s="508">
        <v>0.61099999999999999</v>
      </c>
      <c r="E387" s="508">
        <v>0.61099999999999999</v>
      </c>
      <c r="F387" s="508">
        <v>0.61099999999999999</v>
      </c>
      <c r="G387" s="508">
        <v>0.53769999999999996</v>
      </c>
      <c r="H387" s="508">
        <v>0.53769999999999996</v>
      </c>
      <c r="I387" s="508">
        <v>0.4602</v>
      </c>
      <c r="J387" s="508">
        <v>0.4602</v>
      </c>
      <c r="K387" s="508">
        <v>0.4602</v>
      </c>
      <c r="L387" s="508">
        <v>0.4602</v>
      </c>
      <c r="M387" s="508">
        <v>0.4602</v>
      </c>
    </row>
    <row r="388" spans="1:13">
      <c r="A388" s="505">
        <v>8</v>
      </c>
      <c r="B388" s="508">
        <v>0.64749999999999996</v>
      </c>
      <c r="C388" s="508">
        <v>0.64749999999999996</v>
      </c>
      <c r="D388" s="508">
        <v>0.60970000000000002</v>
      </c>
      <c r="E388" s="508">
        <v>0.60970000000000002</v>
      </c>
      <c r="F388" s="508">
        <v>0.60970000000000002</v>
      </c>
      <c r="G388" s="508">
        <v>0.53620000000000001</v>
      </c>
      <c r="H388" s="508">
        <v>0.53620000000000001</v>
      </c>
      <c r="I388" s="508">
        <v>0.4587</v>
      </c>
      <c r="J388" s="508">
        <v>0.4587</v>
      </c>
      <c r="K388" s="508">
        <v>0.4587</v>
      </c>
      <c r="L388" s="508">
        <v>0.4587</v>
      </c>
      <c r="M388" s="508">
        <v>0.4587</v>
      </c>
    </row>
    <row r="389" spans="1:13">
      <c r="A389" s="505">
        <v>8.1</v>
      </c>
      <c r="B389" s="508">
        <v>0.64649999999999996</v>
      </c>
      <c r="C389" s="508">
        <v>0.64649999999999996</v>
      </c>
      <c r="D389" s="508">
        <v>0.60840000000000005</v>
      </c>
      <c r="E389" s="508">
        <v>0.60840000000000005</v>
      </c>
      <c r="F389" s="508">
        <v>0.60840000000000005</v>
      </c>
      <c r="G389" s="508">
        <v>0.53480000000000005</v>
      </c>
      <c r="H389" s="508">
        <v>0.53480000000000005</v>
      </c>
      <c r="I389" s="508">
        <v>0.4572</v>
      </c>
      <c r="J389" s="508">
        <v>0.4572</v>
      </c>
      <c r="K389" s="508">
        <v>0.4572</v>
      </c>
      <c r="L389" s="508">
        <v>0.4572</v>
      </c>
      <c r="M389" s="508">
        <v>0.4572</v>
      </c>
    </row>
    <row r="390" spans="1:13">
      <c r="A390" s="505">
        <v>8.1999999999999993</v>
      </c>
      <c r="B390" s="508">
        <v>0.64549999999999996</v>
      </c>
      <c r="C390" s="508">
        <v>0.64549999999999996</v>
      </c>
      <c r="D390" s="508">
        <v>0.60709999999999997</v>
      </c>
      <c r="E390" s="508">
        <v>0.60709999999999997</v>
      </c>
      <c r="F390" s="508">
        <v>0.60709999999999997</v>
      </c>
      <c r="G390" s="508">
        <v>0.5333</v>
      </c>
      <c r="H390" s="508">
        <v>0.5333</v>
      </c>
      <c r="I390" s="508">
        <v>0.45569999999999999</v>
      </c>
      <c r="J390" s="508">
        <v>0.45569999999999999</v>
      </c>
      <c r="K390" s="508">
        <v>0.45569999999999999</v>
      </c>
      <c r="L390" s="508">
        <v>0.45569999999999999</v>
      </c>
      <c r="M390" s="508">
        <v>0.45569999999999999</v>
      </c>
    </row>
    <row r="391" spans="1:13">
      <c r="A391" s="505">
        <v>8.3000000000000007</v>
      </c>
      <c r="B391" s="508">
        <v>0.64449999999999996</v>
      </c>
      <c r="C391" s="508">
        <v>0.64449999999999996</v>
      </c>
      <c r="D391" s="508">
        <v>0.60580000000000001</v>
      </c>
      <c r="E391" s="508">
        <v>0.60580000000000001</v>
      </c>
      <c r="F391" s="508">
        <v>0.60580000000000001</v>
      </c>
      <c r="G391" s="508">
        <v>0.53190000000000004</v>
      </c>
      <c r="H391" s="508">
        <v>0.53190000000000004</v>
      </c>
      <c r="I391" s="508">
        <v>0.45429999999999998</v>
      </c>
      <c r="J391" s="508">
        <v>0.45429999999999998</v>
      </c>
      <c r="K391" s="508">
        <v>0.45429999999999998</v>
      </c>
      <c r="L391" s="508">
        <v>0.45429999999999998</v>
      </c>
      <c r="M391" s="508">
        <v>0.45429999999999998</v>
      </c>
    </row>
    <row r="392" spans="1:13">
      <c r="A392" s="505">
        <v>8.4</v>
      </c>
      <c r="B392" s="508">
        <v>0.64349999999999996</v>
      </c>
      <c r="C392" s="508">
        <v>0.64349999999999996</v>
      </c>
      <c r="D392" s="508">
        <v>0.60450000000000004</v>
      </c>
      <c r="E392" s="508">
        <v>0.60450000000000004</v>
      </c>
      <c r="F392" s="508">
        <v>0.60450000000000004</v>
      </c>
      <c r="G392" s="508">
        <v>0.53039999999999998</v>
      </c>
      <c r="H392" s="508">
        <v>0.53039999999999998</v>
      </c>
      <c r="I392" s="508">
        <v>0.45290000000000002</v>
      </c>
      <c r="J392" s="508">
        <v>0.45290000000000002</v>
      </c>
      <c r="K392" s="508">
        <v>0.45290000000000002</v>
      </c>
      <c r="L392" s="508">
        <v>0.45290000000000002</v>
      </c>
      <c r="M392" s="508">
        <v>0.45290000000000002</v>
      </c>
    </row>
    <row r="393" spans="1:13">
      <c r="A393" s="505">
        <v>8.5</v>
      </c>
      <c r="B393" s="508">
        <v>0.64249999999999996</v>
      </c>
      <c r="C393" s="508">
        <v>0.64249999999999996</v>
      </c>
      <c r="D393" s="508">
        <v>0.60319999999999996</v>
      </c>
      <c r="E393" s="508">
        <v>0.60319999999999996</v>
      </c>
      <c r="F393" s="508">
        <v>0.60319999999999996</v>
      </c>
      <c r="G393" s="508">
        <v>0.52900000000000003</v>
      </c>
      <c r="H393" s="508">
        <v>0.52900000000000003</v>
      </c>
      <c r="I393" s="508">
        <v>0.45140000000000002</v>
      </c>
      <c r="J393" s="508">
        <v>0.45140000000000002</v>
      </c>
      <c r="K393" s="508">
        <v>0.45140000000000002</v>
      </c>
      <c r="L393" s="508">
        <v>0.45140000000000002</v>
      </c>
      <c r="M393" s="508">
        <v>0.45140000000000002</v>
      </c>
    </row>
    <row r="394" spans="1:13">
      <c r="A394" s="505">
        <v>8.6</v>
      </c>
      <c r="B394" s="508">
        <v>0.64149999999999996</v>
      </c>
      <c r="C394" s="508">
        <v>0.64149999999999996</v>
      </c>
      <c r="D394" s="508">
        <v>0.60189999999999999</v>
      </c>
      <c r="E394" s="508">
        <v>0.60189999999999999</v>
      </c>
      <c r="F394" s="508">
        <v>0.60189999999999999</v>
      </c>
      <c r="G394" s="508">
        <v>0.52749999999999997</v>
      </c>
      <c r="H394" s="508">
        <v>0.52749999999999997</v>
      </c>
      <c r="I394" s="508">
        <v>0.45</v>
      </c>
      <c r="J394" s="508">
        <v>0.45</v>
      </c>
      <c r="K394" s="508">
        <v>0.45</v>
      </c>
      <c r="L394" s="508">
        <v>0.45</v>
      </c>
      <c r="M394" s="508">
        <v>0.45</v>
      </c>
    </row>
    <row r="395" spans="1:13">
      <c r="A395" s="505">
        <v>8.6999999999999993</v>
      </c>
      <c r="B395" s="508">
        <v>0.64049999999999996</v>
      </c>
      <c r="C395" s="508">
        <v>0.64049999999999996</v>
      </c>
      <c r="D395" s="508">
        <v>0.60060000000000002</v>
      </c>
      <c r="E395" s="508">
        <v>0.60060000000000002</v>
      </c>
      <c r="F395" s="508">
        <v>0.60060000000000002</v>
      </c>
      <c r="G395" s="508">
        <v>0.52610000000000001</v>
      </c>
      <c r="H395" s="508">
        <v>0.52610000000000001</v>
      </c>
      <c r="I395" s="508">
        <v>0.44850000000000001</v>
      </c>
      <c r="J395" s="508">
        <v>0.44850000000000001</v>
      </c>
      <c r="K395" s="508">
        <v>0.44850000000000001</v>
      </c>
      <c r="L395" s="508">
        <v>0.44850000000000001</v>
      </c>
      <c r="M395" s="508">
        <v>0.44850000000000001</v>
      </c>
    </row>
    <row r="396" spans="1:13">
      <c r="A396" s="505">
        <v>8.8000000000000007</v>
      </c>
      <c r="B396" s="508">
        <v>0.63949999999999996</v>
      </c>
      <c r="C396" s="508">
        <v>0.63949999999999996</v>
      </c>
      <c r="D396" s="508">
        <v>0.59930000000000005</v>
      </c>
      <c r="E396" s="508">
        <v>0.59930000000000005</v>
      </c>
      <c r="F396" s="508">
        <v>0.59930000000000005</v>
      </c>
      <c r="G396" s="508">
        <v>0.52459999999999996</v>
      </c>
      <c r="H396" s="508">
        <v>0.52459999999999996</v>
      </c>
      <c r="I396" s="508">
        <v>0.4471</v>
      </c>
      <c r="J396" s="508">
        <v>0.4471</v>
      </c>
      <c r="K396" s="508">
        <v>0.4471</v>
      </c>
      <c r="L396" s="508">
        <v>0.4471</v>
      </c>
      <c r="M396" s="508">
        <v>0.4471</v>
      </c>
    </row>
    <row r="397" spans="1:13">
      <c r="A397" s="505">
        <v>8.9</v>
      </c>
      <c r="B397" s="508">
        <v>0.63849999999999996</v>
      </c>
      <c r="C397" s="508">
        <v>0.63849999999999996</v>
      </c>
      <c r="D397" s="508">
        <v>0.59799999999999998</v>
      </c>
      <c r="E397" s="508">
        <v>0.59799999999999998</v>
      </c>
      <c r="F397" s="508">
        <v>0.59799999999999998</v>
      </c>
      <c r="G397" s="508">
        <v>0.5232</v>
      </c>
      <c r="H397" s="508">
        <v>0.5232</v>
      </c>
      <c r="I397" s="508">
        <v>0.4456</v>
      </c>
      <c r="J397" s="508">
        <v>0.4456</v>
      </c>
      <c r="K397" s="508">
        <v>0.4456</v>
      </c>
      <c r="L397" s="508">
        <v>0.4456</v>
      </c>
      <c r="M397" s="508">
        <v>0.4456</v>
      </c>
    </row>
    <row r="398" spans="1:13">
      <c r="A398" s="509">
        <v>9</v>
      </c>
      <c r="B398" s="508">
        <v>0.63749999999999996</v>
      </c>
      <c r="C398" s="508">
        <v>0.63749999999999996</v>
      </c>
      <c r="D398" s="508">
        <v>0.59670000000000001</v>
      </c>
      <c r="E398" s="508">
        <v>0.59670000000000001</v>
      </c>
      <c r="F398" s="508">
        <v>0.59670000000000001</v>
      </c>
      <c r="G398" s="508">
        <v>0.52170000000000005</v>
      </c>
      <c r="H398" s="508">
        <v>0.52170000000000005</v>
      </c>
      <c r="I398" s="508">
        <v>0.44429999999999997</v>
      </c>
      <c r="J398" s="508">
        <v>0.44429999999999997</v>
      </c>
      <c r="K398" s="508">
        <v>0.44429999999999997</v>
      </c>
      <c r="L398" s="508">
        <v>0.44429999999999997</v>
      </c>
      <c r="M398" s="508">
        <v>0.44429999999999997</v>
      </c>
    </row>
    <row r="399" spans="1:13">
      <c r="A399" s="509">
        <v>9.1</v>
      </c>
      <c r="B399" s="508">
        <v>0.63649999999999995</v>
      </c>
      <c r="C399" s="508">
        <v>0.63649999999999995</v>
      </c>
      <c r="D399" s="508">
        <v>0.59540000000000004</v>
      </c>
      <c r="E399" s="508">
        <v>0.59540000000000004</v>
      </c>
      <c r="F399" s="508">
        <v>0.59540000000000004</v>
      </c>
      <c r="G399" s="508">
        <v>0.52029999999999998</v>
      </c>
      <c r="H399" s="508">
        <v>0.52029999999999998</v>
      </c>
      <c r="I399" s="508">
        <v>0.44290000000000002</v>
      </c>
      <c r="J399" s="508">
        <v>0.44290000000000002</v>
      </c>
      <c r="K399" s="508">
        <v>0.44290000000000002</v>
      </c>
      <c r="L399" s="508">
        <v>0.44290000000000002</v>
      </c>
      <c r="M399" s="508">
        <v>0.44290000000000002</v>
      </c>
    </row>
    <row r="400" spans="1:13">
      <c r="A400" s="509">
        <v>9.1999999999999993</v>
      </c>
      <c r="B400" s="508">
        <v>0.63549999999999995</v>
      </c>
      <c r="C400" s="508">
        <v>0.63549999999999995</v>
      </c>
      <c r="D400" s="508">
        <v>0.59409999999999996</v>
      </c>
      <c r="E400" s="508">
        <v>0.59409999999999996</v>
      </c>
      <c r="F400" s="508">
        <v>0.59409999999999996</v>
      </c>
      <c r="G400" s="508">
        <v>0.51880000000000004</v>
      </c>
      <c r="H400" s="508">
        <v>0.51880000000000004</v>
      </c>
      <c r="I400" s="508">
        <v>0.44159999999999999</v>
      </c>
      <c r="J400" s="508">
        <v>0.44159999999999999</v>
      </c>
      <c r="K400" s="508">
        <v>0.44159999999999999</v>
      </c>
      <c r="L400" s="508">
        <v>0.44159999999999999</v>
      </c>
      <c r="M400" s="508">
        <v>0.44159999999999999</v>
      </c>
    </row>
    <row r="401" spans="1:13">
      <c r="A401" s="509">
        <v>9.3000000000000007</v>
      </c>
      <c r="B401" s="508">
        <v>0.63449999999999995</v>
      </c>
      <c r="C401" s="508">
        <v>0.63449999999999995</v>
      </c>
      <c r="D401" s="508">
        <v>0.59279999999999999</v>
      </c>
      <c r="E401" s="508">
        <v>0.59279999999999999</v>
      </c>
      <c r="F401" s="508">
        <v>0.59279999999999999</v>
      </c>
      <c r="G401" s="508">
        <v>0.51739999999999997</v>
      </c>
      <c r="H401" s="508">
        <v>0.51739999999999997</v>
      </c>
      <c r="I401" s="508">
        <v>0.44019999999999998</v>
      </c>
      <c r="J401" s="508">
        <v>0.44019999999999998</v>
      </c>
      <c r="K401" s="508">
        <v>0.44019999999999998</v>
      </c>
      <c r="L401" s="508">
        <v>0.44019999999999998</v>
      </c>
      <c r="M401" s="508">
        <v>0.44019999999999998</v>
      </c>
    </row>
    <row r="402" spans="1:13">
      <c r="A402" s="509">
        <v>9.4</v>
      </c>
      <c r="B402" s="508">
        <v>0.63349999999999995</v>
      </c>
      <c r="C402" s="508">
        <v>0.63349999999999995</v>
      </c>
      <c r="D402" s="508">
        <v>0.59150000000000003</v>
      </c>
      <c r="E402" s="508">
        <v>0.59150000000000003</v>
      </c>
      <c r="F402" s="508">
        <v>0.59150000000000003</v>
      </c>
      <c r="G402" s="508">
        <v>0.51600000000000001</v>
      </c>
      <c r="H402" s="508">
        <v>0.51600000000000001</v>
      </c>
      <c r="I402" s="508">
        <v>0.43880000000000002</v>
      </c>
      <c r="J402" s="508">
        <v>0.43880000000000002</v>
      </c>
      <c r="K402" s="508">
        <v>0.43880000000000002</v>
      </c>
      <c r="L402" s="508">
        <v>0.43880000000000002</v>
      </c>
      <c r="M402" s="508">
        <v>0.43880000000000002</v>
      </c>
    </row>
    <row r="403" spans="1:13">
      <c r="A403" s="509">
        <v>9.5</v>
      </c>
      <c r="B403" s="508">
        <v>0.63249999999999995</v>
      </c>
      <c r="C403" s="508">
        <v>0.63249999999999995</v>
      </c>
      <c r="D403" s="508">
        <v>0.59030000000000005</v>
      </c>
      <c r="E403" s="508">
        <v>0.59030000000000005</v>
      </c>
      <c r="F403" s="508">
        <v>0.59030000000000005</v>
      </c>
      <c r="G403" s="508">
        <v>0.51470000000000005</v>
      </c>
      <c r="H403" s="508">
        <v>0.51470000000000005</v>
      </c>
      <c r="I403" s="508">
        <v>0.4375</v>
      </c>
      <c r="J403" s="508">
        <v>0.4375</v>
      </c>
      <c r="K403" s="508">
        <v>0.4375</v>
      </c>
      <c r="L403" s="508">
        <v>0.4375</v>
      </c>
      <c r="M403" s="508">
        <v>0.4375</v>
      </c>
    </row>
    <row r="404" spans="1:13">
      <c r="A404" s="509">
        <v>9.6</v>
      </c>
      <c r="B404" s="508">
        <v>0.63149999999999995</v>
      </c>
      <c r="C404" s="508">
        <v>0.63149999999999995</v>
      </c>
      <c r="D404" s="508">
        <v>0.58909999999999996</v>
      </c>
      <c r="E404" s="508">
        <v>0.58909999999999996</v>
      </c>
      <c r="F404" s="508">
        <v>0.58909999999999996</v>
      </c>
      <c r="G404" s="508">
        <v>0.51329999999999998</v>
      </c>
      <c r="H404" s="508">
        <v>0.51329999999999998</v>
      </c>
      <c r="I404" s="508">
        <v>0.43609999999999999</v>
      </c>
      <c r="J404" s="508">
        <v>0.43609999999999999</v>
      </c>
      <c r="K404" s="508">
        <v>0.43609999999999999</v>
      </c>
      <c r="L404" s="508">
        <v>0.43609999999999999</v>
      </c>
      <c r="M404" s="508">
        <v>0.43609999999999999</v>
      </c>
    </row>
    <row r="405" spans="1:13">
      <c r="A405" s="509">
        <v>9.6999999999999993</v>
      </c>
      <c r="B405" s="508">
        <v>0.63049999999999995</v>
      </c>
      <c r="C405" s="508">
        <v>0.63049999999999995</v>
      </c>
      <c r="D405" s="508">
        <v>0.58789999999999998</v>
      </c>
      <c r="E405" s="508">
        <v>0.58789999999999998</v>
      </c>
      <c r="F405" s="508">
        <v>0.58789999999999998</v>
      </c>
      <c r="G405" s="508">
        <v>0.51200000000000001</v>
      </c>
      <c r="H405" s="508">
        <v>0.51200000000000001</v>
      </c>
      <c r="I405" s="508">
        <v>0.43480000000000002</v>
      </c>
      <c r="J405" s="508">
        <v>0.43480000000000002</v>
      </c>
      <c r="K405" s="508">
        <v>0.43480000000000002</v>
      </c>
      <c r="L405" s="508">
        <v>0.43480000000000002</v>
      </c>
      <c r="M405" s="508">
        <v>0.43480000000000002</v>
      </c>
    </row>
    <row r="406" spans="1:13">
      <c r="A406" s="509">
        <v>9.8000000000000007</v>
      </c>
      <c r="B406" s="508">
        <v>0.62949999999999995</v>
      </c>
      <c r="C406" s="508">
        <v>0.62949999999999995</v>
      </c>
      <c r="D406" s="508">
        <v>0.5867</v>
      </c>
      <c r="E406" s="508">
        <v>0.5867</v>
      </c>
      <c r="F406" s="508">
        <v>0.5867</v>
      </c>
      <c r="G406" s="508">
        <v>0.51060000000000005</v>
      </c>
      <c r="H406" s="508">
        <v>0.51060000000000005</v>
      </c>
      <c r="I406" s="508">
        <v>0.43340000000000001</v>
      </c>
      <c r="J406" s="508">
        <v>0.43340000000000001</v>
      </c>
      <c r="K406" s="508">
        <v>0.43340000000000001</v>
      </c>
      <c r="L406" s="508">
        <v>0.43340000000000001</v>
      </c>
      <c r="M406" s="508">
        <v>0.43340000000000001</v>
      </c>
    </row>
    <row r="407" spans="1:13">
      <c r="A407" s="509">
        <v>9.9</v>
      </c>
      <c r="B407" s="508">
        <v>0.62849999999999995</v>
      </c>
      <c r="C407" s="508">
        <v>0.62849999999999995</v>
      </c>
      <c r="D407" s="508">
        <v>0.58550000000000002</v>
      </c>
      <c r="E407" s="508">
        <v>0.58550000000000002</v>
      </c>
      <c r="F407" s="508">
        <v>0.58550000000000002</v>
      </c>
      <c r="G407" s="508">
        <v>0.50919999999999999</v>
      </c>
      <c r="H407" s="508">
        <v>0.50919999999999999</v>
      </c>
      <c r="I407" s="508">
        <v>0.432</v>
      </c>
      <c r="J407" s="508">
        <v>0.432</v>
      </c>
      <c r="K407" s="508">
        <v>0.432</v>
      </c>
      <c r="L407" s="508">
        <v>0.432</v>
      </c>
      <c r="M407" s="508">
        <v>0.432</v>
      </c>
    </row>
    <row r="408" spans="1:13">
      <c r="A408" s="509">
        <v>10</v>
      </c>
      <c r="B408" s="508">
        <v>0.62749999999999995</v>
      </c>
      <c r="C408" s="508">
        <v>0.62749999999999995</v>
      </c>
      <c r="D408" s="508">
        <v>0.58430000000000004</v>
      </c>
      <c r="E408" s="508">
        <v>0.58430000000000004</v>
      </c>
      <c r="F408" s="508">
        <v>0.58430000000000004</v>
      </c>
      <c r="G408" s="508">
        <v>0.50790000000000002</v>
      </c>
      <c r="H408" s="508">
        <v>0.50790000000000002</v>
      </c>
      <c r="I408" s="508">
        <v>0.43070000000000003</v>
      </c>
      <c r="J408" s="508">
        <v>0.43070000000000003</v>
      </c>
      <c r="K408" s="508">
        <v>0.43070000000000003</v>
      </c>
      <c r="L408" s="508">
        <v>0.43070000000000003</v>
      </c>
      <c r="M408" s="508">
        <v>0.43070000000000003</v>
      </c>
    </row>
  </sheetData>
  <sheetProtection password="C66D" sheet="1" objects="1" scenarios="1" formatCells="0" formatColumns="0" formatRows="0"/>
  <phoneticPr fontId="21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2997" customWidth="1"/>
    <col min="2" max="2" width="37.25" style="2997" customWidth="1"/>
    <col min="3" max="3" width="11.375" style="2997" customWidth="1"/>
    <col min="4" max="4" width="31.75" style="2997" customWidth="1"/>
    <col min="5" max="5" width="0.5" style="2997" customWidth="1"/>
    <col min="6" max="7" width="13" style="2997" customWidth="1"/>
    <col min="8" max="16384" width="9" style="2997"/>
  </cols>
  <sheetData>
    <row r="1" spans="1:5" ht="18.75">
      <c r="A1" s="2998" t="s">
        <v>94</v>
      </c>
      <c r="B1" s="2999"/>
      <c r="C1" s="2999"/>
      <c r="D1" s="2999"/>
      <c r="E1" s="2999"/>
    </row>
    <row r="2" spans="1:5" ht="78" customHeight="1">
      <c r="A2" s="30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6"/>
      <c r="C2" s="3086"/>
      <c r="D2" s="3086"/>
      <c r="E2" s="3086"/>
    </row>
    <row r="3" spans="1:5" ht="18">
      <c r="A3" s="3087" t="str">
        <f>IF(项目基本情况!B9="房地产市场价值","估价结果一览表（市场价值不需“结果表-1”）","估价结果一览表")</f>
        <v>估价结果一览表</v>
      </c>
      <c r="B3" s="3087"/>
      <c r="C3" s="3087"/>
      <c r="D3" s="3087"/>
      <c r="E3" s="3087"/>
    </row>
    <row r="4" spans="1:5" ht="18.75">
      <c r="A4" s="3000"/>
      <c r="B4" s="3088" t="s">
        <v>95</v>
      </c>
      <c r="C4" s="3088"/>
      <c r="D4" s="3088"/>
      <c r="E4" s="3000"/>
    </row>
    <row r="5" spans="1:5" ht="15.75">
      <c r="A5" s="2999"/>
      <c r="B5" s="3080" t="s">
        <v>96</v>
      </c>
      <c r="C5" s="3001" t="s">
        <v>97</v>
      </c>
      <c r="D5" s="3002">
        <f ca="1">结果表!H101</f>
        <v>338304</v>
      </c>
      <c r="E5" s="2999"/>
    </row>
    <row r="6" spans="1:5" ht="15.75">
      <c r="A6" s="2999"/>
      <c r="B6" s="3080"/>
      <c r="C6" s="3001" t="s">
        <v>98</v>
      </c>
      <c r="D6" s="3002" t="str">
        <f ca="1">NUMBERSTRING(INT(D5*10000),2)&amp;"元整"</f>
        <v>叁拾叁亿捌仟叁佰零肆万元整</v>
      </c>
      <c r="E6" s="2999"/>
    </row>
    <row r="7" spans="1:5" ht="15.75">
      <c r="A7" s="2999"/>
      <c r="B7" s="3081"/>
      <c r="C7" s="3003" t="s">
        <v>99</v>
      </c>
      <c r="D7" s="3004">
        <f ca="1">结果表!H102</f>
        <v>86252</v>
      </c>
      <c r="E7" s="2999"/>
    </row>
    <row r="8" spans="1:5" ht="15.75">
      <c r="A8" s="2999"/>
      <c r="B8" s="3082" t="str">
        <f>结果表!E103</f>
        <v>2.估价师知悉的法定优先受偿款</v>
      </c>
      <c r="C8" s="3005" t="s">
        <v>100</v>
      </c>
      <c r="D8" s="3004">
        <f>结果表!H103</f>
        <v>0</v>
      </c>
      <c r="E8" s="2999"/>
    </row>
    <row r="9" spans="1:5" ht="15.75">
      <c r="A9" s="2999"/>
      <c r="B9" s="3084"/>
      <c r="C9" s="3001" t="s">
        <v>98</v>
      </c>
      <c r="D9" s="3002" t="str">
        <f>NUMBERSTRING(INT(D8*10000),2)&amp;"元整"</f>
        <v>零元整</v>
      </c>
      <c r="E9" s="2999"/>
    </row>
    <row r="10" spans="1:5" ht="15">
      <c r="A10" s="2999"/>
      <c r="B10" s="3006" t="s">
        <v>101</v>
      </c>
      <c r="C10" s="3007" t="s">
        <v>102</v>
      </c>
      <c r="D10" s="3008">
        <f>结果表!H104</f>
        <v>0</v>
      </c>
      <c r="E10" s="2999"/>
    </row>
    <row r="11" spans="1:5" ht="15">
      <c r="A11" s="2999"/>
      <c r="B11" s="3006" t="s">
        <v>103</v>
      </c>
      <c r="C11" s="3007" t="s">
        <v>102</v>
      </c>
      <c r="D11" s="3008">
        <f>结果表!H105</f>
        <v>0</v>
      </c>
      <c r="E11" s="2999"/>
    </row>
    <row r="12" spans="1:5" ht="15">
      <c r="A12" s="2999"/>
      <c r="B12" s="3006" t="s">
        <v>104</v>
      </c>
      <c r="C12" s="3007" t="s">
        <v>102</v>
      </c>
      <c r="D12" s="3008">
        <f>结果表!H106</f>
        <v>0</v>
      </c>
      <c r="E12" s="2999"/>
    </row>
    <row r="13" spans="1:5" ht="15.75">
      <c r="A13" s="2999"/>
      <c r="B13" s="3079" t="str">
        <f>结果表!E107</f>
        <v>3.房地产抵押价值</v>
      </c>
      <c r="C13" s="3009" t="s">
        <v>97</v>
      </c>
      <c r="D13" s="3010">
        <f ca="1">结果表!H107</f>
        <v>338304</v>
      </c>
      <c r="E13" s="2999"/>
    </row>
    <row r="14" spans="1:5" ht="15.75">
      <c r="A14" s="2999"/>
      <c r="B14" s="3080"/>
      <c r="C14" s="3001" t="s">
        <v>98</v>
      </c>
      <c r="D14" s="3002" t="str">
        <f ca="1">NUMBERSTRING(INT(D13*10000),2)&amp;"元整"</f>
        <v>叁拾叁亿捌仟叁佰零肆万元整</v>
      </c>
      <c r="E14" s="2999"/>
    </row>
    <row r="15" spans="1:5" ht="15">
      <c r="A15" s="2999"/>
      <c r="B15" s="3081"/>
      <c r="C15" s="3003" t="s">
        <v>99</v>
      </c>
      <c r="D15" s="3011">
        <f ca="1">结果表!H108</f>
        <v>86252</v>
      </c>
      <c r="E15" s="2999"/>
    </row>
    <row r="16" spans="1:5" ht="15">
      <c r="A16" s="2999"/>
      <c r="B16" s="3082" t="str">
        <f>结果表!E109</f>
        <v>——</v>
      </c>
      <c r="C16" s="3009" t="s">
        <v>97</v>
      </c>
      <c r="D16" s="3012" t="str">
        <f>结果表!H109</f>
        <v>——</v>
      </c>
      <c r="E16" s="2999"/>
    </row>
    <row r="17" spans="1:5" ht="15.75">
      <c r="A17" s="2999"/>
      <c r="B17" s="3083"/>
      <c r="C17" s="3001" t="s">
        <v>98</v>
      </c>
      <c r="D17" s="3002" t="e">
        <f>NUMBERSTRING(INT(D16*10000),2)&amp;"元整"</f>
        <v>#VALUE!</v>
      </c>
      <c r="E17" s="2999"/>
    </row>
    <row r="18" spans="1:5" ht="15">
      <c r="A18" s="2999"/>
      <c r="B18" s="3084"/>
      <c r="C18" s="3003" t="s">
        <v>99</v>
      </c>
      <c r="D18" s="3011" t="str">
        <f>结果表!H110</f>
        <v>——</v>
      </c>
      <c r="E18" s="2999"/>
    </row>
    <row r="19" spans="1:5" ht="15.75">
      <c r="A19" s="2999"/>
      <c r="B19" s="3079" t="str">
        <f>结果表!E111</f>
        <v>——</v>
      </c>
      <c r="C19" s="3009" t="s">
        <v>97</v>
      </c>
      <c r="D19" s="3004" t="str">
        <f>结果表!H111</f>
        <v>——</v>
      </c>
      <c r="E19" s="2999"/>
    </row>
    <row r="20" spans="1:5" ht="15.75">
      <c r="A20" s="2999"/>
      <c r="B20" s="3080"/>
      <c r="C20" s="3001" t="s">
        <v>98</v>
      </c>
      <c r="D20" s="3002" t="e">
        <f>NUMBERSTRING(INT(D19*10000),2)&amp;"元整"</f>
        <v>#VALUE!</v>
      </c>
      <c r="E20" s="2999"/>
    </row>
    <row r="21" spans="1:5" ht="15">
      <c r="A21" s="2999"/>
      <c r="B21" s="3085"/>
      <c r="C21" s="3013" t="s">
        <v>99</v>
      </c>
      <c r="D21" s="3014" t="str">
        <f>结果表!H112</f>
        <v>——</v>
      </c>
      <c r="E21" s="2999"/>
    </row>
    <row r="22" spans="1:5">
      <c r="A22" s="2999"/>
      <c r="B22" s="3015" t="s">
        <v>105</v>
      </c>
      <c r="C22" s="2999"/>
      <c r="D22" s="2999"/>
      <c r="E22" s="2999"/>
    </row>
    <row r="23" spans="1:5">
      <c r="A23" s="2999"/>
      <c r="B23" s="2999"/>
      <c r="C23" s="2999"/>
      <c r="D23" s="2999"/>
      <c r="E23" s="2999"/>
    </row>
    <row r="24" spans="1:5" ht="18.75">
      <c r="A24" s="3016"/>
      <c r="B24" s="3017" t="s">
        <v>106</v>
      </c>
      <c r="C24" s="3016"/>
      <c r="D24" s="3016"/>
      <c r="E24" s="3016"/>
    </row>
    <row r="25" spans="1:5">
      <c r="A25" s="3016"/>
      <c r="B25" s="3016"/>
      <c r="C25" s="3016"/>
      <c r="D25" s="3016"/>
      <c r="E25" s="3016"/>
    </row>
    <row r="26" spans="1:5">
      <c r="A26" s="3016"/>
      <c r="B26" s="3016"/>
      <c r="C26" s="3016"/>
      <c r="D26" s="3016"/>
      <c r="E26" s="3016"/>
    </row>
    <row r="27" spans="1:5">
      <c r="A27" s="3016"/>
      <c r="B27" s="3016"/>
      <c r="C27" s="3016"/>
      <c r="D27" s="3016"/>
      <c r="E27" s="3016"/>
    </row>
    <row r="28" spans="1:5">
      <c r="A28" s="3016"/>
      <c r="B28" s="3016"/>
      <c r="C28" s="3016"/>
      <c r="D28" s="3016"/>
      <c r="E28" s="3016"/>
    </row>
    <row r="29" spans="1:5">
      <c r="A29" s="3016"/>
      <c r="B29" s="3016"/>
      <c r="C29" s="3016"/>
      <c r="D29" s="3016"/>
      <c r="E29" s="3016"/>
    </row>
    <row r="30" spans="1:5">
      <c r="A30" s="3016"/>
      <c r="B30" s="3016"/>
      <c r="C30" s="3016"/>
      <c r="D30" s="3016"/>
      <c r="E30" s="3016"/>
    </row>
    <row r="31" spans="1:5">
      <c r="A31" s="3016"/>
      <c r="B31" s="3016"/>
      <c r="C31" s="3016"/>
      <c r="D31" s="3016"/>
      <c r="E31" s="3016"/>
    </row>
    <row r="32" spans="1:5">
      <c r="A32" s="3016"/>
      <c r="B32" s="3016"/>
      <c r="C32" s="3016"/>
      <c r="D32" s="3016"/>
      <c r="E32" s="3016"/>
    </row>
    <row r="33" spans="1:5">
      <c r="A33" s="3016"/>
      <c r="B33" s="3016"/>
      <c r="C33" s="3016"/>
      <c r="D33" s="3016"/>
      <c r="E33" s="3016"/>
    </row>
    <row r="34" spans="1:5">
      <c r="A34" s="3016"/>
      <c r="B34" s="3016"/>
      <c r="C34" s="3016"/>
      <c r="D34" s="3016"/>
      <c r="E34" s="3016"/>
    </row>
    <row r="35" spans="1:5">
      <c r="A35" s="3016"/>
      <c r="B35" s="3016"/>
      <c r="C35" s="3016"/>
      <c r="D35" s="3016"/>
      <c r="E35" s="3016"/>
    </row>
    <row r="36" spans="1:5">
      <c r="A36" s="3016"/>
      <c r="B36" s="3016"/>
      <c r="C36" s="3016"/>
      <c r="D36" s="3016"/>
      <c r="E36" s="3016"/>
    </row>
    <row r="37" spans="1:5">
      <c r="A37" s="3016"/>
      <c r="B37" s="3016"/>
      <c r="C37" s="3016"/>
      <c r="D37" s="3016"/>
      <c r="E37" s="3016"/>
    </row>
    <row r="38" spans="1:5">
      <c r="A38" s="3016"/>
      <c r="B38" s="3016"/>
      <c r="C38" s="3016"/>
      <c r="D38" s="3016"/>
      <c r="E38" s="3016"/>
    </row>
    <row r="39" spans="1:5">
      <c r="A39" s="3016"/>
      <c r="B39" s="3016"/>
      <c r="C39" s="3016"/>
      <c r="D39" s="3016"/>
      <c r="E39" s="3016"/>
    </row>
    <row r="40" spans="1:5">
      <c r="A40" s="3016"/>
      <c r="B40" s="3016"/>
      <c r="C40" s="3016"/>
      <c r="D40" s="3016"/>
      <c r="E40" s="3016"/>
    </row>
    <row r="41" spans="1:5">
      <c r="A41" s="3016"/>
      <c r="B41" s="3016"/>
      <c r="C41" s="3016"/>
      <c r="D41" s="3016"/>
      <c r="E41" s="3016"/>
    </row>
    <row r="42" spans="1:5">
      <c r="A42" s="3016"/>
      <c r="B42" s="3016"/>
      <c r="C42" s="3016"/>
      <c r="D42" s="3016"/>
      <c r="E42" s="30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88" customWidth="1"/>
    <col min="2" max="2" width="12.5" style="488" customWidth="1"/>
    <col min="3" max="3" width="12.125" style="488" customWidth="1"/>
    <col min="4" max="4" width="14.125" style="488" customWidth="1"/>
    <col min="5" max="5" width="12.5" style="488" customWidth="1"/>
    <col min="6" max="16384" width="9" style="488"/>
  </cols>
  <sheetData>
    <row r="1" spans="1:16" ht="21">
      <c r="A1" s="489" t="s">
        <v>2172</v>
      </c>
      <c r="B1" s="490"/>
      <c r="C1" s="490"/>
      <c r="D1" s="490"/>
      <c r="E1" s="490"/>
      <c r="F1" s="491"/>
      <c r="G1" s="491"/>
      <c r="H1" s="491"/>
      <c r="I1" s="491"/>
      <c r="J1" s="491"/>
      <c r="K1" s="491"/>
      <c r="L1" s="491"/>
      <c r="M1" s="491"/>
      <c r="N1" s="491"/>
      <c r="O1" s="491"/>
      <c r="P1" s="491"/>
    </row>
    <row r="2" spans="1:16" ht="15.75">
      <c r="A2" s="492" t="s">
        <v>97</v>
      </c>
      <c r="B2" s="493">
        <f ca="1">SUMIF(B6:B13,"&lt;&gt;#ref!",B6:B13)</f>
        <v>0</v>
      </c>
      <c r="C2" s="492" t="s">
        <v>2173</v>
      </c>
      <c r="D2" s="492" t="s">
        <v>2174</v>
      </c>
      <c r="E2" s="494">
        <f ca="1">SUMIF(E6:E13,"&lt;&gt;#ref!",E6:E13)</f>
        <v>33705.019999999997</v>
      </c>
      <c r="F2" s="491"/>
      <c r="G2" s="491"/>
      <c r="H2" s="491"/>
      <c r="I2" s="491"/>
      <c r="J2" s="491"/>
      <c r="K2" s="491"/>
      <c r="L2" s="491"/>
      <c r="M2" s="491"/>
      <c r="N2" s="491"/>
      <c r="O2" s="491"/>
      <c r="P2" s="491"/>
    </row>
    <row r="3" spans="1:16" ht="15.75">
      <c r="A3" s="492" t="s">
        <v>2175</v>
      </c>
      <c r="B3" s="493">
        <f ca="1">ROUND(B2*10000/E2,0)</f>
        <v>0</v>
      </c>
      <c r="C3" s="492" t="s">
        <v>2176</v>
      </c>
      <c r="D3" s="491"/>
      <c r="E3" s="491"/>
      <c r="F3" s="491"/>
      <c r="G3" s="491"/>
      <c r="H3" s="491"/>
      <c r="I3" s="491"/>
      <c r="J3" s="491"/>
      <c r="K3" s="491"/>
      <c r="L3" s="491"/>
      <c r="M3" s="491"/>
      <c r="N3" s="491"/>
      <c r="O3" s="491"/>
      <c r="P3" s="491"/>
    </row>
    <row r="4" spans="1:16" ht="15.75">
      <c r="A4" s="495"/>
      <c r="B4" s="491"/>
      <c r="C4" s="491"/>
      <c r="D4" s="491"/>
      <c r="E4" s="491"/>
      <c r="F4" s="491"/>
      <c r="G4" s="491"/>
      <c r="H4" s="491"/>
      <c r="I4" s="491"/>
      <c r="J4" s="491"/>
      <c r="K4" s="491"/>
      <c r="L4" s="491"/>
      <c r="M4" s="491"/>
      <c r="N4" s="491"/>
      <c r="O4" s="491"/>
      <c r="P4" s="491"/>
    </row>
    <row r="5" spans="1:16" ht="28.5">
      <c r="A5" s="496" t="s">
        <v>2177</v>
      </c>
      <c r="B5" s="497" t="s">
        <v>2178</v>
      </c>
      <c r="C5" s="498"/>
      <c r="D5" s="491"/>
      <c r="E5" s="499" t="s">
        <v>2179</v>
      </c>
      <c r="F5" s="491"/>
      <c r="G5" s="491"/>
      <c r="H5" s="491"/>
      <c r="I5" s="491"/>
      <c r="J5" s="491"/>
      <c r="K5" s="491"/>
      <c r="L5" s="491"/>
      <c r="M5" s="491"/>
      <c r="N5" s="491"/>
      <c r="O5" s="491"/>
      <c r="P5" s="491"/>
    </row>
    <row r="6" spans="1:16" ht="15.75">
      <c r="A6" s="500" t="s">
        <v>2180</v>
      </c>
      <c r="B6" s="493">
        <f ca="1">SUMIF(INDIRECT("'"&amp;A6&amp;"'"&amp;"!A:A"),"总价",INDIRECT("'"&amp;A6&amp;"'"&amp;"!B:B"))</f>
        <v>0</v>
      </c>
      <c r="C6" s="492" t="s">
        <v>2173</v>
      </c>
      <c r="D6" s="491"/>
      <c r="E6" s="494">
        <f ca="1">SUMIF(INDIRECT("'"&amp;A6&amp;"'"&amp;"!C:C"),"建筑面积",INDIRECT("'"&amp;A6&amp;"'"&amp;"!D:D"))</f>
        <v>33705.019999999997</v>
      </c>
      <c r="F6" s="491"/>
      <c r="G6" s="491"/>
      <c r="H6" s="491"/>
      <c r="I6" s="491"/>
      <c r="J6" s="491"/>
      <c r="K6" s="491"/>
      <c r="L6" s="491"/>
      <c r="M6" s="491"/>
      <c r="N6" s="491"/>
      <c r="O6" s="491"/>
      <c r="P6" s="491"/>
    </row>
    <row r="7" spans="1:16" ht="15.75">
      <c r="A7" s="500"/>
      <c r="B7" s="493" t="e">
        <f ca="1">SUMIF(INDIRECT("'"&amp;A7&amp;"'"&amp;"!A:A"),"总价",INDIRECT("'"&amp;A7&amp;"'"&amp;"!B:B"))</f>
        <v>#REF!</v>
      </c>
      <c r="C7" s="492" t="s">
        <v>2173</v>
      </c>
      <c r="D7" s="491"/>
      <c r="E7" s="494" t="e">
        <f t="shared" ref="E7:E13" ca="1" si="0">SUMIF(INDIRECT("'"&amp;A7&amp;"'"&amp;"!C:C"),"建筑面积",INDIRECT("'"&amp;A7&amp;"'"&amp;"!D:D"))</f>
        <v>#REF!</v>
      </c>
      <c r="F7" s="491"/>
      <c r="G7" s="491"/>
      <c r="H7" s="491"/>
      <c r="I7" s="491"/>
      <c r="J7" s="491"/>
      <c r="K7" s="491"/>
      <c r="L7" s="491"/>
      <c r="M7" s="491"/>
      <c r="N7" s="491"/>
      <c r="O7" s="491"/>
      <c r="P7" s="491"/>
    </row>
    <row r="8" spans="1:16" ht="15.75">
      <c r="A8" s="500"/>
      <c r="B8" s="493" t="e">
        <f t="shared" ref="B8:B13" ca="1" si="1">SUMIF(INDIRECT("'"&amp;A8&amp;"'"&amp;"!A:A"),"总价",INDIRECT("'"&amp;A8&amp;"'"&amp;"!B:B"))</f>
        <v>#REF!</v>
      </c>
      <c r="C8" s="492" t="s">
        <v>2173</v>
      </c>
      <c r="D8" s="491"/>
      <c r="E8" s="494" t="e">
        <f t="shared" ca="1" si="0"/>
        <v>#REF!</v>
      </c>
      <c r="F8" s="491"/>
      <c r="G8" s="491"/>
      <c r="H8" s="491"/>
      <c r="I8" s="491"/>
      <c r="J8" s="491"/>
      <c r="K8" s="491"/>
      <c r="L8" s="491"/>
      <c r="M8" s="491"/>
      <c r="N8" s="491"/>
      <c r="O8" s="491"/>
      <c r="P8" s="491"/>
    </row>
    <row r="9" spans="1:16" ht="15.75">
      <c r="A9" s="500"/>
      <c r="B9" s="493" t="e">
        <f t="shared" ca="1" si="1"/>
        <v>#REF!</v>
      </c>
      <c r="C9" s="492" t="s">
        <v>2173</v>
      </c>
      <c r="D9" s="491"/>
      <c r="E9" s="494" t="e">
        <f t="shared" ca="1" si="0"/>
        <v>#REF!</v>
      </c>
      <c r="F9" s="491"/>
      <c r="G9" s="491"/>
      <c r="H9" s="491"/>
      <c r="I9" s="491"/>
      <c r="J9" s="491"/>
      <c r="K9" s="491"/>
      <c r="L9" s="491"/>
      <c r="M9" s="491"/>
      <c r="N9" s="491"/>
      <c r="O9" s="491"/>
      <c r="P9" s="491"/>
    </row>
    <row r="10" spans="1:16" ht="15.75">
      <c r="A10" s="500"/>
      <c r="B10" s="493" t="e">
        <f t="shared" ca="1" si="1"/>
        <v>#REF!</v>
      </c>
      <c r="C10" s="492" t="s">
        <v>2173</v>
      </c>
      <c r="D10" s="491"/>
      <c r="E10" s="494" t="e">
        <f t="shared" ca="1" si="0"/>
        <v>#REF!</v>
      </c>
      <c r="F10" s="491"/>
      <c r="G10" s="491"/>
      <c r="H10" s="491"/>
      <c r="I10" s="491"/>
      <c r="J10" s="491"/>
      <c r="K10" s="491"/>
      <c r="L10" s="491"/>
      <c r="M10" s="491"/>
      <c r="N10" s="491"/>
      <c r="O10" s="491"/>
      <c r="P10" s="491"/>
    </row>
    <row r="11" spans="1:16" ht="15.75">
      <c r="A11" s="500"/>
      <c r="B11" s="493" t="e">
        <f t="shared" ca="1" si="1"/>
        <v>#REF!</v>
      </c>
      <c r="C11" s="492" t="s">
        <v>2173</v>
      </c>
      <c r="D11" s="491"/>
      <c r="E11" s="494" t="e">
        <f t="shared" ca="1" si="0"/>
        <v>#REF!</v>
      </c>
      <c r="F11" s="491"/>
      <c r="G11" s="491"/>
      <c r="H11" s="491"/>
      <c r="I11" s="491"/>
      <c r="J11" s="491"/>
      <c r="K11" s="491"/>
      <c r="L11" s="491"/>
      <c r="M11" s="491"/>
      <c r="N11" s="491"/>
      <c r="O11" s="491"/>
      <c r="P11" s="491"/>
    </row>
    <row r="12" spans="1:16" ht="15.75">
      <c r="A12" s="500"/>
      <c r="B12" s="493" t="e">
        <f t="shared" ca="1" si="1"/>
        <v>#REF!</v>
      </c>
      <c r="C12" s="492" t="s">
        <v>2173</v>
      </c>
      <c r="D12" s="491"/>
      <c r="E12" s="494" t="e">
        <f t="shared" ca="1" si="0"/>
        <v>#REF!</v>
      </c>
      <c r="F12" s="491"/>
      <c r="G12" s="491"/>
      <c r="H12" s="491"/>
      <c r="I12" s="491"/>
      <c r="J12" s="491"/>
      <c r="K12" s="491"/>
      <c r="L12" s="491"/>
      <c r="M12" s="491"/>
      <c r="N12" s="491"/>
      <c r="O12" s="491"/>
      <c r="P12" s="491"/>
    </row>
    <row r="13" spans="1:16" ht="15.75">
      <c r="A13" s="500"/>
      <c r="B13" s="493" t="e">
        <f t="shared" ca="1" si="1"/>
        <v>#REF!</v>
      </c>
      <c r="C13" s="492" t="s">
        <v>2173</v>
      </c>
      <c r="D13" s="491"/>
      <c r="E13" s="494" t="e">
        <f t="shared" ca="1" si="0"/>
        <v>#REF!</v>
      </c>
      <c r="F13" s="491"/>
      <c r="G13" s="491"/>
      <c r="H13" s="491"/>
      <c r="I13" s="491"/>
      <c r="J13" s="491"/>
      <c r="K13" s="491"/>
      <c r="L13" s="491"/>
      <c r="M13" s="491"/>
      <c r="N13" s="491"/>
      <c r="O13" s="491"/>
      <c r="P13" s="491"/>
    </row>
    <row r="14" spans="1:16">
      <c r="A14" s="491"/>
      <c r="B14" s="491"/>
      <c r="C14" s="491"/>
      <c r="D14" s="491"/>
      <c r="E14" s="491"/>
      <c r="F14" s="491"/>
      <c r="G14" s="491"/>
      <c r="H14" s="491"/>
      <c r="I14" s="491"/>
      <c r="J14" s="491"/>
      <c r="K14" s="491"/>
      <c r="L14" s="491"/>
      <c r="M14" s="491"/>
      <c r="N14" s="491"/>
      <c r="O14" s="491"/>
      <c r="P14" s="491"/>
    </row>
    <row r="15" spans="1:16">
      <c r="A15" s="491"/>
      <c r="B15" s="491"/>
      <c r="C15" s="491"/>
      <c r="D15" s="491"/>
      <c r="E15" s="491"/>
      <c r="F15" s="491"/>
      <c r="G15" s="491"/>
      <c r="H15" s="491"/>
      <c r="I15" s="491"/>
      <c r="J15" s="491"/>
      <c r="K15" s="491"/>
      <c r="L15" s="491"/>
      <c r="M15" s="491"/>
      <c r="N15" s="491"/>
      <c r="O15" s="491"/>
      <c r="P15" s="491"/>
    </row>
    <row r="16" spans="1:16">
      <c r="A16" s="491"/>
      <c r="B16" s="491"/>
      <c r="C16" s="491"/>
      <c r="D16" s="491"/>
      <c r="E16" s="491"/>
      <c r="F16" s="491"/>
      <c r="G16" s="491"/>
      <c r="H16" s="491"/>
      <c r="I16" s="491"/>
      <c r="J16" s="491"/>
      <c r="K16" s="491"/>
      <c r="L16" s="491"/>
      <c r="M16" s="491"/>
      <c r="N16" s="491"/>
      <c r="O16" s="491"/>
      <c r="P16" s="491"/>
    </row>
    <row r="17" spans="1:16">
      <c r="A17" s="491"/>
      <c r="B17" s="491"/>
      <c r="C17" s="491"/>
      <c r="D17" s="491"/>
      <c r="E17" s="491"/>
      <c r="F17" s="491"/>
      <c r="G17" s="491"/>
      <c r="H17" s="491"/>
      <c r="I17" s="491"/>
      <c r="J17" s="491"/>
      <c r="K17" s="491"/>
      <c r="L17" s="491"/>
      <c r="M17" s="491"/>
      <c r="N17" s="491"/>
      <c r="O17" s="491"/>
      <c r="P17" s="491"/>
    </row>
    <row r="18" spans="1:16">
      <c r="A18" s="491"/>
      <c r="B18" s="491"/>
      <c r="C18" s="491"/>
      <c r="D18" s="491"/>
      <c r="E18" s="491"/>
      <c r="F18" s="491"/>
      <c r="G18" s="491"/>
      <c r="H18" s="491"/>
      <c r="I18" s="491"/>
      <c r="J18" s="491"/>
      <c r="K18" s="491"/>
      <c r="L18" s="491"/>
      <c r="M18" s="491"/>
      <c r="N18" s="491"/>
      <c r="O18" s="491"/>
      <c r="P18" s="491"/>
    </row>
    <row r="19" spans="1:16">
      <c r="A19" s="491"/>
      <c r="B19" s="491"/>
      <c r="C19" s="491"/>
      <c r="D19" s="491"/>
      <c r="E19" s="491"/>
      <c r="F19" s="491"/>
      <c r="G19" s="491"/>
      <c r="H19" s="491"/>
      <c r="I19" s="491"/>
      <c r="J19" s="491"/>
      <c r="K19" s="491"/>
      <c r="L19" s="491"/>
      <c r="M19" s="491"/>
      <c r="N19" s="491"/>
      <c r="O19" s="491"/>
      <c r="P19" s="491"/>
    </row>
    <row r="20" spans="1:16">
      <c r="A20" s="491"/>
      <c r="B20" s="491"/>
      <c r="C20" s="491"/>
      <c r="D20" s="491"/>
      <c r="E20" s="491"/>
      <c r="F20" s="491"/>
      <c r="G20" s="491"/>
      <c r="H20" s="491"/>
      <c r="I20" s="491"/>
      <c r="J20" s="491"/>
      <c r="K20" s="491"/>
      <c r="L20" s="491"/>
      <c r="M20" s="491"/>
      <c r="N20" s="491"/>
      <c r="O20" s="491"/>
      <c r="P20" s="491"/>
    </row>
    <row r="21" spans="1:16">
      <c r="A21" s="491"/>
      <c r="B21" s="491"/>
      <c r="C21" s="491"/>
      <c r="D21" s="491"/>
      <c r="E21" s="491"/>
      <c r="F21" s="491"/>
      <c r="G21" s="491"/>
      <c r="H21" s="491"/>
      <c r="I21" s="491"/>
      <c r="J21" s="491"/>
      <c r="K21" s="491"/>
      <c r="L21" s="491"/>
      <c r="M21" s="491"/>
      <c r="N21" s="491"/>
      <c r="O21" s="491"/>
      <c r="P21" s="491"/>
    </row>
  </sheetData>
  <sheetProtection password="CEE9" sheet="1" objects="1" scenarios="1" formatCells="0" formatColumns="0" formatRows="0"/>
  <phoneticPr fontId="212"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6"/>
  <sheetViews>
    <sheetView zoomScale="80" zoomScaleNormal="80" workbookViewId="0">
      <selection activeCell="W6" sqref="W6"/>
    </sheetView>
  </sheetViews>
  <sheetFormatPr defaultColWidth="9" defaultRowHeight="12.75"/>
  <cols>
    <col min="1" max="1" width="9" style="363"/>
    <col min="2" max="6" width="9" style="363" customWidth="1"/>
    <col min="7" max="7" width="9" style="364"/>
    <col min="8" max="8" width="9" style="363"/>
    <col min="9" max="12" width="9" style="363" customWidth="1"/>
    <col min="13" max="13" width="2.25" style="363" customWidth="1"/>
    <col min="14" max="14" width="9" style="364" customWidth="1"/>
    <col min="15" max="17" width="9" style="363" customWidth="1"/>
    <col min="18" max="18" width="2.375" style="363" customWidth="1"/>
    <col min="19" max="19" width="7.125" style="364" customWidth="1"/>
    <col min="20" max="22" width="7.125" style="363" customWidth="1"/>
    <col min="23" max="23" width="24.25" style="363" customWidth="1"/>
    <col min="24" max="25" width="9" style="363"/>
    <col min="26" max="27" width="11.625" style="363" customWidth="1"/>
    <col min="28" max="28" width="9" style="363"/>
    <col min="29" max="29" width="2" style="363" customWidth="1"/>
    <col min="30" max="16384" width="9" style="363"/>
  </cols>
  <sheetData>
    <row r="1" spans="1:34" s="354" customFormat="1">
      <c r="B1" s="3407" t="s">
        <v>2181</v>
      </c>
      <c r="C1" s="3407"/>
      <c r="D1" s="3407"/>
      <c r="E1" s="3407"/>
      <c r="F1" s="3407"/>
      <c r="G1" s="3404" t="s">
        <v>2182</v>
      </c>
      <c r="H1" s="3404"/>
      <c r="I1" s="3404"/>
      <c r="J1" s="3404"/>
      <c r="K1" s="3404"/>
      <c r="L1" s="3404"/>
      <c r="N1" s="3404" t="s">
        <v>2183</v>
      </c>
      <c r="O1" s="3404"/>
      <c r="P1" s="3404"/>
      <c r="Q1" s="3404"/>
      <c r="S1" s="3404" t="s">
        <v>2184</v>
      </c>
      <c r="T1" s="3404"/>
      <c r="U1" s="3404"/>
      <c r="V1" s="3404"/>
      <c r="X1" s="3403" t="s">
        <v>2185</v>
      </c>
      <c r="Y1" s="3404"/>
      <c r="Z1" s="3404"/>
      <c r="AA1" s="3404"/>
      <c r="AB1" s="3404"/>
      <c r="AD1" s="3403" t="s">
        <v>2186</v>
      </c>
      <c r="AE1" s="3404"/>
      <c r="AF1" s="3404"/>
      <c r="AG1" s="3404"/>
      <c r="AH1" s="3404"/>
    </row>
    <row r="2" spans="1:34" s="355" customFormat="1" ht="13.5">
      <c r="B2" s="365" t="s">
        <v>2187</v>
      </c>
      <c r="C2" s="365" t="s">
        <v>2188</v>
      </c>
      <c r="D2" s="366" t="s">
        <v>1974</v>
      </c>
      <c r="E2" s="366" t="s">
        <v>464</v>
      </c>
      <c r="F2" s="365" t="s">
        <v>2189</v>
      </c>
      <c r="G2" s="367"/>
      <c r="I2" s="365" t="s">
        <v>2187</v>
      </c>
      <c r="J2" s="366" t="s">
        <v>2190</v>
      </c>
      <c r="K2" s="366" t="s">
        <v>464</v>
      </c>
      <c r="L2" s="365" t="s">
        <v>2189</v>
      </c>
      <c r="N2" s="365" t="s">
        <v>2187</v>
      </c>
      <c r="O2" s="366" t="s">
        <v>2190</v>
      </c>
      <c r="P2" s="366" t="s">
        <v>464</v>
      </c>
      <c r="Q2" s="365" t="s">
        <v>2189</v>
      </c>
      <c r="S2" s="365" t="s">
        <v>2187</v>
      </c>
      <c r="T2" s="366" t="s">
        <v>2190</v>
      </c>
      <c r="U2" s="366" t="s">
        <v>464</v>
      </c>
      <c r="V2" s="365" t="s">
        <v>2189</v>
      </c>
      <c r="X2" s="365" t="s">
        <v>2187</v>
      </c>
      <c r="Y2" s="365" t="s">
        <v>2188</v>
      </c>
      <c r="Z2" s="366" t="s">
        <v>1974</v>
      </c>
      <c r="AA2" s="366" t="s">
        <v>464</v>
      </c>
      <c r="AB2" s="365" t="s">
        <v>2189</v>
      </c>
      <c r="AD2" s="365" t="s">
        <v>2187</v>
      </c>
      <c r="AE2" s="365" t="s">
        <v>2188</v>
      </c>
      <c r="AF2" s="366" t="s">
        <v>1974</v>
      </c>
      <c r="AG2" s="366" t="s">
        <v>464</v>
      </c>
      <c r="AH2" s="365" t="s">
        <v>2189</v>
      </c>
    </row>
    <row r="3" spans="1:34" s="356" customFormat="1" ht="14.25">
      <c r="A3" s="368" t="s">
        <v>2191</v>
      </c>
      <c r="B3" s="369"/>
      <c r="C3" s="369"/>
      <c r="D3" s="370"/>
      <c r="E3" s="370"/>
      <c r="F3" s="369"/>
      <c r="G3" s="371"/>
      <c r="H3" s="372"/>
      <c r="I3" s="405">
        <f>ROUND(AVERAGE($I4:$I33),2)</f>
        <v>1.68</v>
      </c>
      <c r="J3" s="405">
        <f>ROUND(AVERAGE($J4:$J33),2)</f>
        <v>1.1000000000000001</v>
      </c>
      <c r="K3" s="405">
        <f>ROUND(AVERAGE($K4:$K33),2)</f>
        <v>1.85</v>
      </c>
      <c r="L3" s="405">
        <f>ROUND(AVERAGE($L4:$L33),2)</f>
        <v>1.19</v>
      </c>
      <c r="N3" s="371"/>
      <c r="S3" s="371"/>
      <c r="W3" s="436"/>
      <c r="X3" s="437">
        <f>ROUND(SUMPRODUCT(PRODUCT(1+N3:N$32)),4)</f>
        <v>1.571</v>
      </c>
      <c r="Y3" s="437">
        <f>ROUND(SUMPRODUCT(PRODUCT(1+O3:O$32)),4)</f>
        <v>1.3420000000000001</v>
      </c>
      <c r="Z3" s="437">
        <f t="shared" ref="Z3:Z30" si="0">Y3</f>
        <v>1.3420000000000001</v>
      </c>
      <c r="AA3" s="437">
        <f>ROUND(SUMPRODUCT(PRODUCT(1+P3:P$32)),4)</f>
        <v>1.6415999999999999</v>
      </c>
      <c r="AB3" s="437">
        <f>ROUND(SUMPRODUCT(PRODUCT(1+Q3:Q$32)),4)</f>
        <v>1.389</v>
      </c>
      <c r="AD3" s="454">
        <f>ROUND(AVERAGE(I3:I$33)/100,4)</f>
        <v>1.6799999999999999E-2</v>
      </c>
      <c r="AE3" s="454">
        <f>ROUND(AVERAGE(J3:J$33)/100,4)</f>
        <v>1.0999999999999999E-2</v>
      </c>
      <c r="AF3" s="454">
        <f t="shared" ref="AF3:AF31" si="1">AE3</f>
        <v>1.0999999999999999E-2</v>
      </c>
      <c r="AG3" s="454">
        <f>ROUND(AVERAGE(K3:K$33)/100,4)</f>
        <v>1.8499999999999999E-2</v>
      </c>
      <c r="AH3" s="454">
        <f>ROUND(AVERAGE(L3:L$33)/100,4)</f>
        <v>1.1900000000000001E-2</v>
      </c>
    </row>
    <row r="4" spans="1:34" s="357" customFormat="1" ht="14.25">
      <c r="B4" s="373"/>
      <c r="C4" s="373"/>
      <c r="D4" s="374"/>
      <c r="E4" s="374"/>
      <c r="F4" s="373"/>
      <c r="G4" s="375"/>
      <c r="H4" s="376"/>
      <c r="I4" s="406"/>
      <c r="J4" s="406"/>
      <c r="K4" s="406"/>
      <c r="L4" s="406"/>
      <c r="N4" s="375"/>
      <c r="S4" s="375"/>
      <c r="X4" s="363"/>
      <c r="Y4" s="363"/>
      <c r="Z4" s="363"/>
      <c r="AA4" s="363"/>
      <c r="AB4" s="363"/>
      <c r="AD4" s="412"/>
      <c r="AE4" s="412"/>
      <c r="AF4" s="412"/>
      <c r="AG4" s="412"/>
      <c r="AH4" s="412"/>
    </row>
    <row r="5" spans="1:34" s="358" customFormat="1">
      <c r="A5" s="377" t="s">
        <v>2192</v>
      </c>
      <c r="B5" s="378">
        <f t="shared" ref="B5:B17" si="2">B6*(1+N5)</f>
        <v>483.1434279321756</v>
      </c>
      <c r="C5" s="378">
        <f t="shared" ref="C5:C17" si="3">C6*(1+O5)</f>
        <v>345.93622669144776</v>
      </c>
      <c r="D5" s="378">
        <f t="shared" ref="D5:D22" si="4">C5</f>
        <v>345.93622669144776</v>
      </c>
      <c r="E5" s="378">
        <f t="shared" ref="E5:E17" si="5">E6*(1+P5)</f>
        <v>694.24498562544113</v>
      </c>
      <c r="F5" s="378">
        <f t="shared" ref="F5:F17" si="6">F6*(1+Q5)</f>
        <v>319.35475932716082</v>
      </c>
      <c r="G5" s="379">
        <v>2021</v>
      </c>
      <c r="H5" s="380">
        <v>1</v>
      </c>
      <c r="I5" s="407">
        <v>0</v>
      </c>
      <c r="J5" s="407">
        <v>0</v>
      </c>
      <c r="K5" s="407">
        <v>0</v>
      </c>
      <c r="L5" s="407">
        <v>0</v>
      </c>
      <c r="N5" s="408">
        <f t="shared" ref="N5:Q9" si="7">I5/100</f>
        <v>0</v>
      </c>
      <c r="O5" s="408">
        <f t="shared" si="7"/>
        <v>0</v>
      </c>
      <c r="P5" s="408">
        <f t="shared" si="7"/>
        <v>0</v>
      </c>
      <c r="Q5" s="408">
        <f t="shared" si="7"/>
        <v>0</v>
      </c>
      <c r="S5" s="438"/>
      <c r="W5" s="439" t="s">
        <v>2193</v>
      </c>
      <c r="X5" s="440">
        <f>ROUND(IF(项目基本情况!B5="出让",SUMPRODUCT(PRODUCT(1+N5:N$33)),SUMPRODUCT(PRODUCT(1+N5:N$32))),4)</f>
        <v>1.571</v>
      </c>
      <c r="Y5" s="440">
        <f>ROUND(IF(项目基本情况!B5="出让",SUMPRODUCT(PRODUCT(1+O5:O$33)),SUMPRODUCT(PRODUCT(1+O5:O$32))),4)</f>
        <v>1.3420000000000001</v>
      </c>
      <c r="Z5" s="440">
        <f t="shared" ref="Z5:Z17" si="8">Y5</f>
        <v>1.3420000000000001</v>
      </c>
      <c r="AA5" s="440">
        <f>ROUND(IF(项目基本情况!B5="出让",SUMPRODUCT(PRODUCT(1+P5:P$33)),SUMPRODUCT(PRODUCT(1+P5:P$32))),4)</f>
        <v>1.6415999999999999</v>
      </c>
      <c r="AB5" s="440">
        <f>ROUND(IF(项目基本情况!B5="出让",SUMPRODUCT(PRODUCT(1+Q5:Q$33)),SUMPRODUCT(PRODUCT(1+Q5:Q$32))),4)</f>
        <v>1.389</v>
      </c>
      <c r="AD5" s="455">
        <f>ROUND(AVERAGE(I5:I$33)/100,4)</f>
        <v>1.6799999999999999E-2</v>
      </c>
      <c r="AE5" s="455">
        <f>ROUND(AVERAGE(J5:J$33)/100,4)</f>
        <v>1.0999999999999999E-2</v>
      </c>
      <c r="AF5" s="455">
        <f t="shared" ref="AF5:AF17" si="9">AE5</f>
        <v>1.0999999999999999E-2</v>
      </c>
      <c r="AG5" s="455">
        <f>ROUND(AVERAGE(K5:K$33)/100,4)</f>
        <v>1.8499999999999999E-2</v>
      </c>
      <c r="AH5" s="455">
        <f>ROUND(AVERAGE(L5:L$33)/100,4)</f>
        <v>1.1900000000000001E-2</v>
      </c>
    </row>
    <row r="6" spans="1:34" s="359" customFormat="1">
      <c r="A6" s="381" t="s">
        <v>2194</v>
      </c>
      <c r="B6" s="382">
        <f t="shared" si="2"/>
        <v>483.1434279321756</v>
      </c>
      <c r="C6" s="382">
        <f t="shared" si="3"/>
        <v>345.93622669144776</v>
      </c>
      <c r="D6" s="382">
        <f t="shared" si="4"/>
        <v>345.93622669144776</v>
      </c>
      <c r="E6" s="382">
        <f t="shared" si="5"/>
        <v>694.24498562544113</v>
      </c>
      <c r="F6" s="382">
        <f t="shared" si="6"/>
        <v>319.35475932716082</v>
      </c>
      <c r="G6" s="379">
        <v>2020</v>
      </c>
      <c r="H6" s="383">
        <v>4</v>
      </c>
      <c r="I6" s="409">
        <v>0</v>
      </c>
      <c r="J6" s="409">
        <v>0</v>
      </c>
      <c r="K6" s="409">
        <v>0</v>
      </c>
      <c r="L6" s="410">
        <v>0</v>
      </c>
      <c r="M6" s="363"/>
      <c r="N6" s="411">
        <f t="shared" si="7"/>
        <v>0</v>
      </c>
      <c r="O6" s="412">
        <f t="shared" si="7"/>
        <v>0</v>
      </c>
      <c r="P6" s="412">
        <f t="shared" si="7"/>
        <v>0</v>
      </c>
      <c r="Q6" s="412">
        <f t="shared" si="7"/>
        <v>0</v>
      </c>
      <c r="R6" s="441"/>
      <c r="S6" s="411"/>
      <c r="T6" s="412"/>
      <c r="U6" s="412"/>
      <c r="V6" s="412"/>
      <c r="W6" s="442"/>
      <c r="X6" s="442">
        <f>ROUND(IF(项目基本情况!B6="出让",SUMPRODUCT(PRODUCT(1+N6:N$33)),SUMPRODUCT(PRODUCT(1+N6:N$32))),4)</f>
        <v>1.571</v>
      </c>
      <c r="Y6" s="442">
        <f>ROUND(IF(项目基本情况!B6="出让",SUMPRODUCT(PRODUCT(1+O6:O$33)),SUMPRODUCT(PRODUCT(1+O6:O$32))),4)</f>
        <v>1.3420000000000001</v>
      </c>
      <c r="Z6" s="442">
        <f t="shared" si="8"/>
        <v>1.3420000000000001</v>
      </c>
      <c r="AA6" s="442">
        <f>ROUND(IF(项目基本情况!B6="出让",SUMPRODUCT(PRODUCT(1+P6:P$33)),SUMPRODUCT(PRODUCT(1+P6:P$32))),4)</f>
        <v>1.6415999999999999</v>
      </c>
      <c r="AB6" s="442">
        <f>ROUND(IF(项目基本情况!B6="出让",SUMPRODUCT(PRODUCT(1+Q6:Q$33)),SUMPRODUCT(PRODUCT(1+Q6:Q$32))),4)</f>
        <v>1.389</v>
      </c>
      <c r="AC6" s="442"/>
      <c r="AD6" s="456">
        <f>ROUND(AVERAGE(I6:I$33)/100,4)</f>
        <v>1.7399999999999999E-2</v>
      </c>
      <c r="AE6" s="456">
        <f>ROUND(AVERAGE(J6:J$33)/100,4)</f>
        <v>1.14E-2</v>
      </c>
      <c r="AF6" s="456">
        <f t="shared" si="9"/>
        <v>1.14E-2</v>
      </c>
      <c r="AG6" s="456">
        <f>ROUND(AVERAGE(K6:K$33)/100,4)</f>
        <v>1.9199999999999998E-2</v>
      </c>
      <c r="AH6" s="456">
        <f>ROUND(AVERAGE(L6:L$33)/100,4)</f>
        <v>1.23E-2</v>
      </c>
    </row>
    <row r="7" spans="1:34" s="359" customFormat="1">
      <c r="A7" s="381" t="s">
        <v>2195</v>
      </c>
      <c r="B7" s="382">
        <f t="shared" si="2"/>
        <v>483.1434279321756</v>
      </c>
      <c r="C7" s="382">
        <f t="shared" si="3"/>
        <v>345.93622669144776</v>
      </c>
      <c r="D7" s="382">
        <f t="shared" si="4"/>
        <v>345.93622669144776</v>
      </c>
      <c r="E7" s="382">
        <f t="shared" si="5"/>
        <v>694.24498562544113</v>
      </c>
      <c r="F7" s="382">
        <f t="shared" si="6"/>
        <v>319.35475932716082</v>
      </c>
      <c r="G7" s="379">
        <v>2020</v>
      </c>
      <c r="H7" s="383">
        <v>3</v>
      </c>
      <c r="I7" s="409">
        <v>0.36</v>
      </c>
      <c r="J7" s="409">
        <v>-0.39</v>
      </c>
      <c r="K7" s="409">
        <v>0.49</v>
      </c>
      <c r="L7" s="410">
        <v>7.0000000000000007E-2</v>
      </c>
      <c r="M7" s="363"/>
      <c r="N7" s="411">
        <f t="shared" si="7"/>
        <v>3.5999999999999999E-3</v>
      </c>
      <c r="O7" s="412">
        <f t="shared" si="7"/>
        <v>-3.9000000000000003E-3</v>
      </c>
      <c r="P7" s="412">
        <f t="shared" si="7"/>
        <v>4.8999999999999998E-3</v>
      </c>
      <c r="Q7" s="412">
        <f t="shared" si="7"/>
        <v>7.000000000000001E-4</v>
      </c>
      <c r="R7" s="441"/>
      <c r="S7" s="411"/>
      <c r="T7" s="412"/>
      <c r="U7" s="412"/>
      <c r="V7" s="412"/>
      <c r="W7" s="442"/>
      <c r="X7" s="442">
        <f>ROUND(IF(项目基本情况!B7="出让",SUMPRODUCT(PRODUCT(1+N7:N$33)),SUMPRODUCT(PRODUCT(1+N7:N$32))),4)</f>
        <v>1.571</v>
      </c>
      <c r="Y7" s="442">
        <f>ROUND(IF(项目基本情况!B7="出让",SUMPRODUCT(PRODUCT(1+O7:O$33)),SUMPRODUCT(PRODUCT(1+O7:O$32))),4)</f>
        <v>1.3420000000000001</v>
      </c>
      <c r="Z7" s="442">
        <f t="shared" si="8"/>
        <v>1.3420000000000001</v>
      </c>
      <c r="AA7" s="442">
        <f>ROUND(IF(项目基本情况!B7="出让",SUMPRODUCT(PRODUCT(1+P7:P$33)),SUMPRODUCT(PRODUCT(1+P7:P$32))),4)</f>
        <v>1.6415999999999999</v>
      </c>
      <c r="AB7" s="442">
        <f>ROUND(IF(项目基本情况!B7="出让",SUMPRODUCT(PRODUCT(1+Q7:Q$33)),SUMPRODUCT(PRODUCT(1+Q7:Q$32))),4)</f>
        <v>1.389</v>
      </c>
      <c r="AC7" s="442"/>
      <c r="AD7" s="456">
        <f>ROUND(AVERAGE(I7:I$33)/100,4)</f>
        <v>1.8100000000000002E-2</v>
      </c>
      <c r="AE7" s="456">
        <f>ROUND(AVERAGE(J7:J$33)/100,4)</f>
        <v>1.1900000000000001E-2</v>
      </c>
      <c r="AF7" s="456">
        <f t="shared" si="9"/>
        <v>1.1900000000000001E-2</v>
      </c>
      <c r="AG7" s="456">
        <f>ROUND(AVERAGE(K7:K$33)/100,4)</f>
        <v>1.9900000000000001E-2</v>
      </c>
      <c r="AH7" s="456">
        <f>ROUND(AVERAGE(L7:L$33)/100,4)</f>
        <v>1.2800000000000001E-2</v>
      </c>
    </row>
    <row r="8" spans="1:34" s="359" customFormat="1">
      <c r="A8" s="381" t="s">
        <v>2196</v>
      </c>
      <c r="B8" s="382">
        <f t="shared" si="2"/>
        <v>481.4103506697644</v>
      </c>
      <c r="C8" s="382">
        <f t="shared" si="3"/>
        <v>347.29066026648707</v>
      </c>
      <c r="D8" s="382">
        <f t="shared" si="4"/>
        <v>347.29066026648707</v>
      </c>
      <c r="E8" s="382">
        <f t="shared" si="5"/>
        <v>690.85977273901995</v>
      </c>
      <c r="F8" s="382">
        <f t="shared" si="6"/>
        <v>319.13136737000184</v>
      </c>
      <c r="G8" s="379">
        <v>2020</v>
      </c>
      <c r="H8" s="383">
        <v>2</v>
      </c>
      <c r="I8" s="409">
        <v>0.31</v>
      </c>
      <c r="J8" s="409">
        <v>-0.78</v>
      </c>
      <c r="K8" s="409">
        <v>0.5</v>
      </c>
      <c r="L8" s="410">
        <v>0.47</v>
      </c>
      <c r="M8" s="363"/>
      <c r="N8" s="411">
        <f t="shared" si="7"/>
        <v>3.0999999999999999E-3</v>
      </c>
      <c r="O8" s="412">
        <f t="shared" si="7"/>
        <v>-7.8000000000000005E-3</v>
      </c>
      <c r="P8" s="412">
        <f t="shared" si="7"/>
        <v>5.0000000000000001E-3</v>
      </c>
      <c r="Q8" s="412">
        <f t="shared" si="7"/>
        <v>4.6999999999999993E-3</v>
      </c>
      <c r="R8" s="441"/>
      <c r="S8" s="411"/>
      <c r="T8" s="412"/>
      <c r="U8" s="412"/>
      <c r="V8" s="412"/>
      <c r="W8" s="442"/>
      <c r="X8" s="442">
        <f>ROUND(IF(项目基本情况!B8="出让",SUMPRODUCT(PRODUCT(1+N8:N$33)),SUMPRODUCT(PRODUCT(1+N8:N$32))),4)</f>
        <v>1.5652999999999999</v>
      </c>
      <c r="Y8" s="442">
        <f>ROUND(IF(项目基本情况!B8="出让",SUMPRODUCT(PRODUCT(1+O8:O$33)),SUMPRODUCT(PRODUCT(1+O8:O$32))),4)</f>
        <v>1.3472</v>
      </c>
      <c r="Z8" s="442">
        <f t="shared" si="8"/>
        <v>1.3472</v>
      </c>
      <c r="AA8" s="442">
        <f>ROUND(IF(项目基本情况!B8="出让",SUMPRODUCT(PRODUCT(1+P8:P$33)),SUMPRODUCT(PRODUCT(1+P8:P$32))),4)</f>
        <v>1.6335999999999999</v>
      </c>
      <c r="AB8" s="442">
        <f>ROUND(IF(项目基本情况!B8="出让",SUMPRODUCT(PRODUCT(1+Q8:Q$33)),SUMPRODUCT(PRODUCT(1+Q8:Q$32))),4)</f>
        <v>1.3880999999999999</v>
      </c>
      <c r="AC8" s="442"/>
      <c r="AD8" s="456">
        <f>ROUND(AVERAGE(I8:I$33)/100,4)</f>
        <v>1.8599999999999998E-2</v>
      </c>
      <c r="AE8" s="456">
        <f>ROUND(AVERAGE(J8:J$33)/100,4)</f>
        <v>1.2500000000000001E-2</v>
      </c>
      <c r="AF8" s="456">
        <f t="shared" si="9"/>
        <v>1.2500000000000001E-2</v>
      </c>
      <c r="AG8" s="456">
        <f>ROUND(AVERAGE(K8:K$33)/100,4)</f>
        <v>2.0400000000000001E-2</v>
      </c>
      <c r="AH8" s="456">
        <f>ROUND(AVERAGE(L8:L$33)/100,4)</f>
        <v>1.32E-2</v>
      </c>
    </row>
    <row r="9" spans="1:34" s="359" customFormat="1">
      <c r="A9" s="381" t="s">
        <v>2197</v>
      </c>
      <c r="B9" s="382">
        <f t="shared" si="2"/>
        <v>479.92259063878413</v>
      </c>
      <c r="C9" s="382">
        <f t="shared" si="3"/>
        <v>350.02082268341775</v>
      </c>
      <c r="D9" s="382">
        <f t="shared" si="4"/>
        <v>350.02082268341775</v>
      </c>
      <c r="E9" s="382">
        <f t="shared" si="5"/>
        <v>687.42265944181099</v>
      </c>
      <c r="F9" s="382">
        <f t="shared" si="6"/>
        <v>317.63846657708956</v>
      </c>
      <c r="G9" s="379">
        <v>2020</v>
      </c>
      <c r="H9" s="383">
        <v>1</v>
      </c>
      <c r="I9" s="409">
        <v>0.12</v>
      </c>
      <c r="J9" s="409">
        <v>-0.4</v>
      </c>
      <c r="K9" s="409">
        <v>0.21</v>
      </c>
      <c r="L9" s="410">
        <v>0.27</v>
      </c>
      <c r="M9" s="363"/>
      <c r="N9" s="411">
        <f t="shared" si="7"/>
        <v>1.1999999999999999E-3</v>
      </c>
      <c r="O9" s="412">
        <f t="shared" si="7"/>
        <v>-4.0000000000000001E-3</v>
      </c>
      <c r="P9" s="412">
        <f t="shared" si="7"/>
        <v>2.0999999999999999E-3</v>
      </c>
      <c r="Q9" s="412">
        <f t="shared" si="7"/>
        <v>2.7000000000000001E-3</v>
      </c>
      <c r="R9" s="441"/>
      <c r="S9" s="411">
        <f>B9/B10-1</f>
        <v>1.2000000000000899E-3</v>
      </c>
      <c r="T9" s="412">
        <f>C9/C10-1</f>
        <v>-4.0000000000000036E-3</v>
      </c>
      <c r="U9" s="412">
        <f>D9/D10-1</f>
        <v>-4.0000000000000036E-3</v>
      </c>
      <c r="V9" s="412">
        <f>E9/E10-1</f>
        <v>2.0999999999999908E-3</v>
      </c>
      <c r="W9" s="442"/>
      <c r="X9" s="442">
        <f>ROUND(IF(项目基本情况!B8="出让",SUMPRODUCT(PRODUCT(1+N9:N$33)),SUMPRODUCT(PRODUCT(1+N9:N$32))),4)</f>
        <v>1.5605</v>
      </c>
      <c r="Y9" s="442">
        <f>ROUND(IF(项目基本情况!B8="出让",SUMPRODUCT(PRODUCT(1+O9:O$33)),SUMPRODUCT(PRODUCT(1+O9:O$32))),4)</f>
        <v>1.3577999999999999</v>
      </c>
      <c r="Z9" s="442">
        <f t="shared" si="8"/>
        <v>1.3577999999999999</v>
      </c>
      <c r="AA9" s="442">
        <f>ROUND(IF(项目基本情况!B8="出让",SUMPRODUCT(PRODUCT(1+P9:P$33)),SUMPRODUCT(PRODUCT(1+P9:P$32))),4)</f>
        <v>1.6254999999999999</v>
      </c>
      <c r="AB9" s="442">
        <f>ROUND(IF(项目基本情况!B8="出让",SUMPRODUCT(PRODUCT(1+Q9:Q$33)),SUMPRODUCT(PRODUCT(1+Q9:Q$32))),4)</f>
        <v>1.3815999999999999</v>
      </c>
      <c r="AC9" s="442"/>
      <c r="AD9" s="456">
        <f>ROUND(AVERAGE(I9:I$33)/100,4)</f>
        <v>1.9199999999999998E-2</v>
      </c>
      <c r="AE9" s="456">
        <f>ROUND(AVERAGE(J9:J$33)/100,4)</f>
        <v>1.3299999999999999E-2</v>
      </c>
      <c r="AF9" s="456">
        <f t="shared" si="9"/>
        <v>1.3299999999999999E-2</v>
      </c>
      <c r="AG9" s="456">
        <f>ROUND(AVERAGE(K9:K$33)/100,4)</f>
        <v>2.1100000000000001E-2</v>
      </c>
      <c r="AH9" s="456">
        <f>ROUND(AVERAGE(L9:L$33)/100,4)</f>
        <v>1.3599999999999999E-2</v>
      </c>
    </row>
    <row r="10" spans="1:34" s="359" customFormat="1">
      <c r="A10" s="381" t="s">
        <v>2198</v>
      </c>
      <c r="B10" s="382">
        <f t="shared" si="2"/>
        <v>479.34737379023579</v>
      </c>
      <c r="C10" s="382">
        <f t="shared" si="3"/>
        <v>351.4265287986122</v>
      </c>
      <c r="D10" s="382">
        <f t="shared" si="4"/>
        <v>351.4265287986122</v>
      </c>
      <c r="E10" s="382">
        <f t="shared" si="5"/>
        <v>685.98209703803116</v>
      </c>
      <c r="F10" s="382">
        <f t="shared" si="6"/>
        <v>316.78315206651001</v>
      </c>
      <c r="G10" s="379">
        <v>2019</v>
      </c>
      <c r="H10" s="383">
        <v>4</v>
      </c>
      <c r="I10" s="383">
        <v>0.45</v>
      </c>
      <c r="J10" s="383">
        <v>-0.12</v>
      </c>
      <c r="K10" s="383">
        <v>0.54</v>
      </c>
      <c r="L10" s="413">
        <v>0.48</v>
      </c>
      <c r="M10" s="363"/>
      <c r="N10" s="411">
        <f t="shared" ref="N10:N15" si="10">I10/100</f>
        <v>4.5000000000000005E-3</v>
      </c>
      <c r="O10" s="412">
        <f t="shared" ref="O10:O20" si="11">J10/100</f>
        <v>-1.1999999999999999E-3</v>
      </c>
      <c r="P10" s="412">
        <f t="shared" ref="P10:P20" si="12">K10/100</f>
        <v>5.4000000000000003E-3</v>
      </c>
      <c r="Q10" s="412">
        <f t="shared" ref="Q10:Q20" si="13">L10/100</f>
        <v>4.7999999999999996E-3</v>
      </c>
      <c r="R10" s="441"/>
      <c r="S10" s="411"/>
      <c r="T10" s="412"/>
      <c r="U10" s="412"/>
      <c r="V10" s="412"/>
      <c r="W10" s="442"/>
      <c r="X10" s="442">
        <f>ROUND(IF(项目基本情况!B8="出让",SUMPRODUCT(PRODUCT(1+N10:N$33)),SUMPRODUCT(PRODUCT(1+N10:N$32))),4)</f>
        <v>1.5586</v>
      </c>
      <c r="Y10" s="442">
        <f>ROUND(IF(项目基本情况!B8="出让",SUMPRODUCT(PRODUCT(1+O10:O$33)),SUMPRODUCT(PRODUCT(1+O10:O$32))),4)</f>
        <v>1.3633</v>
      </c>
      <c r="Z10" s="442">
        <f t="shared" si="8"/>
        <v>1.3633</v>
      </c>
      <c r="AA10" s="442">
        <f>ROUND(IF(项目基本情况!B8="出让",SUMPRODUCT(PRODUCT(1+P10:P$33)),SUMPRODUCT(PRODUCT(1+P10:P$32))),4)</f>
        <v>1.6221000000000001</v>
      </c>
      <c r="AB10" s="442">
        <f>ROUND(IF(项目基本情况!B8="出让",SUMPRODUCT(PRODUCT(1+Q10:Q$33)),SUMPRODUCT(PRODUCT(1+Q10:Q$32))),4)</f>
        <v>1.3777999999999999</v>
      </c>
      <c r="AC10" s="442"/>
      <c r="AD10" s="456">
        <f>ROUND(AVERAGE(I10:I$33)/100,4)</f>
        <v>0.02</v>
      </c>
      <c r="AE10" s="456">
        <f>ROUND(AVERAGE(J10:J$33)/100,4)</f>
        <v>1.4E-2</v>
      </c>
      <c r="AF10" s="456">
        <f t="shared" si="9"/>
        <v>1.4E-2</v>
      </c>
      <c r="AG10" s="456">
        <f>ROUND(AVERAGE(K10:K$33)/100,4)</f>
        <v>2.1899999999999999E-2</v>
      </c>
      <c r="AH10" s="456">
        <f>ROUND(AVERAGE(L10:L$33)/100,4)</f>
        <v>1.4E-2</v>
      </c>
    </row>
    <row r="11" spans="1:34" s="359" customFormat="1">
      <c r="A11" s="381" t="s">
        <v>2199</v>
      </c>
      <c r="B11" s="382">
        <f t="shared" si="2"/>
        <v>477.19997390765138</v>
      </c>
      <c r="C11" s="382">
        <f t="shared" si="3"/>
        <v>351.84874729536665</v>
      </c>
      <c r="D11" s="382">
        <f t="shared" si="4"/>
        <v>351.84874729536665</v>
      </c>
      <c r="E11" s="382">
        <f t="shared" si="5"/>
        <v>682.29768951465201</v>
      </c>
      <c r="F11" s="382">
        <f t="shared" si="6"/>
        <v>315.26985675409043</v>
      </c>
      <c r="G11" s="379">
        <v>2019</v>
      </c>
      <c r="H11" s="383">
        <v>3</v>
      </c>
      <c r="I11" s="383">
        <v>0.61</v>
      </c>
      <c r="J11" s="383">
        <v>0.67</v>
      </c>
      <c r="K11" s="383">
        <v>0.6</v>
      </c>
      <c r="L11" s="413">
        <v>1.03</v>
      </c>
      <c r="M11" s="363"/>
      <c r="N11" s="411">
        <f t="shared" si="10"/>
        <v>6.0999999999999995E-3</v>
      </c>
      <c r="O11" s="412">
        <f t="shared" si="11"/>
        <v>6.7000000000000002E-3</v>
      </c>
      <c r="P11" s="412">
        <f t="shared" si="12"/>
        <v>6.0000000000000001E-3</v>
      </c>
      <c r="Q11" s="412">
        <f t="shared" si="13"/>
        <v>1.03E-2</v>
      </c>
      <c r="R11" s="441"/>
      <c r="S11" s="411"/>
      <c r="T11" s="412"/>
      <c r="U11" s="412"/>
      <c r="V11" s="412"/>
      <c r="W11" s="442"/>
      <c r="X11" s="442">
        <f>ROUND(IF(项目基本情况!B8="出让",SUMPRODUCT(PRODUCT(1+N11:N$33)),SUMPRODUCT(PRODUCT(1+N11:N$32))),4)</f>
        <v>1.5516000000000001</v>
      </c>
      <c r="Y11" s="442">
        <f>ROUND(IF(项目基本情况!B8="出让",SUMPRODUCT(PRODUCT(1+O11:O$33)),SUMPRODUCT(PRODUCT(1+O11:O$32))),4)</f>
        <v>1.3649</v>
      </c>
      <c r="Z11" s="442">
        <f t="shared" si="8"/>
        <v>1.3649</v>
      </c>
      <c r="AA11" s="442">
        <f>ROUND(IF(项目基本情况!B8="出让",SUMPRODUCT(PRODUCT(1+P11:P$33)),SUMPRODUCT(PRODUCT(1+P11:P$32))),4)</f>
        <v>1.6133999999999999</v>
      </c>
      <c r="AB11" s="442">
        <f>ROUND(IF(项目基本情况!B8="出让",SUMPRODUCT(PRODUCT(1+Q11:Q$33)),SUMPRODUCT(PRODUCT(1+Q11:Q$32))),4)</f>
        <v>1.3713</v>
      </c>
      <c r="AC11" s="442"/>
      <c r="AD11" s="456">
        <f>ROUND(AVERAGE(I11:I$33)/100,4)</f>
        <v>2.07E-2</v>
      </c>
      <c r="AE11" s="456">
        <f>ROUND(AVERAGE(J11:J$33)/100,4)</f>
        <v>1.47E-2</v>
      </c>
      <c r="AF11" s="456">
        <f t="shared" si="9"/>
        <v>1.47E-2</v>
      </c>
      <c r="AG11" s="456">
        <f>ROUND(AVERAGE(K11:K$33)/100,4)</f>
        <v>2.2599999999999999E-2</v>
      </c>
      <c r="AH11" s="456">
        <f>ROUND(AVERAGE(L11:L$33)/100,4)</f>
        <v>1.44E-2</v>
      </c>
    </row>
    <row r="12" spans="1:34" s="359" customFormat="1">
      <c r="A12" s="381" t="s">
        <v>2200</v>
      </c>
      <c r="B12" s="382">
        <f t="shared" si="2"/>
        <v>474.30670301923408</v>
      </c>
      <c r="C12" s="382">
        <f t="shared" si="3"/>
        <v>349.50705005996491</v>
      </c>
      <c r="D12" s="382">
        <f t="shared" si="4"/>
        <v>349.50705005996491</v>
      </c>
      <c r="E12" s="382">
        <f t="shared" si="5"/>
        <v>678.22831959706957</v>
      </c>
      <c r="F12" s="382">
        <f t="shared" si="6"/>
        <v>312.0556832169558</v>
      </c>
      <c r="G12" s="379">
        <v>2019</v>
      </c>
      <c r="H12" s="384">
        <v>2</v>
      </c>
      <c r="I12" s="384">
        <v>1.53</v>
      </c>
      <c r="J12" s="384">
        <v>1.01</v>
      </c>
      <c r="K12" s="384">
        <v>1.62</v>
      </c>
      <c r="L12" s="414">
        <v>1.25</v>
      </c>
      <c r="M12" s="363"/>
      <c r="N12" s="411">
        <f t="shared" si="10"/>
        <v>1.5300000000000001E-2</v>
      </c>
      <c r="O12" s="412">
        <f t="shared" si="11"/>
        <v>1.01E-2</v>
      </c>
      <c r="P12" s="412">
        <f t="shared" si="12"/>
        <v>1.6200000000000003E-2</v>
      </c>
      <c r="Q12" s="412">
        <f t="shared" si="13"/>
        <v>1.2500000000000001E-2</v>
      </c>
      <c r="R12" s="441"/>
      <c r="S12" s="411"/>
      <c r="T12" s="412"/>
      <c r="U12" s="412"/>
      <c r="V12" s="412"/>
      <c r="W12" s="442"/>
      <c r="X12" s="442">
        <f>ROUND(IF(项目基本情况!B8="出让",SUMPRODUCT(PRODUCT(1+N12:N$33)),SUMPRODUCT(PRODUCT(1+N12:N$32))),4)</f>
        <v>1.5422</v>
      </c>
      <c r="Y12" s="442">
        <f>ROUND(IF(项目基本情况!B8="出让",SUMPRODUCT(PRODUCT(1+O12:O$33)),SUMPRODUCT(PRODUCT(1+O12:O$32))),4)</f>
        <v>1.3557999999999999</v>
      </c>
      <c r="Z12" s="442">
        <f t="shared" si="8"/>
        <v>1.3557999999999999</v>
      </c>
      <c r="AA12" s="442">
        <f>ROUND(IF(项目基本情况!B8="出让",SUMPRODUCT(PRODUCT(1+P12:P$33)),SUMPRODUCT(PRODUCT(1+P12:P$32))),4)</f>
        <v>1.6036999999999999</v>
      </c>
      <c r="AB12" s="442">
        <f>ROUND(IF(项目基本情况!B8="出让",SUMPRODUCT(PRODUCT(1+Q12:Q$33)),SUMPRODUCT(PRODUCT(1+Q12:Q$32))),4)</f>
        <v>1.3573</v>
      </c>
      <c r="AC12" s="442"/>
      <c r="AD12" s="456">
        <f>ROUND(AVERAGE(I12:I$33)/100,4)</f>
        <v>2.1299999999999999E-2</v>
      </c>
      <c r="AE12" s="456">
        <f>ROUND(AVERAGE(J12:J$33)/100,4)</f>
        <v>1.4999999999999999E-2</v>
      </c>
      <c r="AF12" s="456">
        <f t="shared" si="9"/>
        <v>1.4999999999999999E-2</v>
      </c>
      <c r="AG12" s="456">
        <f>ROUND(AVERAGE(K12:K$33)/100,4)</f>
        <v>2.3300000000000001E-2</v>
      </c>
      <c r="AH12" s="456">
        <f>ROUND(AVERAGE(L12:L$33)/100,4)</f>
        <v>1.46E-2</v>
      </c>
    </row>
    <row r="13" spans="1:34" s="359" customFormat="1">
      <c r="A13" s="381" t="s">
        <v>2201</v>
      </c>
      <c r="B13" s="382">
        <f t="shared" si="2"/>
        <v>467.15916775261894</v>
      </c>
      <c r="C13" s="382">
        <f t="shared" si="3"/>
        <v>346.01232557169084</v>
      </c>
      <c r="D13" s="382">
        <f t="shared" si="4"/>
        <v>346.01232557169084</v>
      </c>
      <c r="E13" s="382">
        <f t="shared" si="5"/>
        <v>667.41617752122568</v>
      </c>
      <c r="F13" s="382">
        <f t="shared" si="6"/>
        <v>308.20314391798104</v>
      </c>
      <c r="G13" s="379">
        <v>2019</v>
      </c>
      <c r="H13" s="383">
        <v>1</v>
      </c>
      <c r="I13" s="383">
        <v>0.6</v>
      </c>
      <c r="J13" s="383">
        <v>0.37</v>
      </c>
      <c r="K13" s="383">
        <v>0.63</v>
      </c>
      <c r="L13" s="413">
        <v>1.1299999999999999</v>
      </c>
      <c r="M13" s="363"/>
      <c r="N13" s="411">
        <f t="shared" si="10"/>
        <v>6.0000000000000001E-3</v>
      </c>
      <c r="O13" s="412">
        <f t="shared" si="11"/>
        <v>3.7000000000000002E-3</v>
      </c>
      <c r="P13" s="412">
        <f t="shared" si="12"/>
        <v>6.3E-3</v>
      </c>
      <c r="Q13" s="412">
        <f t="shared" si="13"/>
        <v>1.1299999999999999E-2</v>
      </c>
      <c r="R13" s="441"/>
      <c r="S13" s="411">
        <f>B13/B14-1</f>
        <v>6.0000000000000053E-3</v>
      </c>
      <c r="T13" s="412">
        <f>C13/C14-1</f>
        <v>3.7000000000000366E-3</v>
      </c>
      <c r="U13" s="412">
        <f>D13/D14-1</f>
        <v>3.7000000000000366E-3</v>
      </c>
      <c r="V13" s="412">
        <f>E13/E14-1</f>
        <v>6.2999999999999723E-3</v>
      </c>
      <c r="W13" s="442"/>
      <c r="X13" s="442">
        <f>ROUND(IF(项目基本情况!B8="出让",SUMPRODUCT(PRODUCT(1+N13:N$33)),SUMPRODUCT(PRODUCT(1+N13:N$32))),4)</f>
        <v>1.5189999999999999</v>
      </c>
      <c r="Y13" s="442">
        <f>ROUND(IF(项目基本情况!B8="出让",SUMPRODUCT(PRODUCT(1+O13:O$33)),SUMPRODUCT(PRODUCT(1+O13:O$32))),4)</f>
        <v>1.3423</v>
      </c>
      <c r="Z13" s="442">
        <f t="shared" si="8"/>
        <v>1.3423</v>
      </c>
      <c r="AA13" s="442">
        <f>ROUND(IF(项目基本情况!B8="出让",SUMPRODUCT(PRODUCT(1+P13:P$33)),SUMPRODUCT(PRODUCT(1+P13:P$32))),4)</f>
        <v>1.5782</v>
      </c>
      <c r="AB13" s="442">
        <f>ROUND(IF(项目基本情况!B8="出让",SUMPRODUCT(PRODUCT(1+Q13:Q$33)),SUMPRODUCT(PRODUCT(1+Q13:Q$32))),4)</f>
        <v>1.3405</v>
      </c>
      <c r="AC13" s="442"/>
      <c r="AD13" s="456">
        <f>ROUND(AVERAGE(I13:I$33)/100,4)</f>
        <v>2.1600000000000001E-2</v>
      </c>
      <c r="AE13" s="456">
        <f>ROUND(AVERAGE(J13:J$33)/100,4)</f>
        <v>1.5299999999999999E-2</v>
      </c>
      <c r="AF13" s="456">
        <f t="shared" si="9"/>
        <v>1.5299999999999999E-2</v>
      </c>
      <c r="AG13" s="456">
        <f>ROUND(AVERAGE(K13:K$33)/100,4)</f>
        <v>2.3699999999999999E-2</v>
      </c>
      <c r="AH13" s="456">
        <f>ROUND(AVERAGE(L13:L$33)/100,4)</f>
        <v>1.47E-2</v>
      </c>
    </row>
    <row r="14" spans="1:34" s="359" customFormat="1">
      <c r="A14" s="381" t="s">
        <v>2202</v>
      </c>
      <c r="B14" s="385">
        <f t="shared" si="2"/>
        <v>464.37293017158942</v>
      </c>
      <c r="C14" s="385">
        <f t="shared" si="3"/>
        <v>344.73679941385956</v>
      </c>
      <c r="D14" s="385">
        <f t="shared" si="4"/>
        <v>344.73679941385956</v>
      </c>
      <c r="E14" s="385">
        <f t="shared" si="5"/>
        <v>663.2377795103107</v>
      </c>
      <c r="F14" s="386">
        <f t="shared" si="6"/>
        <v>304.75936311478398</v>
      </c>
      <c r="G14" s="3398">
        <v>2018</v>
      </c>
      <c r="H14" s="384">
        <v>4</v>
      </c>
      <c r="I14" s="384">
        <v>0.96</v>
      </c>
      <c r="J14" s="384">
        <v>1.03</v>
      </c>
      <c r="K14" s="384">
        <v>0.92</v>
      </c>
      <c r="L14" s="414">
        <v>1.29</v>
      </c>
      <c r="M14" s="363"/>
      <c r="N14" s="411">
        <f t="shared" si="10"/>
        <v>9.5999999999999992E-3</v>
      </c>
      <c r="O14" s="412">
        <f t="shared" si="11"/>
        <v>1.03E-2</v>
      </c>
      <c r="P14" s="412">
        <f t="shared" si="12"/>
        <v>9.1999999999999998E-3</v>
      </c>
      <c r="Q14" s="412">
        <f t="shared" si="13"/>
        <v>1.29E-2</v>
      </c>
      <c r="R14" s="441"/>
      <c r="S14" s="411"/>
      <c r="T14" s="412"/>
      <c r="U14" s="412"/>
      <c r="V14" s="412"/>
      <c r="W14" s="442"/>
      <c r="X14" s="442">
        <f>ROUND(SUMPRODUCT(PRODUCT(1+N14:N$32)),4)</f>
        <v>1.5099</v>
      </c>
      <c r="Y14" s="442">
        <f>ROUND(SUMPRODUCT(PRODUCT(1+O14:O$32)),4)</f>
        <v>1.3372999999999999</v>
      </c>
      <c r="Z14" s="442">
        <f t="shared" si="8"/>
        <v>1.3372999999999999</v>
      </c>
      <c r="AA14" s="442">
        <f>ROUND(SUMPRODUCT(PRODUCT(1+P14:P$32)),4)</f>
        <v>1.5683</v>
      </c>
      <c r="AB14" s="442">
        <f>ROUND(SUMPRODUCT(PRODUCT(1+Q14:Q$32)),4)</f>
        <v>1.3255999999999999</v>
      </c>
      <c r="AC14" s="442"/>
      <c r="AD14" s="456">
        <f>ROUND(AVERAGE(I14:I$33)/100,4)</f>
        <v>2.24E-2</v>
      </c>
      <c r="AE14" s="456">
        <f>ROUND(AVERAGE(J14:J$33)/100,4)</f>
        <v>1.5800000000000002E-2</v>
      </c>
      <c r="AF14" s="456">
        <f t="shared" si="9"/>
        <v>1.5800000000000002E-2</v>
      </c>
      <c r="AG14" s="456">
        <f>ROUND(AVERAGE(K14:K$33)/100,4)</f>
        <v>2.4500000000000001E-2</v>
      </c>
      <c r="AH14" s="456">
        <f>ROUND(AVERAGE(L14:L$33)/100,4)</f>
        <v>1.49E-2</v>
      </c>
    </row>
    <row r="15" spans="1:34" s="359" customFormat="1" ht="14.45" customHeight="1">
      <c r="A15" s="381" t="s">
        <v>2203</v>
      </c>
      <c r="B15" s="382">
        <f t="shared" si="2"/>
        <v>459.95733971036987</v>
      </c>
      <c r="C15" s="382">
        <f t="shared" si="3"/>
        <v>341.22221064422405</v>
      </c>
      <c r="D15" s="382">
        <f t="shared" si="4"/>
        <v>341.22221064422405</v>
      </c>
      <c r="E15" s="382">
        <f t="shared" si="5"/>
        <v>657.19161663724799</v>
      </c>
      <c r="F15" s="382">
        <f t="shared" si="6"/>
        <v>300.87803644464805</v>
      </c>
      <c r="G15" s="3398"/>
      <c r="H15" s="383">
        <v>3</v>
      </c>
      <c r="I15" s="383">
        <v>1.51</v>
      </c>
      <c r="J15" s="383">
        <v>1.41</v>
      </c>
      <c r="K15" s="383">
        <v>1.52</v>
      </c>
      <c r="L15" s="413">
        <v>1.74</v>
      </c>
      <c r="M15" s="363"/>
      <c r="N15" s="411">
        <f t="shared" si="10"/>
        <v>1.5100000000000001E-2</v>
      </c>
      <c r="O15" s="412">
        <f t="shared" si="11"/>
        <v>1.41E-2</v>
      </c>
      <c r="P15" s="412">
        <f t="shared" si="12"/>
        <v>1.52E-2</v>
      </c>
      <c r="Q15" s="412">
        <f t="shared" si="13"/>
        <v>1.7399999999999999E-2</v>
      </c>
      <c r="R15" s="441"/>
      <c r="S15" s="411"/>
      <c r="T15" s="412"/>
      <c r="U15" s="412"/>
      <c r="V15" s="412"/>
      <c r="W15" s="442"/>
      <c r="X15" s="442">
        <f>ROUND(SUMPRODUCT(PRODUCT(1+N15:N$32)),4)</f>
        <v>1.4956</v>
      </c>
      <c r="Y15" s="442">
        <f>ROUND(SUMPRODUCT(PRODUCT(1+O15:O$32)),4)</f>
        <v>1.3237000000000001</v>
      </c>
      <c r="Z15" s="442">
        <f t="shared" si="8"/>
        <v>1.3237000000000001</v>
      </c>
      <c r="AA15" s="442">
        <f>ROUND(SUMPRODUCT(PRODUCT(1+P15:P$32)),4)</f>
        <v>1.554</v>
      </c>
      <c r="AB15" s="442">
        <f>ROUND(SUMPRODUCT(PRODUCT(1+Q15:Q$32)),4)</f>
        <v>1.3087</v>
      </c>
      <c r="AC15" s="442"/>
      <c r="AD15" s="456">
        <f>ROUND(AVERAGE(I15:I$33)/100,4)</f>
        <v>2.3099999999999999E-2</v>
      </c>
      <c r="AE15" s="456">
        <f>ROUND(AVERAGE(J15:J$33)/100,4)</f>
        <v>1.61E-2</v>
      </c>
      <c r="AF15" s="456">
        <f t="shared" si="9"/>
        <v>1.61E-2</v>
      </c>
      <c r="AG15" s="456">
        <f>ROUND(AVERAGE(K15:K$33)/100,4)</f>
        <v>2.53E-2</v>
      </c>
      <c r="AH15" s="456">
        <f>ROUND(AVERAGE(L15:L$33)/100,4)</f>
        <v>1.4999999999999999E-2</v>
      </c>
    </row>
    <row r="16" spans="1:34" s="359" customFormat="1" ht="14.45" customHeight="1">
      <c r="A16" s="381" t="s">
        <v>2204</v>
      </c>
      <c r="B16" s="382">
        <f t="shared" si="2"/>
        <v>453.11529869999993</v>
      </c>
      <c r="C16" s="382">
        <f t="shared" si="3"/>
        <v>336.47787264000004</v>
      </c>
      <c r="D16" s="382">
        <f t="shared" si="4"/>
        <v>336.47787264000004</v>
      </c>
      <c r="E16" s="382">
        <f t="shared" si="5"/>
        <v>647.35186823999993</v>
      </c>
      <c r="F16" s="382">
        <f t="shared" si="6"/>
        <v>295.73229452000004</v>
      </c>
      <c r="G16" s="3398"/>
      <c r="H16" s="387">
        <v>2</v>
      </c>
      <c r="I16" s="387">
        <v>1.49</v>
      </c>
      <c r="J16" s="387">
        <v>0.96</v>
      </c>
      <c r="K16" s="387">
        <v>1.58</v>
      </c>
      <c r="L16" s="415">
        <v>2.44</v>
      </c>
      <c r="M16" s="363"/>
      <c r="N16" s="411">
        <f>I16/100</f>
        <v>1.49E-2</v>
      </c>
      <c r="O16" s="412">
        <f t="shared" si="11"/>
        <v>9.5999999999999992E-3</v>
      </c>
      <c r="P16" s="412">
        <f t="shared" si="12"/>
        <v>1.5800000000000002E-2</v>
      </c>
      <c r="Q16" s="412">
        <f t="shared" si="13"/>
        <v>2.4399999999999998E-2</v>
      </c>
      <c r="R16" s="441"/>
      <c r="S16" s="411"/>
      <c r="T16" s="412"/>
      <c r="U16" s="412"/>
      <c r="V16" s="412"/>
      <c r="W16" s="442"/>
      <c r="X16" s="442">
        <f>ROUND(SUMPRODUCT(PRODUCT(1+N16:N$32)),4)</f>
        <v>1.4733000000000001</v>
      </c>
      <c r="Y16" s="442">
        <f>ROUND(SUMPRODUCT(PRODUCT(1+O16:O$32)),4)</f>
        <v>1.3052999999999999</v>
      </c>
      <c r="Z16" s="442">
        <f t="shared" si="8"/>
        <v>1.3052999999999999</v>
      </c>
      <c r="AA16" s="442">
        <f>ROUND(SUMPRODUCT(PRODUCT(1+P16:P$32)),4)</f>
        <v>1.5306999999999999</v>
      </c>
      <c r="AB16" s="442">
        <f>ROUND(SUMPRODUCT(PRODUCT(1+Q16:Q$32)),4)</f>
        <v>1.2863</v>
      </c>
      <c r="AC16" s="442"/>
      <c r="AD16" s="456">
        <f>ROUND(AVERAGE(I16:I$33)/100,4)</f>
        <v>2.35E-2</v>
      </c>
      <c r="AE16" s="456">
        <f>ROUND(AVERAGE(J16:J$33)/100,4)</f>
        <v>1.6199999999999999E-2</v>
      </c>
      <c r="AF16" s="456">
        <f t="shared" si="9"/>
        <v>1.6199999999999999E-2</v>
      </c>
      <c r="AG16" s="456">
        <f>ROUND(AVERAGE(K16:K$33)/100,4)</f>
        <v>2.5899999999999999E-2</v>
      </c>
      <c r="AH16" s="456">
        <f>ROUND(AVERAGE(L16:L$33)/100,4)</f>
        <v>1.49E-2</v>
      </c>
    </row>
    <row r="17" spans="1:34" s="359" customFormat="1" ht="15" customHeight="1">
      <c r="A17" s="381" t="s">
        <v>2205</v>
      </c>
      <c r="B17" s="382">
        <f t="shared" si="2"/>
        <v>446.46299999999997</v>
      </c>
      <c r="C17" s="382">
        <f t="shared" si="3"/>
        <v>333.27840000000003</v>
      </c>
      <c r="D17" s="382">
        <f t="shared" si="4"/>
        <v>333.27840000000003</v>
      </c>
      <c r="E17" s="382">
        <f t="shared" si="5"/>
        <v>637.28279999999995</v>
      </c>
      <c r="F17" s="382">
        <f t="shared" si="6"/>
        <v>288.68830000000003</v>
      </c>
      <c r="G17" s="3405"/>
      <c r="H17" s="383">
        <v>1</v>
      </c>
      <c r="I17" s="383">
        <v>1.7</v>
      </c>
      <c r="J17" s="383">
        <v>1.92</v>
      </c>
      <c r="K17" s="383">
        <v>1.64</v>
      </c>
      <c r="L17" s="413">
        <v>2.0099999999999998</v>
      </c>
      <c r="M17" s="363"/>
      <c r="N17" s="411">
        <f t="shared" ref="N17:N22" si="14">I17/100</f>
        <v>1.7000000000000001E-2</v>
      </c>
      <c r="O17" s="412">
        <f t="shared" si="11"/>
        <v>1.9199999999999998E-2</v>
      </c>
      <c r="P17" s="412">
        <f t="shared" si="12"/>
        <v>1.6399999999999998E-2</v>
      </c>
      <c r="Q17" s="412">
        <f t="shared" si="13"/>
        <v>2.0099999999999996E-2</v>
      </c>
      <c r="R17" s="441"/>
      <c r="S17" s="411">
        <f>B17/B18-1</f>
        <v>1.6999999999999904E-2</v>
      </c>
      <c r="T17" s="412">
        <f>C17/C18-1</f>
        <v>1.9200000000000106E-2</v>
      </c>
      <c r="U17" s="412">
        <f>D17/D18-1</f>
        <v>1.9200000000000106E-2</v>
      </c>
      <c r="V17" s="412">
        <f>E17/E18-1</f>
        <v>1.639999999999997E-2</v>
      </c>
      <c r="W17" s="442"/>
      <c r="X17" s="442">
        <f>ROUND(SUMPRODUCT(PRODUCT(1+N17:N$32)),4)</f>
        <v>1.4517</v>
      </c>
      <c r="Y17" s="442">
        <f>ROUND(SUMPRODUCT(PRODUCT(1+O17:O$32)),4)</f>
        <v>1.2928999999999999</v>
      </c>
      <c r="Z17" s="442">
        <f t="shared" si="8"/>
        <v>1.2928999999999999</v>
      </c>
      <c r="AA17" s="442">
        <f>ROUND(SUMPRODUCT(PRODUCT(1+P17:P$32)),4)</f>
        <v>1.5068999999999999</v>
      </c>
      <c r="AB17" s="442">
        <f>ROUND(SUMPRODUCT(PRODUCT(1+Q17:Q$32)),4)</f>
        <v>1.2557</v>
      </c>
      <c r="AC17" s="442"/>
      <c r="AD17" s="456">
        <f>ROUND(AVERAGE(I17:I$33)/100,4)</f>
        <v>2.4E-2</v>
      </c>
      <c r="AE17" s="456">
        <f>ROUND(AVERAGE(J17:J$33)/100,4)</f>
        <v>1.66E-2</v>
      </c>
      <c r="AF17" s="456">
        <f t="shared" si="9"/>
        <v>1.66E-2</v>
      </c>
      <c r="AG17" s="456">
        <f>ROUND(AVERAGE(K17:K$33)/100,4)</f>
        <v>2.6499999999999999E-2</v>
      </c>
      <c r="AH17" s="456">
        <f>ROUND(AVERAGE(L17:L$33)/100,4)</f>
        <v>1.43E-2</v>
      </c>
    </row>
    <row r="18" spans="1:34">
      <c r="A18" s="381" t="s">
        <v>2206</v>
      </c>
      <c r="B18" s="388">
        <v>439</v>
      </c>
      <c r="C18" s="388">
        <v>327</v>
      </c>
      <c r="D18" s="388">
        <f t="shared" si="4"/>
        <v>327</v>
      </c>
      <c r="E18" s="388">
        <v>627</v>
      </c>
      <c r="F18" s="389">
        <v>283</v>
      </c>
      <c r="G18" s="3406">
        <v>2017</v>
      </c>
      <c r="H18" s="384">
        <v>4</v>
      </c>
      <c r="I18" s="384">
        <v>1.71</v>
      </c>
      <c r="J18" s="384">
        <v>1.78</v>
      </c>
      <c r="K18" s="384">
        <v>1.71</v>
      </c>
      <c r="L18" s="414">
        <v>1.43</v>
      </c>
      <c r="N18" s="411">
        <f t="shared" si="14"/>
        <v>1.7100000000000001E-2</v>
      </c>
      <c r="O18" s="412">
        <f t="shared" si="11"/>
        <v>1.78E-2</v>
      </c>
      <c r="P18" s="412">
        <f t="shared" si="12"/>
        <v>1.7100000000000001E-2</v>
      </c>
      <c r="Q18" s="412">
        <f t="shared" si="13"/>
        <v>1.43E-2</v>
      </c>
      <c r="R18" s="441"/>
      <c r="S18" s="443"/>
      <c r="T18" s="444"/>
      <c r="U18" s="444"/>
      <c r="V18" s="444"/>
      <c r="X18" s="363">
        <f>ROUND(SUMPRODUCT(PRODUCT(1+N18:N$32)),4)</f>
        <v>1.4274</v>
      </c>
      <c r="Y18" s="363">
        <f>ROUND(SUMPRODUCT(PRODUCT(1+O18:O$32)),4)</f>
        <v>1.2685</v>
      </c>
      <c r="Z18" s="363">
        <f t="shared" si="0"/>
        <v>1.2685</v>
      </c>
      <c r="AA18" s="363">
        <f>ROUND(SUMPRODUCT(PRODUCT(1+P18:P$32)),4)</f>
        <v>1.4825999999999999</v>
      </c>
      <c r="AB18" s="363">
        <f>ROUND(SUMPRODUCT(PRODUCT(1+Q18:Q$32)),4)</f>
        <v>1.2309000000000001</v>
      </c>
      <c r="AD18" s="412">
        <f>ROUND(AVERAGE(I18:I$33)/100,4)</f>
        <v>2.4500000000000001E-2</v>
      </c>
      <c r="AE18" s="412">
        <f>ROUND(AVERAGE(J18:J$33)/100,4)</f>
        <v>1.6500000000000001E-2</v>
      </c>
      <c r="AF18" s="412">
        <f t="shared" si="1"/>
        <v>1.6500000000000001E-2</v>
      </c>
      <c r="AG18" s="412">
        <f>ROUND(AVERAGE(K18:K$33)/100,4)</f>
        <v>2.7099999999999999E-2</v>
      </c>
      <c r="AH18" s="412">
        <f>ROUND(AVERAGE(L18:L$33)/100,4)</f>
        <v>1.3899999999999999E-2</v>
      </c>
    </row>
    <row r="19" spans="1:34" s="359" customFormat="1" ht="14.45" customHeight="1">
      <c r="A19" s="381" t="s">
        <v>2207</v>
      </c>
      <c r="B19" s="382">
        <f t="shared" ref="B19:C21" si="15">B20*(1+N19)</f>
        <v>431.80730811680002</v>
      </c>
      <c r="C19" s="382">
        <f t="shared" si="15"/>
        <v>320.57880516480003</v>
      </c>
      <c r="D19" s="382">
        <f t="shared" si="4"/>
        <v>320.57880516480003</v>
      </c>
      <c r="E19" s="382">
        <f t="shared" ref="E19:F21" si="16">E20*(1+P19)</f>
        <v>615.96110553196797</v>
      </c>
      <c r="F19" s="382">
        <f t="shared" si="16"/>
        <v>279.46777300108801</v>
      </c>
      <c r="G19" s="3398"/>
      <c r="H19" s="383">
        <v>3</v>
      </c>
      <c r="I19" s="383">
        <v>2.98</v>
      </c>
      <c r="J19" s="383">
        <v>2.11</v>
      </c>
      <c r="K19" s="383">
        <v>3.24</v>
      </c>
      <c r="L19" s="413">
        <v>1.72</v>
      </c>
      <c r="M19" s="363"/>
      <c r="N19" s="411">
        <f t="shared" si="14"/>
        <v>2.98E-2</v>
      </c>
      <c r="O19" s="412">
        <f t="shared" si="11"/>
        <v>2.1099999999999997E-2</v>
      </c>
      <c r="P19" s="412">
        <f t="shared" si="12"/>
        <v>3.2400000000000005E-2</v>
      </c>
      <c r="Q19" s="412">
        <f t="shared" si="13"/>
        <v>1.72E-2</v>
      </c>
      <c r="R19" s="441"/>
      <c r="S19" s="411"/>
      <c r="T19" s="412"/>
      <c r="U19" s="412"/>
      <c r="V19" s="412"/>
      <c r="W19" s="442"/>
      <c r="X19" s="442">
        <f>ROUND(SUMPRODUCT(PRODUCT(1+N19:N$32)),4)</f>
        <v>1.4034</v>
      </c>
      <c r="Y19" s="442">
        <f>ROUND(SUMPRODUCT(PRODUCT(1+O19:O$32)),4)</f>
        <v>1.2463</v>
      </c>
      <c r="Z19" s="442">
        <f t="shared" si="0"/>
        <v>1.2463</v>
      </c>
      <c r="AA19" s="442">
        <f>ROUND(SUMPRODUCT(PRODUCT(1+P19:P$32)),4)</f>
        <v>1.4577</v>
      </c>
      <c r="AB19" s="442">
        <f>ROUND(SUMPRODUCT(PRODUCT(1+Q19:Q$32)),4)</f>
        <v>1.2136</v>
      </c>
      <c r="AC19" s="442"/>
      <c r="AD19" s="456">
        <f>ROUND(AVERAGE(I19:I$33)/100,4)</f>
        <v>2.4899999999999999E-2</v>
      </c>
      <c r="AE19" s="456">
        <f>ROUND(AVERAGE(J19:J$33)/100,4)</f>
        <v>1.6400000000000001E-2</v>
      </c>
      <c r="AF19" s="456">
        <f t="shared" si="1"/>
        <v>1.6400000000000001E-2</v>
      </c>
      <c r="AG19" s="456">
        <f>ROUND(AVERAGE(K19:K$33)/100,4)</f>
        <v>2.7799999999999998E-2</v>
      </c>
      <c r="AH19" s="456">
        <f>ROUND(AVERAGE(L19:L$33)/100,4)</f>
        <v>1.3899999999999999E-2</v>
      </c>
    </row>
    <row r="20" spans="1:34" s="358" customFormat="1" ht="14.45" customHeight="1">
      <c r="A20" s="381" t="s">
        <v>2208</v>
      </c>
      <c r="B20" s="382">
        <f t="shared" si="15"/>
        <v>419.31181600000002</v>
      </c>
      <c r="C20" s="382">
        <f t="shared" si="15"/>
        <v>313.95436800000004</v>
      </c>
      <c r="D20" s="382">
        <f t="shared" si="4"/>
        <v>313.95436800000004</v>
      </c>
      <c r="E20" s="382">
        <f t="shared" si="16"/>
        <v>596.63028431999999</v>
      </c>
      <c r="F20" s="382">
        <f t="shared" si="16"/>
        <v>274.74220703999998</v>
      </c>
      <c r="G20" s="3398"/>
      <c r="H20" s="387">
        <v>2</v>
      </c>
      <c r="I20" s="387">
        <v>3.4</v>
      </c>
      <c r="J20" s="387">
        <v>2</v>
      </c>
      <c r="K20" s="387">
        <v>3.82</v>
      </c>
      <c r="L20" s="415">
        <v>1.68</v>
      </c>
      <c r="M20" s="363"/>
      <c r="N20" s="411">
        <f t="shared" si="14"/>
        <v>3.4000000000000002E-2</v>
      </c>
      <c r="O20" s="412">
        <f t="shared" si="11"/>
        <v>0.02</v>
      </c>
      <c r="P20" s="412">
        <f t="shared" si="12"/>
        <v>3.8199999999999998E-2</v>
      </c>
      <c r="Q20" s="412">
        <f t="shared" si="13"/>
        <v>1.6799999999999999E-2</v>
      </c>
      <c r="R20" s="441"/>
      <c r="S20" s="443"/>
      <c r="T20" s="444"/>
      <c r="U20" s="444"/>
      <c r="V20" s="444"/>
      <c r="W20" s="357"/>
      <c r="X20" s="442">
        <f>ROUND(SUMPRODUCT(PRODUCT(1+N20:N$32)),4)</f>
        <v>1.3628</v>
      </c>
      <c r="Y20" s="442">
        <f>ROUND(SUMPRODUCT(PRODUCT(1+O20:O$32)),4)</f>
        <v>1.2205999999999999</v>
      </c>
      <c r="Z20" s="442">
        <f t="shared" si="0"/>
        <v>1.2205999999999999</v>
      </c>
      <c r="AA20" s="442">
        <f>ROUND(SUMPRODUCT(PRODUCT(1+P20:P$32)),4)</f>
        <v>1.4118999999999999</v>
      </c>
      <c r="AB20" s="442">
        <f>ROUND(SUMPRODUCT(PRODUCT(1+Q20:Q$32)),4)</f>
        <v>1.1930000000000001</v>
      </c>
      <c r="AC20" s="357"/>
      <c r="AD20" s="456">
        <f>ROUND(AVERAGE(I20:I$33)/100,4)</f>
        <v>2.46E-2</v>
      </c>
      <c r="AE20" s="456">
        <f>ROUND(AVERAGE(J20:J$33)/100,4)</f>
        <v>1.6E-2</v>
      </c>
      <c r="AF20" s="456">
        <f t="shared" si="1"/>
        <v>1.6E-2</v>
      </c>
      <c r="AG20" s="456">
        <f>ROUND(AVERAGE(K20:K$33)/100,4)</f>
        <v>2.75E-2</v>
      </c>
      <c r="AH20" s="456">
        <f>ROUND(AVERAGE(L20:L$33)/100,4)</f>
        <v>1.37E-2</v>
      </c>
    </row>
    <row r="21" spans="1:34" s="359" customFormat="1" ht="15" customHeight="1">
      <c r="A21" s="381" t="s">
        <v>2209</v>
      </c>
      <c r="B21" s="382">
        <f t="shared" si="15"/>
        <v>405.524</v>
      </c>
      <c r="C21" s="382">
        <f t="shared" si="15"/>
        <v>307.79840000000002</v>
      </c>
      <c r="D21" s="382">
        <f t="shared" si="4"/>
        <v>307.79840000000002</v>
      </c>
      <c r="E21" s="382">
        <f t="shared" si="16"/>
        <v>574.67759999999998</v>
      </c>
      <c r="F21" s="382">
        <f t="shared" si="16"/>
        <v>270.20280000000002</v>
      </c>
      <c r="G21" s="3405"/>
      <c r="H21" s="383">
        <v>1</v>
      </c>
      <c r="I21" s="383">
        <v>3.45</v>
      </c>
      <c r="J21" s="383">
        <v>1.92</v>
      </c>
      <c r="K21" s="383">
        <v>3.92</v>
      </c>
      <c r="L21" s="413">
        <v>1.58</v>
      </c>
      <c r="M21" s="363"/>
      <c r="N21" s="411">
        <f t="shared" si="14"/>
        <v>3.4500000000000003E-2</v>
      </c>
      <c r="O21" s="412">
        <f t="shared" ref="O21:Q36" si="17">J21/100</f>
        <v>1.9199999999999998E-2</v>
      </c>
      <c r="P21" s="412">
        <f t="shared" si="17"/>
        <v>3.9199999999999999E-2</v>
      </c>
      <c r="Q21" s="412">
        <f t="shared" si="17"/>
        <v>1.5800000000000002E-2</v>
      </c>
      <c r="R21" s="441"/>
      <c r="S21" s="411">
        <f>B21/B22-1</f>
        <v>3.4499999999999975E-2</v>
      </c>
      <c r="T21" s="412">
        <f>C21/C22-1</f>
        <v>1.9200000000000106E-2</v>
      </c>
      <c r="U21" s="412">
        <f>D21/D22-1</f>
        <v>1.9200000000000106E-2</v>
      </c>
      <c r="V21" s="412">
        <f>E21/E22-1</f>
        <v>3.9199999999999902E-2</v>
      </c>
      <c r="W21" s="442"/>
      <c r="X21" s="442">
        <f>ROUND(SUMPRODUCT(PRODUCT(1+N21:N$32)),4)</f>
        <v>1.3180000000000001</v>
      </c>
      <c r="Y21" s="442">
        <f>ROUND(SUMPRODUCT(PRODUCT(1+O21:O$32)),4)</f>
        <v>1.1966000000000001</v>
      </c>
      <c r="Z21" s="442">
        <f t="shared" si="0"/>
        <v>1.1966000000000001</v>
      </c>
      <c r="AA21" s="442">
        <f>ROUND(SUMPRODUCT(PRODUCT(1+P21:P$32)),4)</f>
        <v>1.36</v>
      </c>
      <c r="AB21" s="442">
        <f>ROUND(SUMPRODUCT(PRODUCT(1+Q21:Q$32)),4)</f>
        <v>1.1733</v>
      </c>
      <c r="AC21" s="442"/>
      <c r="AD21" s="456">
        <f>ROUND(AVERAGE(I21:I$33)/100,4)</f>
        <v>2.3900000000000001E-2</v>
      </c>
      <c r="AE21" s="456">
        <f>ROUND(AVERAGE(J21:J$33)/100,4)</f>
        <v>1.5699999999999999E-2</v>
      </c>
      <c r="AF21" s="456">
        <f t="shared" si="1"/>
        <v>1.5699999999999999E-2</v>
      </c>
      <c r="AG21" s="456">
        <f>ROUND(AVERAGE(K21:K$33)/100,4)</f>
        <v>2.6599999999999999E-2</v>
      </c>
      <c r="AH21" s="456">
        <f>ROUND(AVERAGE(L21:L$33)/100,4)</f>
        <v>1.34E-2</v>
      </c>
    </row>
    <row r="22" spans="1:34">
      <c r="A22" s="381" t="s">
        <v>2210</v>
      </c>
      <c r="B22" s="388">
        <v>392</v>
      </c>
      <c r="C22" s="388">
        <v>302</v>
      </c>
      <c r="D22" s="388">
        <f t="shared" si="4"/>
        <v>302</v>
      </c>
      <c r="E22" s="388">
        <v>553</v>
      </c>
      <c r="F22" s="389">
        <v>266</v>
      </c>
      <c r="G22" s="3406">
        <v>2016</v>
      </c>
      <c r="H22" s="384">
        <v>4</v>
      </c>
      <c r="I22" s="384">
        <v>4.5599999999999996</v>
      </c>
      <c r="J22" s="384">
        <v>2.15</v>
      </c>
      <c r="K22" s="384">
        <v>5.32</v>
      </c>
      <c r="L22" s="414">
        <v>1.57</v>
      </c>
      <c r="N22" s="411">
        <f t="shared" si="14"/>
        <v>4.5599999999999995E-2</v>
      </c>
      <c r="O22" s="412">
        <f t="shared" si="17"/>
        <v>2.1499999999999998E-2</v>
      </c>
      <c r="P22" s="412">
        <f t="shared" si="17"/>
        <v>5.3200000000000004E-2</v>
      </c>
      <c r="Q22" s="412">
        <f t="shared" si="17"/>
        <v>1.5700000000000002E-2</v>
      </c>
      <c r="R22" s="441"/>
      <c r="S22" s="443"/>
      <c r="T22" s="444"/>
      <c r="U22" s="444"/>
      <c r="V22" s="444"/>
      <c r="X22" s="363">
        <f>ROUND(SUMPRODUCT(PRODUCT(1+N22:N$32)),4)</f>
        <v>1.274</v>
      </c>
      <c r="Y22" s="363">
        <f>ROUND(SUMPRODUCT(PRODUCT(1+O22:O$32)),4)</f>
        <v>1.1740999999999999</v>
      </c>
      <c r="Z22" s="363">
        <f t="shared" si="0"/>
        <v>1.1740999999999999</v>
      </c>
      <c r="AA22" s="363">
        <f>ROUND(SUMPRODUCT(PRODUCT(1+P22:P$32)),4)</f>
        <v>1.3087</v>
      </c>
      <c r="AB22" s="363">
        <f>ROUND(SUMPRODUCT(PRODUCT(1+Q22:Q$32)),4)</f>
        <v>1.1551</v>
      </c>
      <c r="AD22" s="412">
        <f>ROUND(AVERAGE(I22:I$33)/100,4)</f>
        <v>2.3E-2</v>
      </c>
      <c r="AE22" s="412">
        <f>ROUND(AVERAGE(J22:J$33)/100,4)</f>
        <v>1.55E-2</v>
      </c>
      <c r="AF22" s="412">
        <f t="shared" si="1"/>
        <v>1.55E-2</v>
      </c>
      <c r="AG22" s="412">
        <f>ROUND(AVERAGE(K22:K$33)/100,4)</f>
        <v>2.5600000000000001E-2</v>
      </c>
      <c r="AH22" s="412">
        <f>ROUND(AVERAGE(L22:L$33)/100,4)</f>
        <v>1.32E-2</v>
      </c>
    </row>
    <row r="23" spans="1:34">
      <c r="A23" s="381" t="s">
        <v>2211</v>
      </c>
      <c r="B23" s="382">
        <f t="shared" ref="B23:C25" si="18">B22/(1+N22)</f>
        <v>374.90436113236416</v>
      </c>
      <c r="C23" s="382">
        <f t="shared" si="18"/>
        <v>295.64366128242779</v>
      </c>
      <c r="D23" s="382">
        <f t="shared" ref="D23:D82" si="19">C23</f>
        <v>295.64366128242779</v>
      </c>
      <c r="E23" s="382">
        <f t="shared" ref="E23:F25" si="20">E22/(1+P22)</f>
        <v>525.06646410938095</v>
      </c>
      <c r="F23" s="382">
        <f t="shared" si="20"/>
        <v>261.88835286009646</v>
      </c>
      <c r="G23" s="3398"/>
      <c r="H23" s="383">
        <v>3</v>
      </c>
      <c r="I23" s="383">
        <v>4.12</v>
      </c>
      <c r="J23" s="383">
        <v>2</v>
      </c>
      <c r="K23" s="383">
        <v>4.79</v>
      </c>
      <c r="L23" s="413">
        <v>1.97</v>
      </c>
      <c r="N23" s="411">
        <f t="shared" ref="N23:Q57" si="21">I23/100</f>
        <v>4.1200000000000001E-2</v>
      </c>
      <c r="O23" s="412">
        <f t="shared" si="17"/>
        <v>0.02</v>
      </c>
      <c r="P23" s="412">
        <f t="shared" si="17"/>
        <v>4.7899999999999998E-2</v>
      </c>
      <c r="Q23" s="412">
        <f t="shared" si="17"/>
        <v>1.9699999999999999E-2</v>
      </c>
      <c r="R23" s="441"/>
      <c r="S23" s="411"/>
      <c r="T23" s="412"/>
      <c r="U23" s="412"/>
      <c r="V23" s="412"/>
      <c r="X23" s="363">
        <f>ROUND(SUMPRODUCT(PRODUCT(1+N23:N$32)),4)</f>
        <v>1.2184999999999999</v>
      </c>
      <c r="Y23" s="363">
        <f>ROUND(SUMPRODUCT(PRODUCT(1+O23:O$32)),4)</f>
        <v>1.1494</v>
      </c>
      <c r="Z23" s="363">
        <f t="shared" si="0"/>
        <v>1.1494</v>
      </c>
      <c r="AA23" s="363">
        <f>ROUND(SUMPRODUCT(PRODUCT(1+P23:P$32)),4)</f>
        <v>1.2425999999999999</v>
      </c>
      <c r="AB23" s="363">
        <f>ROUND(SUMPRODUCT(PRODUCT(1+Q23:Q$32)),4)</f>
        <v>1.1372</v>
      </c>
      <c r="AD23" s="412">
        <f>ROUND(AVERAGE(I23:I$33)/100,4)</f>
        <v>2.0899999999999998E-2</v>
      </c>
      <c r="AE23" s="412">
        <f>ROUND(AVERAGE(J23:J$33)/100,4)</f>
        <v>1.49E-2</v>
      </c>
      <c r="AF23" s="412">
        <f t="shared" si="1"/>
        <v>1.49E-2</v>
      </c>
      <c r="AG23" s="412">
        <f>ROUND(AVERAGE(K23:K$33)/100,4)</f>
        <v>2.3099999999999999E-2</v>
      </c>
      <c r="AH23" s="412">
        <f>ROUND(AVERAGE(L23:L$33)/100,4)</f>
        <v>1.2999999999999999E-2</v>
      </c>
    </row>
    <row r="24" spans="1:34">
      <c r="A24" s="381" t="s">
        <v>2212</v>
      </c>
      <c r="B24" s="382">
        <f t="shared" si="18"/>
        <v>360.06949782209392</v>
      </c>
      <c r="C24" s="382">
        <f t="shared" si="18"/>
        <v>289.84672674747821</v>
      </c>
      <c r="D24" s="382">
        <f t="shared" si="19"/>
        <v>289.84672674747821</v>
      </c>
      <c r="E24" s="382">
        <f t="shared" si="20"/>
        <v>501.06543001181495</v>
      </c>
      <c r="F24" s="382">
        <f t="shared" si="20"/>
        <v>256.82882500744967</v>
      </c>
      <c r="G24" s="3398"/>
      <c r="H24" s="387">
        <v>2</v>
      </c>
      <c r="I24" s="387">
        <v>3.85</v>
      </c>
      <c r="J24" s="387">
        <v>1.95</v>
      </c>
      <c r="K24" s="387">
        <v>4.4800000000000004</v>
      </c>
      <c r="L24" s="415">
        <v>1.41</v>
      </c>
      <c r="N24" s="411">
        <f t="shared" si="21"/>
        <v>3.85E-2</v>
      </c>
      <c r="O24" s="412">
        <f t="shared" si="17"/>
        <v>1.95E-2</v>
      </c>
      <c r="P24" s="412">
        <f t="shared" si="17"/>
        <v>4.4800000000000006E-2</v>
      </c>
      <c r="Q24" s="412">
        <f t="shared" si="17"/>
        <v>1.41E-2</v>
      </c>
      <c r="R24" s="441"/>
      <c r="S24" s="411"/>
      <c r="T24" s="412"/>
      <c r="U24" s="412"/>
      <c r="V24" s="412"/>
      <c r="X24" s="363">
        <f>ROUND(SUMPRODUCT(PRODUCT(1+N24:N$32)),4)</f>
        <v>1.1702999999999999</v>
      </c>
      <c r="Y24" s="363">
        <f>ROUND(SUMPRODUCT(PRODUCT(1+O24:O$32)),4)</f>
        <v>1.1269</v>
      </c>
      <c r="Z24" s="363">
        <f t="shared" si="0"/>
        <v>1.1269</v>
      </c>
      <c r="AA24" s="363">
        <f>ROUND(SUMPRODUCT(PRODUCT(1+P24:P$32)),4)</f>
        <v>1.1858</v>
      </c>
      <c r="AB24" s="363">
        <f>ROUND(SUMPRODUCT(PRODUCT(1+Q24:Q$32)),4)</f>
        <v>1.1152</v>
      </c>
      <c r="AD24" s="412">
        <f>ROUND(AVERAGE(I24:I$33)/100,4)</f>
        <v>1.89E-2</v>
      </c>
      <c r="AE24" s="412">
        <f>ROUND(AVERAGE(J24:J$33)/100,4)</f>
        <v>1.44E-2</v>
      </c>
      <c r="AF24" s="412">
        <f t="shared" si="1"/>
        <v>1.44E-2</v>
      </c>
      <c r="AG24" s="412">
        <f>ROUND(AVERAGE(K24:K$33)/100,4)</f>
        <v>2.06E-2</v>
      </c>
      <c r="AH24" s="412">
        <f>ROUND(AVERAGE(L24:L$33)/100,4)</f>
        <v>1.23E-2</v>
      </c>
    </row>
    <row r="25" spans="1:34">
      <c r="A25" s="381" t="s">
        <v>2213</v>
      </c>
      <c r="B25" s="382">
        <f t="shared" si="18"/>
        <v>346.720748986128</v>
      </c>
      <c r="C25" s="382">
        <f t="shared" si="18"/>
        <v>284.30282172386285</v>
      </c>
      <c r="D25" s="382">
        <f t="shared" si="19"/>
        <v>284.30282172386285</v>
      </c>
      <c r="E25" s="382">
        <f t="shared" si="20"/>
        <v>479.58023546306947</v>
      </c>
      <c r="F25" s="382">
        <f t="shared" si="20"/>
        <v>253.25788877571213</v>
      </c>
      <c r="G25" s="3399"/>
      <c r="H25" s="383">
        <v>1</v>
      </c>
      <c r="I25" s="383">
        <v>4.09</v>
      </c>
      <c r="J25" s="383">
        <v>2.93</v>
      </c>
      <c r="K25" s="383">
        <v>4.54</v>
      </c>
      <c r="L25" s="413">
        <v>1.48</v>
      </c>
      <c r="N25" s="411">
        <f t="shared" si="21"/>
        <v>4.0899999999999999E-2</v>
      </c>
      <c r="O25" s="412">
        <f t="shared" si="17"/>
        <v>2.9300000000000003E-2</v>
      </c>
      <c r="P25" s="412">
        <f t="shared" si="17"/>
        <v>4.5400000000000003E-2</v>
      </c>
      <c r="Q25" s="412">
        <f t="shared" si="17"/>
        <v>1.4800000000000001E-2</v>
      </c>
      <c r="R25" s="441"/>
      <c r="S25" s="421">
        <f>B25/B26-1</f>
        <v>4.1203450408792808E-2</v>
      </c>
      <c r="T25" s="422">
        <f>C25/C26-1</f>
        <v>2.6363977342465095E-2</v>
      </c>
      <c r="U25" s="422">
        <f>E25/E26-1</f>
        <v>4.4837114298626357E-2</v>
      </c>
      <c r="V25" s="422">
        <f>F25/F26-1</f>
        <v>1.7099954922538574E-2</v>
      </c>
      <c r="X25" s="363">
        <f>ROUND(SUMPRODUCT(PRODUCT(1+N25:N$32)),4)</f>
        <v>1.1269</v>
      </c>
      <c r="Y25" s="363">
        <f>ROUND(SUMPRODUCT(PRODUCT(1+O25:O$32)),4)</f>
        <v>1.1052999999999999</v>
      </c>
      <c r="Z25" s="363">
        <f t="shared" si="0"/>
        <v>1.1052999999999999</v>
      </c>
      <c r="AA25" s="363">
        <f>ROUND(SUMPRODUCT(PRODUCT(1+P25:P$32)),4)</f>
        <v>1.1349</v>
      </c>
      <c r="AB25" s="363">
        <f>ROUND(SUMPRODUCT(PRODUCT(1+Q25:Q$32)),4)</f>
        <v>1.0996999999999999</v>
      </c>
      <c r="AD25" s="412">
        <f>ROUND(AVERAGE(I25:I$33)/100,4)</f>
        <v>1.67E-2</v>
      </c>
      <c r="AE25" s="412">
        <f>ROUND(AVERAGE(J25:J$33)/100,4)</f>
        <v>1.38E-2</v>
      </c>
      <c r="AF25" s="412">
        <f t="shared" si="1"/>
        <v>1.38E-2</v>
      </c>
      <c r="AG25" s="412">
        <f>ROUND(AVERAGE(K25:K$33)/100,4)</f>
        <v>1.7899999999999999E-2</v>
      </c>
      <c r="AH25" s="412">
        <f>ROUND(AVERAGE(L25:L$33)/100,4)</f>
        <v>1.21E-2</v>
      </c>
    </row>
    <row r="26" spans="1:34">
      <c r="A26" s="381" t="s">
        <v>2214</v>
      </c>
      <c r="B26" s="388">
        <v>333</v>
      </c>
      <c r="C26" s="388">
        <v>277</v>
      </c>
      <c r="D26" s="388">
        <f t="shared" si="19"/>
        <v>277</v>
      </c>
      <c r="E26" s="388">
        <v>459</v>
      </c>
      <c r="F26" s="389">
        <v>249</v>
      </c>
      <c r="G26" s="3397">
        <v>2015</v>
      </c>
      <c r="H26" s="390">
        <v>4</v>
      </c>
      <c r="I26" s="390">
        <v>1.63</v>
      </c>
      <c r="J26" s="390">
        <v>1.1100000000000001</v>
      </c>
      <c r="K26" s="390">
        <v>1.77</v>
      </c>
      <c r="L26" s="416">
        <v>1.89</v>
      </c>
      <c r="N26" s="417">
        <f t="shared" si="21"/>
        <v>1.6299999999999999E-2</v>
      </c>
      <c r="O26" s="418">
        <f t="shared" si="17"/>
        <v>1.11E-2</v>
      </c>
      <c r="P26" s="418">
        <f t="shared" si="17"/>
        <v>1.77E-2</v>
      </c>
      <c r="Q26" s="418">
        <f t="shared" si="17"/>
        <v>1.89E-2</v>
      </c>
      <c r="R26" s="441"/>
      <c r="X26" s="363">
        <f>ROUND(SUMPRODUCT(PRODUCT(1+N26:N$32)),4)</f>
        <v>1.0826</v>
      </c>
      <c r="Y26" s="363">
        <f>ROUND(SUMPRODUCT(PRODUCT(1+O26:O$32)),4)</f>
        <v>1.0738000000000001</v>
      </c>
      <c r="Z26" s="363">
        <f t="shared" si="0"/>
        <v>1.0738000000000001</v>
      </c>
      <c r="AA26" s="363">
        <f>ROUND(SUMPRODUCT(PRODUCT(1+P26:P$32)),4)</f>
        <v>1.0855999999999999</v>
      </c>
      <c r="AB26" s="363">
        <f>ROUND(SUMPRODUCT(PRODUCT(1+Q26:Q$32)),4)</f>
        <v>1.0837000000000001</v>
      </c>
      <c r="AD26" s="412">
        <f>ROUND(AVERAGE(I26:I$33)/100,4)</f>
        <v>1.37E-2</v>
      </c>
      <c r="AE26" s="412">
        <f>ROUND(AVERAGE(J26:J$33)/100,4)</f>
        <v>1.1900000000000001E-2</v>
      </c>
      <c r="AF26" s="412">
        <f t="shared" si="1"/>
        <v>1.1900000000000001E-2</v>
      </c>
      <c r="AG26" s="412">
        <f>ROUND(AVERAGE(K26:K$33)/100,4)</f>
        <v>1.4500000000000001E-2</v>
      </c>
      <c r="AH26" s="412">
        <f>ROUND(AVERAGE(L26:L$33)/100,4)</f>
        <v>1.18E-2</v>
      </c>
    </row>
    <row r="27" spans="1:34">
      <c r="A27" s="381" t="s">
        <v>2215</v>
      </c>
      <c r="B27" s="382">
        <f t="shared" ref="B27:C29" si="22">B26/(1+N26)</f>
        <v>327.65915576109415</v>
      </c>
      <c r="C27" s="382">
        <f t="shared" si="22"/>
        <v>273.95905449510434</v>
      </c>
      <c r="D27" s="382">
        <f t="shared" si="19"/>
        <v>273.95905449510434</v>
      </c>
      <c r="E27" s="382">
        <f t="shared" ref="E27:F29" si="23">E26/(1+P26)</f>
        <v>451.01699911565294</v>
      </c>
      <c r="F27" s="382">
        <f t="shared" si="23"/>
        <v>244.38119540681129</v>
      </c>
      <c r="G27" s="3398"/>
      <c r="H27" s="391">
        <v>3</v>
      </c>
      <c r="I27" s="391">
        <v>1.65</v>
      </c>
      <c r="J27" s="391">
        <v>0.92</v>
      </c>
      <c r="K27" s="391">
        <v>1.88</v>
      </c>
      <c r="L27" s="419">
        <v>1.26</v>
      </c>
      <c r="N27" s="411">
        <f t="shared" si="21"/>
        <v>1.6500000000000001E-2</v>
      </c>
      <c r="O27" s="420">
        <f t="shared" si="17"/>
        <v>9.1999999999999998E-3</v>
      </c>
      <c r="P27" s="420">
        <f t="shared" si="17"/>
        <v>1.8799999999999997E-2</v>
      </c>
      <c r="Q27" s="420">
        <f t="shared" si="17"/>
        <v>1.26E-2</v>
      </c>
      <c r="R27" s="441"/>
      <c r="S27" s="411"/>
      <c r="T27" s="412"/>
      <c r="U27" s="412"/>
      <c r="V27" s="412"/>
      <c r="X27" s="363">
        <f>ROUND(SUMPRODUCT(PRODUCT(1+N27:N$32)),4)</f>
        <v>1.0651999999999999</v>
      </c>
      <c r="Y27" s="363">
        <f>ROUND(SUMPRODUCT(PRODUCT(1+O27:O$32)),4)</f>
        <v>1.0621</v>
      </c>
      <c r="Z27" s="363">
        <f t="shared" si="0"/>
        <v>1.0621</v>
      </c>
      <c r="AA27" s="363">
        <f>ROUND(SUMPRODUCT(PRODUCT(1+P27:P$32)),4)</f>
        <v>1.0668</v>
      </c>
      <c r="AB27" s="363">
        <f>ROUND(SUMPRODUCT(PRODUCT(1+Q27:Q$32)),4)</f>
        <v>1.0636000000000001</v>
      </c>
      <c r="AD27" s="412">
        <f>ROUND(AVERAGE(I27:I$33)/100,4)</f>
        <v>1.3299999999999999E-2</v>
      </c>
      <c r="AE27" s="412">
        <f>ROUND(AVERAGE(J27:J$33)/100,4)</f>
        <v>1.2E-2</v>
      </c>
      <c r="AF27" s="412">
        <f t="shared" si="1"/>
        <v>1.2E-2</v>
      </c>
      <c r="AG27" s="412">
        <f>ROUND(AVERAGE(K27:K$33)/100,4)</f>
        <v>1.4E-2</v>
      </c>
      <c r="AH27" s="412">
        <f>ROUND(AVERAGE(L27:L$33)/100,4)</f>
        <v>1.0800000000000001E-2</v>
      </c>
    </row>
    <row r="28" spans="1:34">
      <c r="A28" s="381" t="s">
        <v>2216</v>
      </c>
      <c r="B28" s="382">
        <f t="shared" si="22"/>
        <v>322.34053690220776</v>
      </c>
      <c r="C28" s="382">
        <f t="shared" si="22"/>
        <v>271.46160770422546</v>
      </c>
      <c r="D28" s="382">
        <f t="shared" si="19"/>
        <v>271.46160770422546</v>
      </c>
      <c r="E28" s="382">
        <f t="shared" si="23"/>
        <v>442.69434542172456</v>
      </c>
      <c r="F28" s="382">
        <f t="shared" si="23"/>
        <v>241.34030753190925</v>
      </c>
      <c r="G28" s="3398"/>
      <c r="H28" s="387">
        <v>2</v>
      </c>
      <c r="I28" s="387">
        <v>0.77</v>
      </c>
      <c r="J28" s="387">
        <v>0.69</v>
      </c>
      <c r="K28" s="387">
        <v>0.8</v>
      </c>
      <c r="L28" s="415">
        <v>0.88</v>
      </c>
      <c r="N28" s="411">
        <f t="shared" si="21"/>
        <v>7.7000000000000002E-3</v>
      </c>
      <c r="O28" s="420">
        <f t="shared" si="17"/>
        <v>6.8999999999999999E-3</v>
      </c>
      <c r="P28" s="420">
        <f t="shared" si="17"/>
        <v>8.0000000000000002E-3</v>
      </c>
      <c r="Q28" s="420">
        <f t="shared" si="17"/>
        <v>8.8000000000000005E-3</v>
      </c>
      <c r="R28" s="441"/>
      <c r="S28" s="411"/>
      <c r="T28" s="412"/>
      <c r="U28" s="412"/>
      <c r="V28" s="412"/>
      <c r="X28" s="363">
        <f>ROUND(SUMPRODUCT(PRODUCT(1+N28:N$32)),4)</f>
        <v>1.048</v>
      </c>
      <c r="Y28" s="363">
        <f>ROUND(SUMPRODUCT(PRODUCT(1+O28:O$32)),4)</f>
        <v>1.0524</v>
      </c>
      <c r="Z28" s="363">
        <f t="shared" si="0"/>
        <v>1.0524</v>
      </c>
      <c r="AA28" s="363">
        <f>ROUND(SUMPRODUCT(PRODUCT(1+P28:P$32)),4)</f>
        <v>1.0470999999999999</v>
      </c>
      <c r="AB28" s="363">
        <f>ROUND(SUMPRODUCT(PRODUCT(1+Q28:Q$32)),4)</f>
        <v>1.0504</v>
      </c>
      <c r="AD28" s="412">
        <f>ROUND(AVERAGE(I28:I$33)/100,4)</f>
        <v>1.2800000000000001E-2</v>
      </c>
      <c r="AE28" s="412">
        <f>ROUND(AVERAGE(J28:J$33)/100,4)</f>
        <v>1.2500000000000001E-2</v>
      </c>
      <c r="AF28" s="412">
        <f t="shared" si="1"/>
        <v>1.2500000000000001E-2</v>
      </c>
      <c r="AG28" s="412">
        <f>ROUND(AVERAGE(K28:K$33)/100,4)</f>
        <v>1.32E-2</v>
      </c>
      <c r="AH28" s="412">
        <f>ROUND(AVERAGE(L28:L$33)/100,4)</f>
        <v>1.0500000000000001E-2</v>
      </c>
    </row>
    <row r="29" spans="1:34">
      <c r="A29" s="381" t="s">
        <v>2217</v>
      </c>
      <c r="B29" s="382">
        <f t="shared" si="22"/>
        <v>319.87748030386797</v>
      </c>
      <c r="C29" s="382">
        <f t="shared" si="22"/>
        <v>269.60135833173649</v>
      </c>
      <c r="D29" s="382">
        <f t="shared" si="19"/>
        <v>269.60135833173649</v>
      </c>
      <c r="E29" s="382">
        <f t="shared" si="23"/>
        <v>439.18089823583784</v>
      </c>
      <c r="F29" s="382">
        <f t="shared" si="23"/>
        <v>239.23503918706311</v>
      </c>
      <c r="G29" s="3399"/>
      <c r="H29" s="383">
        <v>1</v>
      </c>
      <c r="I29" s="383">
        <v>0.51</v>
      </c>
      <c r="J29" s="383">
        <v>0.54</v>
      </c>
      <c r="K29" s="383">
        <v>0.48</v>
      </c>
      <c r="L29" s="413">
        <v>0.93</v>
      </c>
      <c r="N29" s="421">
        <f t="shared" si="21"/>
        <v>5.1000000000000004E-3</v>
      </c>
      <c r="O29" s="422">
        <f t="shared" si="17"/>
        <v>5.4000000000000003E-3</v>
      </c>
      <c r="P29" s="422">
        <f t="shared" si="17"/>
        <v>4.7999999999999996E-3</v>
      </c>
      <c r="Q29" s="422">
        <f t="shared" si="17"/>
        <v>9.300000000000001E-3</v>
      </c>
      <c r="R29" s="441"/>
      <c r="S29" s="421">
        <f>B29/B30-1</f>
        <v>5.9040261127922822E-3</v>
      </c>
      <c r="T29" s="422">
        <f>C29/C30-1</f>
        <v>5.9752176557332781E-3</v>
      </c>
      <c r="U29" s="422">
        <f>E29/E30-1</f>
        <v>4.9906138119859556E-3</v>
      </c>
      <c r="V29" s="422">
        <f>F29/F30-1</f>
        <v>9.4305450930933787E-3</v>
      </c>
      <c r="X29" s="363">
        <f>ROUND(SUMPRODUCT(PRODUCT(1+N29:N$32)),4)</f>
        <v>1.0399</v>
      </c>
      <c r="Y29" s="363">
        <f>ROUND(SUMPRODUCT(PRODUCT(1+O29:O$32)),4)</f>
        <v>1.0451999999999999</v>
      </c>
      <c r="Z29" s="363">
        <f t="shared" si="0"/>
        <v>1.0451999999999999</v>
      </c>
      <c r="AA29" s="363">
        <f>ROUND(SUMPRODUCT(PRODUCT(1+P29:P$32)),4)</f>
        <v>1.0387999999999999</v>
      </c>
      <c r="AB29" s="363">
        <f>ROUND(SUMPRODUCT(PRODUCT(1+Q29:Q$32)),4)</f>
        <v>1.0411999999999999</v>
      </c>
      <c r="AD29" s="412">
        <f>ROUND(AVERAGE(I29:I$33)/100,4)</f>
        <v>1.38E-2</v>
      </c>
      <c r="AE29" s="412">
        <f>ROUND(AVERAGE(J29:J$33)/100,4)</f>
        <v>1.3599999999999999E-2</v>
      </c>
      <c r="AF29" s="412">
        <f t="shared" si="1"/>
        <v>1.3599999999999999E-2</v>
      </c>
      <c r="AG29" s="412">
        <f>ROUND(AVERAGE(K29:K$33)/100,4)</f>
        <v>1.4200000000000001E-2</v>
      </c>
      <c r="AH29" s="412">
        <f>ROUND(AVERAGE(L29:L$33)/100,4)</f>
        <v>1.0800000000000001E-2</v>
      </c>
    </row>
    <row r="30" spans="1:34">
      <c r="A30" s="381" t="s">
        <v>2218</v>
      </c>
      <c r="B30" s="392">
        <v>318</v>
      </c>
      <c r="C30" s="392">
        <v>268</v>
      </c>
      <c r="D30" s="392">
        <f t="shared" si="19"/>
        <v>268</v>
      </c>
      <c r="E30" s="392">
        <v>437</v>
      </c>
      <c r="F30" s="393">
        <v>237</v>
      </c>
      <c r="G30" s="3397">
        <v>2014</v>
      </c>
      <c r="H30" s="390">
        <v>4</v>
      </c>
      <c r="I30" s="390">
        <v>0.21</v>
      </c>
      <c r="J30" s="390">
        <v>0.41</v>
      </c>
      <c r="K30" s="390">
        <v>0.12</v>
      </c>
      <c r="L30" s="416">
        <v>0.89</v>
      </c>
      <c r="N30" s="411">
        <f t="shared" si="21"/>
        <v>2.0999999999999999E-3</v>
      </c>
      <c r="O30" s="412">
        <f t="shared" si="17"/>
        <v>4.0999999999999995E-3</v>
      </c>
      <c r="P30" s="412">
        <f t="shared" si="17"/>
        <v>1.1999999999999999E-3</v>
      </c>
      <c r="Q30" s="412">
        <f t="shared" si="17"/>
        <v>8.8999999999999999E-3</v>
      </c>
      <c r="R30" s="441"/>
      <c r="S30" s="443"/>
      <c r="T30" s="444"/>
      <c r="U30" s="444"/>
      <c r="V30" s="444"/>
      <c r="X30" s="363">
        <f>ROUND(SUMPRODUCT(PRODUCT(1+N30:N$32)),4)</f>
        <v>1.0347</v>
      </c>
      <c r="Y30" s="363">
        <f>ROUND(SUMPRODUCT(PRODUCT(1+O30:O$32)),4)</f>
        <v>1.0395000000000001</v>
      </c>
      <c r="Z30" s="363">
        <f t="shared" si="0"/>
        <v>1.0395000000000001</v>
      </c>
      <c r="AA30" s="363">
        <f>ROUND(SUMPRODUCT(PRODUCT(1+P30:P$32)),4)</f>
        <v>1.0338000000000001</v>
      </c>
      <c r="AB30" s="363">
        <f>ROUND(SUMPRODUCT(PRODUCT(1+Q30:Q$32)),4)</f>
        <v>1.0316000000000001</v>
      </c>
      <c r="AD30" s="412">
        <f>ROUND(AVERAGE(I30:I$33)/100,4)</f>
        <v>1.6E-2</v>
      </c>
      <c r="AE30" s="412">
        <f>ROUND(AVERAGE(J30:J$33)/100,4)</f>
        <v>1.5599999999999999E-2</v>
      </c>
      <c r="AF30" s="412">
        <f t="shared" si="1"/>
        <v>1.5599999999999999E-2</v>
      </c>
      <c r="AG30" s="412">
        <f>ROUND(AVERAGE(K30:K$33)/100,4)</f>
        <v>1.66E-2</v>
      </c>
      <c r="AH30" s="412">
        <f>ROUND(AVERAGE(L30:L$33)/100,4)</f>
        <v>1.12E-2</v>
      </c>
    </row>
    <row r="31" spans="1:34">
      <c r="A31" s="381" t="s">
        <v>2219</v>
      </c>
      <c r="B31" s="382">
        <f t="shared" ref="B31:C33" si="24">B30/(1+N30)</f>
        <v>317.33359944117353</v>
      </c>
      <c r="C31" s="382">
        <f t="shared" si="24"/>
        <v>266.90568668459315</v>
      </c>
      <c r="D31" s="382">
        <f t="shared" si="19"/>
        <v>266.90568668459315</v>
      </c>
      <c r="E31" s="382">
        <f t="shared" ref="E31:F33" si="25">E30/(1+P30)</f>
        <v>436.47622852576905</v>
      </c>
      <c r="F31" s="382">
        <f t="shared" si="25"/>
        <v>234.90930716622066</v>
      </c>
      <c r="G31" s="3398"/>
      <c r="H31" s="394">
        <v>3</v>
      </c>
      <c r="I31" s="394">
        <v>0.83</v>
      </c>
      <c r="J31" s="394">
        <v>1.47</v>
      </c>
      <c r="K31" s="394">
        <v>0.65</v>
      </c>
      <c r="L31" s="423">
        <v>0.72</v>
      </c>
      <c r="N31" s="411">
        <f t="shared" si="21"/>
        <v>8.3000000000000001E-3</v>
      </c>
      <c r="O31" s="412">
        <f t="shared" si="17"/>
        <v>1.47E-2</v>
      </c>
      <c r="P31" s="412">
        <f t="shared" si="17"/>
        <v>6.5000000000000006E-3</v>
      </c>
      <c r="Q31" s="412">
        <f t="shared" si="17"/>
        <v>7.1999999999999998E-3</v>
      </c>
      <c r="R31" s="441"/>
      <c r="S31" s="411"/>
      <c r="T31" s="412"/>
      <c r="U31" s="412"/>
      <c r="V31" s="412"/>
      <c r="X31" s="363">
        <f>ROUND(SUMPRODUCT(PRODUCT(1+N31:N$32)),4)</f>
        <v>1.0325</v>
      </c>
      <c r="Y31" s="363">
        <f>ROUND(SUMPRODUCT(PRODUCT(1+O31:O$32)),4)</f>
        <v>1.0353000000000001</v>
      </c>
      <c r="Z31" s="363">
        <f>Y31</f>
        <v>1.0353000000000001</v>
      </c>
      <c r="AA31" s="363">
        <f>ROUND(SUMPRODUCT(PRODUCT(1+P31:P$32)),4)</f>
        <v>1.0326</v>
      </c>
      <c r="AB31" s="363">
        <f>ROUND(SUMPRODUCT(PRODUCT(1+Q31:Q$32)),4)</f>
        <v>1.0225</v>
      </c>
      <c r="AD31" s="412">
        <f>ROUND(AVERAGE(I31:I$33)/100,4)</f>
        <v>2.07E-2</v>
      </c>
      <c r="AE31" s="412">
        <f>ROUND(AVERAGE(J31:J$33)/100,4)</f>
        <v>1.95E-2</v>
      </c>
      <c r="AF31" s="412">
        <f t="shared" si="1"/>
        <v>1.95E-2</v>
      </c>
      <c r="AG31" s="412">
        <f>ROUND(AVERAGE(K31:K$33)/100,4)</f>
        <v>2.1700000000000001E-2</v>
      </c>
      <c r="AH31" s="412">
        <f>ROUND(AVERAGE(L31:L$33)/100,4)</f>
        <v>1.2E-2</v>
      </c>
    </row>
    <row r="32" spans="1:34">
      <c r="A32" s="381" t="s">
        <v>2220</v>
      </c>
      <c r="B32" s="382">
        <f t="shared" si="24"/>
        <v>314.72141172386546</v>
      </c>
      <c r="C32" s="382">
        <f t="shared" si="24"/>
        <v>263.03901319069001</v>
      </c>
      <c r="D32" s="382">
        <f t="shared" si="19"/>
        <v>263.03901319069001</v>
      </c>
      <c r="E32" s="382">
        <f t="shared" si="25"/>
        <v>433.65745506782821</v>
      </c>
      <c r="F32" s="382">
        <f t="shared" si="25"/>
        <v>233.23005080045735</v>
      </c>
      <c r="G32" s="3398"/>
      <c r="H32" s="390">
        <v>2</v>
      </c>
      <c r="I32" s="390">
        <v>2.4</v>
      </c>
      <c r="J32" s="390">
        <v>2.0299999999999998</v>
      </c>
      <c r="K32" s="390">
        <v>2.59</v>
      </c>
      <c r="L32" s="416">
        <v>1.52</v>
      </c>
      <c r="N32" s="411">
        <f t="shared" si="21"/>
        <v>2.4E-2</v>
      </c>
      <c r="O32" s="412">
        <f t="shared" si="17"/>
        <v>2.0299999999999999E-2</v>
      </c>
      <c r="P32" s="412">
        <f t="shared" si="17"/>
        <v>2.5899999999999999E-2</v>
      </c>
      <c r="Q32" s="412">
        <f t="shared" si="17"/>
        <v>1.52E-2</v>
      </c>
      <c r="R32" s="441"/>
      <c r="S32" s="411"/>
      <c r="T32" s="412"/>
      <c r="U32" s="412"/>
      <c r="V32" s="412"/>
      <c r="X32" s="363">
        <f>1+N32</f>
        <v>1.024</v>
      </c>
      <c r="Y32" s="363">
        <f>1+O32</f>
        <v>1.0203</v>
      </c>
      <c r="Z32" s="363">
        <f>Y32</f>
        <v>1.0203</v>
      </c>
      <c r="AA32" s="363">
        <f>1+P32</f>
        <v>1.0259</v>
      </c>
      <c r="AB32" s="363">
        <f>1+Q32</f>
        <v>1.0152000000000001</v>
      </c>
      <c r="AD32" s="412">
        <f>ROUND(AVERAGE(I32:I$33)/100,4)</f>
        <v>2.69E-2</v>
      </c>
      <c r="AE32" s="412">
        <f>ROUND(AVERAGE(J32:J$33)/100,4)</f>
        <v>2.1899999999999999E-2</v>
      </c>
      <c r="AF32" s="412">
        <f>AE32</f>
        <v>2.1899999999999999E-2</v>
      </c>
      <c r="AG32" s="412">
        <f>ROUND(AVERAGE(K32:K$33)/100,4)</f>
        <v>2.9399999999999999E-2</v>
      </c>
      <c r="AH32" s="412">
        <f>ROUND(AVERAGE(L32:L$33)/100,4)</f>
        <v>1.44E-2</v>
      </c>
    </row>
    <row r="33" spans="1:34" s="360" customFormat="1">
      <c r="A33" s="395" t="s">
        <v>2221</v>
      </c>
      <c r="B33" s="396">
        <f t="shared" si="24"/>
        <v>307.34512863658733</v>
      </c>
      <c r="C33" s="396">
        <f t="shared" si="24"/>
        <v>257.80556031626975</v>
      </c>
      <c r="D33" s="396">
        <f t="shared" si="19"/>
        <v>257.80556031626975</v>
      </c>
      <c r="E33" s="396">
        <f t="shared" si="25"/>
        <v>422.70928459677179</v>
      </c>
      <c r="F33" s="396">
        <f t="shared" si="25"/>
        <v>229.73803270336617</v>
      </c>
      <c r="G33" s="3399"/>
      <c r="H33" s="397">
        <v>1</v>
      </c>
      <c r="I33" s="397">
        <v>2.97</v>
      </c>
      <c r="J33" s="397">
        <v>2.34</v>
      </c>
      <c r="K33" s="397">
        <v>3.28</v>
      </c>
      <c r="L33" s="424">
        <v>1.36</v>
      </c>
      <c r="N33" s="425">
        <f t="shared" si="21"/>
        <v>2.9700000000000001E-2</v>
      </c>
      <c r="O33" s="426">
        <f t="shared" si="17"/>
        <v>2.3399999999999997E-2</v>
      </c>
      <c r="P33" s="426">
        <f t="shared" si="17"/>
        <v>3.2799999999999996E-2</v>
      </c>
      <c r="Q33" s="426">
        <f t="shared" si="17"/>
        <v>1.3600000000000001E-2</v>
      </c>
      <c r="R33" s="445"/>
      <c r="S33" s="446">
        <f>B33/B34-1</f>
        <v>2.7910129219355539E-2</v>
      </c>
      <c r="T33" s="447">
        <f>C33/C34-1</f>
        <v>2.3037937762975247E-2</v>
      </c>
      <c r="U33" s="447">
        <f>E33/E34-1</f>
        <v>3.3519033243940788E-2</v>
      </c>
      <c r="V33" s="447">
        <f>F33/F34-1</f>
        <v>1.2061818076502862E-2</v>
      </c>
      <c r="W33" s="448" t="s">
        <v>2222</v>
      </c>
      <c r="X33" s="449">
        <v>1</v>
      </c>
      <c r="Y33" s="449">
        <v>1</v>
      </c>
      <c r="Z33" s="449">
        <v>1</v>
      </c>
      <c r="AA33" s="449">
        <v>1</v>
      </c>
      <c r="AB33" s="449">
        <v>1</v>
      </c>
      <c r="AD33" s="426">
        <f>I33/100</f>
        <v>2.9700000000000001E-2</v>
      </c>
      <c r="AE33" s="426">
        <f>J33/100</f>
        <v>2.3399999999999997E-2</v>
      </c>
      <c r="AF33" s="426">
        <f>AE33</f>
        <v>2.3399999999999997E-2</v>
      </c>
      <c r="AG33" s="426">
        <f>K33/100</f>
        <v>3.2799999999999996E-2</v>
      </c>
      <c r="AH33" s="426">
        <f>L33/100</f>
        <v>1.3600000000000001E-2</v>
      </c>
    </row>
    <row r="34" spans="1:34">
      <c r="A34" s="381" t="s">
        <v>2223</v>
      </c>
      <c r="B34" s="388">
        <v>299</v>
      </c>
      <c r="C34" s="388">
        <v>252</v>
      </c>
      <c r="D34" s="388">
        <f t="shared" si="19"/>
        <v>252</v>
      </c>
      <c r="E34" s="388">
        <v>409</v>
      </c>
      <c r="F34" s="389">
        <v>227</v>
      </c>
      <c r="G34" s="3400">
        <v>2013</v>
      </c>
      <c r="H34" s="398">
        <v>4</v>
      </c>
      <c r="I34" s="398">
        <v>1.83</v>
      </c>
      <c r="J34" s="398">
        <v>1.68</v>
      </c>
      <c r="K34" s="398">
        <v>1.97</v>
      </c>
      <c r="L34" s="427">
        <v>0.87</v>
      </c>
      <c r="N34" s="417">
        <f t="shared" si="21"/>
        <v>1.83E-2</v>
      </c>
      <c r="O34" s="418">
        <f t="shared" si="17"/>
        <v>1.6799999999999999E-2</v>
      </c>
      <c r="P34" s="418">
        <f t="shared" si="17"/>
        <v>1.9699999999999999E-2</v>
      </c>
      <c r="Q34" s="418">
        <f t="shared" si="17"/>
        <v>8.6999999999999994E-3</v>
      </c>
      <c r="R34" s="441"/>
      <c r="S34" s="443"/>
      <c r="T34" s="444"/>
      <c r="U34" s="444"/>
      <c r="V34" s="444"/>
      <c r="X34" s="444"/>
      <c r="Y34" s="444"/>
      <c r="Z34" s="444"/>
    </row>
    <row r="35" spans="1:34">
      <c r="A35" s="381" t="s">
        <v>2224</v>
      </c>
      <c r="B35" s="382">
        <f t="shared" ref="B35:C37" si="26">B34/(1+N34)</f>
        <v>293.62663262299913</v>
      </c>
      <c r="C35" s="382">
        <f t="shared" si="26"/>
        <v>247.83634933123525</v>
      </c>
      <c r="D35" s="382">
        <f t="shared" si="19"/>
        <v>247.83634933123525</v>
      </c>
      <c r="E35" s="382">
        <f t="shared" ref="E35:F37" si="27">E34/(1+P34)</f>
        <v>401.09836226341076</v>
      </c>
      <c r="F35" s="382">
        <f t="shared" si="27"/>
        <v>225.04213343908003</v>
      </c>
      <c r="G35" s="3401"/>
      <c r="H35" s="391">
        <v>3</v>
      </c>
      <c r="I35" s="391">
        <v>1.86</v>
      </c>
      <c r="J35" s="391">
        <v>1.72</v>
      </c>
      <c r="K35" s="391">
        <v>1.98</v>
      </c>
      <c r="L35" s="419">
        <v>0.88</v>
      </c>
      <c r="N35" s="411">
        <f t="shared" si="21"/>
        <v>1.8600000000000002E-2</v>
      </c>
      <c r="O35" s="420">
        <f t="shared" si="17"/>
        <v>1.72E-2</v>
      </c>
      <c r="P35" s="420">
        <f t="shared" si="17"/>
        <v>1.9799999999999998E-2</v>
      </c>
      <c r="Q35" s="420">
        <f t="shared" si="17"/>
        <v>8.8000000000000005E-3</v>
      </c>
      <c r="R35" s="441"/>
      <c r="S35" s="411"/>
      <c r="T35" s="412"/>
      <c r="U35" s="412"/>
      <c r="V35" s="412"/>
    </row>
    <row r="36" spans="1:34">
      <c r="A36" s="381" t="s">
        <v>2225</v>
      </c>
      <c r="B36" s="382">
        <f t="shared" si="26"/>
        <v>288.2649053828776</v>
      </c>
      <c r="C36" s="382">
        <f t="shared" si="26"/>
        <v>243.64564425013293</v>
      </c>
      <c r="D36" s="382">
        <f t="shared" si="19"/>
        <v>243.64564425013293</v>
      </c>
      <c r="E36" s="382">
        <f t="shared" si="27"/>
        <v>393.31080825986544</v>
      </c>
      <c r="F36" s="382">
        <f t="shared" si="27"/>
        <v>223.07903790551154</v>
      </c>
      <c r="G36" s="3401"/>
      <c r="H36" s="387">
        <v>2</v>
      </c>
      <c r="I36" s="387">
        <v>2.04</v>
      </c>
      <c r="J36" s="387">
        <v>2.33</v>
      </c>
      <c r="K36" s="387">
        <v>2.0699999999999998</v>
      </c>
      <c r="L36" s="415">
        <v>0.69</v>
      </c>
      <c r="N36" s="411">
        <f t="shared" si="21"/>
        <v>2.0400000000000001E-2</v>
      </c>
      <c r="O36" s="420">
        <f t="shared" si="17"/>
        <v>2.3300000000000001E-2</v>
      </c>
      <c r="P36" s="420">
        <f t="shared" si="17"/>
        <v>2.07E-2</v>
      </c>
      <c r="Q36" s="420">
        <f t="shared" si="17"/>
        <v>6.8999999999999999E-3</v>
      </c>
      <c r="R36" s="441"/>
      <c r="S36" s="411"/>
      <c r="T36" s="412"/>
      <c r="U36" s="412"/>
      <c r="V36" s="412"/>
      <c r="X36" s="450"/>
      <c r="Y36" s="457"/>
    </row>
    <row r="37" spans="1:34">
      <c r="A37" s="381" t="s">
        <v>2226</v>
      </c>
      <c r="B37" s="382">
        <f t="shared" si="26"/>
        <v>282.50186729015837</v>
      </c>
      <c r="C37" s="382">
        <f t="shared" si="26"/>
        <v>238.09796174155468</v>
      </c>
      <c r="D37" s="382">
        <f t="shared" si="19"/>
        <v>238.09796174155468</v>
      </c>
      <c r="E37" s="382">
        <f t="shared" si="27"/>
        <v>385.33438646014054</v>
      </c>
      <c r="F37" s="382">
        <f t="shared" si="27"/>
        <v>221.55034055567739</v>
      </c>
      <c r="G37" s="3402"/>
      <c r="H37" s="383">
        <v>1</v>
      </c>
      <c r="I37" s="383">
        <v>1.67</v>
      </c>
      <c r="J37" s="383">
        <v>1.31</v>
      </c>
      <c r="K37" s="383">
        <v>1.85</v>
      </c>
      <c r="L37" s="413">
        <v>0.96</v>
      </c>
      <c r="N37" s="421">
        <f t="shared" si="21"/>
        <v>1.67E-2</v>
      </c>
      <c r="O37" s="422">
        <f t="shared" si="21"/>
        <v>1.3100000000000001E-2</v>
      </c>
      <c r="P37" s="422">
        <f t="shared" si="21"/>
        <v>1.8500000000000003E-2</v>
      </c>
      <c r="Q37" s="422">
        <f t="shared" si="21"/>
        <v>9.5999999999999992E-3</v>
      </c>
      <c r="R37" s="441"/>
      <c r="S37" s="421">
        <f>B37/B38-1</f>
        <v>1.6193767230785472E-2</v>
      </c>
      <c r="T37" s="422">
        <f>C37/C38-1</f>
        <v>1.7512657015190891E-2</v>
      </c>
      <c r="U37" s="422">
        <f>E37/E38-1</f>
        <v>1.6713420739157048E-2</v>
      </c>
      <c r="V37" s="422">
        <f>F37/F38-1</f>
        <v>7.0470025258062563E-3</v>
      </c>
      <c r="X37" s="451"/>
      <c r="Y37" s="412"/>
      <c r="Z37" s="412"/>
    </row>
    <row r="38" spans="1:34">
      <c r="A38" s="381" t="s">
        <v>2227</v>
      </c>
      <c r="B38" s="399">
        <v>278</v>
      </c>
      <c r="C38" s="399">
        <v>234</v>
      </c>
      <c r="D38" s="399">
        <f t="shared" si="19"/>
        <v>234</v>
      </c>
      <c r="E38" s="399">
        <v>379</v>
      </c>
      <c r="F38" s="400">
        <v>220</v>
      </c>
      <c r="G38" s="3397">
        <v>2012</v>
      </c>
      <c r="H38" s="390">
        <v>4</v>
      </c>
      <c r="I38" s="390">
        <v>0.91</v>
      </c>
      <c r="J38" s="390">
        <v>0.68</v>
      </c>
      <c r="K38" s="390">
        <v>0.98</v>
      </c>
      <c r="L38" s="416">
        <v>0.9</v>
      </c>
      <c r="N38" s="411">
        <f t="shared" si="21"/>
        <v>9.1000000000000004E-3</v>
      </c>
      <c r="O38" s="412">
        <f t="shared" si="21"/>
        <v>6.8000000000000005E-3</v>
      </c>
      <c r="P38" s="412">
        <f t="shared" si="21"/>
        <v>9.7999999999999997E-3</v>
      </c>
      <c r="Q38" s="412">
        <f t="shared" si="21"/>
        <v>9.0000000000000011E-3</v>
      </c>
      <c r="R38" s="441"/>
      <c r="S38" s="443"/>
      <c r="T38" s="444"/>
      <c r="U38" s="444"/>
      <c r="V38" s="444"/>
      <c r="X38" s="444"/>
      <c r="Y38" s="444"/>
      <c r="Z38" s="444"/>
    </row>
    <row r="39" spans="1:34">
      <c r="A39" s="381" t="s">
        <v>2228</v>
      </c>
      <c r="B39" s="382">
        <f>B38/(1+N38)</f>
        <v>275.49301357645425</v>
      </c>
      <c r="C39" s="382">
        <f>C38/(1+O38)</f>
        <v>232.41954707985698</v>
      </c>
      <c r="D39" s="382">
        <f t="shared" si="19"/>
        <v>232.41954707985698</v>
      </c>
      <c r="E39" s="382">
        <f t="shared" ref="E39:F41" si="28">E38/(1+P38)</f>
        <v>375.32184591008121</v>
      </c>
      <c r="F39" s="382">
        <f t="shared" si="28"/>
        <v>218.03766105054513</v>
      </c>
      <c r="G39" s="3398"/>
      <c r="H39" s="391">
        <v>3</v>
      </c>
      <c r="I39" s="391">
        <v>0.09</v>
      </c>
      <c r="J39" s="391">
        <v>0.28999999999999998</v>
      </c>
      <c r="K39" s="391">
        <v>-0.01</v>
      </c>
      <c r="L39" s="419">
        <v>0.57999999999999996</v>
      </c>
      <c r="N39" s="411">
        <f t="shared" si="21"/>
        <v>8.9999999999999998E-4</v>
      </c>
      <c r="O39" s="412">
        <f t="shared" si="21"/>
        <v>2.8999999999999998E-3</v>
      </c>
      <c r="P39" s="412">
        <f t="shared" si="21"/>
        <v>-1E-4</v>
      </c>
      <c r="Q39" s="412">
        <f t="shared" si="21"/>
        <v>5.7999999999999996E-3</v>
      </c>
      <c r="R39" s="441"/>
      <c r="S39" s="411"/>
      <c r="T39" s="412"/>
      <c r="U39" s="412"/>
      <c r="V39" s="412"/>
    </row>
    <row r="40" spans="1:34">
      <c r="A40" s="381" t="s">
        <v>2229</v>
      </c>
      <c r="B40" s="382">
        <f>B39/(1+N39)</f>
        <v>275.24529281292263</v>
      </c>
      <c r="C40" s="382">
        <f>C39/(1+O39)</f>
        <v>231.74747938962707</v>
      </c>
      <c r="D40" s="382">
        <f t="shared" si="19"/>
        <v>231.74747938962707</v>
      </c>
      <c r="E40" s="382">
        <f t="shared" si="28"/>
        <v>375.35938184826603</v>
      </c>
      <c r="F40" s="382">
        <f t="shared" si="28"/>
        <v>216.78033510692495</v>
      </c>
      <c r="G40" s="3398"/>
      <c r="H40" s="387">
        <v>2</v>
      </c>
      <c r="I40" s="387">
        <v>0.02</v>
      </c>
      <c r="J40" s="387">
        <v>0.12</v>
      </c>
      <c r="K40" s="387">
        <v>-0.08</v>
      </c>
      <c r="L40" s="415">
        <v>1.24</v>
      </c>
      <c r="N40" s="411">
        <f t="shared" si="21"/>
        <v>2.0000000000000001E-4</v>
      </c>
      <c r="O40" s="412">
        <f t="shared" si="21"/>
        <v>1.1999999999999999E-3</v>
      </c>
      <c r="P40" s="412">
        <f t="shared" si="21"/>
        <v>-8.0000000000000004E-4</v>
      </c>
      <c r="Q40" s="412">
        <f t="shared" si="21"/>
        <v>1.24E-2</v>
      </c>
      <c r="R40" s="441"/>
      <c r="S40" s="411"/>
      <c r="T40" s="412"/>
      <c r="U40" s="412"/>
      <c r="V40" s="412"/>
    </row>
    <row r="41" spans="1:34">
      <c r="A41" s="381" t="s">
        <v>2230</v>
      </c>
      <c r="B41" s="382">
        <f>B40/(1+N40)</f>
        <v>275.19025476197027</v>
      </c>
      <c r="C41" s="401">
        <v>232</v>
      </c>
      <c r="D41" s="401">
        <f t="shared" si="19"/>
        <v>232</v>
      </c>
      <c r="E41" s="382">
        <f t="shared" si="28"/>
        <v>375.65990977608692</v>
      </c>
      <c r="F41" s="382">
        <f t="shared" si="28"/>
        <v>214.12518283971252</v>
      </c>
      <c r="G41" s="3399"/>
      <c r="H41" s="383">
        <v>1</v>
      </c>
      <c r="I41" s="383">
        <v>0.02</v>
      </c>
      <c r="J41" s="383">
        <v>0.13</v>
      </c>
      <c r="K41" s="383">
        <v>-0.04</v>
      </c>
      <c r="L41" s="413">
        <v>0.46</v>
      </c>
      <c r="N41" s="411">
        <f t="shared" si="21"/>
        <v>2.0000000000000001E-4</v>
      </c>
      <c r="O41" s="412">
        <f t="shared" si="21"/>
        <v>1.2999999999999999E-3</v>
      </c>
      <c r="P41" s="412">
        <f t="shared" si="21"/>
        <v>-4.0000000000000002E-4</v>
      </c>
      <c r="Q41" s="412">
        <f t="shared" si="21"/>
        <v>4.5999999999999999E-3</v>
      </c>
      <c r="R41" s="441"/>
      <c r="S41" s="421">
        <f>B41/B42-1</f>
        <v>6.9183549807361189E-4</v>
      </c>
      <c r="T41" s="422">
        <f>C41/C42-1</f>
        <v>0</v>
      </c>
      <c r="U41" s="422">
        <f>E41/E42-1</f>
        <v>-9.0449527636460303E-4</v>
      </c>
      <c r="V41" s="422">
        <f>F41/F42-1</f>
        <v>5.2825485432512753E-3</v>
      </c>
      <c r="X41" s="412"/>
      <c r="Y41" s="412"/>
      <c r="Z41" s="412"/>
    </row>
    <row r="42" spans="1:34">
      <c r="A42" s="381" t="s">
        <v>2231</v>
      </c>
      <c r="B42" s="388">
        <v>275</v>
      </c>
      <c r="C42" s="388">
        <v>232</v>
      </c>
      <c r="D42" s="388">
        <f t="shared" si="19"/>
        <v>232</v>
      </c>
      <c r="E42" s="388">
        <v>376</v>
      </c>
      <c r="F42" s="389">
        <v>213</v>
      </c>
      <c r="G42" s="3397">
        <v>2011</v>
      </c>
      <c r="H42" s="390">
        <v>4</v>
      </c>
      <c r="I42" s="390">
        <v>-0.2</v>
      </c>
      <c r="J42" s="390">
        <v>0.04</v>
      </c>
      <c r="K42" s="390">
        <v>-0.34</v>
      </c>
      <c r="L42" s="416">
        <v>0.46</v>
      </c>
      <c r="N42" s="417">
        <f t="shared" si="21"/>
        <v>-2E-3</v>
      </c>
      <c r="O42" s="418">
        <f t="shared" si="21"/>
        <v>4.0000000000000002E-4</v>
      </c>
      <c r="P42" s="418">
        <f t="shared" si="21"/>
        <v>-3.4000000000000002E-3</v>
      </c>
      <c r="Q42" s="418">
        <f t="shared" si="21"/>
        <v>4.5999999999999999E-3</v>
      </c>
      <c r="R42" s="441"/>
      <c r="S42" s="443"/>
      <c r="T42" s="444"/>
      <c r="U42" s="444"/>
      <c r="V42" s="444"/>
      <c r="X42" s="444"/>
      <c r="Y42" s="444"/>
      <c r="Z42" s="444"/>
    </row>
    <row r="43" spans="1:34">
      <c r="A43" s="381" t="s">
        <v>2232</v>
      </c>
      <c r="B43" s="382">
        <f t="shared" ref="B43:C45" si="29">B42/(1+N42)</f>
        <v>275.55110220440883</v>
      </c>
      <c r="C43" s="382">
        <f t="shared" si="29"/>
        <v>231.90723710515795</v>
      </c>
      <c r="D43" s="382">
        <f t="shared" si="19"/>
        <v>231.90723710515795</v>
      </c>
      <c r="E43" s="382">
        <f t="shared" ref="E43:F45" si="30">E42/(1+P42)</f>
        <v>377.28276138872161</v>
      </c>
      <c r="F43" s="382">
        <f t="shared" si="30"/>
        <v>212.02468644236512</v>
      </c>
      <c r="G43" s="3398">
        <v>2011</v>
      </c>
      <c r="H43" s="391">
        <v>3</v>
      </c>
      <c r="I43" s="391">
        <v>0.13</v>
      </c>
      <c r="J43" s="391">
        <v>0.75</v>
      </c>
      <c r="K43" s="391">
        <v>-0.08</v>
      </c>
      <c r="L43" s="419">
        <v>0.53</v>
      </c>
      <c r="N43" s="411">
        <f t="shared" si="21"/>
        <v>1.2999999999999999E-3</v>
      </c>
      <c r="O43" s="420">
        <f t="shared" si="21"/>
        <v>7.4999999999999997E-3</v>
      </c>
      <c r="P43" s="420">
        <f t="shared" si="21"/>
        <v>-8.0000000000000004E-4</v>
      </c>
      <c r="Q43" s="420">
        <f t="shared" si="21"/>
        <v>5.3E-3</v>
      </c>
      <c r="R43" s="441"/>
      <c r="S43" s="411"/>
      <c r="T43" s="412"/>
      <c r="U43" s="412"/>
      <c r="V43" s="412"/>
    </row>
    <row r="44" spans="1:34">
      <c r="A44" s="381" t="s">
        <v>2233</v>
      </c>
      <c r="B44" s="382">
        <f t="shared" si="29"/>
        <v>275.19335084830601</v>
      </c>
      <c r="C44" s="382">
        <f t="shared" si="29"/>
        <v>230.18088050139744</v>
      </c>
      <c r="D44" s="382">
        <f t="shared" si="19"/>
        <v>230.18088050139744</v>
      </c>
      <c r="E44" s="382">
        <f t="shared" si="30"/>
        <v>377.58482925212331</v>
      </c>
      <c r="F44" s="382">
        <f t="shared" si="30"/>
        <v>210.90687997847917</v>
      </c>
      <c r="G44" s="3398">
        <v>2011</v>
      </c>
      <c r="H44" s="387">
        <v>2</v>
      </c>
      <c r="I44" s="387">
        <v>-0.4</v>
      </c>
      <c r="J44" s="387">
        <v>0.17</v>
      </c>
      <c r="K44" s="387">
        <v>-0.57999999999999996</v>
      </c>
      <c r="L44" s="415">
        <v>-0.2</v>
      </c>
      <c r="N44" s="411">
        <f t="shared" si="21"/>
        <v>-4.0000000000000001E-3</v>
      </c>
      <c r="O44" s="420">
        <f t="shared" si="21"/>
        <v>1.7000000000000001E-3</v>
      </c>
      <c r="P44" s="420">
        <f t="shared" si="21"/>
        <v>-5.7999999999999996E-3</v>
      </c>
      <c r="Q44" s="420">
        <f t="shared" si="21"/>
        <v>-2E-3</v>
      </c>
      <c r="R44" s="441"/>
      <c r="S44" s="411"/>
      <c r="T44" s="412"/>
      <c r="U44" s="412"/>
      <c r="V44" s="412"/>
    </row>
    <row r="45" spans="1:34">
      <c r="A45" s="381" t="s">
        <v>2234</v>
      </c>
      <c r="B45" s="382">
        <f t="shared" si="29"/>
        <v>276.29854502841971</v>
      </c>
      <c r="C45" s="382">
        <f t="shared" si="29"/>
        <v>229.79023709833027</v>
      </c>
      <c r="D45" s="382">
        <f t="shared" si="19"/>
        <v>229.79023709833027</v>
      </c>
      <c r="E45" s="382">
        <f t="shared" si="30"/>
        <v>379.78759731655936</v>
      </c>
      <c r="F45" s="382">
        <f t="shared" si="30"/>
        <v>211.32953905659235</v>
      </c>
      <c r="G45" s="3399">
        <v>2011</v>
      </c>
      <c r="H45" s="383">
        <v>1</v>
      </c>
      <c r="I45" s="383">
        <v>2.65</v>
      </c>
      <c r="J45" s="383">
        <v>3.76</v>
      </c>
      <c r="K45" s="383">
        <v>1.89</v>
      </c>
      <c r="L45" s="413">
        <v>7.95</v>
      </c>
      <c r="N45" s="421">
        <f t="shared" si="21"/>
        <v>2.6499999999999999E-2</v>
      </c>
      <c r="O45" s="422">
        <f t="shared" si="21"/>
        <v>3.7599999999999995E-2</v>
      </c>
      <c r="P45" s="422">
        <f t="shared" si="21"/>
        <v>1.89E-2</v>
      </c>
      <c r="Q45" s="422">
        <f t="shared" si="21"/>
        <v>7.9500000000000001E-2</v>
      </c>
      <c r="R45" s="441"/>
      <c r="S45" s="421">
        <f>B45/B46-1</f>
        <v>2.713213765211786E-2</v>
      </c>
      <c r="T45" s="422">
        <f>C45/C46-1</f>
        <v>3.9774828499231862E-2</v>
      </c>
      <c r="U45" s="422">
        <f>E45/E46-1</f>
        <v>1.8197311840641772E-2</v>
      </c>
      <c r="V45" s="422">
        <f>F45/F46-1</f>
        <v>7.8211933962205826E-2</v>
      </c>
      <c r="X45" s="412"/>
      <c r="Y45" s="412"/>
      <c r="Z45" s="412"/>
    </row>
    <row r="46" spans="1:34">
      <c r="A46" s="381" t="s">
        <v>2235</v>
      </c>
      <c r="B46" s="388">
        <v>269</v>
      </c>
      <c r="C46" s="388">
        <v>221</v>
      </c>
      <c r="D46" s="388">
        <f t="shared" si="19"/>
        <v>221</v>
      </c>
      <c r="E46" s="388">
        <v>373</v>
      </c>
      <c r="F46" s="389">
        <v>196</v>
      </c>
      <c r="G46" s="3397">
        <v>2010</v>
      </c>
      <c r="H46" s="390">
        <v>4</v>
      </c>
      <c r="I46" s="390">
        <v>5.72</v>
      </c>
      <c r="J46" s="390">
        <v>6.57</v>
      </c>
      <c r="K46" s="390">
        <v>5.72</v>
      </c>
      <c r="L46" s="416">
        <v>2.72</v>
      </c>
      <c r="N46" s="411">
        <f t="shared" si="21"/>
        <v>5.7200000000000001E-2</v>
      </c>
      <c r="O46" s="412">
        <f t="shared" si="21"/>
        <v>6.5700000000000008E-2</v>
      </c>
      <c r="P46" s="412">
        <f t="shared" si="21"/>
        <v>5.7200000000000001E-2</v>
      </c>
      <c r="Q46" s="412">
        <f t="shared" si="21"/>
        <v>2.7200000000000002E-2</v>
      </c>
      <c r="R46" s="441"/>
      <c r="S46" s="443"/>
      <c r="T46" s="444"/>
      <c r="U46" s="444"/>
      <c r="V46" s="444"/>
      <c r="X46" s="444"/>
      <c r="Y46" s="444"/>
      <c r="Z46" s="444"/>
    </row>
    <row r="47" spans="1:34">
      <c r="A47" s="381" t="s">
        <v>2236</v>
      </c>
      <c r="B47" s="382">
        <f t="shared" ref="B47:C49" si="31">B46/(1+N46)</f>
        <v>254.44570563753314</v>
      </c>
      <c r="C47" s="382">
        <f t="shared" si="31"/>
        <v>207.37543398705074</v>
      </c>
      <c r="D47" s="382">
        <f t="shared" si="19"/>
        <v>207.37543398705074</v>
      </c>
      <c r="E47" s="382">
        <f t="shared" ref="E47:F49" si="32">E46/(1+P46)</f>
        <v>352.81876655315932</v>
      </c>
      <c r="F47" s="382">
        <f t="shared" si="32"/>
        <v>190.809968847352</v>
      </c>
      <c r="G47" s="3398">
        <v>2010</v>
      </c>
      <c r="H47" s="391">
        <v>3</v>
      </c>
      <c r="I47" s="391">
        <v>4.7300000000000004</v>
      </c>
      <c r="J47" s="391">
        <v>3.9</v>
      </c>
      <c r="K47" s="391">
        <v>5.03</v>
      </c>
      <c r="L47" s="419">
        <v>4.21</v>
      </c>
      <c r="N47" s="411">
        <f t="shared" si="21"/>
        <v>4.7300000000000002E-2</v>
      </c>
      <c r="O47" s="412">
        <f t="shared" si="21"/>
        <v>3.9E-2</v>
      </c>
      <c r="P47" s="412">
        <f t="shared" si="21"/>
        <v>5.0300000000000004E-2</v>
      </c>
      <c r="Q47" s="412">
        <f t="shared" si="21"/>
        <v>4.2099999999999999E-2</v>
      </c>
      <c r="R47" s="441"/>
      <c r="S47" s="411"/>
      <c r="T47" s="412"/>
      <c r="U47" s="412"/>
      <c r="V47" s="412"/>
    </row>
    <row r="48" spans="1:34">
      <c r="A48" s="381" t="s">
        <v>2237</v>
      </c>
      <c r="B48" s="382">
        <f t="shared" si="31"/>
        <v>242.95398227588385</v>
      </c>
      <c r="C48" s="382">
        <f t="shared" si="31"/>
        <v>199.59137053614126</v>
      </c>
      <c r="D48" s="382">
        <f t="shared" si="19"/>
        <v>199.59137053614126</v>
      </c>
      <c r="E48" s="382">
        <f t="shared" si="32"/>
        <v>335.92189522342125</v>
      </c>
      <c r="F48" s="382">
        <f t="shared" si="32"/>
        <v>183.10139991109489</v>
      </c>
      <c r="G48" s="3398">
        <v>2010</v>
      </c>
      <c r="H48" s="387">
        <v>2</v>
      </c>
      <c r="I48" s="387">
        <v>4.6900000000000004</v>
      </c>
      <c r="J48" s="387">
        <v>3.55</v>
      </c>
      <c r="K48" s="387">
        <v>5.07</v>
      </c>
      <c r="L48" s="415">
        <v>4.2300000000000004</v>
      </c>
      <c r="N48" s="411">
        <f t="shared" si="21"/>
        <v>4.6900000000000004E-2</v>
      </c>
      <c r="O48" s="412">
        <f t="shared" si="21"/>
        <v>3.5499999999999997E-2</v>
      </c>
      <c r="P48" s="412">
        <f t="shared" si="21"/>
        <v>5.0700000000000002E-2</v>
      </c>
      <c r="Q48" s="412">
        <f t="shared" si="21"/>
        <v>4.2300000000000004E-2</v>
      </c>
      <c r="R48" s="441"/>
      <c r="S48" s="411"/>
      <c r="T48" s="412"/>
      <c r="U48" s="412"/>
      <c r="V48" s="412"/>
    </row>
    <row r="49" spans="1:26">
      <c r="A49" s="381" t="s">
        <v>2238</v>
      </c>
      <c r="B49" s="382">
        <f t="shared" si="31"/>
        <v>232.06990378821649</v>
      </c>
      <c r="C49" s="382">
        <f t="shared" si="31"/>
        <v>192.74878854286936</v>
      </c>
      <c r="D49" s="382">
        <f t="shared" si="19"/>
        <v>192.74878854286936</v>
      </c>
      <c r="E49" s="382">
        <f t="shared" si="32"/>
        <v>319.71247284992984</v>
      </c>
      <c r="F49" s="382">
        <f t="shared" si="32"/>
        <v>175.67053622862409</v>
      </c>
      <c r="G49" s="3399">
        <v>2010</v>
      </c>
      <c r="H49" s="383">
        <v>1</v>
      </c>
      <c r="I49" s="383">
        <v>5.4</v>
      </c>
      <c r="J49" s="383">
        <v>3.2</v>
      </c>
      <c r="K49" s="383">
        <v>6.16</v>
      </c>
      <c r="L49" s="413">
        <v>4.51</v>
      </c>
      <c r="N49" s="411">
        <f t="shared" si="21"/>
        <v>5.4000000000000006E-2</v>
      </c>
      <c r="O49" s="412">
        <f t="shared" si="21"/>
        <v>3.2000000000000001E-2</v>
      </c>
      <c r="P49" s="412">
        <f t="shared" si="21"/>
        <v>6.1600000000000002E-2</v>
      </c>
      <c r="Q49" s="412">
        <f t="shared" si="21"/>
        <v>4.5100000000000001E-2</v>
      </c>
      <c r="R49" s="441"/>
      <c r="S49" s="421">
        <f>B49/B50-1</f>
        <v>5.4863199037347599E-2</v>
      </c>
      <c r="T49" s="422">
        <f>C49/C50-1</f>
        <v>3.0742184721226584E-2</v>
      </c>
      <c r="U49" s="422">
        <f>E49/E50-1</f>
        <v>6.2167683886810154E-2</v>
      </c>
      <c r="V49" s="422">
        <f>F49/F50-1</f>
        <v>4.5657953741810031E-2</v>
      </c>
      <c r="X49" s="412"/>
      <c r="Y49" s="412"/>
      <c r="Z49" s="412"/>
    </row>
    <row r="50" spans="1:26">
      <c r="A50" s="381" t="s">
        <v>2239</v>
      </c>
      <c r="B50" s="388">
        <v>220</v>
      </c>
      <c r="C50" s="388">
        <v>187</v>
      </c>
      <c r="D50" s="388">
        <f t="shared" si="19"/>
        <v>187</v>
      </c>
      <c r="E50" s="388">
        <v>301</v>
      </c>
      <c r="F50" s="389">
        <v>168</v>
      </c>
      <c r="G50" s="3397">
        <v>2009</v>
      </c>
      <c r="H50" s="390">
        <v>4</v>
      </c>
      <c r="I50" s="390">
        <v>2.2999999999999998</v>
      </c>
      <c r="J50" s="390">
        <v>1.04</v>
      </c>
      <c r="K50" s="390">
        <v>2.84</v>
      </c>
      <c r="L50" s="416">
        <v>0.67</v>
      </c>
      <c r="N50" s="417">
        <f t="shared" si="21"/>
        <v>2.3E-2</v>
      </c>
      <c r="O50" s="418">
        <f t="shared" si="21"/>
        <v>1.04E-2</v>
      </c>
      <c r="P50" s="418">
        <f t="shared" si="21"/>
        <v>2.8399999999999998E-2</v>
      </c>
      <c r="Q50" s="418">
        <f t="shared" si="21"/>
        <v>6.7000000000000002E-3</v>
      </c>
      <c r="R50" s="441"/>
      <c r="S50" s="443"/>
      <c r="T50" s="444"/>
      <c r="U50" s="444"/>
      <c r="V50" s="444"/>
      <c r="X50" s="444"/>
      <c r="Y50" s="444"/>
      <c r="Z50" s="444"/>
    </row>
    <row r="51" spans="1:26">
      <c r="A51" s="381" t="s">
        <v>2240</v>
      </c>
      <c r="B51" s="382">
        <f t="shared" ref="B51:C53" si="33">B50/(1+N50)</f>
        <v>215.05376344086022</v>
      </c>
      <c r="C51" s="382">
        <f t="shared" si="33"/>
        <v>185.0752177355503</v>
      </c>
      <c r="D51" s="382">
        <f t="shared" si="19"/>
        <v>185.0752177355503</v>
      </c>
      <c r="E51" s="382">
        <f t="shared" ref="E51:F53" si="34">E50/(1+P50)</f>
        <v>292.68767016725008</v>
      </c>
      <c r="F51" s="382">
        <f t="shared" si="34"/>
        <v>166.88189132810174</v>
      </c>
      <c r="G51" s="3398">
        <v>2009</v>
      </c>
      <c r="H51" s="391">
        <v>3</v>
      </c>
      <c r="I51" s="391">
        <v>2.1</v>
      </c>
      <c r="J51" s="391">
        <v>1.86</v>
      </c>
      <c r="K51" s="391">
        <v>2.29</v>
      </c>
      <c r="L51" s="419">
        <v>0.85</v>
      </c>
      <c r="N51" s="411">
        <f t="shared" si="21"/>
        <v>2.1000000000000001E-2</v>
      </c>
      <c r="O51" s="420">
        <f t="shared" si="21"/>
        <v>1.8600000000000002E-2</v>
      </c>
      <c r="P51" s="420">
        <f t="shared" si="21"/>
        <v>2.29E-2</v>
      </c>
      <c r="Q51" s="420">
        <f t="shared" si="21"/>
        <v>8.5000000000000006E-3</v>
      </c>
      <c r="R51" s="441"/>
      <c r="S51" s="411"/>
      <c r="T51" s="412"/>
      <c r="U51" s="412"/>
      <c r="V51" s="412"/>
    </row>
    <row r="52" spans="1:26">
      <c r="A52" s="381" t="s">
        <v>2241</v>
      </c>
      <c r="B52" s="382">
        <f t="shared" si="33"/>
        <v>210.630522469011</v>
      </c>
      <c r="C52" s="382">
        <f t="shared" si="33"/>
        <v>181.69567812247232</v>
      </c>
      <c r="D52" s="382">
        <f t="shared" si="19"/>
        <v>181.69567812247232</v>
      </c>
      <c r="E52" s="382">
        <f t="shared" si="34"/>
        <v>286.13517466736738</v>
      </c>
      <c r="F52" s="382">
        <f t="shared" si="34"/>
        <v>165.47535084591149</v>
      </c>
      <c r="G52" s="3398">
        <v>2009</v>
      </c>
      <c r="H52" s="387">
        <v>2</v>
      </c>
      <c r="I52" s="387">
        <v>0.86</v>
      </c>
      <c r="J52" s="387">
        <v>-1.1299999999999999</v>
      </c>
      <c r="K52" s="387">
        <v>1.79</v>
      </c>
      <c r="L52" s="415">
        <v>-2.0699999999999998</v>
      </c>
      <c r="N52" s="411">
        <f t="shared" si="21"/>
        <v>8.6E-3</v>
      </c>
      <c r="O52" s="420">
        <f t="shared" si="21"/>
        <v>-1.1299999999999999E-2</v>
      </c>
      <c r="P52" s="420">
        <f t="shared" si="21"/>
        <v>1.7899999999999999E-2</v>
      </c>
      <c r="Q52" s="420">
        <f t="shared" si="21"/>
        <v>-2.07E-2</v>
      </c>
      <c r="R52" s="441"/>
      <c r="S52" s="411"/>
      <c r="T52" s="412"/>
      <c r="U52" s="412"/>
      <c r="V52" s="412"/>
    </row>
    <row r="53" spans="1:26">
      <c r="A53" s="381" t="s">
        <v>2242</v>
      </c>
      <c r="B53" s="382">
        <f t="shared" si="33"/>
        <v>208.83454537875372</v>
      </c>
      <c r="C53" s="382">
        <f t="shared" si="33"/>
        <v>183.77230517090351</v>
      </c>
      <c r="D53" s="382">
        <f t="shared" si="19"/>
        <v>183.77230517090351</v>
      </c>
      <c r="E53" s="382">
        <f t="shared" si="34"/>
        <v>281.10342338870947</v>
      </c>
      <c r="F53" s="382">
        <f t="shared" si="34"/>
        <v>168.97309388942256</v>
      </c>
      <c r="G53" s="3399">
        <v>2009</v>
      </c>
      <c r="H53" s="383">
        <v>1</v>
      </c>
      <c r="I53" s="383">
        <v>-2.64</v>
      </c>
      <c r="J53" s="383">
        <v>-2.5299999999999998</v>
      </c>
      <c r="K53" s="383">
        <v>-3.02</v>
      </c>
      <c r="L53" s="413">
        <v>1.52</v>
      </c>
      <c r="N53" s="421">
        <f t="shared" si="21"/>
        <v>-2.64E-2</v>
      </c>
      <c r="O53" s="422">
        <f t="shared" si="21"/>
        <v>-2.53E-2</v>
      </c>
      <c r="P53" s="422">
        <f t="shared" si="21"/>
        <v>-3.0200000000000001E-2</v>
      </c>
      <c r="Q53" s="422">
        <f t="shared" si="21"/>
        <v>1.52E-2</v>
      </c>
      <c r="R53" s="441"/>
      <c r="S53" s="421">
        <f>B53/B54-1</f>
        <v>-2.4137638417038754E-2</v>
      </c>
      <c r="T53" s="422">
        <f>C53/C54-1</f>
        <v>-2.248773845264096E-2</v>
      </c>
      <c r="U53" s="422">
        <f>E53/E54-1</f>
        <v>-2.7323794502735366E-2</v>
      </c>
      <c r="V53" s="422">
        <f>F53/F54-1</f>
        <v>1.7910204153148035E-2</v>
      </c>
      <c r="X53" s="412"/>
      <c r="Y53" s="412"/>
      <c r="Z53" s="412"/>
    </row>
    <row r="54" spans="1:26">
      <c r="A54" s="381" t="s">
        <v>2243</v>
      </c>
      <c r="B54" s="399">
        <v>214</v>
      </c>
      <c r="C54" s="399">
        <v>188</v>
      </c>
      <c r="D54" s="399">
        <f t="shared" si="19"/>
        <v>188</v>
      </c>
      <c r="E54" s="399">
        <v>289</v>
      </c>
      <c r="F54" s="400">
        <v>166</v>
      </c>
      <c r="G54" s="3397">
        <v>2008</v>
      </c>
      <c r="H54" s="390">
        <v>4</v>
      </c>
      <c r="I54" s="390">
        <v>1.73</v>
      </c>
      <c r="J54" s="390">
        <v>0.03</v>
      </c>
      <c r="K54" s="390">
        <v>2.59</v>
      </c>
      <c r="L54" s="416">
        <v>-1.66</v>
      </c>
      <c r="N54" s="411">
        <f t="shared" si="21"/>
        <v>1.7299999999999999E-2</v>
      </c>
      <c r="O54" s="412">
        <f t="shared" si="21"/>
        <v>2.9999999999999997E-4</v>
      </c>
      <c r="P54" s="412">
        <f t="shared" si="21"/>
        <v>2.5899999999999999E-2</v>
      </c>
      <c r="Q54" s="412">
        <f t="shared" si="21"/>
        <v>-1.66E-2</v>
      </c>
      <c r="R54" s="441"/>
      <c r="S54" s="443"/>
      <c r="T54" s="444"/>
      <c r="U54" s="444"/>
      <c r="V54" s="444"/>
      <c r="X54" s="444"/>
      <c r="Y54" s="444"/>
      <c r="Z54" s="444"/>
    </row>
    <row r="55" spans="1:26">
      <c r="A55" s="381" t="s">
        <v>2244</v>
      </c>
      <c r="B55" s="382">
        <f t="shared" ref="B55:C57" si="35">B54/(1+N54)</f>
        <v>210.36075887152265</v>
      </c>
      <c r="C55" s="382">
        <f t="shared" si="35"/>
        <v>187.94361691492554</v>
      </c>
      <c r="D55" s="382">
        <f t="shared" si="19"/>
        <v>187.94361691492554</v>
      </c>
      <c r="E55" s="382">
        <f t="shared" ref="E55:F57" si="36">E54/(1+P54)</f>
        <v>281.70386977288234</v>
      </c>
      <c r="F55" s="382">
        <f t="shared" si="36"/>
        <v>168.80211511083994</v>
      </c>
      <c r="G55" s="3398">
        <v>2008</v>
      </c>
      <c r="H55" s="391">
        <v>3</v>
      </c>
      <c r="I55" s="391">
        <v>1.96</v>
      </c>
      <c r="J55" s="391">
        <v>2.36</v>
      </c>
      <c r="K55" s="391">
        <v>1.82</v>
      </c>
      <c r="L55" s="419">
        <v>2.2200000000000002</v>
      </c>
      <c r="N55" s="411">
        <f t="shared" si="21"/>
        <v>1.9599999999999999E-2</v>
      </c>
      <c r="O55" s="412">
        <f t="shared" si="21"/>
        <v>2.3599999999999999E-2</v>
      </c>
      <c r="P55" s="412">
        <f t="shared" si="21"/>
        <v>1.8200000000000001E-2</v>
      </c>
      <c r="Q55" s="412">
        <f t="shared" si="21"/>
        <v>2.2200000000000001E-2</v>
      </c>
      <c r="R55" s="441"/>
      <c r="S55" s="411"/>
      <c r="T55" s="412"/>
      <c r="U55" s="412"/>
      <c r="V55" s="412"/>
    </row>
    <row r="56" spans="1:26">
      <c r="A56" s="381" t="s">
        <v>2245</v>
      </c>
      <c r="B56" s="382">
        <f t="shared" si="35"/>
        <v>206.31694671589116</v>
      </c>
      <c r="C56" s="382">
        <f t="shared" si="35"/>
        <v>183.61041121036101</v>
      </c>
      <c r="D56" s="382">
        <f t="shared" si="19"/>
        <v>183.61041121036101</v>
      </c>
      <c r="E56" s="382">
        <f t="shared" si="36"/>
        <v>276.66850301795557</v>
      </c>
      <c r="F56" s="382">
        <f t="shared" si="36"/>
        <v>165.1360938278614</v>
      </c>
      <c r="G56" s="3398">
        <v>2008</v>
      </c>
      <c r="H56" s="387">
        <v>2</v>
      </c>
      <c r="I56" s="387">
        <v>4.93</v>
      </c>
      <c r="J56" s="387">
        <v>7.38</v>
      </c>
      <c r="K56" s="387">
        <v>3.98</v>
      </c>
      <c r="L56" s="415">
        <v>6.86</v>
      </c>
      <c r="N56" s="411">
        <f t="shared" si="21"/>
        <v>4.9299999999999997E-2</v>
      </c>
      <c r="O56" s="412">
        <f t="shared" si="21"/>
        <v>7.3800000000000004E-2</v>
      </c>
      <c r="P56" s="412">
        <f t="shared" si="21"/>
        <v>3.9800000000000002E-2</v>
      </c>
      <c r="Q56" s="412">
        <f t="shared" si="21"/>
        <v>6.8600000000000008E-2</v>
      </c>
      <c r="R56" s="441"/>
      <c r="S56" s="411"/>
      <c r="T56" s="412"/>
      <c r="U56" s="412"/>
      <c r="V56" s="412"/>
    </row>
    <row r="57" spans="1:26" s="361" customFormat="1">
      <c r="A57" s="381" t="s">
        <v>2246</v>
      </c>
      <c r="B57" s="402">
        <f t="shared" si="35"/>
        <v>196.62341248059772</v>
      </c>
      <c r="C57" s="402">
        <f t="shared" si="35"/>
        <v>170.99125648199012</v>
      </c>
      <c r="D57" s="402">
        <f t="shared" si="19"/>
        <v>170.99125648199012</v>
      </c>
      <c r="E57" s="402">
        <f t="shared" si="36"/>
        <v>266.07857570490052</v>
      </c>
      <c r="F57" s="402">
        <f t="shared" si="36"/>
        <v>154.53499328828505</v>
      </c>
      <c r="G57" s="3399">
        <v>2008</v>
      </c>
      <c r="H57" s="403">
        <v>1</v>
      </c>
      <c r="I57" s="403">
        <v>4.1399999999999997</v>
      </c>
      <c r="J57" s="403">
        <v>3.45</v>
      </c>
      <c r="K57" s="403">
        <v>4.95</v>
      </c>
      <c r="L57" s="428">
        <v>4.82</v>
      </c>
      <c r="N57" s="429">
        <f t="shared" si="21"/>
        <v>4.1399999999999999E-2</v>
      </c>
      <c r="O57" s="430">
        <f t="shared" si="21"/>
        <v>3.4500000000000003E-2</v>
      </c>
      <c r="P57" s="430">
        <f t="shared" si="21"/>
        <v>4.9500000000000002E-2</v>
      </c>
      <c r="Q57" s="430">
        <f t="shared" si="21"/>
        <v>4.82E-2</v>
      </c>
      <c r="R57" s="452"/>
      <c r="S57" s="429">
        <f>B57/B58-1</f>
        <v>4.5869215322328349E-2</v>
      </c>
      <c r="T57" s="430">
        <f>C57/C58-1</f>
        <v>3.6310645345394743E-2</v>
      </c>
      <c r="U57" s="430">
        <f>E57/E58-1</f>
        <v>4.7553447657088688E-2</v>
      </c>
      <c r="V57" s="430">
        <f>F57/F58-1</f>
        <v>4.4155360055980086E-2</v>
      </c>
      <c r="X57" s="430"/>
      <c r="Y57" s="430"/>
      <c r="Z57" s="430"/>
    </row>
    <row r="58" spans="1:26">
      <c r="A58" s="381" t="s">
        <v>2247</v>
      </c>
      <c r="B58" s="388">
        <v>188</v>
      </c>
      <c r="C58" s="388">
        <v>165</v>
      </c>
      <c r="D58" s="388">
        <f t="shared" si="19"/>
        <v>165</v>
      </c>
      <c r="E58" s="388">
        <v>254</v>
      </c>
      <c r="F58" s="389">
        <v>148</v>
      </c>
      <c r="G58" s="3397">
        <v>2007</v>
      </c>
      <c r="H58" s="404">
        <v>4</v>
      </c>
      <c r="I58" s="404">
        <v>5.51</v>
      </c>
      <c r="J58" s="404">
        <v>4.8899999999999997</v>
      </c>
      <c r="K58" s="404">
        <v>6.43</v>
      </c>
      <c r="L58" s="431">
        <v>5.36</v>
      </c>
      <c r="N58" s="432">
        <f t="shared" ref="N58:O61" si="37">B58/B59-1</f>
        <v>4.1339718365245526E-2</v>
      </c>
      <c r="O58" s="433">
        <f t="shared" si="37"/>
        <v>4.0324492593776018E-2</v>
      </c>
      <c r="P58" s="433">
        <f t="shared" ref="P58:Q61" si="38">E58/E59-1</f>
        <v>6.1625555347990968E-2</v>
      </c>
      <c r="Q58" s="433">
        <f t="shared" si="38"/>
        <v>4.6757569250590603E-2</v>
      </c>
      <c r="R58" s="441"/>
      <c r="S58" s="443"/>
      <c r="T58" s="444"/>
      <c r="U58" s="444"/>
      <c r="V58" s="444"/>
      <c r="X58" s="444"/>
      <c r="Y58" s="444"/>
      <c r="Z58" s="444"/>
    </row>
    <row r="59" spans="1:26">
      <c r="A59" s="381" t="s">
        <v>2248</v>
      </c>
      <c r="B59" s="382">
        <f t="shared" ref="B59:C61" si="39">B60+(B$58-B$62)*I59/SUM(I$58:I$61)</f>
        <v>180.5366651097618</v>
      </c>
      <c r="C59" s="382">
        <f t="shared" si="39"/>
        <v>158.60435967302453</v>
      </c>
      <c r="D59" s="382">
        <f t="shared" si="19"/>
        <v>158.60435967302453</v>
      </c>
      <c r="E59" s="382">
        <f t="shared" ref="E59:F61" si="40">E60+(E$58-E$62)*K59/SUM(K$58:K$61)</f>
        <v>239.25573260785075</v>
      </c>
      <c r="F59" s="382">
        <f t="shared" si="40"/>
        <v>141.38899430740037</v>
      </c>
      <c r="G59" s="3398">
        <v>2007</v>
      </c>
      <c r="H59" s="391">
        <v>3</v>
      </c>
      <c r="I59" s="391">
        <v>8.65</v>
      </c>
      <c r="J59" s="391">
        <v>8.06</v>
      </c>
      <c r="K59" s="391">
        <v>9.94</v>
      </c>
      <c r="L59" s="419">
        <v>5.8</v>
      </c>
      <c r="N59" s="432">
        <f t="shared" si="37"/>
        <v>6.940217571740015E-2</v>
      </c>
      <c r="O59" s="433">
        <f t="shared" si="37"/>
        <v>7.1197482471153428E-2</v>
      </c>
      <c r="P59" s="433">
        <f t="shared" si="38"/>
        <v>0.10529679922579582</v>
      </c>
      <c r="Q59" s="433">
        <f t="shared" si="38"/>
        <v>5.3292245059512133E-2</v>
      </c>
      <c r="R59" s="441"/>
      <c r="S59" s="411"/>
      <c r="T59" s="412"/>
      <c r="U59" s="412"/>
      <c r="V59" s="412"/>
      <c r="X59" s="453"/>
      <c r="Y59" s="453"/>
      <c r="Z59" s="453"/>
    </row>
    <row r="60" spans="1:26">
      <c r="A60" s="381" t="s">
        <v>2249</v>
      </c>
      <c r="B60" s="382">
        <f t="shared" si="39"/>
        <v>168.82017748715555</v>
      </c>
      <c r="C60" s="382">
        <f t="shared" si="39"/>
        <v>148.06267029972753</v>
      </c>
      <c r="D60" s="382">
        <f t="shared" si="19"/>
        <v>148.06267029972753</v>
      </c>
      <c r="E60" s="382">
        <f t="shared" si="40"/>
        <v>216.46288379323747</v>
      </c>
      <c r="F60" s="382">
        <f t="shared" si="40"/>
        <v>134.23529411764704</v>
      </c>
      <c r="G60" s="3398">
        <v>2007</v>
      </c>
      <c r="H60" s="387">
        <v>2</v>
      </c>
      <c r="I60" s="387">
        <v>3.67</v>
      </c>
      <c r="J60" s="387">
        <v>2.3199999999999998</v>
      </c>
      <c r="K60" s="387">
        <v>5.0199999999999996</v>
      </c>
      <c r="L60" s="415">
        <v>6.71</v>
      </c>
      <c r="N60" s="432">
        <f t="shared" si="37"/>
        <v>3.0339138143848032E-2</v>
      </c>
      <c r="O60" s="433">
        <f t="shared" si="37"/>
        <v>2.0922341588790472E-2</v>
      </c>
      <c r="P60" s="433">
        <f t="shared" si="38"/>
        <v>5.6164796592717003E-2</v>
      </c>
      <c r="Q60" s="433">
        <f t="shared" si="38"/>
        <v>6.5704536723887319E-2</v>
      </c>
      <c r="R60" s="441"/>
      <c r="S60" s="411"/>
      <c r="T60" s="412"/>
      <c r="U60" s="412"/>
      <c r="V60" s="412"/>
      <c r="X60" s="453"/>
      <c r="Y60" s="453"/>
      <c r="Z60" s="453"/>
    </row>
    <row r="61" spans="1:26">
      <c r="A61" s="381" t="s">
        <v>2250</v>
      </c>
      <c r="B61" s="382">
        <f t="shared" si="39"/>
        <v>163.84913591779542</v>
      </c>
      <c r="C61" s="382">
        <f t="shared" si="39"/>
        <v>145.0283378746594</v>
      </c>
      <c r="D61" s="382">
        <f t="shared" si="19"/>
        <v>145.0283378746594</v>
      </c>
      <c r="E61" s="382">
        <f t="shared" si="40"/>
        <v>204.95180722891567</v>
      </c>
      <c r="F61" s="382">
        <f t="shared" si="40"/>
        <v>125.95920303605313</v>
      </c>
      <c r="G61" s="3399">
        <v>2007</v>
      </c>
      <c r="H61" s="383">
        <v>1</v>
      </c>
      <c r="I61" s="383">
        <v>3.58</v>
      </c>
      <c r="J61" s="383">
        <v>3.08</v>
      </c>
      <c r="K61" s="383">
        <v>4.34</v>
      </c>
      <c r="L61" s="413">
        <v>3.21</v>
      </c>
      <c r="N61" s="434">
        <f t="shared" si="37"/>
        <v>3.0497710174814063E-2</v>
      </c>
      <c r="O61" s="435">
        <f t="shared" si="37"/>
        <v>2.8569772160704998E-2</v>
      </c>
      <c r="P61" s="435">
        <f t="shared" si="38"/>
        <v>5.1034908866234296E-2</v>
      </c>
      <c r="Q61" s="435">
        <f t="shared" si="38"/>
        <v>3.245248390207478E-2</v>
      </c>
      <c r="R61" s="441"/>
      <c r="S61" s="421">
        <f>B61/B62-1</f>
        <v>3.0497710174814063E-2</v>
      </c>
      <c r="T61" s="422">
        <f>C61/C62-1</f>
        <v>2.8569772160704998E-2</v>
      </c>
      <c r="U61" s="422">
        <f>E61/E62-1</f>
        <v>5.1034908866234296E-2</v>
      </c>
      <c r="V61" s="422">
        <f>F61/F62-1</f>
        <v>3.245248390207478E-2</v>
      </c>
      <c r="X61" s="453"/>
      <c r="Y61" s="453"/>
      <c r="Z61" s="453"/>
    </row>
    <row r="62" spans="1:26">
      <c r="A62" s="381" t="s">
        <v>2251</v>
      </c>
      <c r="B62" s="392">
        <v>159</v>
      </c>
      <c r="C62" s="392">
        <v>141</v>
      </c>
      <c r="D62" s="392">
        <f t="shared" si="19"/>
        <v>141</v>
      </c>
      <c r="E62" s="392">
        <v>195</v>
      </c>
      <c r="F62" s="393">
        <v>122</v>
      </c>
      <c r="G62" s="3397">
        <v>2006</v>
      </c>
      <c r="H62" s="390">
        <v>4</v>
      </c>
      <c r="I62" s="390">
        <v>3.79</v>
      </c>
      <c r="J62" s="390">
        <v>2.21</v>
      </c>
      <c r="K62" s="390">
        <v>5.65</v>
      </c>
      <c r="L62" s="416">
        <v>5.41</v>
      </c>
      <c r="N62" s="432">
        <f t="shared" ref="N62:O65" si="41">I62/SUM(I$62:I$65)*(B$62/B$66-1)</f>
        <v>7.245466462748526E-2</v>
      </c>
      <c r="O62" s="433">
        <f t="shared" si="41"/>
        <v>2.3237230038062766E-2</v>
      </c>
      <c r="P62" s="433">
        <f t="shared" ref="P62:Q65" si="42">K62/SUM(K$62:K$65)*(E$62/E$66-1)</f>
        <v>0.16146893866323722</v>
      </c>
      <c r="Q62" s="433">
        <f t="shared" si="42"/>
        <v>5.0755230321793784E-2</v>
      </c>
      <c r="R62" s="441"/>
      <c r="S62" s="443"/>
      <c r="T62" s="444"/>
      <c r="U62" s="444"/>
      <c r="V62" s="444"/>
      <c r="X62" s="453"/>
      <c r="Y62" s="453"/>
      <c r="Z62" s="453"/>
    </row>
    <row r="63" spans="1:26">
      <c r="A63" s="381" t="s">
        <v>2252</v>
      </c>
      <c r="B63" s="382">
        <f t="shared" ref="B63:C65" si="43">B64+(B$62-B$66)*I63/SUM(I$62:I$65)</f>
        <v>149.00125628140702</v>
      </c>
      <c r="C63" s="382">
        <f t="shared" si="43"/>
        <v>137.95592286501378</v>
      </c>
      <c r="D63" s="382">
        <f t="shared" si="19"/>
        <v>137.95592286501378</v>
      </c>
      <c r="E63" s="382">
        <f t="shared" ref="E63:F65" si="44">E64+(E$62-E$66)*K63/SUM(K$62:K$65)</f>
        <v>169.97231450719823</v>
      </c>
      <c r="F63" s="382">
        <f t="shared" si="44"/>
        <v>116.21390374331551</v>
      </c>
      <c r="G63" s="3398">
        <v>2006</v>
      </c>
      <c r="H63" s="391">
        <v>3</v>
      </c>
      <c r="I63" s="391">
        <v>0.92</v>
      </c>
      <c r="J63" s="391">
        <v>1.08</v>
      </c>
      <c r="K63" s="391">
        <v>0.73</v>
      </c>
      <c r="L63" s="419">
        <v>1.08</v>
      </c>
      <c r="N63" s="432">
        <f t="shared" si="41"/>
        <v>1.7587939698492462E-2</v>
      </c>
      <c r="O63" s="433">
        <f t="shared" si="41"/>
        <v>1.1355750425840628E-2</v>
      </c>
      <c r="P63" s="433">
        <f t="shared" si="42"/>
        <v>2.0862358446754544E-2</v>
      </c>
      <c r="Q63" s="433">
        <f t="shared" si="42"/>
        <v>1.0132282578103011E-2</v>
      </c>
      <c r="R63" s="441"/>
      <c r="S63" s="411"/>
      <c r="T63" s="412"/>
      <c r="U63" s="412"/>
      <c r="V63" s="412"/>
      <c r="X63" s="453"/>
      <c r="Y63" s="453"/>
      <c r="Z63" s="453"/>
    </row>
    <row r="64" spans="1:26">
      <c r="A64" s="381" t="s">
        <v>2253</v>
      </c>
      <c r="B64" s="382">
        <f t="shared" si="43"/>
        <v>146.57412060301507</v>
      </c>
      <c r="C64" s="382">
        <f t="shared" si="43"/>
        <v>136.46831955922866</v>
      </c>
      <c r="D64" s="382">
        <f t="shared" si="19"/>
        <v>136.46831955922866</v>
      </c>
      <c r="E64" s="382">
        <f t="shared" si="44"/>
        <v>166.73864894795128</v>
      </c>
      <c r="F64" s="382">
        <f t="shared" si="44"/>
        <v>115.05882352941177</v>
      </c>
      <c r="G64" s="3398">
        <v>2006</v>
      </c>
      <c r="H64" s="387">
        <v>2</v>
      </c>
      <c r="I64" s="387">
        <v>0.96</v>
      </c>
      <c r="J64" s="387">
        <v>0.25</v>
      </c>
      <c r="K64" s="387">
        <v>1.9</v>
      </c>
      <c r="L64" s="415">
        <v>0.95</v>
      </c>
      <c r="N64" s="432">
        <f t="shared" si="41"/>
        <v>1.8352632728861701E-2</v>
      </c>
      <c r="O64" s="433">
        <f t="shared" si="41"/>
        <v>2.6286459319075526E-3</v>
      </c>
      <c r="P64" s="433">
        <f t="shared" si="42"/>
        <v>5.4299289107991269E-2</v>
      </c>
      <c r="Q64" s="433">
        <f t="shared" si="42"/>
        <v>8.9126559714794995E-3</v>
      </c>
      <c r="R64" s="441"/>
      <c r="S64" s="411"/>
      <c r="T64" s="412"/>
      <c r="U64" s="412"/>
      <c r="V64" s="412"/>
      <c r="X64" s="453"/>
      <c r="Y64" s="453"/>
      <c r="Z64" s="453"/>
    </row>
    <row r="65" spans="1:26">
      <c r="A65" s="381" t="s">
        <v>2254</v>
      </c>
      <c r="B65" s="382">
        <f t="shared" si="43"/>
        <v>144.04145728643215</v>
      </c>
      <c r="C65" s="382">
        <f t="shared" si="43"/>
        <v>136.12396694214877</v>
      </c>
      <c r="D65" s="382">
        <f t="shared" si="19"/>
        <v>136.12396694214877</v>
      </c>
      <c r="E65" s="382">
        <f t="shared" si="44"/>
        <v>158.32225913621264</v>
      </c>
      <c r="F65" s="382">
        <f t="shared" si="44"/>
        <v>114.04278074866311</v>
      </c>
      <c r="G65" s="3399">
        <v>2006</v>
      </c>
      <c r="H65" s="383">
        <v>1</v>
      </c>
      <c r="I65" s="383">
        <v>2.29</v>
      </c>
      <c r="J65" s="383">
        <v>3.72</v>
      </c>
      <c r="K65" s="383">
        <v>0.75</v>
      </c>
      <c r="L65" s="413">
        <v>0.04</v>
      </c>
      <c r="N65" s="434">
        <f t="shared" si="41"/>
        <v>4.3778675988638847E-2</v>
      </c>
      <c r="O65" s="435">
        <f t="shared" si="41"/>
        <v>3.9114251466784385E-2</v>
      </c>
      <c r="P65" s="435">
        <f t="shared" si="42"/>
        <v>2.1433929911049188E-2</v>
      </c>
      <c r="Q65" s="435">
        <f t="shared" si="42"/>
        <v>3.7526972511492629E-4</v>
      </c>
      <c r="R65" s="441"/>
      <c r="S65" s="421">
        <f>B65/B66-1</f>
        <v>4.3778675988638716E-2</v>
      </c>
      <c r="T65" s="422">
        <f>C65/C66-1</f>
        <v>3.91142514667846E-2</v>
      </c>
      <c r="U65" s="422">
        <f>E65/E66-1</f>
        <v>2.143392991104931E-2</v>
      </c>
      <c r="V65" s="422">
        <f>F65/F66-1</f>
        <v>3.7526972511492396E-4</v>
      </c>
      <c r="X65" s="453"/>
      <c r="Y65" s="453"/>
      <c r="Z65" s="453"/>
    </row>
    <row r="66" spans="1:26">
      <c r="A66" s="381" t="s">
        <v>2255</v>
      </c>
      <c r="B66" s="392">
        <v>138</v>
      </c>
      <c r="C66" s="392">
        <v>131</v>
      </c>
      <c r="D66" s="392">
        <f t="shared" si="19"/>
        <v>131</v>
      </c>
      <c r="E66" s="392">
        <v>155</v>
      </c>
      <c r="F66" s="393">
        <v>114</v>
      </c>
      <c r="G66" s="3397">
        <v>2005</v>
      </c>
      <c r="H66" s="390">
        <v>4</v>
      </c>
      <c r="I66" s="390">
        <v>3.29</v>
      </c>
      <c r="J66" s="390">
        <v>1.44</v>
      </c>
      <c r="K66" s="390">
        <v>0.66</v>
      </c>
      <c r="L66" s="416">
        <v>7.78</v>
      </c>
      <c r="N66" s="432">
        <f t="shared" ref="N66:O69" si="45">I66/SUM(I$66:I$69)*(B$66/B$70-1)</f>
        <v>9.9404603216919935E-2</v>
      </c>
      <c r="O66" s="433">
        <f t="shared" si="45"/>
        <v>4.7636550760861554E-2</v>
      </c>
      <c r="P66" s="433">
        <f t="shared" ref="P66:Q69" si="46">K66/SUM(K$66:K$69)*(E$66/E$70-1)</f>
        <v>8.3756345177664976E-2</v>
      </c>
      <c r="Q66" s="433">
        <f t="shared" si="46"/>
        <v>5.2148766661559584E-2</v>
      </c>
      <c r="R66" s="441"/>
      <c r="S66" s="443"/>
      <c r="T66" s="444"/>
      <c r="U66" s="444"/>
      <c r="V66" s="444"/>
      <c r="X66" s="453"/>
      <c r="Y66" s="453"/>
      <c r="Z66" s="453"/>
    </row>
    <row r="67" spans="1:26">
      <c r="A67" s="381" t="s">
        <v>2256</v>
      </c>
      <c r="B67" s="382">
        <f t="shared" ref="B67:C69" si="47">B68+(B$66-B$70)*I67/SUM(I$66:I$69)</f>
        <v>125.9720430107527</v>
      </c>
      <c r="C67" s="382">
        <f t="shared" si="47"/>
        <v>125.1883408071749</v>
      </c>
      <c r="D67" s="382">
        <f t="shared" si="19"/>
        <v>125.1883408071749</v>
      </c>
      <c r="E67" s="382">
        <f t="shared" ref="E67:F69" si="48">E68+(E$66-E$70)*K67/SUM(K$66:K$69)</f>
        <v>144.61421319796952</v>
      </c>
      <c r="F67" s="382">
        <f t="shared" si="48"/>
        <v>108.42008196721311</v>
      </c>
      <c r="G67" s="3398">
        <v>2005</v>
      </c>
      <c r="H67" s="391">
        <v>3</v>
      </c>
      <c r="I67" s="391">
        <v>0.46</v>
      </c>
      <c r="J67" s="391">
        <v>0.32</v>
      </c>
      <c r="K67" s="391">
        <v>0.42</v>
      </c>
      <c r="L67" s="419">
        <v>0.64</v>
      </c>
      <c r="N67" s="432">
        <f t="shared" si="45"/>
        <v>1.3898515951301874E-2</v>
      </c>
      <c r="O67" s="433">
        <f t="shared" si="45"/>
        <v>1.0585900169080346E-2</v>
      </c>
      <c r="P67" s="433">
        <f t="shared" si="46"/>
        <v>5.3299492385786795E-2</v>
      </c>
      <c r="Q67" s="433">
        <f t="shared" si="46"/>
        <v>4.2898728359123568E-3</v>
      </c>
      <c r="R67" s="441"/>
      <c r="S67" s="411"/>
      <c r="T67" s="412"/>
      <c r="U67" s="412"/>
      <c r="V67" s="412"/>
      <c r="X67" s="453"/>
      <c r="Y67" s="453"/>
      <c r="Z67" s="453"/>
    </row>
    <row r="68" spans="1:26">
      <c r="A68" s="381" t="s">
        <v>2257</v>
      </c>
      <c r="B68" s="382">
        <f t="shared" si="47"/>
        <v>124.29032258064517</v>
      </c>
      <c r="C68" s="382">
        <f t="shared" si="47"/>
        <v>123.8968609865471</v>
      </c>
      <c r="D68" s="382">
        <f t="shared" si="19"/>
        <v>123.8968609865471</v>
      </c>
      <c r="E68" s="382">
        <f t="shared" si="48"/>
        <v>138.00507614213197</v>
      </c>
      <c r="F68" s="382">
        <f t="shared" si="48"/>
        <v>107.96106557377048</v>
      </c>
      <c r="G68" s="3398">
        <v>2005</v>
      </c>
      <c r="H68" s="387">
        <v>2</v>
      </c>
      <c r="I68" s="387">
        <v>0.47</v>
      </c>
      <c r="J68" s="387">
        <v>0.1</v>
      </c>
      <c r="K68" s="387">
        <v>0.52</v>
      </c>
      <c r="L68" s="415">
        <v>0.79</v>
      </c>
      <c r="N68" s="432">
        <f t="shared" si="45"/>
        <v>1.420065760241713E-2</v>
      </c>
      <c r="O68" s="433">
        <f t="shared" si="45"/>
        <v>3.3080938028376083E-3</v>
      </c>
      <c r="P68" s="433">
        <f t="shared" si="46"/>
        <v>6.598984771573603E-2</v>
      </c>
      <c r="Q68" s="433">
        <f t="shared" si="46"/>
        <v>5.2953117818293153E-3</v>
      </c>
      <c r="R68" s="441"/>
      <c r="S68" s="411"/>
      <c r="T68" s="412"/>
      <c r="U68" s="412"/>
      <c r="V68" s="412"/>
      <c r="X68" s="453"/>
      <c r="Y68" s="453"/>
      <c r="Z68" s="453"/>
    </row>
    <row r="69" spans="1:26">
      <c r="A69" s="381" t="s">
        <v>2258</v>
      </c>
      <c r="B69" s="382">
        <f t="shared" si="47"/>
        <v>122.57204301075269</v>
      </c>
      <c r="C69" s="382">
        <f t="shared" si="47"/>
        <v>123.4932735426009</v>
      </c>
      <c r="D69" s="382">
        <f t="shared" si="19"/>
        <v>123.4932735426009</v>
      </c>
      <c r="E69" s="382">
        <f t="shared" si="48"/>
        <v>129.82233502538071</v>
      </c>
      <c r="F69" s="382">
        <f t="shared" si="48"/>
        <v>107.39446721311475</v>
      </c>
      <c r="G69" s="3399">
        <v>2005</v>
      </c>
      <c r="H69" s="383">
        <v>1</v>
      </c>
      <c r="I69" s="383">
        <v>0.43</v>
      </c>
      <c r="J69" s="383">
        <v>0.37</v>
      </c>
      <c r="K69" s="383">
        <v>0.37</v>
      </c>
      <c r="L69" s="413">
        <v>0.55000000000000004</v>
      </c>
      <c r="N69" s="434">
        <f t="shared" si="45"/>
        <v>1.2992090997956099E-2</v>
      </c>
      <c r="O69" s="435">
        <f t="shared" si="45"/>
        <v>1.2239947070499151E-2</v>
      </c>
      <c r="P69" s="435">
        <f t="shared" si="46"/>
        <v>4.6954314720812178E-2</v>
      </c>
      <c r="Q69" s="435">
        <f t="shared" si="46"/>
        <v>3.6866094683621815E-3</v>
      </c>
      <c r="R69" s="441"/>
      <c r="S69" s="421">
        <f>B69/B70-1</f>
        <v>1.2992090997956174E-2</v>
      </c>
      <c r="T69" s="422">
        <f>C69/C70-1</f>
        <v>1.2239947070499246E-2</v>
      </c>
      <c r="U69" s="422">
        <f>E69/E70-1</f>
        <v>4.695431472081224E-2</v>
      </c>
      <c r="V69" s="422">
        <f>F69/F70-1</f>
        <v>3.6866094683620787E-3</v>
      </c>
      <c r="X69" s="453"/>
      <c r="Y69" s="453"/>
      <c r="Z69" s="453"/>
    </row>
    <row r="70" spans="1:26">
      <c r="A70" s="381" t="s">
        <v>2259</v>
      </c>
      <c r="B70" s="399">
        <v>121</v>
      </c>
      <c r="C70" s="399">
        <v>122</v>
      </c>
      <c r="D70" s="399">
        <f t="shared" si="19"/>
        <v>122</v>
      </c>
      <c r="E70" s="399">
        <v>124</v>
      </c>
      <c r="F70" s="400">
        <v>107</v>
      </c>
      <c r="G70" s="3397">
        <v>2004</v>
      </c>
      <c r="H70" s="390">
        <v>4</v>
      </c>
      <c r="I70" s="390">
        <v>0.33</v>
      </c>
      <c r="J70" s="390">
        <v>0.5</v>
      </c>
      <c r="K70" s="390">
        <v>0.5</v>
      </c>
      <c r="L70" s="416">
        <v>0</v>
      </c>
      <c r="N70" s="432">
        <f t="shared" ref="N70:O73" si="49">I70/SUM(I$70:I$73)*(B$70/B$74-1)</f>
        <v>1.3391770148526898E-2</v>
      </c>
      <c r="O70" s="433">
        <f t="shared" si="49"/>
        <v>1.063264221158958E-2</v>
      </c>
      <c r="P70" s="433">
        <f t="shared" ref="P70:Q73" si="50">K70/SUM(K$70:K$73)*(E$70/E$74-1)</f>
        <v>2.2244466688911134E-2</v>
      </c>
      <c r="Q70" s="433">
        <f t="shared" si="50"/>
        <v>0</v>
      </c>
      <c r="R70" s="441"/>
      <c r="S70" s="443"/>
      <c r="T70" s="444"/>
      <c r="U70" s="444"/>
      <c r="V70" s="444"/>
      <c r="X70" s="453"/>
      <c r="Y70" s="453"/>
      <c r="Z70" s="453"/>
    </row>
    <row r="71" spans="1:26">
      <c r="A71" s="381" t="s">
        <v>2260</v>
      </c>
      <c r="B71" s="382">
        <f t="shared" ref="B71:C73" si="51">B72+(B$70-B$74)*I71/SUM(I$70:I$73)</f>
        <v>119.51351351351352</v>
      </c>
      <c r="C71" s="382">
        <f t="shared" si="51"/>
        <v>120.7878787878788</v>
      </c>
      <c r="D71" s="382">
        <f t="shared" si="19"/>
        <v>120.7878787878788</v>
      </c>
      <c r="E71" s="382">
        <f t="shared" ref="E71:F73" si="52">E72+(E$70-E$74)*K71/SUM(K$70:K$73)</f>
        <v>121.5975975975976</v>
      </c>
      <c r="F71" s="382">
        <f t="shared" si="52"/>
        <v>107</v>
      </c>
      <c r="G71" s="3398">
        <v>2004</v>
      </c>
      <c r="H71" s="391">
        <v>3</v>
      </c>
      <c r="I71" s="391">
        <v>0.56000000000000005</v>
      </c>
      <c r="J71" s="391">
        <v>0.8</v>
      </c>
      <c r="K71" s="391">
        <v>0.83</v>
      </c>
      <c r="L71" s="419">
        <v>0.06</v>
      </c>
      <c r="N71" s="432">
        <f t="shared" si="49"/>
        <v>2.2725428130833527E-2</v>
      </c>
      <c r="O71" s="433">
        <f t="shared" si="49"/>
        <v>1.7012227538543329E-2</v>
      </c>
      <c r="P71" s="433">
        <f t="shared" si="50"/>
        <v>3.6925814703592477E-2</v>
      </c>
      <c r="Q71" s="433">
        <f t="shared" si="50"/>
        <v>2.8846153846153744E-2</v>
      </c>
      <c r="R71" s="441"/>
      <c r="S71" s="411"/>
      <c r="T71" s="412"/>
      <c r="U71" s="412"/>
      <c r="V71" s="412"/>
      <c r="X71" s="453"/>
      <c r="Y71" s="453"/>
      <c r="Z71" s="453"/>
    </row>
    <row r="72" spans="1:26">
      <c r="A72" s="381" t="s">
        <v>2261</v>
      </c>
      <c r="B72" s="382">
        <f t="shared" si="51"/>
        <v>116.99099099099099</v>
      </c>
      <c r="C72" s="382">
        <f t="shared" si="51"/>
        <v>118.84848484848486</v>
      </c>
      <c r="D72" s="382">
        <f t="shared" si="19"/>
        <v>118.84848484848486</v>
      </c>
      <c r="E72" s="382">
        <f t="shared" si="52"/>
        <v>117.60960960960961</v>
      </c>
      <c r="F72" s="382">
        <f t="shared" si="52"/>
        <v>104</v>
      </c>
      <c r="G72" s="3398">
        <v>2004</v>
      </c>
      <c r="H72" s="387">
        <v>2</v>
      </c>
      <c r="I72" s="387">
        <v>1</v>
      </c>
      <c r="J72" s="387">
        <v>1.5</v>
      </c>
      <c r="K72" s="387">
        <v>1.5</v>
      </c>
      <c r="L72" s="415">
        <v>0</v>
      </c>
      <c r="N72" s="432">
        <f t="shared" si="49"/>
        <v>4.0581121662202721E-2</v>
      </c>
      <c r="O72" s="433">
        <f t="shared" si="49"/>
        <v>3.1897926634768738E-2</v>
      </c>
      <c r="P72" s="433">
        <f t="shared" si="50"/>
        <v>6.6733400066733395E-2</v>
      </c>
      <c r="Q72" s="433">
        <f t="shared" si="50"/>
        <v>0</v>
      </c>
      <c r="R72" s="441"/>
      <c r="S72" s="411"/>
      <c r="T72" s="412"/>
      <c r="U72" s="412"/>
      <c r="V72" s="412"/>
      <c r="X72" s="453"/>
      <c r="Y72" s="453"/>
      <c r="Z72" s="453"/>
    </row>
    <row r="73" spans="1:26" s="361" customFormat="1">
      <c r="A73" s="381" t="s">
        <v>2262</v>
      </c>
      <c r="B73" s="402">
        <f t="shared" si="51"/>
        <v>112.48648648648648</v>
      </c>
      <c r="C73" s="402">
        <f t="shared" si="51"/>
        <v>115.21212121212122</v>
      </c>
      <c r="D73" s="402">
        <f t="shared" si="19"/>
        <v>115.21212121212122</v>
      </c>
      <c r="E73" s="402">
        <f t="shared" si="52"/>
        <v>110.4024024024024</v>
      </c>
      <c r="F73" s="402">
        <f t="shared" si="52"/>
        <v>104</v>
      </c>
      <c r="G73" s="3399">
        <v>2004</v>
      </c>
      <c r="H73" s="403">
        <v>1</v>
      </c>
      <c r="I73" s="403">
        <v>0.33</v>
      </c>
      <c r="J73" s="403">
        <v>0.5</v>
      </c>
      <c r="K73" s="403">
        <v>0.5</v>
      </c>
      <c r="L73" s="428">
        <v>0</v>
      </c>
      <c r="N73" s="470">
        <f t="shared" si="49"/>
        <v>1.3391770148526898E-2</v>
      </c>
      <c r="O73" s="471">
        <f t="shared" si="49"/>
        <v>1.063264221158958E-2</v>
      </c>
      <c r="P73" s="471">
        <f t="shared" si="50"/>
        <v>2.2244466688911134E-2</v>
      </c>
      <c r="Q73" s="471">
        <f t="shared" si="50"/>
        <v>0</v>
      </c>
      <c r="R73" s="452"/>
      <c r="S73" s="429">
        <f>B73/B74-1</f>
        <v>1.3391770148526883E-2</v>
      </c>
      <c r="T73" s="430">
        <f>C73/C74-1</f>
        <v>1.063264221158966E-2</v>
      </c>
      <c r="U73" s="430">
        <f>E73/E74-1</f>
        <v>2.2244466688911224E-2</v>
      </c>
      <c r="V73" s="430">
        <f>F73/F74-1</f>
        <v>0</v>
      </c>
      <c r="X73" s="478"/>
      <c r="Y73" s="478"/>
      <c r="Z73" s="478"/>
    </row>
    <row r="74" spans="1:26">
      <c r="A74" s="381" t="s">
        <v>2263</v>
      </c>
      <c r="B74" s="458">
        <v>111</v>
      </c>
      <c r="C74" s="458">
        <v>114</v>
      </c>
      <c r="D74" s="458">
        <f t="shared" si="19"/>
        <v>114</v>
      </c>
      <c r="E74" s="458">
        <v>108</v>
      </c>
      <c r="F74" s="459">
        <v>104</v>
      </c>
      <c r="G74" s="3397">
        <v>2003</v>
      </c>
      <c r="H74" s="404">
        <v>4</v>
      </c>
      <c r="I74" s="472"/>
      <c r="J74" s="472"/>
      <c r="K74" s="472"/>
      <c r="L74" s="472"/>
      <c r="N74" s="473"/>
      <c r="O74" s="472"/>
      <c r="P74" s="472"/>
      <c r="Q74" s="472"/>
      <c r="S74" s="473"/>
      <c r="T74" s="472"/>
      <c r="U74" s="472"/>
      <c r="V74" s="472"/>
      <c r="X74" s="453"/>
      <c r="Y74" s="453"/>
      <c r="Z74" s="453"/>
    </row>
    <row r="75" spans="1:26">
      <c r="A75" s="381" t="s">
        <v>2264</v>
      </c>
      <c r="B75" s="460">
        <f t="shared" ref="B75:C77" si="53">B76+(B$74-B$78)/4</f>
        <v>109.75</v>
      </c>
      <c r="C75" s="460">
        <f t="shared" si="53"/>
        <v>112.25</v>
      </c>
      <c r="D75" s="460">
        <f t="shared" si="19"/>
        <v>112.25</v>
      </c>
      <c r="E75" s="460">
        <f t="shared" ref="E75:F77" si="54">E76+(E$74-E$78)/4</f>
        <v>107.25</v>
      </c>
      <c r="F75" s="460">
        <f t="shared" si="54"/>
        <v>103.5</v>
      </c>
      <c r="G75" s="3398">
        <v>2003</v>
      </c>
      <c r="H75" s="391">
        <v>3</v>
      </c>
      <c r="I75" s="472"/>
      <c r="J75" s="472"/>
      <c r="K75" s="472"/>
      <c r="L75" s="472"/>
      <c r="X75" s="453"/>
      <c r="Y75" s="453"/>
      <c r="Z75" s="453"/>
    </row>
    <row r="76" spans="1:26">
      <c r="A76" s="381" t="s">
        <v>2265</v>
      </c>
      <c r="B76" s="460">
        <f t="shared" si="53"/>
        <v>108.5</v>
      </c>
      <c r="C76" s="460">
        <f t="shared" si="53"/>
        <v>110.5</v>
      </c>
      <c r="D76" s="460">
        <f t="shared" si="19"/>
        <v>110.5</v>
      </c>
      <c r="E76" s="460">
        <f t="shared" si="54"/>
        <v>106.5</v>
      </c>
      <c r="F76" s="460">
        <f t="shared" si="54"/>
        <v>103</v>
      </c>
      <c r="G76" s="3398">
        <v>2003</v>
      </c>
      <c r="H76" s="387">
        <v>2</v>
      </c>
      <c r="I76" s="472"/>
      <c r="J76" s="472"/>
      <c r="K76" s="472"/>
      <c r="L76" s="472"/>
      <c r="X76" s="453"/>
      <c r="Y76" s="453"/>
      <c r="Z76" s="453"/>
    </row>
    <row r="77" spans="1:26">
      <c r="A77" s="381" t="s">
        <v>2266</v>
      </c>
      <c r="B77" s="460">
        <f t="shared" si="53"/>
        <v>107.25</v>
      </c>
      <c r="C77" s="460">
        <f t="shared" si="53"/>
        <v>108.75</v>
      </c>
      <c r="D77" s="460">
        <f t="shared" si="19"/>
        <v>108.75</v>
      </c>
      <c r="E77" s="460">
        <f t="shared" si="54"/>
        <v>105.75</v>
      </c>
      <c r="F77" s="460">
        <f t="shared" si="54"/>
        <v>102.5</v>
      </c>
      <c r="G77" s="3399">
        <v>2003</v>
      </c>
      <c r="H77" s="461">
        <v>1</v>
      </c>
      <c r="I77" s="472"/>
      <c r="J77" s="472"/>
      <c r="K77" s="472"/>
      <c r="L77" s="472"/>
      <c r="S77" s="411"/>
      <c r="T77" s="412"/>
      <c r="U77" s="412"/>
      <c r="X77" s="453"/>
      <c r="Y77" s="453"/>
      <c r="Z77" s="453"/>
    </row>
    <row r="78" spans="1:26">
      <c r="A78" s="381" t="s">
        <v>2267</v>
      </c>
      <c r="B78" s="462">
        <v>106</v>
      </c>
      <c r="C78" s="462">
        <v>107</v>
      </c>
      <c r="D78" s="462">
        <f t="shared" si="19"/>
        <v>107</v>
      </c>
      <c r="E78" s="462">
        <v>105</v>
      </c>
      <c r="F78" s="463">
        <v>102</v>
      </c>
      <c r="G78" s="3397">
        <v>2002</v>
      </c>
      <c r="H78" s="390">
        <v>4</v>
      </c>
      <c r="I78" s="472"/>
      <c r="J78" s="472"/>
      <c r="K78" s="472"/>
      <c r="L78" s="472"/>
      <c r="N78" s="473"/>
      <c r="O78" s="472"/>
      <c r="P78" s="472"/>
      <c r="Q78" s="472"/>
      <c r="S78" s="473"/>
      <c r="T78" s="472"/>
      <c r="U78" s="472"/>
      <c r="V78" s="472"/>
      <c r="X78" s="453"/>
      <c r="Y78" s="453"/>
      <c r="Z78" s="453"/>
    </row>
    <row r="79" spans="1:26">
      <c r="A79" s="381" t="s">
        <v>2268</v>
      </c>
      <c r="B79" s="460">
        <f t="shared" ref="B79:C81" si="55">B80+(B$78-B$82)/4</f>
        <v>105</v>
      </c>
      <c r="C79" s="460">
        <f t="shared" si="55"/>
        <v>106</v>
      </c>
      <c r="D79" s="460">
        <f t="shared" si="19"/>
        <v>106</v>
      </c>
      <c r="E79" s="460">
        <f t="shared" ref="E79:F81" si="56">E80+(E$78-E$82)/4</f>
        <v>104.5</v>
      </c>
      <c r="F79" s="460">
        <f t="shared" si="56"/>
        <v>101.5</v>
      </c>
      <c r="G79" s="3398">
        <v>2002</v>
      </c>
      <c r="H79" s="391">
        <v>3</v>
      </c>
      <c r="I79" s="472"/>
      <c r="J79" s="472"/>
      <c r="K79" s="472"/>
      <c r="L79" s="472"/>
      <c r="X79" s="453"/>
      <c r="Y79" s="453"/>
      <c r="Z79" s="453"/>
    </row>
    <row r="80" spans="1:26">
      <c r="A80" s="381" t="s">
        <v>2269</v>
      </c>
      <c r="B80" s="460">
        <f t="shared" si="55"/>
        <v>104</v>
      </c>
      <c r="C80" s="460">
        <f t="shared" si="55"/>
        <v>105</v>
      </c>
      <c r="D80" s="460">
        <f t="shared" si="19"/>
        <v>105</v>
      </c>
      <c r="E80" s="460">
        <f t="shared" si="56"/>
        <v>104</v>
      </c>
      <c r="F80" s="460">
        <f t="shared" si="56"/>
        <v>101</v>
      </c>
      <c r="G80" s="3398">
        <v>2002</v>
      </c>
      <c r="H80" s="387">
        <v>2</v>
      </c>
      <c r="I80" s="472"/>
      <c r="J80" s="472"/>
      <c r="K80" s="472"/>
      <c r="L80" s="472"/>
      <c r="X80" s="453"/>
      <c r="Y80" s="453"/>
      <c r="Z80" s="453"/>
    </row>
    <row r="81" spans="1:26" s="360" customFormat="1">
      <c r="A81" s="395" t="s">
        <v>2270</v>
      </c>
      <c r="B81" s="445">
        <f t="shared" si="55"/>
        <v>103</v>
      </c>
      <c r="C81" s="445">
        <f t="shared" si="55"/>
        <v>104</v>
      </c>
      <c r="D81" s="445">
        <f t="shared" si="19"/>
        <v>104</v>
      </c>
      <c r="E81" s="445">
        <f t="shared" si="56"/>
        <v>103.5</v>
      </c>
      <c r="F81" s="445">
        <f t="shared" si="56"/>
        <v>100.5</v>
      </c>
      <c r="G81" s="3399">
        <v>2002</v>
      </c>
      <c r="H81" s="464">
        <v>1</v>
      </c>
      <c r="I81" s="474"/>
      <c r="J81" s="474"/>
      <c r="K81" s="474"/>
      <c r="L81" s="474"/>
      <c r="N81" s="475"/>
      <c r="S81" s="475"/>
      <c r="X81" s="479"/>
      <c r="Y81" s="479"/>
      <c r="Z81" s="479"/>
    </row>
    <row r="82" spans="1:26">
      <c r="B82" s="465">
        <v>102</v>
      </c>
      <c r="C82" s="466">
        <v>103</v>
      </c>
      <c r="D82" s="466">
        <f t="shared" si="19"/>
        <v>103</v>
      </c>
      <c r="E82" s="466">
        <v>103</v>
      </c>
      <c r="F82" s="467">
        <v>100</v>
      </c>
      <c r="I82" s="472"/>
      <c r="J82" s="472"/>
      <c r="K82" s="472"/>
      <c r="L82" s="472"/>
      <c r="N82" s="473"/>
      <c r="O82" s="472"/>
      <c r="P82" s="472"/>
      <c r="Q82" s="472"/>
      <c r="S82" s="473"/>
      <c r="T82" s="472"/>
      <c r="U82" s="472"/>
      <c r="V82" s="472"/>
      <c r="X82" s="444"/>
      <c r="Y82" s="444"/>
      <c r="Z82" s="444"/>
    </row>
    <row r="84" spans="1:26" s="362" customFormat="1">
      <c r="A84" s="468" t="s">
        <v>2271</v>
      </c>
      <c r="G84" s="469"/>
      <c r="N84" s="469"/>
      <c r="S84" s="469"/>
    </row>
    <row r="85" spans="1:26" s="362" customFormat="1">
      <c r="A85" s="362" t="s">
        <v>2272</v>
      </c>
      <c r="G85" s="469"/>
      <c r="N85" s="469"/>
      <c r="S85" s="469"/>
    </row>
    <row r="86" spans="1:26" s="362" customFormat="1">
      <c r="A86" s="362" t="s">
        <v>2273</v>
      </c>
      <c r="G86" s="469"/>
      <c r="I86" s="476"/>
      <c r="J86" s="476"/>
      <c r="K86" s="476"/>
      <c r="L86" s="476"/>
      <c r="N86" s="477"/>
      <c r="O86" s="476"/>
      <c r="P86" s="476"/>
      <c r="Q86" s="476"/>
      <c r="S86" s="477"/>
      <c r="T86" s="476"/>
      <c r="U86" s="476"/>
      <c r="V86" s="476"/>
    </row>
    <row r="87" spans="1:26" s="362" customFormat="1">
      <c r="A87" s="362" t="s">
        <v>2274</v>
      </c>
      <c r="G87" s="469"/>
      <c r="N87" s="469"/>
      <c r="S87" s="469"/>
    </row>
    <row r="95" spans="1:26">
      <c r="G95" s="363"/>
      <c r="S95" s="480" t="s">
        <v>2275</v>
      </c>
      <c r="T95" s="481" t="s">
        <v>2276</v>
      </c>
      <c r="U95" s="481" t="s">
        <v>2277</v>
      </c>
      <c r="V95" s="481" t="s">
        <v>2278</v>
      </c>
    </row>
    <row r="96" spans="1:26">
      <c r="G96" s="363"/>
      <c r="N96" s="443"/>
      <c r="O96" s="444"/>
      <c r="P96" s="444"/>
      <c r="Q96" s="444"/>
      <c r="S96" s="482">
        <v>2006</v>
      </c>
      <c r="T96" s="483">
        <v>15.1</v>
      </c>
      <c r="U96" s="483">
        <v>7.43</v>
      </c>
      <c r="V96" s="483">
        <v>26.26</v>
      </c>
    </row>
    <row r="97" spans="7:22">
      <c r="G97" s="363"/>
      <c r="N97" s="443"/>
      <c r="O97" s="444"/>
      <c r="P97" s="444"/>
      <c r="Q97" s="444"/>
      <c r="S97" s="484">
        <v>2005</v>
      </c>
      <c r="T97" s="485">
        <v>13.9</v>
      </c>
      <c r="U97" s="485">
        <v>7.49</v>
      </c>
      <c r="V97" s="485">
        <v>24.92</v>
      </c>
    </row>
    <row r="98" spans="7:22">
      <c r="G98" s="363"/>
      <c r="N98" s="443"/>
      <c r="O98" s="444"/>
      <c r="P98" s="444"/>
      <c r="Q98" s="444"/>
      <c r="S98" s="482">
        <v>2004</v>
      </c>
      <c r="T98" s="483">
        <v>9.48</v>
      </c>
      <c r="U98" s="483">
        <v>7.2</v>
      </c>
      <c r="V98" s="483">
        <v>14.68</v>
      </c>
    </row>
    <row r="99" spans="7:22">
      <c r="G99" s="363"/>
      <c r="N99" s="443"/>
      <c r="O99" s="444"/>
      <c r="P99" s="444"/>
      <c r="Q99" s="444"/>
      <c r="S99" s="484">
        <v>2003</v>
      </c>
      <c r="T99" s="485">
        <v>4.5</v>
      </c>
      <c r="U99" s="485">
        <v>6.12</v>
      </c>
      <c r="V99" s="485">
        <v>2.34</v>
      </c>
    </row>
    <row r="100" spans="7:22">
      <c r="G100" s="363"/>
      <c r="N100" s="443"/>
      <c r="O100" s="444"/>
      <c r="P100" s="444"/>
      <c r="Q100" s="444"/>
      <c r="S100" s="486">
        <v>2002</v>
      </c>
      <c r="T100" s="487">
        <v>3.59</v>
      </c>
      <c r="U100" s="487">
        <v>4.54</v>
      </c>
      <c r="V100" s="487">
        <v>2.5499999999999998</v>
      </c>
    </row>
    <row r="101" spans="7:22">
      <c r="G101" s="363"/>
      <c r="N101" s="443"/>
      <c r="O101" s="444"/>
      <c r="P101" s="444"/>
      <c r="Q101" s="444"/>
    </row>
    <row r="102" spans="7:22">
      <c r="G102" s="363"/>
      <c r="N102" s="443"/>
      <c r="O102" s="444"/>
      <c r="P102" s="444"/>
      <c r="Q102" s="444"/>
    </row>
    <row r="103" spans="7:22">
      <c r="G103" s="363"/>
      <c r="N103" s="443"/>
      <c r="O103" s="444"/>
      <c r="P103" s="444"/>
      <c r="Q103" s="444"/>
    </row>
    <row r="104" spans="7:22">
      <c r="G104" s="363"/>
      <c r="N104" s="443"/>
      <c r="O104" s="444"/>
      <c r="P104" s="444"/>
      <c r="Q104" s="444"/>
    </row>
    <row r="105" spans="7:22">
      <c r="G105" s="363"/>
      <c r="N105" s="443"/>
      <c r="O105" s="444"/>
      <c r="P105" s="444"/>
      <c r="Q105" s="444"/>
    </row>
    <row r="106" spans="7:22">
      <c r="G106" s="363"/>
      <c r="N106" s="443"/>
      <c r="O106" s="444"/>
      <c r="P106" s="444"/>
      <c r="Q106" s="444"/>
    </row>
    <row r="107" spans="7:22">
      <c r="G107" s="363"/>
      <c r="N107" s="443"/>
      <c r="O107" s="444"/>
      <c r="P107" s="444"/>
      <c r="Q107" s="444"/>
    </row>
    <row r="108" spans="7:22">
      <c r="G108" s="363"/>
      <c r="N108" s="443"/>
      <c r="O108" s="444"/>
      <c r="P108" s="444"/>
      <c r="Q108" s="444"/>
    </row>
    <row r="109" spans="7:22">
      <c r="G109" s="363"/>
      <c r="N109" s="443"/>
      <c r="O109" s="444"/>
      <c r="P109" s="444"/>
      <c r="Q109" s="444"/>
    </row>
    <row r="110" spans="7:22">
      <c r="G110" s="363"/>
      <c r="N110" s="443"/>
      <c r="O110" s="444"/>
      <c r="P110" s="444"/>
      <c r="Q110" s="444"/>
    </row>
    <row r="111" spans="7:22">
      <c r="G111" s="363"/>
      <c r="N111" s="443"/>
      <c r="O111" s="444"/>
      <c r="P111" s="444"/>
      <c r="Q111" s="444"/>
      <c r="S111" s="363"/>
    </row>
    <row r="112" spans="7:22">
      <c r="G112" s="363"/>
      <c r="N112" s="443"/>
      <c r="O112" s="444"/>
      <c r="P112" s="444"/>
      <c r="Q112" s="444"/>
      <c r="S112" s="363"/>
    </row>
    <row r="113" spans="7:19">
      <c r="G113" s="363"/>
      <c r="N113" s="443"/>
      <c r="O113" s="444"/>
      <c r="P113" s="444"/>
      <c r="Q113" s="444"/>
      <c r="S113" s="363"/>
    </row>
    <row r="114" spans="7:19">
      <c r="G114" s="363"/>
      <c r="N114" s="443"/>
      <c r="O114" s="444"/>
      <c r="P114" s="444"/>
      <c r="Q114" s="444"/>
      <c r="S114" s="363"/>
    </row>
    <row r="115" spans="7:19">
      <c r="G115" s="363"/>
      <c r="N115" s="443"/>
      <c r="O115" s="444"/>
      <c r="P115" s="444"/>
      <c r="Q115" s="444"/>
      <c r="S115" s="363"/>
    </row>
    <row r="116" spans="7:19">
      <c r="G116" s="363"/>
      <c r="N116" s="443"/>
      <c r="O116" s="444"/>
      <c r="P116" s="444"/>
      <c r="Q116" s="444"/>
      <c r="S116" s="363"/>
    </row>
  </sheetData>
  <sheetProtection sheet="1" objects="1" scenarios="1"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70:G73"/>
    <mergeCell ref="G74:G77"/>
    <mergeCell ref="G78:G81"/>
    <mergeCell ref="G50:G53"/>
    <mergeCell ref="G54:G57"/>
    <mergeCell ref="G58:G61"/>
    <mergeCell ref="G62:G65"/>
    <mergeCell ref="G66:G69"/>
  </mergeCells>
  <phoneticPr fontId="21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1" customWidth="1"/>
    <col min="2" max="2" width="9.2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2279</v>
      </c>
      <c r="C1" s="3408" t="s">
        <v>2280</v>
      </c>
      <c r="D1" s="3409"/>
      <c r="E1" s="3409"/>
      <c r="F1" s="3409"/>
      <c r="G1" s="3409"/>
      <c r="H1" s="3409"/>
      <c r="I1" s="3409"/>
      <c r="J1" s="3409"/>
      <c r="K1" s="3409"/>
      <c r="L1" s="3409"/>
      <c r="M1" s="3409"/>
      <c r="N1" s="3409"/>
      <c r="O1" s="3409"/>
      <c r="P1" s="3409"/>
      <c r="Q1" s="3409"/>
      <c r="R1" s="3409"/>
      <c r="S1" s="3410"/>
      <c r="T1" s="236" t="s">
        <v>1621</v>
      </c>
    </row>
    <row r="2" spans="1:45" s="226" customFormat="1">
      <c r="A2" s="237"/>
      <c r="B2" s="238" t="s">
        <v>362</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R2" si="1">M3&amp;"(含)"&amp;"-"&amp;N3</f>
        <v>(含)-</v>
      </c>
      <c r="N2" s="240" t="str">
        <f t="shared" si="1"/>
        <v>(含)-</v>
      </c>
      <c r="O2" s="240" t="str">
        <f t="shared" si="1"/>
        <v>(含)-</v>
      </c>
      <c r="P2" s="240" t="str">
        <f t="shared" si="1"/>
        <v>(含)-</v>
      </c>
      <c r="Q2" s="240" t="str">
        <f t="shared" si="1"/>
        <v>(含)-</v>
      </c>
      <c r="R2" s="240" t="str">
        <f t="shared" si="1"/>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pans="1:45" s="227" customFormat="1">
      <c r="A3" s="241"/>
      <c r="B3" s="242"/>
      <c r="C3" s="243"/>
      <c r="D3" s="244"/>
      <c r="E3" s="244"/>
      <c r="F3" s="245"/>
      <c r="G3" s="245"/>
      <c r="H3" s="245"/>
      <c r="I3" s="245"/>
      <c r="J3" s="245"/>
      <c r="K3" s="245"/>
      <c r="L3" s="298"/>
      <c r="M3" s="299"/>
      <c r="N3" s="299"/>
      <c r="O3" s="245"/>
      <c r="P3" s="245"/>
      <c r="Q3" s="245"/>
      <c r="R3" s="245"/>
      <c r="S3" s="323"/>
      <c r="T3" s="324"/>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row>
    <row r="4" spans="1:45" s="227" customFormat="1">
      <c r="A4" s="246"/>
      <c r="B4" s="247"/>
      <c r="C4" s="248"/>
      <c r="D4" s="249"/>
      <c r="E4" s="249"/>
      <c r="F4" s="250"/>
      <c r="G4" s="250"/>
      <c r="H4" s="250"/>
      <c r="I4" s="250"/>
      <c r="J4" s="250"/>
      <c r="K4" s="250"/>
      <c r="L4" s="250"/>
      <c r="M4" s="300"/>
      <c r="N4" s="300"/>
      <c r="O4" s="250"/>
      <c r="P4" s="250"/>
      <c r="Q4" s="250"/>
      <c r="R4" s="250"/>
      <c r="S4" s="326"/>
      <c r="T4" s="327"/>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row>
    <row r="5" spans="1:45" s="228" customFormat="1">
      <c r="A5" s="251"/>
      <c r="B5" s="252" t="s">
        <v>2281</v>
      </c>
      <c r="C5" s="253"/>
      <c r="D5" s="254"/>
      <c r="E5" s="254"/>
      <c r="F5" s="255"/>
      <c r="G5" s="255"/>
      <c r="H5" s="255"/>
      <c r="I5" s="255"/>
      <c r="J5" s="255"/>
      <c r="K5" s="255"/>
      <c r="L5" s="301"/>
      <c r="M5" s="302"/>
      <c r="N5" s="302"/>
      <c r="O5" s="255"/>
      <c r="P5" s="255"/>
      <c r="Q5" s="255"/>
      <c r="R5" s="255"/>
      <c r="S5" s="328"/>
      <c r="T5" s="329"/>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row>
    <row r="6" spans="1:45" s="228" customFormat="1">
      <c r="A6" s="251"/>
      <c r="B6" s="256"/>
      <c r="C6" s="257">
        <v>100</v>
      </c>
      <c r="D6" s="258">
        <f>C6-$T5</f>
        <v>100</v>
      </c>
      <c r="E6" s="258">
        <f t="shared" ref="E6:S6" si="2">D6-$T5</f>
        <v>100</v>
      </c>
      <c r="F6" s="259">
        <f t="shared" si="2"/>
        <v>100</v>
      </c>
      <c r="G6" s="259">
        <f t="shared" si="2"/>
        <v>100</v>
      </c>
      <c r="H6" s="259">
        <f t="shared" si="2"/>
        <v>100</v>
      </c>
      <c r="I6" s="259">
        <f t="shared" si="2"/>
        <v>100</v>
      </c>
      <c r="J6" s="259">
        <f t="shared" si="2"/>
        <v>100</v>
      </c>
      <c r="K6" s="259">
        <f t="shared" si="2"/>
        <v>100</v>
      </c>
      <c r="L6" s="259">
        <f t="shared" si="2"/>
        <v>100</v>
      </c>
      <c r="M6" s="259">
        <f t="shared" si="2"/>
        <v>100</v>
      </c>
      <c r="N6" s="259">
        <f t="shared" si="2"/>
        <v>100</v>
      </c>
      <c r="O6" s="259">
        <f t="shared" si="2"/>
        <v>100</v>
      </c>
      <c r="P6" s="259">
        <f t="shared" si="2"/>
        <v>100</v>
      </c>
      <c r="Q6" s="259">
        <f t="shared" si="2"/>
        <v>100</v>
      </c>
      <c r="R6" s="259">
        <f t="shared" si="2"/>
        <v>100</v>
      </c>
      <c r="S6" s="259">
        <f t="shared" si="2"/>
        <v>100</v>
      </c>
      <c r="T6" s="331"/>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row>
    <row r="7" spans="1:45" s="228" customFormat="1">
      <c r="A7" s="251"/>
      <c r="B7" s="260" t="s">
        <v>2282</v>
      </c>
      <c r="C7" s="261"/>
      <c r="D7" s="262"/>
      <c r="E7" s="262"/>
      <c r="F7" s="263"/>
      <c r="G7" s="263"/>
      <c r="H7" s="263"/>
      <c r="I7" s="263"/>
      <c r="J7" s="263"/>
      <c r="K7" s="263"/>
      <c r="L7" s="263"/>
      <c r="M7" s="303"/>
      <c r="N7" s="304"/>
      <c r="O7" s="305"/>
      <c r="P7" s="306"/>
      <c r="Q7" s="332"/>
      <c r="R7" s="333"/>
      <c r="S7" s="334"/>
      <c r="T7" s="335"/>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row>
    <row r="8" spans="1:45" s="228" customFormat="1">
      <c r="A8" s="251"/>
      <c r="B8" s="256"/>
      <c r="C8" s="257">
        <v>100</v>
      </c>
      <c r="D8" s="258">
        <f>C8-$T7</f>
        <v>100</v>
      </c>
      <c r="E8" s="258">
        <f t="shared" ref="E8:S8" si="3">D8-$T7</f>
        <v>100</v>
      </c>
      <c r="F8" s="259">
        <f t="shared" si="3"/>
        <v>100</v>
      </c>
      <c r="G8" s="259">
        <f t="shared" si="3"/>
        <v>100</v>
      </c>
      <c r="H8" s="259">
        <f t="shared" si="3"/>
        <v>100</v>
      </c>
      <c r="I8" s="259">
        <f t="shared" si="3"/>
        <v>100</v>
      </c>
      <c r="J8" s="259">
        <f t="shared" si="3"/>
        <v>100</v>
      </c>
      <c r="K8" s="259">
        <f t="shared" si="3"/>
        <v>100</v>
      </c>
      <c r="L8" s="259">
        <f t="shared" si="3"/>
        <v>100</v>
      </c>
      <c r="M8" s="259">
        <f t="shared" si="3"/>
        <v>100</v>
      </c>
      <c r="N8" s="259">
        <f t="shared" si="3"/>
        <v>100</v>
      </c>
      <c r="O8" s="259">
        <f t="shared" si="3"/>
        <v>100</v>
      </c>
      <c r="P8" s="259">
        <f t="shared" si="3"/>
        <v>100</v>
      </c>
      <c r="Q8" s="259">
        <f t="shared" si="3"/>
        <v>100</v>
      </c>
      <c r="R8" s="259">
        <f t="shared" si="3"/>
        <v>100</v>
      </c>
      <c r="S8" s="259">
        <f t="shared" si="3"/>
        <v>100</v>
      </c>
      <c r="T8" s="331"/>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row>
    <row r="9" spans="1:45" s="228" customFormat="1">
      <c r="A9" s="251"/>
      <c r="B9" s="260" t="s">
        <v>2283</v>
      </c>
      <c r="C9" s="261"/>
      <c r="D9" s="262"/>
      <c r="E9" s="262"/>
      <c r="F9" s="263"/>
      <c r="G9" s="263"/>
      <c r="H9" s="263"/>
      <c r="I9" s="263"/>
      <c r="J9" s="263"/>
      <c r="K9" s="263"/>
      <c r="L9" s="307"/>
      <c r="M9" s="303"/>
      <c r="N9" s="304"/>
      <c r="O9" s="305"/>
      <c r="P9" s="306"/>
      <c r="Q9" s="332"/>
      <c r="R9" s="333"/>
      <c r="S9" s="334"/>
      <c r="T9" s="335"/>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row>
    <row r="10" spans="1:45" s="228" customFormat="1">
      <c r="A10" s="251"/>
      <c r="B10" s="247"/>
      <c r="C10" s="264">
        <v>100</v>
      </c>
      <c r="D10" s="265">
        <f>C10-$T9</f>
        <v>100</v>
      </c>
      <c r="E10" s="265">
        <f t="shared" ref="E10:S10" si="4">D10-$T9</f>
        <v>100</v>
      </c>
      <c r="F10" s="266">
        <f t="shared" si="4"/>
        <v>100</v>
      </c>
      <c r="G10" s="266">
        <f t="shared" si="4"/>
        <v>100</v>
      </c>
      <c r="H10" s="266">
        <f t="shared" si="4"/>
        <v>100</v>
      </c>
      <c r="I10" s="266">
        <f t="shared" si="4"/>
        <v>100</v>
      </c>
      <c r="J10" s="266">
        <f t="shared" si="4"/>
        <v>100</v>
      </c>
      <c r="K10" s="266">
        <f t="shared" si="4"/>
        <v>100</v>
      </c>
      <c r="L10" s="266">
        <f t="shared" si="4"/>
        <v>100</v>
      </c>
      <c r="M10" s="266">
        <f t="shared" si="4"/>
        <v>100</v>
      </c>
      <c r="N10" s="266">
        <f t="shared" si="4"/>
        <v>100</v>
      </c>
      <c r="O10" s="266">
        <f t="shared" si="4"/>
        <v>100</v>
      </c>
      <c r="P10" s="266">
        <f t="shared" si="4"/>
        <v>100</v>
      </c>
      <c r="Q10" s="266">
        <f t="shared" si="4"/>
        <v>100</v>
      </c>
      <c r="R10" s="266">
        <f t="shared" si="4"/>
        <v>100</v>
      </c>
      <c r="S10" s="266">
        <f t="shared" si="4"/>
        <v>100</v>
      </c>
      <c r="T10" s="327"/>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row>
    <row r="11" spans="1:45" s="228" customFormat="1">
      <c r="A11" s="251"/>
      <c r="B11" s="252" t="s">
        <v>2284</v>
      </c>
      <c r="C11" s="253"/>
      <c r="D11" s="254"/>
      <c r="E11" s="254"/>
      <c r="F11" s="254"/>
      <c r="G11" s="254"/>
      <c r="H11" s="254"/>
      <c r="I11" s="254"/>
      <c r="J11" s="254"/>
      <c r="K11" s="254"/>
      <c r="L11" s="254"/>
      <c r="M11" s="308"/>
      <c r="N11" s="309"/>
      <c r="O11" s="310"/>
      <c r="P11" s="311"/>
      <c r="Q11" s="336"/>
      <c r="R11" s="337"/>
      <c r="S11" s="338"/>
      <c r="T11" s="329"/>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row>
    <row r="12" spans="1:45" s="228" customFormat="1">
      <c r="A12" s="251"/>
      <c r="B12" s="256"/>
      <c r="C12" s="257">
        <v>100</v>
      </c>
      <c r="D12" s="258">
        <f>C12-$T11</f>
        <v>100</v>
      </c>
      <c r="E12" s="258">
        <f t="shared" ref="E12:S12" si="5">D12-$T11</f>
        <v>100</v>
      </c>
      <c r="F12" s="258">
        <f t="shared" si="5"/>
        <v>100</v>
      </c>
      <c r="G12" s="258">
        <f t="shared" si="5"/>
        <v>100</v>
      </c>
      <c r="H12" s="258">
        <f t="shared" si="5"/>
        <v>100</v>
      </c>
      <c r="I12" s="258">
        <f t="shared" si="5"/>
        <v>100</v>
      </c>
      <c r="J12" s="258">
        <f t="shared" si="5"/>
        <v>100</v>
      </c>
      <c r="K12" s="258">
        <f t="shared" si="5"/>
        <v>100</v>
      </c>
      <c r="L12" s="258">
        <f t="shared" si="5"/>
        <v>100</v>
      </c>
      <c r="M12" s="258">
        <f t="shared" si="5"/>
        <v>100</v>
      </c>
      <c r="N12" s="258">
        <f t="shared" si="5"/>
        <v>100</v>
      </c>
      <c r="O12" s="258">
        <f t="shared" si="5"/>
        <v>100</v>
      </c>
      <c r="P12" s="258">
        <f t="shared" si="5"/>
        <v>100</v>
      </c>
      <c r="Q12" s="258">
        <f t="shared" si="5"/>
        <v>100</v>
      </c>
      <c r="R12" s="258">
        <f t="shared" si="5"/>
        <v>100</v>
      </c>
      <c r="S12" s="258">
        <f t="shared" si="5"/>
        <v>100</v>
      </c>
      <c r="T12" s="331"/>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row>
    <row r="13" spans="1:45" s="228" customFormat="1">
      <c r="A13" s="251"/>
      <c r="B13" s="252" t="s">
        <v>2285</v>
      </c>
      <c r="C13" s="253"/>
      <c r="D13" s="254"/>
      <c r="E13" s="254"/>
      <c r="F13" s="254"/>
      <c r="G13" s="254"/>
      <c r="H13" s="254"/>
      <c r="I13" s="254"/>
      <c r="J13" s="254"/>
      <c r="K13" s="254"/>
      <c r="L13" s="254"/>
      <c r="M13" s="308"/>
      <c r="N13" s="309"/>
      <c r="O13" s="310"/>
      <c r="P13" s="311"/>
      <c r="Q13" s="336"/>
      <c r="R13" s="337"/>
      <c r="S13" s="338"/>
      <c r="T13" s="339"/>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row>
    <row r="14" spans="1:45" s="228" customFormat="1">
      <c r="A14" s="251"/>
      <c r="B14" s="256"/>
      <c r="C14" s="267"/>
      <c r="D14" s="268"/>
      <c r="E14" s="268"/>
      <c r="F14" s="268"/>
      <c r="G14" s="268"/>
      <c r="H14" s="268"/>
      <c r="I14" s="268"/>
      <c r="J14" s="268"/>
      <c r="K14" s="268"/>
      <c r="L14" s="268"/>
      <c r="M14" s="312"/>
      <c r="N14" s="312"/>
      <c r="O14" s="268"/>
      <c r="P14" s="268"/>
      <c r="Q14" s="268"/>
      <c r="R14" s="268"/>
      <c r="S14" s="340"/>
      <c r="T14" s="331"/>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row>
    <row r="15" spans="1:45" s="228" customFormat="1">
      <c r="A15" s="251"/>
      <c r="B15" s="252" t="s">
        <v>2286</v>
      </c>
      <c r="C15" s="253"/>
      <c r="D15" s="254"/>
      <c r="E15" s="254"/>
      <c r="F15" s="254"/>
      <c r="G15" s="254"/>
      <c r="H15" s="254"/>
      <c r="I15" s="254"/>
      <c r="J15" s="254"/>
      <c r="K15" s="254"/>
      <c r="L15" s="254"/>
      <c r="M15" s="308"/>
      <c r="N15" s="309"/>
      <c r="O15" s="310"/>
      <c r="P15" s="311"/>
      <c r="Q15" s="336"/>
      <c r="R15" s="337"/>
      <c r="S15" s="338"/>
      <c r="T15" s="339"/>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row>
    <row r="16" spans="1:45" s="228" customFormat="1">
      <c r="A16" s="251"/>
      <c r="B16" s="247"/>
      <c r="C16" s="248"/>
      <c r="D16" s="249"/>
      <c r="E16" s="249"/>
      <c r="F16" s="249"/>
      <c r="G16" s="249"/>
      <c r="H16" s="249"/>
      <c r="I16" s="249"/>
      <c r="J16" s="249"/>
      <c r="K16" s="249"/>
      <c r="L16" s="249"/>
      <c r="M16" s="313"/>
      <c r="N16" s="313"/>
      <c r="O16" s="249"/>
      <c r="P16" s="249"/>
      <c r="Q16" s="249"/>
      <c r="R16" s="249"/>
      <c r="S16" s="341"/>
      <c r="T16" s="327"/>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row>
    <row r="17" spans="1:45" s="226" customFormat="1">
      <c r="A17" s="269" t="s">
        <v>2287</v>
      </c>
      <c r="B17" s="270" t="s">
        <v>2288</v>
      </c>
      <c r="C17" s="271"/>
      <c r="D17" s="272"/>
      <c r="E17" s="272"/>
      <c r="F17" s="272"/>
      <c r="G17" s="272"/>
      <c r="H17" s="272"/>
      <c r="I17" s="272"/>
      <c r="J17" s="272"/>
      <c r="K17" s="272"/>
      <c r="L17" s="314"/>
      <c r="M17" s="315"/>
      <c r="N17" s="316"/>
      <c r="O17" s="317"/>
      <c r="P17" s="318"/>
      <c r="Q17" s="342"/>
      <c r="R17" s="343"/>
      <c r="S17" s="344"/>
      <c r="T17" s="344"/>
      <c r="U17" s="344"/>
      <c r="V17" s="344"/>
      <c r="W17" s="344"/>
      <c r="X17" s="344"/>
      <c r="Y17" s="344"/>
      <c r="Z17" s="344"/>
      <c r="AA17" s="344"/>
      <c r="AB17" s="344"/>
      <c r="AC17" s="344"/>
      <c r="AD17" s="344"/>
      <c r="AE17" s="344"/>
      <c r="AF17" s="344"/>
      <c r="AG17" s="344"/>
      <c r="AH17" s="344"/>
      <c r="AI17" s="344"/>
      <c r="AJ17" s="344"/>
      <c r="AK17" s="344"/>
      <c r="AL17" s="344"/>
      <c r="AM17" s="344"/>
      <c r="AN17" s="344"/>
      <c r="AO17" s="344"/>
      <c r="AP17" s="344"/>
      <c r="AQ17" s="344"/>
      <c r="AR17" s="322"/>
      <c r="AS17" s="322"/>
    </row>
    <row r="18" spans="1:45" s="226" customFormat="1">
      <c r="A18" s="273"/>
      <c r="B18" s="274"/>
      <c r="C18" s="275"/>
      <c r="D18" s="276"/>
      <c r="E18" s="276"/>
      <c r="F18" s="276"/>
      <c r="G18" s="276"/>
      <c r="H18" s="276"/>
      <c r="I18" s="276"/>
      <c r="J18" s="276"/>
      <c r="K18" s="276"/>
      <c r="L18" s="276"/>
      <c r="M18" s="319"/>
      <c r="N18" s="319"/>
      <c r="O18" s="276"/>
      <c r="P18" s="276"/>
      <c r="Q18" s="276"/>
      <c r="R18" s="276"/>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22"/>
      <c r="AS18" s="322"/>
    </row>
    <row r="19" spans="1:45">
      <c r="A19" s="277"/>
      <c r="B19" s="278"/>
      <c r="C19" s="278"/>
      <c r="D19" s="279" t="s">
        <v>2289</v>
      </c>
      <c r="E19" s="280"/>
      <c r="F19" s="280"/>
      <c r="G19" s="280"/>
      <c r="H19" s="281"/>
      <c r="I19" s="278"/>
      <c r="J19" s="278"/>
      <c r="K19" s="278"/>
      <c r="L19" s="278"/>
      <c r="M19" s="278"/>
      <c r="N19" s="278"/>
      <c r="O19" s="278"/>
      <c r="P19" s="278"/>
      <c r="Q19" s="278"/>
      <c r="R19" s="346"/>
      <c r="S19" s="277"/>
    </row>
    <row r="20" spans="1:45" ht="15.75">
      <c r="A20" s="282" t="s">
        <v>2290</v>
      </c>
      <c r="B20" s="283" t="e">
        <f ca="1">IF(D20="——",S22,S22-F20)</f>
        <v>#REF!</v>
      </c>
      <c r="C20" s="278"/>
      <c r="D20" s="284"/>
      <c r="E20" s="285"/>
      <c r="F20" s="236" t="e">
        <f ca="1">SUMIF(INDIRECT("'"&amp;H20&amp;"'"&amp;"!A:A"),"承租人权益价值",INDIRECT("'"&amp;H20&amp;"'"&amp;"!c:c"))</f>
        <v>#REF!</v>
      </c>
      <c r="G20" s="236" t="s">
        <v>744</v>
      </c>
      <c r="H20" s="286"/>
      <c r="I20" s="278"/>
      <c r="J20" s="278"/>
      <c r="K20" s="278"/>
      <c r="L20" s="278"/>
      <c r="M20" s="278"/>
      <c r="N20" s="278"/>
      <c r="O20" s="278"/>
      <c r="P20" s="278"/>
      <c r="Q20" s="278"/>
      <c r="R20" s="346"/>
      <c r="S20" s="277"/>
    </row>
    <row r="21" spans="1:45" ht="15.75">
      <c r="A21" s="282" t="s">
        <v>2291</v>
      </c>
      <c r="B21" s="283" t="e">
        <f ca="1">ROUND(B20*10000/B22,0)</f>
        <v>#REF!</v>
      </c>
      <c r="C21" s="278"/>
      <c r="D21" s="278"/>
      <c r="E21" s="278"/>
      <c r="F21" s="278"/>
      <c r="G21" s="278"/>
      <c r="H21" s="278"/>
      <c r="I21" s="278"/>
      <c r="J21" s="278"/>
      <c r="K21" s="278"/>
      <c r="L21" s="278"/>
      <c r="M21" s="278"/>
      <c r="N21" s="278"/>
      <c r="O21" s="278"/>
      <c r="P21" s="278"/>
      <c r="Q21" s="278"/>
      <c r="R21" s="346"/>
      <c r="S21" s="277"/>
    </row>
    <row r="22" spans="1:45">
      <c r="A22" s="287" t="s">
        <v>2292</v>
      </c>
      <c r="B22" s="288">
        <f>SUM(B24:B10000)</f>
        <v>100</v>
      </c>
      <c r="C22" s="3411" t="s">
        <v>124</v>
      </c>
      <c r="D22" s="3412"/>
      <c r="E22" s="3412"/>
      <c r="F22" s="3412"/>
      <c r="G22" s="3412"/>
      <c r="H22" s="3412"/>
      <c r="I22" s="3412"/>
      <c r="J22" s="3412"/>
      <c r="K22" s="3412"/>
      <c r="L22" s="3412"/>
      <c r="M22" s="3412"/>
      <c r="N22" s="3412"/>
      <c r="O22" s="3412"/>
      <c r="P22" s="3412"/>
      <c r="Q22" s="3413"/>
      <c r="R22" s="348">
        <f>ROUND(S22*10000/B22,0)</f>
        <v>10000</v>
      </c>
      <c r="S22" s="288">
        <f>SUM(S24:S10000)</f>
        <v>100</v>
      </c>
    </row>
    <row r="23" spans="1:45" s="229" customFormat="1" ht="24">
      <c r="A23" s="291" t="s">
        <v>2293</v>
      </c>
      <c r="B23" s="291" t="s">
        <v>362</v>
      </c>
      <c r="C23" s="291" t="s">
        <v>1621</v>
      </c>
      <c r="D23" s="291" t="str">
        <f>B5</f>
        <v>修正项2</v>
      </c>
      <c r="E23" s="291" t="s">
        <v>1621</v>
      </c>
      <c r="F23" s="291" t="str">
        <f>B7</f>
        <v>修正项3</v>
      </c>
      <c r="G23" s="291" t="s">
        <v>1621</v>
      </c>
      <c r="H23" s="291" t="str">
        <f>B9</f>
        <v>修正项4</v>
      </c>
      <c r="I23" s="291" t="s">
        <v>1621</v>
      </c>
      <c r="J23" s="291" t="str">
        <f>B11</f>
        <v>修正项5</v>
      </c>
      <c r="K23" s="291" t="s">
        <v>1621</v>
      </c>
      <c r="L23" s="291" t="str">
        <f>B13</f>
        <v>修正项6</v>
      </c>
      <c r="M23" s="291" t="s">
        <v>1621</v>
      </c>
      <c r="N23" s="291" t="str">
        <f>B15</f>
        <v>修正项7</v>
      </c>
      <c r="O23" s="291" t="s">
        <v>1621</v>
      </c>
      <c r="P23" s="291" t="str">
        <f>B17</f>
        <v>楼层</v>
      </c>
      <c r="Q23" s="291" t="s">
        <v>1621</v>
      </c>
      <c r="R23" s="349" t="s">
        <v>2294</v>
      </c>
      <c r="S23" s="291" t="s">
        <v>2295</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pans="1:45" s="230" customFormat="1">
      <c r="A24" s="292" t="s">
        <v>2296</v>
      </c>
      <c r="B24" s="292">
        <v>100</v>
      </c>
      <c r="C24" s="293">
        <v>1</v>
      </c>
      <c r="D24" s="294"/>
      <c r="E24" s="293">
        <v>1</v>
      </c>
      <c r="F24" s="294"/>
      <c r="G24" s="293">
        <v>1</v>
      </c>
      <c r="H24" s="294"/>
      <c r="I24" s="293">
        <v>1</v>
      </c>
      <c r="J24" s="294"/>
      <c r="K24" s="293">
        <v>1</v>
      </c>
      <c r="L24" s="294"/>
      <c r="M24" s="293">
        <v>1</v>
      </c>
      <c r="N24" s="294"/>
      <c r="O24" s="293">
        <v>1</v>
      </c>
      <c r="P24" s="294"/>
      <c r="Q24" s="293">
        <v>1</v>
      </c>
      <c r="R24" s="351">
        <v>10000</v>
      </c>
      <c r="S24" s="352">
        <f t="shared" ref="S24:S54" si="6">ROUND(R24*B24/10000,0)</f>
        <v>100</v>
      </c>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row>
    <row r="25" spans="1:45">
      <c r="A25" s="295"/>
      <c r="B25" s="296"/>
      <c r="C25" s="288">
        <f>IF(B25="",1,(LOOKUP(B25,$3:$3,$4:$4)-LOOKUP($B$24,$3:$3,$4:$4)+100)/100)</f>
        <v>1</v>
      </c>
      <c r="D25" s="297"/>
      <c r="E25" s="288">
        <f>(SUMIF($5:$5,D25,$6:$6)-SUMIF($5:$5,$D$24,$6:$6)+100)/100</f>
        <v>1</v>
      </c>
      <c r="F25" s="297"/>
      <c r="G25" s="288">
        <f>(SUMIF($7:$7,F25,$8:$8)-SUMIF($7:$7,$F$24,$8:$8)+100)/100</f>
        <v>1</v>
      </c>
      <c r="H25" s="297"/>
      <c r="I25" s="288">
        <f>(SUMIF($9:$9,H25,$10:$10)-SUMIF($9:$9,$H$24,$10:$10)+100)/100</f>
        <v>1</v>
      </c>
      <c r="J25" s="297"/>
      <c r="K25" s="288">
        <f>(SUMIF($11:$11,J25,$12:$12)-SUMIF($11:$11,$J$24,$12:$12)+100)/100</f>
        <v>1</v>
      </c>
      <c r="L25" s="297"/>
      <c r="M25" s="288">
        <f>(SUMIF($13:$13,L25,$14:$14)-SUMIF($13:$13,$L$24,$14:$14)+100)/100</f>
        <v>1</v>
      </c>
      <c r="N25" s="297"/>
      <c r="O25" s="288">
        <f>(SUMIF($15:$15,N25,$16:$16)-SUMIF($15:$15,$N$24,$16:$16)+100)/100</f>
        <v>1</v>
      </c>
      <c r="P25" s="297"/>
      <c r="Q25" s="288">
        <f>(SUMIF($17:$17,P25,$18:$18)-SUMIF($17:$17,$P$24,$18:$18)+100)/100</f>
        <v>1</v>
      </c>
      <c r="R25" s="348">
        <f>IF(B25="",0,ROUND($R$24*C25*E25*G25*I25*K25*M25*O25*Q25,0))</f>
        <v>0</v>
      </c>
      <c r="S25" s="287">
        <f t="shared" si="6"/>
        <v>0</v>
      </c>
    </row>
    <row r="26" spans="1:45">
      <c r="A26" s="295"/>
      <c r="B26" s="296"/>
      <c r="C26" s="288">
        <f t="shared" ref="C26:C89" si="7">IF(B26="",1,(LOOKUP(B26,$3:$3,$4:$4)-LOOKUP($B$24,$3:$3,$4:$4)+100)/100)</f>
        <v>1</v>
      </c>
      <c r="D26" s="297"/>
      <c r="E26" s="288">
        <f t="shared" ref="E26:E89" si="8">(SUMIF($5:$5,D26,$6:$6)-SUMIF($5:$5,$D$24,$6:$6)+100)/100</f>
        <v>1</v>
      </c>
      <c r="F26" s="297"/>
      <c r="G26" s="288">
        <f t="shared" ref="G26:G89" si="9">(SUMIF($7:$7,F26,$8:$8)-SUMIF($7:$7,$F$24,$8:$8)+100)/100</f>
        <v>1</v>
      </c>
      <c r="H26" s="297"/>
      <c r="I26" s="288">
        <f t="shared" ref="I26:I89" si="10">(SUMIF($9:$9,H26,$10:$10)-SUMIF($9:$9,$H$24,$10:$10)+100)/100</f>
        <v>1</v>
      </c>
      <c r="J26" s="297"/>
      <c r="K26" s="288">
        <f t="shared" ref="K26:K89" si="11">(SUMIF($11:$11,J26,$12:$12)-SUMIF($11:$11,$J$24,$12:$12)+100)/100</f>
        <v>1</v>
      </c>
      <c r="L26" s="297"/>
      <c r="M26" s="288">
        <f t="shared" ref="M26:M89" si="12">(SUMIF($13:$13,L26,$14:$14)-SUMIF($13:$13,$L$24,$14:$14)+100)/100</f>
        <v>1</v>
      </c>
      <c r="N26" s="297"/>
      <c r="O26" s="288">
        <f t="shared" ref="O26:O89" si="13">(SUMIF($15:$15,N26,$16:$16)-SUMIF($15:$15,$N$24,$16:$16)+100)/100</f>
        <v>1</v>
      </c>
      <c r="P26" s="297"/>
      <c r="Q26" s="288">
        <f t="shared" ref="Q26:Q89" si="14">(SUMIF($17:$17,P26,$18:$18)-SUMIF($17:$17,$P$24,$18:$18)+100)/100</f>
        <v>1</v>
      </c>
      <c r="R26" s="348">
        <f t="shared" ref="R26:R89" si="15">IF(B26="",0,ROUND($R$24*C26*E26*G26*I26*K26*M26*O26*Q26,0))</f>
        <v>0</v>
      </c>
      <c r="S26" s="287">
        <f t="shared" si="6"/>
        <v>0</v>
      </c>
    </row>
    <row r="27" spans="1:45">
      <c r="A27" s="295"/>
      <c r="B27" s="296"/>
      <c r="C27" s="288">
        <f t="shared" si="7"/>
        <v>1</v>
      </c>
      <c r="D27" s="297"/>
      <c r="E27" s="288">
        <f t="shared" si="8"/>
        <v>1</v>
      </c>
      <c r="F27" s="297"/>
      <c r="G27" s="288">
        <f t="shared" si="9"/>
        <v>1</v>
      </c>
      <c r="H27" s="297"/>
      <c r="I27" s="288">
        <f t="shared" si="10"/>
        <v>1</v>
      </c>
      <c r="J27" s="297"/>
      <c r="K27" s="288">
        <f t="shared" si="11"/>
        <v>1</v>
      </c>
      <c r="L27" s="297"/>
      <c r="M27" s="288">
        <f t="shared" si="12"/>
        <v>1</v>
      </c>
      <c r="N27" s="297"/>
      <c r="O27" s="288">
        <f t="shared" si="13"/>
        <v>1</v>
      </c>
      <c r="P27" s="297"/>
      <c r="Q27" s="288">
        <f t="shared" si="14"/>
        <v>1</v>
      </c>
      <c r="R27" s="348">
        <f t="shared" si="15"/>
        <v>0</v>
      </c>
      <c r="S27" s="287">
        <f t="shared" si="6"/>
        <v>0</v>
      </c>
    </row>
    <row r="28" spans="1:45">
      <c r="A28" s="295"/>
      <c r="B28" s="296"/>
      <c r="C28" s="288">
        <f t="shared" si="7"/>
        <v>1</v>
      </c>
      <c r="D28" s="297"/>
      <c r="E28" s="288">
        <f t="shared" si="8"/>
        <v>1</v>
      </c>
      <c r="F28" s="297"/>
      <c r="G28" s="288">
        <f t="shared" si="9"/>
        <v>1</v>
      </c>
      <c r="H28" s="297"/>
      <c r="I28" s="288">
        <f t="shared" si="10"/>
        <v>1</v>
      </c>
      <c r="J28" s="297"/>
      <c r="K28" s="288">
        <f t="shared" si="11"/>
        <v>1</v>
      </c>
      <c r="L28" s="297"/>
      <c r="M28" s="288">
        <f t="shared" si="12"/>
        <v>1</v>
      </c>
      <c r="N28" s="297"/>
      <c r="O28" s="288">
        <f t="shared" si="13"/>
        <v>1</v>
      </c>
      <c r="P28" s="297"/>
      <c r="Q28" s="288">
        <f t="shared" si="14"/>
        <v>1</v>
      </c>
      <c r="R28" s="348">
        <f t="shared" si="15"/>
        <v>0</v>
      </c>
      <c r="S28" s="287">
        <f t="shared" si="6"/>
        <v>0</v>
      </c>
    </row>
    <row r="29" spans="1:45">
      <c r="A29" s="295"/>
      <c r="B29" s="296"/>
      <c r="C29" s="288">
        <f t="shared" si="7"/>
        <v>1</v>
      </c>
      <c r="D29" s="297"/>
      <c r="E29" s="288">
        <f t="shared" si="8"/>
        <v>1</v>
      </c>
      <c r="F29" s="297"/>
      <c r="G29" s="288">
        <f t="shared" si="9"/>
        <v>1</v>
      </c>
      <c r="H29" s="297"/>
      <c r="I29" s="288">
        <f t="shared" si="10"/>
        <v>1</v>
      </c>
      <c r="J29" s="297"/>
      <c r="K29" s="288">
        <f t="shared" si="11"/>
        <v>1</v>
      </c>
      <c r="L29" s="297"/>
      <c r="M29" s="288">
        <f t="shared" si="12"/>
        <v>1</v>
      </c>
      <c r="N29" s="297"/>
      <c r="O29" s="288">
        <f t="shared" si="13"/>
        <v>1</v>
      </c>
      <c r="P29" s="297"/>
      <c r="Q29" s="288">
        <f t="shared" si="14"/>
        <v>1</v>
      </c>
      <c r="R29" s="348">
        <f t="shared" si="15"/>
        <v>0</v>
      </c>
      <c r="S29" s="287">
        <f t="shared" si="6"/>
        <v>0</v>
      </c>
    </row>
    <row r="30" spans="1:45">
      <c r="A30" s="295"/>
      <c r="B30" s="296"/>
      <c r="C30" s="288">
        <f t="shared" si="7"/>
        <v>1</v>
      </c>
      <c r="D30" s="297"/>
      <c r="E30" s="288">
        <f t="shared" si="8"/>
        <v>1</v>
      </c>
      <c r="F30" s="297"/>
      <c r="G30" s="288">
        <f t="shared" si="9"/>
        <v>1</v>
      </c>
      <c r="H30" s="297"/>
      <c r="I30" s="288">
        <f t="shared" si="10"/>
        <v>1</v>
      </c>
      <c r="J30" s="297"/>
      <c r="K30" s="288">
        <f t="shared" si="11"/>
        <v>1</v>
      </c>
      <c r="L30" s="297"/>
      <c r="M30" s="288">
        <f t="shared" si="12"/>
        <v>1</v>
      </c>
      <c r="N30" s="297"/>
      <c r="O30" s="288">
        <f t="shared" si="13"/>
        <v>1</v>
      </c>
      <c r="P30" s="297"/>
      <c r="Q30" s="288">
        <f t="shared" si="14"/>
        <v>1</v>
      </c>
      <c r="R30" s="348">
        <f t="shared" si="15"/>
        <v>0</v>
      </c>
      <c r="S30" s="287">
        <f t="shared" si="6"/>
        <v>0</v>
      </c>
    </row>
    <row r="31" spans="1:45">
      <c r="A31" s="295"/>
      <c r="B31" s="296"/>
      <c r="C31" s="288">
        <f t="shared" si="7"/>
        <v>1</v>
      </c>
      <c r="D31" s="297"/>
      <c r="E31" s="288">
        <f t="shared" si="8"/>
        <v>1</v>
      </c>
      <c r="F31" s="297"/>
      <c r="G31" s="288">
        <f t="shared" si="9"/>
        <v>1</v>
      </c>
      <c r="H31" s="297"/>
      <c r="I31" s="288">
        <f t="shared" si="10"/>
        <v>1</v>
      </c>
      <c r="J31" s="297"/>
      <c r="K31" s="288">
        <f t="shared" si="11"/>
        <v>1</v>
      </c>
      <c r="L31" s="297"/>
      <c r="M31" s="288">
        <f t="shared" si="12"/>
        <v>1</v>
      </c>
      <c r="N31" s="297"/>
      <c r="O31" s="288">
        <f t="shared" si="13"/>
        <v>1</v>
      </c>
      <c r="P31" s="297"/>
      <c r="Q31" s="288">
        <f t="shared" si="14"/>
        <v>1</v>
      </c>
      <c r="R31" s="348">
        <f t="shared" si="15"/>
        <v>0</v>
      </c>
      <c r="S31" s="287">
        <f t="shared" si="6"/>
        <v>0</v>
      </c>
    </row>
    <row r="32" spans="1:45">
      <c r="A32" s="295"/>
      <c r="B32" s="296"/>
      <c r="C32" s="288">
        <f t="shared" si="7"/>
        <v>1</v>
      </c>
      <c r="D32" s="297"/>
      <c r="E32" s="288">
        <f t="shared" si="8"/>
        <v>1</v>
      </c>
      <c r="F32" s="297"/>
      <c r="G32" s="288">
        <f t="shared" si="9"/>
        <v>1</v>
      </c>
      <c r="H32" s="297"/>
      <c r="I32" s="288">
        <f t="shared" si="10"/>
        <v>1</v>
      </c>
      <c r="J32" s="297"/>
      <c r="K32" s="288">
        <f t="shared" si="11"/>
        <v>1</v>
      </c>
      <c r="L32" s="297"/>
      <c r="M32" s="288">
        <f t="shared" si="12"/>
        <v>1</v>
      </c>
      <c r="N32" s="297"/>
      <c r="O32" s="288">
        <f t="shared" si="13"/>
        <v>1</v>
      </c>
      <c r="P32" s="297"/>
      <c r="Q32" s="288">
        <f t="shared" si="14"/>
        <v>1</v>
      </c>
      <c r="R32" s="348">
        <f t="shared" si="15"/>
        <v>0</v>
      </c>
      <c r="S32" s="287">
        <f t="shared" si="6"/>
        <v>0</v>
      </c>
    </row>
    <row r="33" spans="1:19">
      <c r="A33" s="295"/>
      <c r="B33" s="296"/>
      <c r="C33" s="288">
        <f t="shared" si="7"/>
        <v>1</v>
      </c>
      <c r="D33" s="297"/>
      <c r="E33" s="288">
        <f t="shared" si="8"/>
        <v>1</v>
      </c>
      <c r="F33" s="297"/>
      <c r="G33" s="288">
        <f t="shared" si="9"/>
        <v>1</v>
      </c>
      <c r="H33" s="297"/>
      <c r="I33" s="288">
        <f t="shared" si="10"/>
        <v>1</v>
      </c>
      <c r="J33" s="297"/>
      <c r="K33" s="288">
        <f t="shared" si="11"/>
        <v>1</v>
      </c>
      <c r="L33" s="297"/>
      <c r="M33" s="288">
        <f t="shared" si="12"/>
        <v>1</v>
      </c>
      <c r="N33" s="297"/>
      <c r="O33" s="288">
        <f t="shared" si="13"/>
        <v>1</v>
      </c>
      <c r="P33" s="297"/>
      <c r="Q33" s="288">
        <f t="shared" si="14"/>
        <v>1</v>
      </c>
      <c r="R33" s="348">
        <f t="shared" si="15"/>
        <v>0</v>
      </c>
      <c r="S33" s="287">
        <f t="shared" si="6"/>
        <v>0</v>
      </c>
    </row>
    <row r="34" spans="1:19">
      <c r="A34" s="295"/>
      <c r="B34" s="296"/>
      <c r="C34" s="288">
        <f t="shared" si="7"/>
        <v>1</v>
      </c>
      <c r="D34" s="297"/>
      <c r="E34" s="288">
        <f t="shared" si="8"/>
        <v>1</v>
      </c>
      <c r="F34" s="297"/>
      <c r="G34" s="288">
        <f t="shared" si="9"/>
        <v>1</v>
      </c>
      <c r="H34" s="297"/>
      <c r="I34" s="288">
        <f t="shared" si="10"/>
        <v>1</v>
      </c>
      <c r="J34" s="297"/>
      <c r="K34" s="288">
        <f t="shared" si="11"/>
        <v>1</v>
      </c>
      <c r="L34" s="297"/>
      <c r="M34" s="288">
        <f t="shared" si="12"/>
        <v>1</v>
      </c>
      <c r="N34" s="297"/>
      <c r="O34" s="288">
        <f t="shared" si="13"/>
        <v>1</v>
      </c>
      <c r="P34" s="297"/>
      <c r="Q34" s="288">
        <f t="shared" si="14"/>
        <v>1</v>
      </c>
      <c r="R34" s="348">
        <f t="shared" si="15"/>
        <v>0</v>
      </c>
      <c r="S34" s="287">
        <f t="shared" si="6"/>
        <v>0</v>
      </c>
    </row>
    <row r="35" spans="1:19">
      <c r="A35" s="295"/>
      <c r="B35" s="296"/>
      <c r="C35" s="288">
        <f t="shared" si="7"/>
        <v>1</v>
      </c>
      <c r="D35" s="297"/>
      <c r="E35" s="288">
        <f t="shared" si="8"/>
        <v>1</v>
      </c>
      <c r="F35" s="297"/>
      <c r="G35" s="288">
        <f t="shared" si="9"/>
        <v>1</v>
      </c>
      <c r="H35" s="297"/>
      <c r="I35" s="288">
        <f t="shared" si="10"/>
        <v>1</v>
      </c>
      <c r="J35" s="297"/>
      <c r="K35" s="288">
        <f t="shared" si="11"/>
        <v>1</v>
      </c>
      <c r="L35" s="297"/>
      <c r="M35" s="288">
        <f t="shared" si="12"/>
        <v>1</v>
      </c>
      <c r="N35" s="297"/>
      <c r="O35" s="288">
        <f t="shared" si="13"/>
        <v>1</v>
      </c>
      <c r="P35" s="297"/>
      <c r="Q35" s="288">
        <f t="shared" si="14"/>
        <v>1</v>
      </c>
      <c r="R35" s="348">
        <f t="shared" si="15"/>
        <v>0</v>
      </c>
      <c r="S35" s="287">
        <f t="shared" si="6"/>
        <v>0</v>
      </c>
    </row>
    <row r="36" spans="1:19">
      <c r="A36" s="295"/>
      <c r="B36" s="296"/>
      <c r="C36" s="288">
        <f t="shared" si="7"/>
        <v>1</v>
      </c>
      <c r="D36" s="297"/>
      <c r="E36" s="288">
        <f t="shared" si="8"/>
        <v>1</v>
      </c>
      <c r="F36" s="297"/>
      <c r="G36" s="288">
        <f t="shared" si="9"/>
        <v>1</v>
      </c>
      <c r="H36" s="297"/>
      <c r="I36" s="288">
        <f t="shared" si="10"/>
        <v>1</v>
      </c>
      <c r="J36" s="297"/>
      <c r="K36" s="288">
        <f t="shared" si="11"/>
        <v>1</v>
      </c>
      <c r="L36" s="297"/>
      <c r="M36" s="288">
        <f t="shared" si="12"/>
        <v>1</v>
      </c>
      <c r="N36" s="297"/>
      <c r="O36" s="288">
        <f t="shared" si="13"/>
        <v>1</v>
      </c>
      <c r="P36" s="297"/>
      <c r="Q36" s="288">
        <f t="shared" si="14"/>
        <v>1</v>
      </c>
      <c r="R36" s="348">
        <f t="shared" si="15"/>
        <v>0</v>
      </c>
      <c r="S36" s="287">
        <f t="shared" si="6"/>
        <v>0</v>
      </c>
    </row>
    <row r="37" spans="1:19">
      <c r="A37" s="295"/>
      <c r="B37" s="296"/>
      <c r="C37" s="288">
        <f t="shared" si="7"/>
        <v>1</v>
      </c>
      <c r="D37" s="297"/>
      <c r="E37" s="288">
        <f t="shared" si="8"/>
        <v>1</v>
      </c>
      <c r="F37" s="297"/>
      <c r="G37" s="288">
        <f t="shared" si="9"/>
        <v>1</v>
      </c>
      <c r="H37" s="297"/>
      <c r="I37" s="288">
        <f t="shared" si="10"/>
        <v>1</v>
      </c>
      <c r="J37" s="297"/>
      <c r="K37" s="288">
        <f t="shared" si="11"/>
        <v>1</v>
      </c>
      <c r="L37" s="297"/>
      <c r="M37" s="288">
        <f t="shared" si="12"/>
        <v>1</v>
      </c>
      <c r="N37" s="297"/>
      <c r="O37" s="288">
        <f t="shared" si="13"/>
        <v>1</v>
      </c>
      <c r="P37" s="297"/>
      <c r="Q37" s="288">
        <f t="shared" si="14"/>
        <v>1</v>
      </c>
      <c r="R37" s="348">
        <f t="shared" si="15"/>
        <v>0</v>
      </c>
      <c r="S37" s="287">
        <f t="shared" si="6"/>
        <v>0</v>
      </c>
    </row>
    <row r="38" spans="1:19">
      <c r="A38" s="295"/>
      <c r="B38" s="296"/>
      <c r="C38" s="288">
        <f t="shared" si="7"/>
        <v>1</v>
      </c>
      <c r="D38" s="297"/>
      <c r="E38" s="288">
        <f t="shared" si="8"/>
        <v>1</v>
      </c>
      <c r="F38" s="297"/>
      <c r="G38" s="288">
        <f t="shared" si="9"/>
        <v>1</v>
      </c>
      <c r="H38" s="297"/>
      <c r="I38" s="288">
        <f t="shared" si="10"/>
        <v>1</v>
      </c>
      <c r="J38" s="297"/>
      <c r="K38" s="288">
        <f t="shared" si="11"/>
        <v>1</v>
      </c>
      <c r="L38" s="297"/>
      <c r="M38" s="288">
        <f t="shared" si="12"/>
        <v>1</v>
      </c>
      <c r="N38" s="297"/>
      <c r="O38" s="288">
        <f t="shared" si="13"/>
        <v>1</v>
      </c>
      <c r="P38" s="297"/>
      <c r="Q38" s="288">
        <f t="shared" si="14"/>
        <v>1</v>
      </c>
      <c r="R38" s="348">
        <f t="shared" si="15"/>
        <v>0</v>
      </c>
      <c r="S38" s="287">
        <f t="shared" si="6"/>
        <v>0</v>
      </c>
    </row>
    <row r="39" spans="1:19">
      <c r="A39" s="295"/>
      <c r="B39" s="296"/>
      <c r="C39" s="288">
        <f t="shared" si="7"/>
        <v>1</v>
      </c>
      <c r="D39" s="297"/>
      <c r="E39" s="288">
        <f t="shared" si="8"/>
        <v>1</v>
      </c>
      <c r="F39" s="297"/>
      <c r="G39" s="288">
        <f t="shared" si="9"/>
        <v>1</v>
      </c>
      <c r="H39" s="297"/>
      <c r="I39" s="288">
        <f t="shared" si="10"/>
        <v>1</v>
      </c>
      <c r="J39" s="297"/>
      <c r="K39" s="288">
        <f t="shared" si="11"/>
        <v>1</v>
      </c>
      <c r="L39" s="297"/>
      <c r="M39" s="288">
        <f t="shared" si="12"/>
        <v>1</v>
      </c>
      <c r="N39" s="297"/>
      <c r="O39" s="288">
        <f t="shared" si="13"/>
        <v>1</v>
      </c>
      <c r="P39" s="297"/>
      <c r="Q39" s="288">
        <f t="shared" si="14"/>
        <v>1</v>
      </c>
      <c r="R39" s="348">
        <f t="shared" si="15"/>
        <v>0</v>
      </c>
      <c r="S39" s="287">
        <f t="shared" si="6"/>
        <v>0</v>
      </c>
    </row>
    <row r="40" spans="1:19">
      <c r="A40" s="295"/>
      <c r="B40" s="296"/>
      <c r="C40" s="288">
        <f t="shared" si="7"/>
        <v>1</v>
      </c>
      <c r="D40" s="297"/>
      <c r="E40" s="288">
        <f t="shared" si="8"/>
        <v>1</v>
      </c>
      <c r="F40" s="297"/>
      <c r="G40" s="288">
        <f t="shared" si="9"/>
        <v>1</v>
      </c>
      <c r="H40" s="297"/>
      <c r="I40" s="288">
        <f t="shared" si="10"/>
        <v>1</v>
      </c>
      <c r="J40" s="297"/>
      <c r="K40" s="288">
        <f t="shared" si="11"/>
        <v>1</v>
      </c>
      <c r="L40" s="297"/>
      <c r="M40" s="288">
        <f t="shared" si="12"/>
        <v>1</v>
      </c>
      <c r="N40" s="297"/>
      <c r="O40" s="288">
        <f t="shared" si="13"/>
        <v>1</v>
      </c>
      <c r="P40" s="297"/>
      <c r="Q40" s="288">
        <f t="shared" si="14"/>
        <v>1</v>
      </c>
      <c r="R40" s="348">
        <f t="shared" si="15"/>
        <v>0</v>
      </c>
      <c r="S40" s="287">
        <f t="shared" si="6"/>
        <v>0</v>
      </c>
    </row>
    <row r="41" spans="1:19">
      <c r="A41" s="295"/>
      <c r="B41" s="296"/>
      <c r="C41" s="288">
        <f t="shared" si="7"/>
        <v>1</v>
      </c>
      <c r="D41" s="297"/>
      <c r="E41" s="288">
        <f t="shared" si="8"/>
        <v>1</v>
      </c>
      <c r="F41" s="297"/>
      <c r="G41" s="288">
        <f t="shared" si="9"/>
        <v>1</v>
      </c>
      <c r="H41" s="297"/>
      <c r="I41" s="288">
        <f t="shared" si="10"/>
        <v>1</v>
      </c>
      <c r="J41" s="297"/>
      <c r="K41" s="288">
        <f t="shared" si="11"/>
        <v>1</v>
      </c>
      <c r="L41" s="297"/>
      <c r="M41" s="288">
        <f t="shared" si="12"/>
        <v>1</v>
      </c>
      <c r="N41" s="297"/>
      <c r="O41" s="288">
        <f t="shared" si="13"/>
        <v>1</v>
      </c>
      <c r="P41" s="297"/>
      <c r="Q41" s="288">
        <f t="shared" si="14"/>
        <v>1</v>
      </c>
      <c r="R41" s="348">
        <f t="shared" si="15"/>
        <v>0</v>
      </c>
      <c r="S41" s="287">
        <f t="shared" si="6"/>
        <v>0</v>
      </c>
    </row>
    <row r="42" spans="1:19">
      <c r="A42" s="295"/>
      <c r="B42" s="296"/>
      <c r="C42" s="288">
        <f t="shared" si="7"/>
        <v>1</v>
      </c>
      <c r="D42" s="297"/>
      <c r="E42" s="288">
        <f t="shared" si="8"/>
        <v>1</v>
      </c>
      <c r="F42" s="297"/>
      <c r="G42" s="288">
        <f t="shared" si="9"/>
        <v>1</v>
      </c>
      <c r="H42" s="297"/>
      <c r="I42" s="288">
        <f t="shared" si="10"/>
        <v>1</v>
      </c>
      <c r="J42" s="297"/>
      <c r="K42" s="288">
        <f t="shared" si="11"/>
        <v>1</v>
      </c>
      <c r="L42" s="297"/>
      <c r="M42" s="288">
        <f t="shared" si="12"/>
        <v>1</v>
      </c>
      <c r="N42" s="297"/>
      <c r="O42" s="288">
        <f t="shared" si="13"/>
        <v>1</v>
      </c>
      <c r="P42" s="297"/>
      <c r="Q42" s="288">
        <f t="shared" si="14"/>
        <v>1</v>
      </c>
      <c r="R42" s="348">
        <f t="shared" si="15"/>
        <v>0</v>
      </c>
      <c r="S42" s="287">
        <f t="shared" si="6"/>
        <v>0</v>
      </c>
    </row>
    <row r="43" spans="1:19">
      <c r="A43" s="295"/>
      <c r="B43" s="296"/>
      <c r="C43" s="288">
        <f t="shared" si="7"/>
        <v>1</v>
      </c>
      <c r="D43" s="297"/>
      <c r="E43" s="288">
        <f t="shared" si="8"/>
        <v>1</v>
      </c>
      <c r="F43" s="297"/>
      <c r="G43" s="288">
        <f t="shared" si="9"/>
        <v>1</v>
      </c>
      <c r="H43" s="297"/>
      <c r="I43" s="288">
        <f t="shared" si="10"/>
        <v>1</v>
      </c>
      <c r="J43" s="297"/>
      <c r="K43" s="288">
        <f t="shared" si="11"/>
        <v>1</v>
      </c>
      <c r="L43" s="297"/>
      <c r="M43" s="288">
        <f t="shared" si="12"/>
        <v>1</v>
      </c>
      <c r="N43" s="297"/>
      <c r="O43" s="288">
        <f t="shared" si="13"/>
        <v>1</v>
      </c>
      <c r="P43" s="297"/>
      <c r="Q43" s="288">
        <f t="shared" si="14"/>
        <v>1</v>
      </c>
      <c r="R43" s="348">
        <f t="shared" si="15"/>
        <v>0</v>
      </c>
      <c r="S43" s="287">
        <f t="shared" si="6"/>
        <v>0</v>
      </c>
    </row>
    <row r="44" spans="1:19">
      <c r="A44" s="295"/>
      <c r="B44" s="296"/>
      <c r="C44" s="288">
        <f t="shared" si="7"/>
        <v>1</v>
      </c>
      <c r="D44" s="297"/>
      <c r="E44" s="288">
        <f t="shared" si="8"/>
        <v>1</v>
      </c>
      <c r="F44" s="297"/>
      <c r="G44" s="288">
        <f t="shared" si="9"/>
        <v>1</v>
      </c>
      <c r="H44" s="297"/>
      <c r="I44" s="288">
        <f t="shared" si="10"/>
        <v>1</v>
      </c>
      <c r="J44" s="297"/>
      <c r="K44" s="288">
        <f t="shared" si="11"/>
        <v>1</v>
      </c>
      <c r="L44" s="297"/>
      <c r="M44" s="288">
        <f t="shared" si="12"/>
        <v>1</v>
      </c>
      <c r="N44" s="297"/>
      <c r="O44" s="288">
        <f t="shared" si="13"/>
        <v>1</v>
      </c>
      <c r="P44" s="297"/>
      <c r="Q44" s="288">
        <f t="shared" si="14"/>
        <v>1</v>
      </c>
      <c r="R44" s="348">
        <f t="shared" si="15"/>
        <v>0</v>
      </c>
      <c r="S44" s="287">
        <f t="shared" si="6"/>
        <v>0</v>
      </c>
    </row>
    <row r="45" spans="1:19">
      <c r="A45" s="295"/>
      <c r="B45" s="296"/>
      <c r="C45" s="288">
        <f t="shared" si="7"/>
        <v>1</v>
      </c>
      <c r="D45" s="297"/>
      <c r="E45" s="288">
        <f t="shared" si="8"/>
        <v>1</v>
      </c>
      <c r="F45" s="297"/>
      <c r="G45" s="288">
        <f t="shared" si="9"/>
        <v>1</v>
      </c>
      <c r="H45" s="297"/>
      <c r="I45" s="288">
        <f t="shared" si="10"/>
        <v>1</v>
      </c>
      <c r="J45" s="297"/>
      <c r="K45" s="288">
        <f t="shared" si="11"/>
        <v>1</v>
      </c>
      <c r="L45" s="297"/>
      <c r="M45" s="288">
        <f t="shared" si="12"/>
        <v>1</v>
      </c>
      <c r="N45" s="297"/>
      <c r="O45" s="288">
        <f t="shared" si="13"/>
        <v>1</v>
      </c>
      <c r="P45" s="297"/>
      <c r="Q45" s="288">
        <f t="shared" si="14"/>
        <v>1</v>
      </c>
      <c r="R45" s="348">
        <f t="shared" si="15"/>
        <v>0</v>
      </c>
      <c r="S45" s="287">
        <f t="shared" si="6"/>
        <v>0</v>
      </c>
    </row>
    <row r="46" spans="1:19">
      <c r="A46" s="295"/>
      <c r="B46" s="296"/>
      <c r="C46" s="288">
        <f t="shared" si="7"/>
        <v>1</v>
      </c>
      <c r="D46" s="297"/>
      <c r="E46" s="288">
        <f t="shared" si="8"/>
        <v>1</v>
      </c>
      <c r="F46" s="297"/>
      <c r="G46" s="288">
        <f t="shared" si="9"/>
        <v>1</v>
      </c>
      <c r="H46" s="297"/>
      <c r="I46" s="288">
        <f t="shared" si="10"/>
        <v>1</v>
      </c>
      <c r="J46" s="297"/>
      <c r="K46" s="288">
        <f t="shared" si="11"/>
        <v>1</v>
      </c>
      <c r="L46" s="297"/>
      <c r="M46" s="288">
        <f t="shared" si="12"/>
        <v>1</v>
      </c>
      <c r="N46" s="297"/>
      <c r="O46" s="288">
        <f t="shared" si="13"/>
        <v>1</v>
      </c>
      <c r="P46" s="297"/>
      <c r="Q46" s="288">
        <f t="shared" si="14"/>
        <v>1</v>
      </c>
      <c r="R46" s="348">
        <f t="shared" si="15"/>
        <v>0</v>
      </c>
      <c r="S46" s="287">
        <f t="shared" si="6"/>
        <v>0</v>
      </c>
    </row>
    <row r="47" spans="1:19">
      <c r="A47" s="295"/>
      <c r="B47" s="296"/>
      <c r="C47" s="288">
        <f t="shared" si="7"/>
        <v>1</v>
      </c>
      <c r="D47" s="297"/>
      <c r="E47" s="288">
        <f t="shared" si="8"/>
        <v>1</v>
      </c>
      <c r="F47" s="297"/>
      <c r="G47" s="288">
        <f t="shared" si="9"/>
        <v>1</v>
      </c>
      <c r="H47" s="297"/>
      <c r="I47" s="288">
        <f t="shared" si="10"/>
        <v>1</v>
      </c>
      <c r="J47" s="297"/>
      <c r="K47" s="288">
        <f t="shared" si="11"/>
        <v>1</v>
      </c>
      <c r="L47" s="297"/>
      <c r="M47" s="288">
        <f t="shared" si="12"/>
        <v>1</v>
      </c>
      <c r="N47" s="297"/>
      <c r="O47" s="288">
        <f t="shared" si="13"/>
        <v>1</v>
      </c>
      <c r="P47" s="297"/>
      <c r="Q47" s="288">
        <f t="shared" si="14"/>
        <v>1</v>
      </c>
      <c r="R47" s="348">
        <f t="shared" si="15"/>
        <v>0</v>
      </c>
      <c r="S47" s="287">
        <f t="shared" si="6"/>
        <v>0</v>
      </c>
    </row>
    <row r="48" spans="1:19">
      <c r="A48" s="295"/>
      <c r="B48" s="296"/>
      <c r="C48" s="288">
        <f t="shared" si="7"/>
        <v>1</v>
      </c>
      <c r="D48" s="297"/>
      <c r="E48" s="288">
        <f t="shared" si="8"/>
        <v>1</v>
      </c>
      <c r="F48" s="297"/>
      <c r="G48" s="288">
        <f t="shared" si="9"/>
        <v>1</v>
      </c>
      <c r="H48" s="297"/>
      <c r="I48" s="288">
        <f t="shared" si="10"/>
        <v>1</v>
      </c>
      <c r="J48" s="297"/>
      <c r="K48" s="288">
        <f t="shared" si="11"/>
        <v>1</v>
      </c>
      <c r="L48" s="297"/>
      <c r="M48" s="288">
        <f t="shared" si="12"/>
        <v>1</v>
      </c>
      <c r="N48" s="297"/>
      <c r="O48" s="288">
        <f t="shared" si="13"/>
        <v>1</v>
      </c>
      <c r="P48" s="297"/>
      <c r="Q48" s="288">
        <f t="shared" si="14"/>
        <v>1</v>
      </c>
      <c r="R48" s="348">
        <f t="shared" si="15"/>
        <v>0</v>
      </c>
      <c r="S48" s="287">
        <f t="shared" si="6"/>
        <v>0</v>
      </c>
    </row>
    <row r="49" spans="1:19">
      <c r="A49" s="295"/>
      <c r="B49" s="296"/>
      <c r="C49" s="288">
        <f t="shared" si="7"/>
        <v>1</v>
      </c>
      <c r="D49" s="297"/>
      <c r="E49" s="288">
        <f t="shared" si="8"/>
        <v>1</v>
      </c>
      <c r="F49" s="297"/>
      <c r="G49" s="288">
        <f t="shared" si="9"/>
        <v>1</v>
      </c>
      <c r="H49" s="297"/>
      <c r="I49" s="288">
        <f t="shared" si="10"/>
        <v>1</v>
      </c>
      <c r="J49" s="297"/>
      <c r="K49" s="288">
        <f t="shared" si="11"/>
        <v>1</v>
      </c>
      <c r="L49" s="297"/>
      <c r="M49" s="288">
        <f t="shared" si="12"/>
        <v>1</v>
      </c>
      <c r="N49" s="297"/>
      <c r="O49" s="288">
        <f t="shared" si="13"/>
        <v>1</v>
      </c>
      <c r="P49" s="297"/>
      <c r="Q49" s="288">
        <f t="shared" si="14"/>
        <v>1</v>
      </c>
      <c r="R49" s="348">
        <f t="shared" si="15"/>
        <v>0</v>
      </c>
      <c r="S49" s="287">
        <f t="shared" si="6"/>
        <v>0</v>
      </c>
    </row>
    <row r="50" spans="1:19">
      <c r="A50" s="295"/>
      <c r="B50" s="296"/>
      <c r="C50" s="288">
        <f t="shared" si="7"/>
        <v>1</v>
      </c>
      <c r="D50" s="297"/>
      <c r="E50" s="288">
        <f t="shared" si="8"/>
        <v>1</v>
      </c>
      <c r="F50" s="297"/>
      <c r="G50" s="288">
        <f t="shared" si="9"/>
        <v>1</v>
      </c>
      <c r="H50" s="297"/>
      <c r="I50" s="288">
        <f t="shared" si="10"/>
        <v>1</v>
      </c>
      <c r="J50" s="297"/>
      <c r="K50" s="288">
        <f t="shared" si="11"/>
        <v>1</v>
      </c>
      <c r="L50" s="297"/>
      <c r="M50" s="288">
        <f t="shared" si="12"/>
        <v>1</v>
      </c>
      <c r="N50" s="297"/>
      <c r="O50" s="288">
        <f t="shared" si="13"/>
        <v>1</v>
      </c>
      <c r="P50" s="297"/>
      <c r="Q50" s="288">
        <f t="shared" si="14"/>
        <v>1</v>
      </c>
      <c r="R50" s="348">
        <f t="shared" si="15"/>
        <v>0</v>
      </c>
      <c r="S50" s="287">
        <f t="shared" si="6"/>
        <v>0</v>
      </c>
    </row>
    <row r="51" spans="1:19">
      <c r="A51" s="295"/>
      <c r="B51" s="296"/>
      <c r="C51" s="288">
        <f t="shared" si="7"/>
        <v>1</v>
      </c>
      <c r="D51" s="297"/>
      <c r="E51" s="288">
        <f t="shared" si="8"/>
        <v>1</v>
      </c>
      <c r="F51" s="297"/>
      <c r="G51" s="288">
        <f t="shared" si="9"/>
        <v>1</v>
      </c>
      <c r="H51" s="297"/>
      <c r="I51" s="288">
        <f t="shared" si="10"/>
        <v>1</v>
      </c>
      <c r="J51" s="297"/>
      <c r="K51" s="288">
        <f t="shared" si="11"/>
        <v>1</v>
      </c>
      <c r="L51" s="297"/>
      <c r="M51" s="288">
        <f t="shared" si="12"/>
        <v>1</v>
      </c>
      <c r="N51" s="297"/>
      <c r="O51" s="288">
        <f t="shared" si="13"/>
        <v>1</v>
      </c>
      <c r="P51" s="297"/>
      <c r="Q51" s="288">
        <f t="shared" si="14"/>
        <v>1</v>
      </c>
      <c r="R51" s="348">
        <f t="shared" si="15"/>
        <v>0</v>
      </c>
      <c r="S51" s="287">
        <f t="shared" si="6"/>
        <v>0</v>
      </c>
    </row>
    <row r="52" spans="1:19">
      <c r="A52" s="295"/>
      <c r="B52" s="296"/>
      <c r="C52" s="288">
        <f t="shared" si="7"/>
        <v>1</v>
      </c>
      <c r="D52" s="297"/>
      <c r="E52" s="288">
        <f t="shared" si="8"/>
        <v>1</v>
      </c>
      <c r="F52" s="297"/>
      <c r="G52" s="288">
        <f t="shared" si="9"/>
        <v>1</v>
      </c>
      <c r="H52" s="297"/>
      <c r="I52" s="288">
        <f t="shared" si="10"/>
        <v>1</v>
      </c>
      <c r="J52" s="297"/>
      <c r="K52" s="288">
        <f t="shared" si="11"/>
        <v>1</v>
      </c>
      <c r="L52" s="297"/>
      <c r="M52" s="288">
        <f t="shared" si="12"/>
        <v>1</v>
      </c>
      <c r="N52" s="297"/>
      <c r="O52" s="288">
        <f t="shared" si="13"/>
        <v>1</v>
      </c>
      <c r="P52" s="297"/>
      <c r="Q52" s="288">
        <f t="shared" si="14"/>
        <v>1</v>
      </c>
      <c r="R52" s="348">
        <f t="shared" si="15"/>
        <v>0</v>
      </c>
      <c r="S52" s="287">
        <f t="shared" si="6"/>
        <v>0</v>
      </c>
    </row>
    <row r="53" spans="1:19">
      <c r="A53" s="295"/>
      <c r="B53" s="296"/>
      <c r="C53" s="288">
        <f t="shared" si="7"/>
        <v>1</v>
      </c>
      <c r="D53" s="297"/>
      <c r="E53" s="288">
        <f t="shared" si="8"/>
        <v>1</v>
      </c>
      <c r="F53" s="297"/>
      <c r="G53" s="288">
        <f t="shared" si="9"/>
        <v>1</v>
      </c>
      <c r="H53" s="297"/>
      <c r="I53" s="288">
        <f t="shared" si="10"/>
        <v>1</v>
      </c>
      <c r="J53" s="297"/>
      <c r="K53" s="288">
        <f t="shared" si="11"/>
        <v>1</v>
      </c>
      <c r="L53" s="297"/>
      <c r="M53" s="288">
        <f t="shared" si="12"/>
        <v>1</v>
      </c>
      <c r="N53" s="297"/>
      <c r="O53" s="288">
        <f t="shared" si="13"/>
        <v>1</v>
      </c>
      <c r="P53" s="297"/>
      <c r="Q53" s="288">
        <f t="shared" si="14"/>
        <v>1</v>
      </c>
      <c r="R53" s="348">
        <f t="shared" si="15"/>
        <v>0</v>
      </c>
      <c r="S53" s="287">
        <f t="shared" si="6"/>
        <v>0</v>
      </c>
    </row>
    <row r="54" spans="1:19">
      <c r="A54" s="295"/>
      <c r="B54" s="296"/>
      <c r="C54" s="288">
        <f t="shared" si="7"/>
        <v>1</v>
      </c>
      <c r="D54" s="297"/>
      <c r="E54" s="288">
        <f t="shared" si="8"/>
        <v>1</v>
      </c>
      <c r="F54" s="297"/>
      <c r="G54" s="288">
        <f t="shared" si="9"/>
        <v>1</v>
      </c>
      <c r="H54" s="297"/>
      <c r="I54" s="288">
        <f t="shared" si="10"/>
        <v>1</v>
      </c>
      <c r="J54" s="297"/>
      <c r="K54" s="288">
        <f t="shared" si="11"/>
        <v>1</v>
      </c>
      <c r="L54" s="297"/>
      <c r="M54" s="288">
        <f t="shared" si="12"/>
        <v>1</v>
      </c>
      <c r="N54" s="297"/>
      <c r="O54" s="288">
        <f t="shared" si="13"/>
        <v>1</v>
      </c>
      <c r="P54" s="297"/>
      <c r="Q54" s="288">
        <f t="shared" si="14"/>
        <v>1</v>
      </c>
      <c r="R54" s="348">
        <f t="shared" si="15"/>
        <v>0</v>
      </c>
      <c r="S54" s="287">
        <f t="shared" si="6"/>
        <v>0</v>
      </c>
    </row>
    <row r="55" spans="1:19">
      <c r="A55" s="295"/>
      <c r="B55" s="296"/>
      <c r="C55" s="288">
        <f t="shared" si="7"/>
        <v>1</v>
      </c>
      <c r="D55" s="297"/>
      <c r="E55" s="288">
        <f t="shared" si="8"/>
        <v>1</v>
      </c>
      <c r="F55" s="297"/>
      <c r="G55" s="288">
        <f t="shared" si="9"/>
        <v>1</v>
      </c>
      <c r="H55" s="297"/>
      <c r="I55" s="288">
        <f t="shared" si="10"/>
        <v>1</v>
      </c>
      <c r="J55" s="297"/>
      <c r="K55" s="288">
        <f t="shared" si="11"/>
        <v>1</v>
      </c>
      <c r="L55" s="297"/>
      <c r="M55" s="288">
        <f t="shared" si="12"/>
        <v>1</v>
      </c>
      <c r="N55" s="297"/>
      <c r="O55" s="288">
        <f t="shared" si="13"/>
        <v>1</v>
      </c>
      <c r="P55" s="297"/>
      <c r="Q55" s="288">
        <f t="shared" si="14"/>
        <v>1</v>
      </c>
      <c r="R55" s="348">
        <f t="shared" si="15"/>
        <v>0</v>
      </c>
      <c r="S55" s="287">
        <f t="shared" ref="S55:S77" si="16">ROUND(R55*B55/10000,0)</f>
        <v>0</v>
      </c>
    </row>
    <row r="56" spans="1:19">
      <c r="A56" s="295"/>
      <c r="B56" s="296"/>
      <c r="C56" s="288">
        <f t="shared" si="7"/>
        <v>1</v>
      </c>
      <c r="D56" s="297"/>
      <c r="E56" s="288">
        <f t="shared" si="8"/>
        <v>1</v>
      </c>
      <c r="F56" s="297"/>
      <c r="G56" s="288">
        <f t="shared" si="9"/>
        <v>1</v>
      </c>
      <c r="H56" s="297"/>
      <c r="I56" s="288">
        <f t="shared" si="10"/>
        <v>1</v>
      </c>
      <c r="J56" s="297"/>
      <c r="K56" s="288">
        <f t="shared" si="11"/>
        <v>1</v>
      </c>
      <c r="L56" s="297"/>
      <c r="M56" s="288">
        <f t="shared" si="12"/>
        <v>1</v>
      </c>
      <c r="N56" s="297"/>
      <c r="O56" s="288">
        <f t="shared" si="13"/>
        <v>1</v>
      </c>
      <c r="P56" s="297"/>
      <c r="Q56" s="288">
        <f t="shared" si="14"/>
        <v>1</v>
      </c>
      <c r="R56" s="348">
        <f t="shared" si="15"/>
        <v>0</v>
      </c>
      <c r="S56" s="287">
        <f t="shared" si="16"/>
        <v>0</v>
      </c>
    </row>
    <row r="57" spans="1:19">
      <c r="A57" s="295"/>
      <c r="B57" s="296"/>
      <c r="C57" s="288">
        <f t="shared" si="7"/>
        <v>1</v>
      </c>
      <c r="D57" s="297"/>
      <c r="E57" s="288">
        <f t="shared" si="8"/>
        <v>1</v>
      </c>
      <c r="F57" s="297"/>
      <c r="G57" s="288">
        <f t="shared" si="9"/>
        <v>1</v>
      </c>
      <c r="H57" s="297"/>
      <c r="I57" s="288">
        <f t="shared" si="10"/>
        <v>1</v>
      </c>
      <c r="J57" s="297"/>
      <c r="K57" s="288">
        <f t="shared" si="11"/>
        <v>1</v>
      </c>
      <c r="L57" s="297"/>
      <c r="M57" s="288">
        <f t="shared" si="12"/>
        <v>1</v>
      </c>
      <c r="N57" s="297"/>
      <c r="O57" s="288">
        <f t="shared" si="13"/>
        <v>1</v>
      </c>
      <c r="P57" s="297"/>
      <c r="Q57" s="288">
        <f t="shared" si="14"/>
        <v>1</v>
      </c>
      <c r="R57" s="348">
        <f t="shared" si="15"/>
        <v>0</v>
      </c>
      <c r="S57" s="287">
        <f t="shared" si="16"/>
        <v>0</v>
      </c>
    </row>
    <row r="58" spans="1:19">
      <c r="A58" s="295"/>
      <c r="B58" s="296"/>
      <c r="C58" s="288">
        <f t="shared" si="7"/>
        <v>1</v>
      </c>
      <c r="D58" s="297"/>
      <c r="E58" s="288">
        <f t="shared" si="8"/>
        <v>1</v>
      </c>
      <c r="F58" s="297"/>
      <c r="G58" s="288">
        <f t="shared" si="9"/>
        <v>1</v>
      </c>
      <c r="H58" s="297"/>
      <c r="I58" s="288">
        <f t="shared" si="10"/>
        <v>1</v>
      </c>
      <c r="J58" s="297"/>
      <c r="K58" s="288">
        <f t="shared" si="11"/>
        <v>1</v>
      </c>
      <c r="L58" s="297"/>
      <c r="M58" s="288">
        <f t="shared" si="12"/>
        <v>1</v>
      </c>
      <c r="N58" s="297"/>
      <c r="O58" s="288">
        <f t="shared" si="13"/>
        <v>1</v>
      </c>
      <c r="P58" s="297"/>
      <c r="Q58" s="288">
        <f t="shared" si="14"/>
        <v>1</v>
      </c>
      <c r="R58" s="348">
        <f t="shared" si="15"/>
        <v>0</v>
      </c>
      <c r="S58" s="287">
        <f t="shared" si="16"/>
        <v>0</v>
      </c>
    </row>
    <row r="59" spans="1:19">
      <c r="A59" s="295"/>
      <c r="B59" s="296"/>
      <c r="C59" s="288">
        <f t="shared" si="7"/>
        <v>1</v>
      </c>
      <c r="D59" s="297"/>
      <c r="E59" s="288">
        <f t="shared" si="8"/>
        <v>1</v>
      </c>
      <c r="F59" s="297"/>
      <c r="G59" s="288">
        <f t="shared" si="9"/>
        <v>1</v>
      </c>
      <c r="H59" s="297"/>
      <c r="I59" s="288">
        <f t="shared" si="10"/>
        <v>1</v>
      </c>
      <c r="J59" s="297"/>
      <c r="K59" s="288">
        <f t="shared" si="11"/>
        <v>1</v>
      </c>
      <c r="L59" s="297"/>
      <c r="M59" s="288">
        <f t="shared" si="12"/>
        <v>1</v>
      </c>
      <c r="N59" s="297"/>
      <c r="O59" s="288">
        <f t="shared" si="13"/>
        <v>1</v>
      </c>
      <c r="P59" s="297"/>
      <c r="Q59" s="288">
        <f t="shared" si="14"/>
        <v>1</v>
      </c>
      <c r="R59" s="348">
        <f t="shared" si="15"/>
        <v>0</v>
      </c>
      <c r="S59" s="287">
        <f t="shared" si="16"/>
        <v>0</v>
      </c>
    </row>
    <row r="60" spans="1:19">
      <c r="A60" s="295"/>
      <c r="B60" s="296"/>
      <c r="C60" s="288">
        <f t="shared" si="7"/>
        <v>1</v>
      </c>
      <c r="D60" s="297"/>
      <c r="E60" s="288">
        <f t="shared" si="8"/>
        <v>1</v>
      </c>
      <c r="F60" s="297"/>
      <c r="G60" s="288">
        <f t="shared" si="9"/>
        <v>1</v>
      </c>
      <c r="H60" s="297"/>
      <c r="I60" s="288">
        <f t="shared" si="10"/>
        <v>1</v>
      </c>
      <c r="J60" s="297"/>
      <c r="K60" s="288">
        <f t="shared" si="11"/>
        <v>1</v>
      </c>
      <c r="L60" s="297"/>
      <c r="M60" s="288">
        <f t="shared" si="12"/>
        <v>1</v>
      </c>
      <c r="N60" s="297"/>
      <c r="O60" s="288">
        <f t="shared" si="13"/>
        <v>1</v>
      </c>
      <c r="P60" s="297"/>
      <c r="Q60" s="288">
        <f t="shared" si="14"/>
        <v>1</v>
      </c>
      <c r="R60" s="348">
        <f t="shared" si="15"/>
        <v>0</v>
      </c>
      <c r="S60" s="287">
        <f t="shared" si="16"/>
        <v>0</v>
      </c>
    </row>
    <row r="61" spans="1:19">
      <c r="A61" s="295"/>
      <c r="B61" s="296"/>
      <c r="C61" s="288">
        <f t="shared" si="7"/>
        <v>1</v>
      </c>
      <c r="D61" s="297"/>
      <c r="E61" s="288">
        <f t="shared" si="8"/>
        <v>1</v>
      </c>
      <c r="F61" s="297"/>
      <c r="G61" s="288">
        <f t="shared" si="9"/>
        <v>1</v>
      </c>
      <c r="H61" s="297"/>
      <c r="I61" s="288">
        <f t="shared" si="10"/>
        <v>1</v>
      </c>
      <c r="J61" s="297"/>
      <c r="K61" s="288">
        <f t="shared" si="11"/>
        <v>1</v>
      </c>
      <c r="L61" s="297"/>
      <c r="M61" s="288">
        <f t="shared" si="12"/>
        <v>1</v>
      </c>
      <c r="N61" s="297"/>
      <c r="O61" s="288">
        <f t="shared" si="13"/>
        <v>1</v>
      </c>
      <c r="P61" s="297"/>
      <c r="Q61" s="288">
        <f t="shared" si="14"/>
        <v>1</v>
      </c>
      <c r="R61" s="348">
        <f t="shared" si="15"/>
        <v>0</v>
      </c>
      <c r="S61" s="287">
        <f t="shared" si="16"/>
        <v>0</v>
      </c>
    </row>
    <row r="62" spans="1:19">
      <c r="A62" s="295"/>
      <c r="B62" s="296"/>
      <c r="C62" s="288">
        <f t="shared" si="7"/>
        <v>1</v>
      </c>
      <c r="D62" s="297"/>
      <c r="E62" s="288">
        <f t="shared" si="8"/>
        <v>1</v>
      </c>
      <c r="F62" s="297"/>
      <c r="G62" s="288">
        <f t="shared" si="9"/>
        <v>1</v>
      </c>
      <c r="H62" s="297"/>
      <c r="I62" s="288">
        <f t="shared" si="10"/>
        <v>1</v>
      </c>
      <c r="J62" s="297"/>
      <c r="K62" s="288">
        <f t="shared" si="11"/>
        <v>1</v>
      </c>
      <c r="L62" s="297"/>
      <c r="M62" s="288">
        <f t="shared" si="12"/>
        <v>1</v>
      </c>
      <c r="N62" s="297"/>
      <c r="O62" s="288">
        <f t="shared" si="13"/>
        <v>1</v>
      </c>
      <c r="P62" s="297"/>
      <c r="Q62" s="288">
        <f t="shared" si="14"/>
        <v>1</v>
      </c>
      <c r="R62" s="348">
        <f t="shared" si="15"/>
        <v>0</v>
      </c>
      <c r="S62" s="287">
        <f t="shared" si="16"/>
        <v>0</v>
      </c>
    </row>
    <row r="63" spans="1:19">
      <c r="A63" s="295"/>
      <c r="B63" s="296"/>
      <c r="C63" s="288">
        <f t="shared" si="7"/>
        <v>1</v>
      </c>
      <c r="D63" s="297"/>
      <c r="E63" s="288">
        <f t="shared" si="8"/>
        <v>1</v>
      </c>
      <c r="F63" s="297"/>
      <c r="G63" s="288">
        <f t="shared" si="9"/>
        <v>1</v>
      </c>
      <c r="H63" s="297"/>
      <c r="I63" s="288">
        <f t="shared" si="10"/>
        <v>1</v>
      </c>
      <c r="J63" s="297"/>
      <c r="K63" s="288">
        <f t="shared" si="11"/>
        <v>1</v>
      </c>
      <c r="L63" s="297"/>
      <c r="M63" s="288">
        <f t="shared" si="12"/>
        <v>1</v>
      </c>
      <c r="N63" s="297"/>
      <c r="O63" s="288">
        <f t="shared" si="13"/>
        <v>1</v>
      </c>
      <c r="P63" s="297"/>
      <c r="Q63" s="288">
        <f t="shared" si="14"/>
        <v>1</v>
      </c>
      <c r="R63" s="348">
        <f t="shared" si="15"/>
        <v>0</v>
      </c>
      <c r="S63" s="287">
        <f t="shared" si="16"/>
        <v>0</v>
      </c>
    </row>
    <row r="64" spans="1:19">
      <c r="A64" s="295"/>
      <c r="B64" s="296"/>
      <c r="C64" s="288">
        <f t="shared" si="7"/>
        <v>1</v>
      </c>
      <c r="D64" s="297"/>
      <c r="E64" s="288">
        <f t="shared" si="8"/>
        <v>1</v>
      </c>
      <c r="F64" s="297"/>
      <c r="G64" s="288">
        <f t="shared" si="9"/>
        <v>1</v>
      </c>
      <c r="H64" s="297"/>
      <c r="I64" s="288">
        <f t="shared" si="10"/>
        <v>1</v>
      </c>
      <c r="J64" s="297"/>
      <c r="K64" s="288">
        <f t="shared" si="11"/>
        <v>1</v>
      </c>
      <c r="L64" s="297"/>
      <c r="M64" s="288">
        <f t="shared" si="12"/>
        <v>1</v>
      </c>
      <c r="N64" s="297"/>
      <c r="O64" s="288">
        <f t="shared" si="13"/>
        <v>1</v>
      </c>
      <c r="P64" s="297"/>
      <c r="Q64" s="288">
        <f t="shared" si="14"/>
        <v>1</v>
      </c>
      <c r="R64" s="348">
        <f t="shared" si="15"/>
        <v>0</v>
      </c>
      <c r="S64" s="287">
        <f t="shared" si="16"/>
        <v>0</v>
      </c>
    </row>
    <row r="65" spans="1:19">
      <c r="A65" s="295"/>
      <c r="B65" s="296"/>
      <c r="C65" s="288">
        <f t="shared" si="7"/>
        <v>1</v>
      </c>
      <c r="D65" s="297"/>
      <c r="E65" s="288">
        <f t="shared" si="8"/>
        <v>1</v>
      </c>
      <c r="F65" s="297"/>
      <c r="G65" s="288">
        <f t="shared" si="9"/>
        <v>1</v>
      </c>
      <c r="H65" s="297"/>
      <c r="I65" s="288">
        <f t="shared" si="10"/>
        <v>1</v>
      </c>
      <c r="J65" s="297"/>
      <c r="K65" s="288">
        <f t="shared" si="11"/>
        <v>1</v>
      </c>
      <c r="L65" s="297"/>
      <c r="M65" s="288">
        <f t="shared" si="12"/>
        <v>1</v>
      </c>
      <c r="N65" s="297"/>
      <c r="O65" s="288">
        <f t="shared" si="13"/>
        <v>1</v>
      </c>
      <c r="P65" s="297"/>
      <c r="Q65" s="288">
        <f t="shared" si="14"/>
        <v>1</v>
      </c>
      <c r="R65" s="348">
        <f t="shared" si="15"/>
        <v>0</v>
      </c>
      <c r="S65" s="287">
        <f t="shared" si="16"/>
        <v>0</v>
      </c>
    </row>
    <row r="66" spans="1:19">
      <c r="A66" s="295"/>
      <c r="B66" s="296"/>
      <c r="C66" s="288">
        <f t="shared" si="7"/>
        <v>1</v>
      </c>
      <c r="D66" s="297"/>
      <c r="E66" s="288">
        <f t="shared" si="8"/>
        <v>1</v>
      </c>
      <c r="F66" s="297"/>
      <c r="G66" s="288">
        <f t="shared" si="9"/>
        <v>1</v>
      </c>
      <c r="H66" s="297"/>
      <c r="I66" s="288">
        <f t="shared" si="10"/>
        <v>1</v>
      </c>
      <c r="J66" s="297"/>
      <c r="K66" s="288">
        <f t="shared" si="11"/>
        <v>1</v>
      </c>
      <c r="L66" s="297"/>
      <c r="M66" s="288">
        <f t="shared" si="12"/>
        <v>1</v>
      </c>
      <c r="N66" s="297"/>
      <c r="O66" s="288">
        <f t="shared" si="13"/>
        <v>1</v>
      </c>
      <c r="P66" s="297"/>
      <c r="Q66" s="288">
        <f t="shared" si="14"/>
        <v>1</v>
      </c>
      <c r="R66" s="348">
        <f t="shared" si="15"/>
        <v>0</v>
      </c>
      <c r="S66" s="287">
        <f t="shared" si="16"/>
        <v>0</v>
      </c>
    </row>
    <row r="67" spans="1:19">
      <c r="A67" s="295"/>
      <c r="B67" s="296"/>
      <c r="C67" s="288">
        <f t="shared" si="7"/>
        <v>1</v>
      </c>
      <c r="D67" s="297"/>
      <c r="E67" s="288">
        <f t="shared" si="8"/>
        <v>1</v>
      </c>
      <c r="F67" s="297"/>
      <c r="G67" s="288">
        <f t="shared" si="9"/>
        <v>1</v>
      </c>
      <c r="H67" s="297"/>
      <c r="I67" s="288">
        <f t="shared" si="10"/>
        <v>1</v>
      </c>
      <c r="J67" s="297"/>
      <c r="K67" s="288">
        <f t="shared" si="11"/>
        <v>1</v>
      </c>
      <c r="L67" s="297"/>
      <c r="M67" s="288">
        <f t="shared" si="12"/>
        <v>1</v>
      </c>
      <c r="N67" s="297"/>
      <c r="O67" s="288">
        <f t="shared" si="13"/>
        <v>1</v>
      </c>
      <c r="P67" s="297"/>
      <c r="Q67" s="288">
        <f t="shared" si="14"/>
        <v>1</v>
      </c>
      <c r="R67" s="348">
        <f t="shared" si="15"/>
        <v>0</v>
      </c>
      <c r="S67" s="287">
        <f t="shared" si="16"/>
        <v>0</v>
      </c>
    </row>
    <row r="68" spans="1:19">
      <c r="A68" s="295"/>
      <c r="B68" s="296"/>
      <c r="C68" s="288">
        <f t="shared" si="7"/>
        <v>1</v>
      </c>
      <c r="D68" s="297"/>
      <c r="E68" s="288">
        <f t="shared" si="8"/>
        <v>1</v>
      </c>
      <c r="F68" s="297"/>
      <c r="G68" s="288">
        <f t="shared" si="9"/>
        <v>1</v>
      </c>
      <c r="H68" s="297"/>
      <c r="I68" s="288">
        <f t="shared" si="10"/>
        <v>1</v>
      </c>
      <c r="J68" s="297"/>
      <c r="K68" s="288">
        <f t="shared" si="11"/>
        <v>1</v>
      </c>
      <c r="L68" s="297"/>
      <c r="M68" s="288">
        <f t="shared" si="12"/>
        <v>1</v>
      </c>
      <c r="N68" s="297"/>
      <c r="O68" s="288">
        <f t="shared" si="13"/>
        <v>1</v>
      </c>
      <c r="P68" s="297"/>
      <c r="Q68" s="288">
        <f t="shared" si="14"/>
        <v>1</v>
      </c>
      <c r="R68" s="348">
        <f t="shared" si="15"/>
        <v>0</v>
      </c>
      <c r="S68" s="287">
        <f t="shared" si="16"/>
        <v>0</v>
      </c>
    </row>
    <row r="69" spans="1:19">
      <c r="A69" s="295"/>
      <c r="B69" s="296"/>
      <c r="C69" s="288">
        <f t="shared" si="7"/>
        <v>1</v>
      </c>
      <c r="D69" s="297"/>
      <c r="E69" s="288">
        <f t="shared" si="8"/>
        <v>1</v>
      </c>
      <c r="F69" s="297"/>
      <c r="G69" s="288">
        <f t="shared" si="9"/>
        <v>1</v>
      </c>
      <c r="H69" s="297"/>
      <c r="I69" s="288">
        <f t="shared" si="10"/>
        <v>1</v>
      </c>
      <c r="J69" s="297"/>
      <c r="K69" s="288">
        <f t="shared" si="11"/>
        <v>1</v>
      </c>
      <c r="L69" s="297"/>
      <c r="M69" s="288">
        <f t="shared" si="12"/>
        <v>1</v>
      </c>
      <c r="N69" s="297"/>
      <c r="O69" s="288">
        <f t="shared" si="13"/>
        <v>1</v>
      </c>
      <c r="P69" s="297"/>
      <c r="Q69" s="288">
        <f t="shared" si="14"/>
        <v>1</v>
      </c>
      <c r="R69" s="348">
        <f t="shared" si="15"/>
        <v>0</v>
      </c>
      <c r="S69" s="287">
        <f t="shared" si="16"/>
        <v>0</v>
      </c>
    </row>
    <row r="70" spans="1:19">
      <c r="A70" s="295"/>
      <c r="B70" s="296"/>
      <c r="C70" s="288">
        <f t="shared" si="7"/>
        <v>1</v>
      </c>
      <c r="D70" s="297"/>
      <c r="E70" s="288">
        <f t="shared" si="8"/>
        <v>1</v>
      </c>
      <c r="F70" s="297"/>
      <c r="G70" s="288">
        <f t="shared" si="9"/>
        <v>1</v>
      </c>
      <c r="H70" s="297"/>
      <c r="I70" s="288">
        <f t="shared" si="10"/>
        <v>1</v>
      </c>
      <c r="J70" s="297"/>
      <c r="K70" s="288">
        <f t="shared" si="11"/>
        <v>1</v>
      </c>
      <c r="L70" s="297"/>
      <c r="M70" s="288">
        <f t="shared" si="12"/>
        <v>1</v>
      </c>
      <c r="N70" s="297"/>
      <c r="O70" s="288">
        <f t="shared" si="13"/>
        <v>1</v>
      </c>
      <c r="P70" s="297"/>
      <c r="Q70" s="288">
        <f t="shared" si="14"/>
        <v>1</v>
      </c>
      <c r="R70" s="348">
        <f t="shared" si="15"/>
        <v>0</v>
      </c>
      <c r="S70" s="287">
        <f t="shared" si="16"/>
        <v>0</v>
      </c>
    </row>
    <row r="71" spans="1:19">
      <c r="A71" s="295"/>
      <c r="B71" s="296"/>
      <c r="C71" s="288">
        <f t="shared" si="7"/>
        <v>1</v>
      </c>
      <c r="D71" s="297"/>
      <c r="E71" s="288">
        <f t="shared" si="8"/>
        <v>1</v>
      </c>
      <c r="F71" s="297"/>
      <c r="G71" s="288">
        <f t="shared" si="9"/>
        <v>1</v>
      </c>
      <c r="H71" s="297"/>
      <c r="I71" s="288">
        <f t="shared" si="10"/>
        <v>1</v>
      </c>
      <c r="J71" s="297"/>
      <c r="K71" s="288">
        <f t="shared" si="11"/>
        <v>1</v>
      </c>
      <c r="L71" s="297"/>
      <c r="M71" s="288">
        <f t="shared" si="12"/>
        <v>1</v>
      </c>
      <c r="N71" s="297"/>
      <c r="O71" s="288">
        <f t="shared" si="13"/>
        <v>1</v>
      </c>
      <c r="P71" s="297"/>
      <c r="Q71" s="288">
        <f t="shared" si="14"/>
        <v>1</v>
      </c>
      <c r="R71" s="348">
        <f t="shared" si="15"/>
        <v>0</v>
      </c>
      <c r="S71" s="287">
        <f t="shared" si="16"/>
        <v>0</v>
      </c>
    </row>
    <row r="72" spans="1:19">
      <c r="A72" s="295"/>
      <c r="B72" s="296"/>
      <c r="C72" s="288">
        <f t="shared" si="7"/>
        <v>1</v>
      </c>
      <c r="D72" s="297"/>
      <c r="E72" s="288">
        <f t="shared" si="8"/>
        <v>1</v>
      </c>
      <c r="F72" s="297"/>
      <c r="G72" s="288">
        <f t="shared" si="9"/>
        <v>1</v>
      </c>
      <c r="H72" s="297"/>
      <c r="I72" s="288">
        <f t="shared" si="10"/>
        <v>1</v>
      </c>
      <c r="J72" s="297"/>
      <c r="K72" s="288">
        <f t="shared" si="11"/>
        <v>1</v>
      </c>
      <c r="L72" s="297"/>
      <c r="M72" s="288">
        <f t="shared" si="12"/>
        <v>1</v>
      </c>
      <c r="N72" s="297"/>
      <c r="O72" s="288">
        <f t="shared" si="13"/>
        <v>1</v>
      </c>
      <c r="P72" s="297"/>
      <c r="Q72" s="288">
        <f t="shared" si="14"/>
        <v>1</v>
      </c>
      <c r="R72" s="348">
        <f t="shared" si="15"/>
        <v>0</v>
      </c>
      <c r="S72" s="287">
        <f t="shared" si="16"/>
        <v>0</v>
      </c>
    </row>
    <row r="73" spans="1:19">
      <c r="A73" s="295"/>
      <c r="B73" s="296"/>
      <c r="C73" s="288">
        <f t="shared" si="7"/>
        <v>1</v>
      </c>
      <c r="D73" s="297"/>
      <c r="E73" s="288">
        <f t="shared" si="8"/>
        <v>1</v>
      </c>
      <c r="F73" s="297"/>
      <c r="G73" s="288">
        <f t="shared" si="9"/>
        <v>1</v>
      </c>
      <c r="H73" s="297"/>
      <c r="I73" s="288">
        <f t="shared" si="10"/>
        <v>1</v>
      </c>
      <c r="J73" s="297"/>
      <c r="K73" s="288">
        <f t="shared" si="11"/>
        <v>1</v>
      </c>
      <c r="L73" s="297"/>
      <c r="M73" s="288">
        <f t="shared" si="12"/>
        <v>1</v>
      </c>
      <c r="N73" s="297"/>
      <c r="O73" s="288">
        <f t="shared" si="13"/>
        <v>1</v>
      </c>
      <c r="P73" s="297"/>
      <c r="Q73" s="288">
        <f t="shared" si="14"/>
        <v>1</v>
      </c>
      <c r="R73" s="348">
        <f t="shared" si="15"/>
        <v>0</v>
      </c>
      <c r="S73" s="287">
        <f t="shared" si="16"/>
        <v>0</v>
      </c>
    </row>
    <row r="74" spans="1:19">
      <c r="A74" s="295"/>
      <c r="B74" s="296"/>
      <c r="C74" s="288">
        <f t="shared" si="7"/>
        <v>1</v>
      </c>
      <c r="D74" s="297"/>
      <c r="E74" s="288">
        <f t="shared" si="8"/>
        <v>1</v>
      </c>
      <c r="F74" s="297"/>
      <c r="G74" s="288">
        <f t="shared" si="9"/>
        <v>1</v>
      </c>
      <c r="H74" s="297"/>
      <c r="I74" s="288">
        <f t="shared" si="10"/>
        <v>1</v>
      </c>
      <c r="J74" s="297"/>
      <c r="K74" s="288">
        <f t="shared" si="11"/>
        <v>1</v>
      </c>
      <c r="L74" s="297"/>
      <c r="M74" s="288">
        <f t="shared" si="12"/>
        <v>1</v>
      </c>
      <c r="N74" s="297"/>
      <c r="O74" s="288">
        <f t="shared" si="13"/>
        <v>1</v>
      </c>
      <c r="P74" s="297"/>
      <c r="Q74" s="288">
        <f t="shared" si="14"/>
        <v>1</v>
      </c>
      <c r="R74" s="348">
        <f t="shared" si="15"/>
        <v>0</v>
      </c>
      <c r="S74" s="287">
        <f t="shared" si="16"/>
        <v>0</v>
      </c>
    </row>
    <row r="75" spans="1:19">
      <c r="A75" s="295"/>
      <c r="B75" s="296"/>
      <c r="C75" s="288">
        <f t="shared" si="7"/>
        <v>1</v>
      </c>
      <c r="D75" s="297"/>
      <c r="E75" s="288">
        <f t="shared" si="8"/>
        <v>1</v>
      </c>
      <c r="F75" s="297"/>
      <c r="G75" s="288">
        <f t="shared" si="9"/>
        <v>1</v>
      </c>
      <c r="H75" s="297"/>
      <c r="I75" s="288">
        <f t="shared" si="10"/>
        <v>1</v>
      </c>
      <c r="J75" s="297"/>
      <c r="K75" s="288">
        <f t="shared" si="11"/>
        <v>1</v>
      </c>
      <c r="L75" s="297"/>
      <c r="M75" s="288">
        <f t="shared" si="12"/>
        <v>1</v>
      </c>
      <c r="N75" s="297"/>
      <c r="O75" s="288">
        <f t="shared" si="13"/>
        <v>1</v>
      </c>
      <c r="P75" s="297"/>
      <c r="Q75" s="288">
        <f t="shared" si="14"/>
        <v>1</v>
      </c>
      <c r="R75" s="348">
        <f t="shared" si="15"/>
        <v>0</v>
      </c>
      <c r="S75" s="287">
        <f t="shared" si="16"/>
        <v>0</v>
      </c>
    </row>
    <row r="76" spans="1:19">
      <c r="A76" s="295"/>
      <c r="B76" s="296"/>
      <c r="C76" s="288">
        <f t="shared" si="7"/>
        <v>1</v>
      </c>
      <c r="D76" s="297"/>
      <c r="E76" s="288">
        <f t="shared" si="8"/>
        <v>1</v>
      </c>
      <c r="F76" s="297"/>
      <c r="G76" s="288">
        <f t="shared" si="9"/>
        <v>1</v>
      </c>
      <c r="H76" s="297"/>
      <c r="I76" s="288">
        <f t="shared" si="10"/>
        <v>1</v>
      </c>
      <c r="J76" s="297"/>
      <c r="K76" s="288">
        <f t="shared" si="11"/>
        <v>1</v>
      </c>
      <c r="L76" s="297"/>
      <c r="M76" s="288">
        <f t="shared" si="12"/>
        <v>1</v>
      </c>
      <c r="N76" s="297"/>
      <c r="O76" s="288">
        <f t="shared" si="13"/>
        <v>1</v>
      </c>
      <c r="P76" s="297"/>
      <c r="Q76" s="288">
        <f t="shared" si="14"/>
        <v>1</v>
      </c>
      <c r="R76" s="348">
        <f t="shared" si="15"/>
        <v>0</v>
      </c>
      <c r="S76" s="287">
        <f t="shared" si="16"/>
        <v>0</v>
      </c>
    </row>
    <row r="77" spans="1:19">
      <c r="A77" s="295"/>
      <c r="B77" s="296"/>
      <c r="C77" s="288">
        <f t="shared" si="7"/>
        <v>1</v>
      </c>
      <c r="D77" s="297"/>
      <c r="E77" s="288">
        <f t="shared" si="8"/>
        <v>1</v>
      </c>
      <c r="F77" s="297"/>
      <c r="G77" s="288">
        <f t="shared" si="9"/>
        <v>1</v>
      </c>
      <c r="H77" s="297"/>
      <c r="I77" s="288">
        <f t="shared" si="10"/>
        <v>1</v>
      </c>
      <c r="J77" s="297"/>
      <c r="K77" s="288">
        <f t="shared" si="11"/>
        <v>1</v>
      </c>
      <c r="L77" s="297"/>
      <c r="M77" s="288">
        <f t="shared" si="12"/>
        <v>1</v>
      </c>
      <c r="N77" s="297"/>
      <c r="O77" s="288">
        <f t="shared" si="13"/>
        <v>1</v>
      </c>
      <c r="P77" s="297"/>
      <c r="Q77" s="288">
        <f t="shared" si="14"/>
        <v>1</v>
      </c>
      <c r="R77" s="348">
        <f t="shared" si="15"/>
        <v>0</v>
      </c>
      <c r="S77" s="287">
        <f t="shared" si="16"/>
        <v>0</v>
      </c>
    </row>
    <row r="78" spans="1:19">
      <c r="A78" s="295"/>
      <c r="B78" s="296"/>
      <c r="C78" s="288">
        <f t="shared" si="7"/>
        <v>1</v>
      </c>
      <c r="D78" s="297"/>
      <c r="E78" s="288">
        <f t="shared" si="8"/>
        <v>1</v>
      </c>
      <c r="F78" s="297"/>
      <c r="G78" s="288">
        <f t="shared" si="9"/>
        <v>1</v>
      </c>
      <c r="H78" s="297"/>
      <c r="I78" s="288">
        <f t="shared" si="10"/>
        <v>1</v>
      </c>
      <c r="J78" s="297"/>
      <c r="K78" s="288">
        <f t="shared" si="11"/>
        <v>1</v>
      </c>
      <c r="L78" s="297"/>
      <c r="M78" s="288">
        <f t="shared" si="12"/>
        <v>1</v>
      </c>
      <c r="N78" s="297"/>
      <c r="O78" s="288">
        <f t="shared" si="13"/>
        <v>1</v>
      </c>
      <c r="P78" s="297"/>
      <c r="Q78" s="288">
        <f t="shared" si="14"/>
        <v>1</v>
      </c>
      <c r="R78" s="348">
        <f t="shared" si="15"/>
        <v>0</v>
      </c>
      <c r="S78" s="287">
        <f t="shared" ref="S78:S122" si="17">ROUND(R78*B78/10000,0)</f>
        <v>0</v>
      </c>
    </row>
    <row r="79" spans="1:19">
      <c r="A79" s="295"/>
      <c r="B79" s="296"/>
      <c r="C79" s="288">
        <f t="shared" si="7"/>
        <v>1</v>
      </c>
      <c r="D79" s="297"/>
      <c r="E79" s="288">
        <f t="shared" si="8"/>
        <v>1</v>
      </c>
      <c r="F79" s="297"/>
      <c r="G79" s="288">
        <f t="shared" si="9"/>
        <v>1</v>
      </c>
      <c r="H79" s="297"/>
      <c r="I79" s="288">
        <f t="shared" si="10"/>
        <v>1</v>
      </c>
      <c r="J79" s="297"/>
      <c r="K79" s="288">
        <f t="shared" si="11"/>
        <v>1</v>
      </c>
      <c r="L79" s="297"/>
      <c r="M79" s="288">
        <f t="shared" si="12"/>
        <v>1</v>
      </c>
      <c r="N79" s="297"/>
      <c r="O79" s="288">
        <f t="shared" si="13"/>
        <v>1</v>
      </c>
      <c r="P79" s="297"/>
      <c r="Q79" s="288">
        <f t="shared" si="14"/>
        <v>1</v>
      </c>
      <c r="R79" s="348">
        <f t="shared" si="15"/>
        <v>0</v>
      </c>
      <c r="S79" s="287">
        <f t="shared" si="17"/>
        <v>0</v>
      </c>
    </row>
    <row r="80" spans="1:19">
      <c r="A80" s="295"/>
      <c r="B80" s="296"/>
      <c r="C80" s="288">
        <f t="shared" si="7"/>
        <v>1</v>
      </c>
      <c r="D80" s="297"/>
      <c r="E80" s="288">
        <f t="shared" si="8"/>
        <v>1</v>
      </c>
      <c r="F80" s="297"/>
      <c r="G80" s="288">
        <f t="shared" si="9"/>
        <v>1</v>
      </c>
      <c r="H80" s="297"/>
      <c r="I80" s="288">
        <f t="shared" si="10"/>
        <v>1</v>
      </c>
      <c r="J80" s="297"/>
      <c r="K80" s="288">
        <f t="shared" si="11"/>
        <v>1</v>
      </c>
      <c r="L80" s="297"/>
      <c r="M80" s="288">
        <f t="shared" si="12"/>
        <v>1</v>
      </c>
      <c r="N80" s="297"/>
      <c r="O80" s="288">
        <f t="shared" si="13"/>
        <v>1</v>
      </c>
      <c r="P80" s="297"/>
      <c r="Q80" s="288">
        <f t="shared" si="14"/>
        <v>1</v>
      </c>
      <c r="R80" s="348">
        <f t="shared" si="15"/>
        <v>0</v>
      </c>
      <c r="S80" s="287">
        <f t="shared" si="17"/>
        <v>0</v>
      </c>
    </row>
    <row r="81" spans="1:19">
      <c r="A81" s="295"/>
      <c r="B81" s="296"/>
      <c r="C81" s="288">
        <f t="shared" si="7"/>
        <v>1</v>
      </c>
      <c r="D81" s="297"/>
      <c r="E81" s="288">
        <f t="shared" si="8"/>
        <v>1</v>
      </c>
      <c r="F81" s="297"/>
      <c r="G81" s="288">
        <f t="shared" si="9"/>
        <v>1</v>
      </c>
      <c r="H81" s="297"/>
      <c r="I81" s="288">
        <f t="shared" si="10"/>
        <v>1</v>
      </c>
      <c r="J81" s="297"/>
      <c r="K81" s="288">
        <f t="shared" si="11"/>
        <v>1</v>
      </c>
      <c r="L81" s="297"/>
      <c r="M81" s="288">
        <f t="shared" si="12"/>
        <v>1</v>
      </c>
      <c r="N81" s="297"/>
      <c r="O81" s="288">
        <f t="shared" si="13"/>
        <v>1</v>
      </c>
      <c r="P81" s="297"/>
      <c r="Q81" s="288">
        <f t="shared" si="14"/>
        <v>1</v>
      </c>
      <c r="R81" s="348">
        <f t="shared" si="15"/>
        <v>0</v>
      </c>
      <c r="S81" s="287">
        <f t="shared" si="17"/>
        <v>0</v>
      </c>
    </row>
    <row r="82" spans="1:19">
      <c r="A82" s="295"/>
      <c r="B82" s="296"/>
      <c r="C82" s="288">
        <f t="shared" si="7"/>
        <v>1</v>
      </c>
      <c r="D82" s="297"/>
      <c r="E82" s="288">
        <f t="shared" si="8"/>
        <v>1</v>
      </c>
      <c r="F82" s="297"/>
      <c r="G82" s="288">
        <f t="shared" si="9"/>
        <v>1</v>
      </c>
      <c r="H82" s="297"/>
      <c r="I82" s="288">
        <f t="shared" si="10"/>
        <v>1</v>
      </c>
      <c r="J82" s="297"/>
      <c r="K82" s="288">
        <f t="shared" si="11"/>
        <v>1</v>
      </c>
      <c r="L82" s="297"/>
      <c r="M82" s="288">
        <f t="shared" si="12"/>
        <v>1</v>
      </c>
      <c r="N82" s="297"/>
      <c r="O82" s="288">
        <f t="shared" si="13"/>
        <v>1</v>
      </c>
      <c r="P82" s="297"/>
      <c r="Q82" s="288">
        <f t="shared" si="14"/>
        <v>1</v>
      </c>
      <c r="R82" s="348">
        <f t="shared" si="15"/>
        <v>0</v>
      </c>
      <c r="S82" s="287">
        <f t="shared" si="17"/>
        <v>0</v>
      </c>
    </row>
    <row r="83" spans="1:19">
      <c r="A83" s="295"/>
      <c r="B83" s="296"/>
      <c r="C83" s="288">
        <f t="shared" si="7"/>
        <v>1</v>
      </c>
      <c r="D83" s="297"/>
      <c r="E83" s="288">
        <f t="shared" si="8"/>
        <v>1</v>
      </c>
      <c r="F83" s="297"/>
      <c r="G83" s="288">
        <f t="shared" si="9"/>
        <v>1</v>
      </c>
      <c r="H83" s="297"/>
      <c r="I83" s="288">
        <f t="shared" si="10"/>
        <v>1</v>
      </c>
      <c r="J83" s="297"/>
      <c r="K83" s="288">
        <f t="shared" si="11"/>
        <v>1</v>
      </c>
      <c r="L83" s="297"/>
      <c r="M83" s="288">
        <f t="shared" si="12"/>
        <v>1</v>
      </c>
      <c r="N83" s="297"/>
      <c r="O83" s="288">
        <f t="shared" si="13"/>
        <v>1</v>
      </c>
      <c r="P83" s="297"/>
      <c r="Q83" s="288">
        <f t="shared" si="14"/>
        <v>1</v>
      </c>
      <c r="R83" s="348">
        <f t="shared" si="15"/>
        <v>0</v>
      </c>
      <c r="S83" s="287">
        <f t="shared" si="17"/>
        <v>0</v>
      </c>
    </row>
    <row r="84" spans="1:19">
      <c r="A84" s="295"/>
      <c r="B84" s="296"/>
      <c r="C84" s="288">
        <f t="shared" si="7"/>
        <v>1</v>
      </c>
      <c r="D84" s="297"/>
      <c r="E84" s="288">
        <f t="shared" si="8"/>
        <v>1</v>
      </c>
      <c r="F84" s="297"/>
      <c r="G84" s="288">
        <f t="shared" si="9"/>
        <v>1</v>
      </c>
      <c r="H84" s="297"/>
      <c r="I84" s="288">
        <f t="shared" si="10"/>
        <v>1</v>
      </c>
      <c r="J84" s="297"/>
      <c r="K84" s="288">
        <f t="shared" si="11"/>
        <v>1</v>
      </c>
      <c r="L84" s="297"/>
      <c r="M84" s="288">
        <f t="shared" si="12"/>
        <v>1</v>
      </c>
      <c r="N84" s="297"/>
      <c r="O84" s="288">
        <f t="shared" si="13"/>
        <v>1</v>
      </c>
      <c r="P84" s="297"/>
      <c r="Q84" s="288">
        <f t="shared" si="14"/>
        <v>1</v>
      </c>
      <c r="R84" s="348">
        <f t="shared" si="15"/>
        <v>0</v>
      </c>
      <c r="S84" s="287">
        <f t="shared" si="17"/>
        <v>0</v>
      </c>
    </row>
    <row r="85" spans="1:19">
      <c r="A85" s="295"/>
      <c r="B85" s="296"/>
      <c r="C85" s="288">
        <f t="shared" si="7"/>
        <v>1</v>
      </c>
      <c r="D85" s="297"/>
      <c r="E85" s="288">
        <f t="shared" si="8"/>
        <v>1</v>
      </c>
      <c r="F85" s="297"/>
      <c r="G85" s="288">
        <f t="shared" si="9"/>
        <v>1</v>
      </c>
      <c r="H85" s="297"/>
      <c r="I85" s="288">
        <f t="shared" si="10"/>
        <v>1</v>
      </c>
      <c r="J85" s="297"/>
      <c r="K85" s="288">
        <f t="shared" si="11"/>
        <v>1</v>
      </c>
      <c r="L85" s="297"/>
      <c r="M85" s="288">
        <f t="shared" si="12"/>
        <v>1</v>
      </c>
      <c r="N85" s="297"/>
      <c r="O85" s="288">
        <f t="shared" si="13"/>
        <v>1</v>
      </c>
      <c r="P85" s="297"/>
      <c r="Q85" s="288">
        <f t="shared" si="14"/>
        <v>1</v>
      </c>
      <c r="R85" s="348">
        <f t="shared" si="15"/>
        <v>0</v>
      </c>
      <c r="S85" s="287">
        <f t="shared" si="17"/>
        <v>0</v>
      </c>
    </row>
    <row r="86" spans="1:19">
      <c r="A86" s="295"/>
      <c r="B86" s="296"/>
      <c r="C86" s="288">
        <f t="shared" si="7"/>
        <v>1</v>
      </c>
      <c r="D86" s="297"/>
      <c r="E86" s="288">
        <f t="shared" si="8"/>
        <v>1</v>
      </c>
      <c r="F86" s="297"/>
      <c r="G86" s="288">
        <f t="shared" si="9"/>
        <v>1</v>
      </c>
      <c r="H86" s="297"/>
      <c r="I86" s="288">
        <f t="shared" si="10"/>
        <v>1</v>
      </c>
      <c r="J86" s="297"/>
      <c r="K86" s="288">
        <f t="shared" si="11"/>
        <v>1</v>
      </c>
      <c r="L86" s="297"/>
      <c r="M86" s="288">
        <f t="shared" si="12"/>
        <v>1</v>
      </c>
      <c r="N86" s="297"/>
      <c r="O86" s="288">
        <f t="shared" si="13"/>
        <v>1</v>
      </c>
      <c r="P86" s="297"/>
      <c r="Q86" s="288">
        <f t="shared" si="14"/>
        <v>1</v>
      </c>
      <c r="R86" s="348">
        <f t="shared" si="15"/>
        <v>0</v>
      </c>
      <c r="S86" s="287">
        <f t="shared" si="17"/>
        <v>0</v>
      </c>
    </row>
    <row r="87" spans="1:19">
      <c r="A87" s="295"/>
      <c r="B87" s="296"/>
      <c r="C87" s="288">
        <f t="shared" si="7"/>
        <v>1</v>
      </c>
      <c r="D87" s="297"/>
      <c r="E87" s="288">
        <f t="shared" si="8"/>
        <v>1</v>
      </c>
      <c r="F87" s="297"/>
      <c r="G87" s="288">
        <f t="shared" si="9"/>
        <v>1</v>
      </c>
      <c r="H87" s="297"/>
      <c r="I87" s="288">
        <f t="shared" si="10"/>
        <v>1</v>
      </c>
      <c r="J87" s="297"/>
      <c r="K87" s="288">
        <f t="shared" si="11"/>
        <v>1</v>
      </c>
      <c r="L87" s="297"/>
      <c r="M87" s="288">
        <f t="shared" si="12"/>
        <v>1</v>
      </c>
      <c r="N87" s="297"/>
      <c r="O87" s="288">
        <f t="shared" si="13"/>
        <v>1</v>
      </c>
      <c r="P87" s="297"/>
      <c r="Q87" s="288">
        <f t="shared" si="14"/>
        <v>1</v>
      </c>
      <c r="R87" s="348">
        <f t="shared" si="15"/>
        <v>0</v>
      </c>
      <c r="S87" s="287">
        <f t="shared" si="17"/>
        <v>0</v>
      </c>
    </row>
    <row r="88" spans="1:19">
      <c r="A88" s="295"/>
      <c r="B88" s="296"/>
      <c r="C88" s="288">
        <f t="shared" si="7"/>
        <v>1</v>
      </c>
      <c r="D88" s="297"/>
      <c r="E88" s="288">
        <f t="shared" si="8"/>
        <v>1</v>
      </c>
      <c r="F88" s="297"/>
      <c r="G88" s="288">
        <f t="shared" si="9"/>
        <v>1</v>
      </c>
      <c r="H88" s="297"/>
      <c r="I88" s="288">
        <f t="shared" si="10"/>
        <v>1</v>
      </c>
      <c r="J88" s="297"/>
      <c r="K88" s="288">
        <f t="shared" si="11"/>
        <v>1</v>
      </c>
      <c r="L88" s="297"/>
      <c r="M88" s="288">
        <f t="shared" si="12"/>
        <v>1</v>
      </c>
      <c r="N88" s="297"/>
      <c r="O88" s="288">
        <f t="shared" si="13"/>
        <v>1</v>
      </c>
      <c r="P88" s="297"/>
      <c r="Q88" s="288">
        <f t="shared" si="14"/>
        <v>1</v>
      </c>
      <c r="R88" s="348">
        <f t="shared" si="15"/>
        <v>0</v>
      </c>
      <c r="S88" s="287">
        <f t="shared" si="17"/>
        <v>0</v>
      </c>
    </row>
    <row r="89" spans="1:19">
      <c r="A89" s="295"/>
      <c r="B89" s="296"/>
      <c r="C89" s="288">
        <f t="shared" si="7"/>
        <v>1</v>
      </c>
      <c r="D89" s="297"/>
      <c r="E89" s="288">
        <f t="shared" si="8"/>
        <v>1</v>
      </c>
      <c r="F89" s="297"/>
      <c r="G89" s="288">
        <f t="shared" si="9"/>
        <v>1</v>
      </c>
      <c r="H89" s="297"/>
      <c r="I89" s="288">
        <f t="shared" si="10"/>
        <v>1</v>
      </c>
      <c r="J89" s="297"/>
      <c r="K89" s="288">
        <f t="shared" si="11"/>
        <v>1</v>
      </c>
      <c r="L89" s="297"/>
      <c r="M89" s="288">
        <f t="shared" si="12"/>
        <v>1</v>
      </c>
      <c r="N89" s="297"/>
      <c r="O89" s="288">
        <f t="shared" si="13"/>
        <v>1</v>
      </c>
      <c r="P89" s="297"/>
      <c r="Q89" s="288">
        <f t="shared" si="14"/>
        <v>1</v>
      </c>
      <c r="R89" s="348">
        <f t="shared" si="15"/>
        <v>0</v>
      </c>
      <c r="S89" s="287">
        <f t="shared" si="17"/>
        <v>0</v>
      </c>
    </row>
    <row r="90" spans="1:19">
      <c r="A90" s="295"/>
      <c r="B90" s="296"/>
      <c r="C90" s="288">
        <f t="shared" ref="C90:C153" si="18">IF(B90="",1,(LOOKUP(B90,$3:$3,$4:$4)-LOOKUP($B$24,$3:$3,$4:$4)+100)/100)</f>
        <v>1</v>
      </c>
      <c r="D90" s="297"/>
      <c r="E90" s="288">
        <f t="shared" ref="E90:E153" si="19">(SUMIF($5:$5,D90,$6:$6)-SUMIF($5:$5,$D$24,$6:$6)+100)/100</f>
        <v>1</v>
      </c>
      <c r="F90" s="297"/>
      <c r="G90" s="288">
        <f t="shared" ref="G90:G153" si="20">(SUMIF($7:$7,F90,$8:$8)-SUMIF($7:$7,$F$24,$8:$8)+100)/100</f>
        <v>1</v>
      </c>
      <c r="H90" s="297"/>
      <c r="I90" s="288">
        <f t="shared" ref="I90:I153" si="21">(SUMIF($9:$9,H90,$10:$10)-SUMIF($9:$9,$H$24,$10:$10)+100)/100</f>
        <v>1</v>
      </c>
      <c r="J90" s="297"/>
      <c r="K90" s="288">
        <f t="shared" ref="K90:K153" si="22">(SUMIF($11:$11,J90,$12:$12)-SUMIF($11:$11,$J$24,$12:$12)+100)/100</f>
        <v>1</v>
      </c>
      <c r="L90" s="297"/>
      <c r="M90" s="288">
        <f t="shared" ref="M90:M153" si="23">(SUMIF($13:$13,L90,$14:$14)-SUMIF($13:$13,$L$24,$14:$14)+100)/100</f>
        <v>1</v>
      </c>
      <c r="N90" s="297"/>
      <c r="O90" s="288">
        <f t="shared" ref="O90:O153" si="24">(SUMIF($15:$15,N90,$16:$16)-SUMIF($15:$15,$N$24,$16:$16)+100)/100</f>
        <v>1</v>
      </c>
      <c r="P90" s="297"/>
      <c r="Q90" s="288">
        <f t="shared" ref="Q90:Q153" si="25">(SUMIF($17:$17,P90,$18:$18)-SUMIF($17:$17,$P$24,$18:$18)+100)/100</f>
        <v>1</v>
      </c>
      <c r="R90" s="348">
        <f t="shared" ref="R90:R153" si="26">IF(B90="",0,ROUND($R$24*C90*E90*G90*I90*K90*M90*O90*Q90,0))</f>
        <v>0</v>
      </c>
      <c r="S90" s="287">
        <f t="shared" si="17"/>
        <v>0</v>
      </c>
    </row>
    <row r="91" spans="1:19">
      <c r="A91" s="295"/>
      <c r="B91" s="296"/>
      <c r="C91" s="288">
        <f t="shared" si="18"/>
        <v>1</v>
      </c>
      <c r="D91" s="297"/>
      <c r="E91" s="288">
        <f t="shared" si="19"/>
        <v>1</v>
      </c>
      <c r="F91" s="297"/>
      <c r="G91" s="288">
        <f t="shared" si="20"/>
        <v>1</v>
      </c>
      <c r="H91" s="297"/>
      <c r="I91" s="288">
        <f t="shared" si="21"/>
        <v>1</v>
      </c>
      <c r="J91" s="297"/>
      <c r="K91" s="288">
        <f t="shared" si="22"/>
        <v>1</v>
      </c>
      <c r="L91" s="297"/>
      <c r="M91" s="288">
        <f t="shared" si="23"/>
        <v>1</v>
      </c>
      <c r="N91" s="297"/>
      <c r="O91" s="288">
        <f t="shared" si="24"/>
        <v>1</v>
      </c>
      <c r="P91" s="297"/>
      <c r="Q91" s="288">
        <f t="shared" si="25"/>
        <v>1</v>
      </c>
      <c r="R91" s="348">
        <f t="shared" si="26"/>
        <v>0</v>
      </c>
      <c r="S91" s="287">
        <f t="shared" si="17"/>
        <v>0</v>
      </c>
    </row>
    <row r="92" spans="1:19">
      <c r="A92" s="295"/>
      <c r="B92" s="296"/>
      <c r="C92" s="288">
        <f t="shared" si="18"/>
        <v>1</v>
      </c>
      <c r="D92" s="297"/>
      <c r="E92" s="288">
        <f t="shared" si="19"/>
        <v>1</v>
      </c>
      <c r="F92" s="297"/>
      <c r="G92" s="288">
        <f t="shared" si="20"/>
        <v>1</v>
      </c>
      <c r="H92" s="297"/>
      <c r="I92" s="288">
        <f t="shared" si="21"/>
        <v>1</v>
      </c>
      <c r="J92" s="297"/>
      <c r="K92" s="288">
        <f t="shared" si="22"/>
        <v>1</v>
      </c>
      <c r="L92" s="297"/>
      <c r="M92" s="288">
        <f t="shared" si="23"/>
        <v>1</v>
      </c>
      <c r="N92" s="297"/>
      <c r="O92" s="288">
        <f t="shared" si="24"/>
        <v>1</v>
      </c>
      <c r="P92" s="297"/>
      <c r="Q92" s="288">
        <f t="shared" si="25"/>
        <v>1</v>
      </c>
      <c r="R92" s="348">
        <f t="shared" si="26"/>
        <v>0</v>
      </c>
      <c r="S92" s="287">
        <f t="shared" si="17"/>
        <v>0</v>
      </c>
    </row>
    <row r="93" spans="1:19">
      <c r="A93" s="295"/>
      <c r="B93" s="296"/>
      <c r="C93" s="288">
        <f t="shared" si="18"/>
        <v>1</v>
      </c>
      <c r="D93" s="297"/>
      <c r="E93" s="288">
        <f t="shared" si="19"/>
        <v>1</v>
      </c>
      <c r="F93" s="297"/>
      <c r="G93" s="288">
        <f t="shared" si="20"/>
        <v>1</v>
      </c>
      <c r="H93" s="297"/>
      <c r="I93" s="288">
        <f t="shared" si="21"/>
        <v>1</v>
      </c>
      <c r="J93" s="297"/>
      <c r="K93" s="288">
        <f t="shared" si="22"/>
        <v>1</v>
      </c>
      <c r="L93" s="297"/>
      <c r="M93" s="288">
        <f t="shared" si="23"/>
        <v>1</v>
      </c>
      <c r="N93" s="297"/>
      <c r="O93" s="288">
        <f t="shared" si="24"/>
        <v>1</v>
      </c>
      <c r="P93" s="297"/>
      <c r="Q93" s="288">
        <f t="shared" si="25"/>
        <v>1</v>
      </c>
      <c r="R93" s="348">
        <f t="shared" si="26"/>
        <v>0</v>
      </c>
      <c r="S93" s="287">
        <f t="shared" si="17"/>
        <v>0</v>
      </c>
    </row>
    <row r="94" spans="1:19">
      <c r="A94" s="295"/>
      <c r="B94" s="296"/>
      <c r="C94" s="288">
        <f t="shared" si="18"/>
        <v>1</v>
      </c>
      <c r="D94" s="297"/>
      <c r="E94" s="288">
        <f t="shared" si="19"/>
        <v>1</v>
      </c>
      <c r="F94" s="297"/>
      <c r="G94" s="288">
        <f t="shared" si="20"/>
        <v>1</v>
      </c>
      <c r="H94" s="297"/>
      <c r="I94" s="288">
        <f t="shared" si="21"/>
        <v>1</v>
      </c>
      <c r="J94" s="297"/>
      <c r="K94" s="288">
        <f t="shared" si="22"/>
        <v>1</v>
      </c>
      <c r="L94" s="297"/>
      <c r="M94" s="288">
        <f t="shared" si="23"/>
        <v>1</v>
      </c>
      <c r="N94" s="297"/>
      <c r="O94" s="288">
        <f t="shared" si="24"/>
        <v>1</v>
      </c>
      <c r="P94" s="297"/>
      <c r="Q94" s="288">
        <f t="shared" si="25"/>
        <v>1</v>
      </c>
      <c r="R94" s="348">
        <f t="shared" si="26"/>
        <v>0</v>
      </c>
      <c r="S94" s="287">
        <f t="shared" si="17"/>
        <v>0</v>
      </c>
    </row>
    <row r="95" spans="1:19">
      <c r="A95" s="295"/>
      <c r="B95" s="296"/>
      <c r="C95" s="288">
        <f t="shared" si="18"/>
        <v>1</v>
      </c>
      <c r="D95" s="297"/>
      <c r="E95" s="288">
        <f t="shared" si="19"/>
        <v>1</v>
      </c>
      <c r="F95" s="297"/>
      <c r="G95" s="288">
        <f t="shared" si="20"/>
        <v>1</v>
      </c>
      <c r="H95" s="297"/>
      <c r="I95" s="288">
        <f t="shared" si="21"/>
        <v>1</v>
      </c>
      <c r="J95" s="297"/>
      <c r="K95" s="288">
        <f t="shared" si="22"/>
        <v>1</v>
      </c>
      <c r="L95" s="297"/>
      <c r="M95" s="288">
        <f t="shared" si="23"/>
        <v>1</v>
      </c>
      <c r="N95" s="297"/>
      <c r="O95" s="288">
        <f t="shared" si="24"/>
        <v>1</v>
      </c>
      <c r="P95" s="297"/>
      <c r="Q95" s="288">
        <f t="shared" si="25"/>
        <v>1</v>
      </c>
      <c r="R95" s="348">
        <f t="shared" si="26"/>
        <v>0</v>
      </c>
      <c r="S95" s="287">
        <f t="shared" si="17"/>
        <v>0</v>
      </c>
    </row>
    <row r="96" spans="1:19">
      <c r="A96" s="295"/>
      <c r="B96" s="296"/>
      <c r="C96" s="288">
        <f t="shared" si="18"/>
        <v>1</v>
      </c>
      <c r="D96" s="297"/>
      <c r="E96" s="288">
        <f t="shared" si="19"/>
        <v>1</v>
      </c>
      <c r="F96" s="297"/>
      <c r="G96" s="288">
        <f t="shared" si="20"/>
        <v>1</v>
      </c>
      <c r="H96" s="297"/>
      <c r="I96" s="288">
        <f t="shared" si="21"/>
        <v>1</v>
      </c>
      <c r="J96" s="297"/>
      <c r="K96" s="288">
        <f t="shared" si="22"/>
        <v>1</v>
      </c>
      <c r="L96" s="297"/>
      <c r="M96" s="288">
        <f t="shared" si="23"/>
        <v>1</v>
      </c>
      <c r="N96" s="297"/>
      <c r="O96" s="288">
        <f t="shared" si="24"/>
        <v>1</v>
      </c>
      <c r="P96" s="297"/>
      <c r="Q96" s="288">
        <f t="shared" si="25"/>
        <v>1</v>
      </c>
      <c r="R96" s="348">
        <f t="shared" si="26"/>
        <v>0</v>
      </c>
      <c r="S96" s="287">
        <f t="shared" si="17"/>
        <v>0</v>
      </c>
    </row>
    <row r="97" spans="1:19">
      <c r="A97" s="295"/>
      <c r="B97" s="296"/>
      <c r="C97" s="288">
        <f t="shared" si="18"/>
        <v>1</v>
      </c>
      <c r="D97" s="297"/>
      <c r="E97" s="288">
        <f t="shared" si="19"/>
        <v>1</v>
      </c>
      <c r="F97" s="297"/>
      <c r="G97" s="288">
        <f t="shared" si="20"/>
        <v>1</v>
      </c>
      <c r="H97" s="297"/>
      <c r="I97" s="288">
        <f t="shared" si="21"/>
        <v>1</v>
      </c>
      <c r="J97" s="297"/>
      <c r="K97" s="288">
        <f t="shared" si="22"/>
        <v>1</v>
      </c>
      <c r="L97" s="297"/>
      <c r="M97" s="288">
        <f t="shared" si="23"/>
        <v>1</v>
      </c>
      <c r="N97" s="297"/>
      <c r="O97" s="288">
        <f t="shared" si="24"/>
        <v>1</v>
      </c>
      <c r="P97" s="297"/>
      <c r="Q97" s="288">
        <f t="shared" si="25"/>
        <v>1</v>
      </c>
      <c r="R97" s="348">
        <f t="shared" si="26"/>
        <v>0</v>
      </c>
      <c r="S97" s="287">
        <f t="shared" si="17"/>
        <v>0</v>
      </c>
    </row>
    <row r="98" spans="1:19">
      <c r="A98" s="295"/>
      <c r="B98" s="296"/>
      <c r="C98" s="288">
        <f t="shared" si="18"/>
        <v>1</v>
      </c>
      <c r="D98" s="297"/>
      <c r="E98" s="288">
        <f t="shared" si="19"/>
        <v>1</v>
      </c>
      <c r="F98" s="297"/>
      <c r="G98" s="288">
        <f t="shared" si="20"/>
        <v>1</v>
      </c>
      <c r="H98" s="297"/>
      <c r="I98" s="288">
        <f t="shared" si="21"/>
        <v>1</v>
      </c>
      <c r="J98" s="297"/>
      <c r="K98" s="288">
        <f t="shared" si="22"/>
        <v>1</v>
      </c>
      <c r="L98" s="297"/>
      <c r="M98" s="288">
        <f t="shared" si="23"/>
        <v>1</v>
      </c>
      <c r="N98" s="297"/>
      <c r="O98" s="288">
        <f t="shared" si="24"/>
        <v>1</v>
      </c>
      <c r="P98" s="297"/>
      <c r="Q98" s="288">
        <f t="shared" si="25"/>
        <v>1</v>
      </c>
      <c r="R98" s="348">
        <f t="shared" si="26"/>
        <v>0</v>
      </c>
      <c r="S98" s="287">
        <f t="shared" si="17"/>
        <v>0</v>
      </c>
    </row>
    <row r="99" spans="1:19">
      <c r="A99" s="295"/>
      <c r="B99" s="296"/>
      <c r="C99" s="288">
        <f t="shared" si="18"/>
        <v>1</v>
      </c>
      <c r="D99" s="297"/>
      <c r="E99" s="288">
        <f t="shared" si="19"/>
        <v>1</v>
      </c>
      <c r="F99" s="297"/>
      <c r="G99" s="288">
        <f t="shared" si="20"/>
        <v>1</v>
      </c>
      <c r="H99" s="297"/>
      <c r="I99" s="288">
        <f t="shared" si="21"/>
        <v>1</v>
      </c>
      <c r="J99" s="297"/>
      <c r="K99" s="288">
        <f t="shared" si="22"/>
        <v>1</v>
      </c>
      <c r="L99" s="297"/>
      <c r="M99" s="288">
        <f t="shared" si="23"/>
        <v>1</v>
      </c>
      <c r="N99" s="297"/>
      <c r="O99" s="288">
        <f t="shared" si="24"/>
        <v>1</v>
      </c>
      <c r="P99" s="297"/>
      <c r="Q99" s="288">
        <f t="shared" si="25"/>
        <v>1</v>
      </c>
      <c r="R99" s="348">
        <f t="shared" si="26"/>
        <v>0</v>
      </c>
      <c r="S99" s="287">
        <f t="shared" si="17"/>
        <v>0</v>
      </c>
    </row>
    <row r="100" spans="1:19">
      <c r="A100" s="295"/>
      <c r="B100" s="296"/>
      <c r="C100" s="288">
        <f t="shared" si="18"/>
        <v>1</v>
      </c>
      <c r="D100" s="297"/>
      <c r="E100" s="288">
        <f t="shared" si="19"/>
        <v>1</v>
      </c>
      <c r="F100" s="297"/>
      <c r="G100" s="288">
        <f t="shared" si="20"/>
        <v>1</v>
      </c>
      <c r="H100" s="297"/>
      <c r="I100" s="288">
        <f t="shared" si="21"/>
        <v>1</v>
      </c>
      <c r="J100" s="297"/>
      <c r="K100" s="288">
        <f t="shared" si="22"/>
        <v>1</v>
      </c>
      <c r="L100" s="297"/>
      <c r="M100" s="288">
        <f t="shared" si="23"/>
        <v>1</v>
      </c>
      <c r="N100" s="297"/>
      <c r="O100" s="288">
        <f t="shared" si="24"/>
        <v>1</v>
      </c>
      <c r="P100" s="297"/>
      <c r="Q100" s="288">
        <f t="shared" si="25"/>
        <v>1</v>
      </c>
      <c r="R100" s="348">
        <f t="shared" si="26"/>
        <v>0</v>
      </c>
      <c r="S100" s="287">
        <f t="shared" si="17"/>
        <v>0</v>
      </c>
    </row>
    <row r="101" spans="1:19">
      <c r="A101" s="295"/>
      <c r="B101" s="296"/>
      <c r="C101" s="288">
        <f t="shared" si="18"/>
        <v>1</v>
      </c>
      <c r="D101" s="297"/>
      <c r="E101" s="288">
        <f t="shared" si="19"/>
        <v>1</v>
      </c>
      <c r="F101" s="297"/>
      <c r="G101" s="288">
        <f t="shared" si="20"/>
        <v>1</v>
      </c>
      <c r="H101" s="297"/>
      <c r="I101" s="288">
        <f t="shared" si="21"/>
        <v>1</v>
      </c>
      <c r="J101" s="297"/>
      <c r="K101" s="288">
        <f t="shared" si="22"/>
        <v>1</v>
      </c>
      <c r="L101" s="297"/>
      <c r="M101" s="288">
        <f t="shared" si="23"/>
        <v>1</v>
      </c>
      <c r="N101" s="297"/>
      <c r="O101" s="288">
        <f t="shared" si="24"/>
        <v>1</v>
      </c>
      <c r="P101" s="297"/>
      <c r="Q101" s="288">
        <f t="shared" si="25"/>
        <v>1</v>
      </c>
      <c r="R101" s="348">
        <f t="shared" si="26"/>
        <v>0</v>
      </c>
      <c r="S101" s="287">
        <f t="shared" si="17"/>
        <v>0</v>
      </c>
    </row>
    <row r="102" spans="1:19">
      <c r="A102" s="295"/>
      <c r="B102" s="296"/>
      <c r="C102" s="288">
        <f t="shared" si="18"/>
        <v>1</v>
      </c>
      <c r="D102" s="297"/>
      <c r="E102" s="288">
        <f t="shared" si="19"/>
        <v>1</v>
      </c>
      <c r="F102" s="297"/>
      <c r="G102" s="288">
        <f t="shared" si="20"/>
        <v>1</v>
      </c>
      <c r="H102" s="297"/>
      <c r="I102" s="288">
        <f t="shared" si="21"/>
        <v>1</v>
      </c>
      <c r="J102" s="297"/>
      <c r="K102" s="288">
        <f t="shared" si="22"/>
        <v>1</v>
      </c>
      <c r="L102" s="297"/>
      <c r="M102" s="288">
        <f t="shared" si="23"/>
        <v>1</v>
      </c>
      <c r="N102" s="297"/>
      <c r="O102" s="288">
        <f t="shared" si="24"/>
        <v>1</v>
      </c>
      <c r="P102" s="297"/>
      <c r="Q102" s="288">
        <f t="shared" si="25"/>
        <v>1</v>
      </c>
      <c r="R102" s="348">
        <f t="shared" si="26"/>
        <v>0</v>
      </c>
      <c r="S102" s="287">
        <f t="shared" si="17"/>
        <v>0</v>
      </c>
    </row>
    <row r="103" spans="1:19">
      <c r="A103" s="295"/>
      <c r="B103" s="296"/>
      <c r="C103" s="288">
        <f t="shared" si="18"/>
        <v>1</v>
      </c>
      <c r="D103" s="297"/>
      <c r="E103" s="288">
        <f t="shared" si="19"/>
        <v>1</v>
      </c>
      <c r="F103" s="297"/>
      <c r="G103" s="288">
        <f t="shared" si="20"/>
        <v>1</v>
      </c>
      <c r="H103" s="297"/>
      <c r="I103" s="288">
        <f t="shared" si="21"/>
        <v>1</v>
      </c>
      <c r="J103" s="297"/>
      <c r="K103" s="288">
        <f t="shared" si="22"/>
        <v>1</v>
      </c>
      <c r="L103" s="297"/>
      <c r="M103" s="288">
        <f t="shared" si="23"/>
        <v>1</v>
      </c>
      <c r="N103" s="297"/>
      <c r="O103" s="288">
        <f t="shared" si="24"/>
        <v>1</v>
      </c>
      <c r="P103" s="297"/>
      <c r="Q103" s="288">
        <f t="shared" si="25"/>
        <v>1</v>
      </c>
      <c r="R103" s="348">
        <f t="shared" si="26"/>
        <v>0</v>
      </c>
      <c r="S103" s="287">
        <f t="shared" si="17"/>
        <v>0</v>
      </c>
    </row>
    <row r="104" spans="1:19">
      <c r="A104" s="295"/>
      <c r="B104" s="296"/>
      <c r="C104" s="288">
        <f t="shared" si="18"/>
        <v>1</v>
      </c>
      <c r="D104" s="297"/>
      <c r="E104" s="288">
        <f t="shared" si="19"/>
        <v>1</v>
      </c>
      <c r="F104" s="297"/>
      <c r="G104" s="288">
        <f t="shared" si="20"/>
        <v>1</v>
      </c>
      <c r="H104" s="297"/>
      <c r="I104" s="288">
        <f t="shared" si="21"/>
        <v>1</v>
      </c>
      <c r="J104" s="297"/>
      <c r="K104" s="288">
        <f t="shared" si="22"/>
        <v>1</v>
      </c>
      <c r="L104" s="297"/>
      <c r="M104" s="288">
        <f t="shared" si="23"/>
        <v>1</v>
      </c>
      <c r="N104" s="297"/>
      <c r="O104" s="288">
        <f t="shared" si="24"/>
        <v>1</v>
      </c>
      <c r="P104" s="297"/>
      <c r="Q104" s="288">
        <f t="shared" si="25"/>
        <v>1</v>
      </c>
      <c r="R104" s="348">
        <f t="shared" si="26"/>
        <v>0</v>
      </c>
      <c r="S104" s="287">
        <f t="shared" si="17"/>
        <v>0</v>
      </c>
    </row>
    <row r="105" spans="1:19">
      <c r="A105" s="295"/>
      <c r="B105" s="296"/>
      <c r="C105" s="288">
        <f t="shared" si="18"/>
        <v>1</v>
      </c>
      <c r="D105" s="297"/>
      <c r="E105" s="288">
        <f t="shared" si="19"/>
        <v>1</v>
      </c>
      <c r="F105" s="297"/>
      <c r="G105" s="288">
        <f t="shared" si="20"/>
        <v>1</v>
      </c>
      <c r="H105" s="297"/>
      <c r="I105" s="288">
        <f t="shared" si="21"/>
        <v>1</v>
      </c>
      <c r="J105" s="297"/>
      <c r="K105" s="288">
        <f t="shared" si="22"/>
        <v>1</v>
      </c>
      <c r="L105" s="297"/>
      <c r="M105" s="288">
        <f t="shared" si="23"/>
        <v>1</v>
      </c>
      <c r="N105" s="297"/>
      <c r="O105" s="288">
        <f t="shared" si="24"/>
        <v>1</v>
      </c>
      <c r="P105" s="297"/>
      <c r="Q105" s="288">
        <f t="shared" si="25"/>
        <v>1</v>
      </c>
      <c r="R105" s="348">
        <f t="shared" si="26"/>
        <v>0</v>
      </c>
      <c r="S105" s="287">
        <f t="shared" si="17"/>
        <v>0</v>
      </c>
    </row>
    <row r="106" spans="1:19">
      <c r="A106" s="295"/>
      <c r="B106" s="296"/>
      <c r="C106" s="288">
        <f t="shared" si="18"/>
        <v>1</v>
      </c>
      <c r="D106" s="297"/>
      <c r="E106" s="288">
        <f t="shared" si="19"/>
        <v>1</v>
      </c>
      <c r="F106" s="297"/>
      <c r="G106" s="288">
        <f t="shared" si="20"/>
        <v>1</v>
      </c>
      <c r="H106" s="297"/>
      <c r="I106" s="288">
        <f t="shared" si="21"/>
        <v>1</v>
      </c>
      <c r="J106" s="297"/>
      <c r="K106" s="288">
        <f t="shared" si="22"/>
        <v>1</v>
      </c>
      <c r="L106" s="297"/>
      <c r="M106" s="288">
        <f t="shared" si="23"/>
        <v>1</v>
      </c>
      <c r="N106" s="297"/>
      <c r="O106" s="288">
        <f t="shared" si="24"/>
        <v>1</v>
      </c>
      <c r="P106" s="297"/>
      <c r="Q106" s="288">
        <f t="shared" si="25"/>
        <v>1</v>
      </c>
      <c r="R106" s="348">
        <f t="shared" si="26"/>
        <v>0</v>
      </c>
      <c r="S106" s="287">
        <f t="shared" si="17"/>
        <v>0</v>
      </c>
    </row>
    <row r="107" spans="1:19">
      <c r="A107" s="295"/>
      <c r="B107" s="296"/>
      <c r="C107" s="288">
        <f t="shared" si="18"/>
        <v>1</v>
      </c>
      <c r="D107" s="297"/>
      <c r="E107" s="288">
        <f t="shared" si="19"/>
        <v>1</v>
      </c>
      <c r="F107" s="297"/>
      <c r="G107" s="288">
        <f t="shared" si="20"/>
        <v>1</v>
      </c>
      <c r="H107" s="297"/>
      <c r="I107" s="288">
        <f t="shared" si="21"/>
        <v>1</v>
      </c>
      <c r="J107" s="297"/>
      <c r="K107" s="288">
        <f t="shared" si="22"/>
        <v>1</v>
      </c>
      <c r="L107" s="297"/>
      <c r="M107" s="288">
        <f t="shared" si="23"/>
        <v>1</v>
      </c>
      <c r="N107" s="297"/>
      <c r="O107" s="288">
        <f t="shared" si="24"/>
        <v>1</v>
      </c>
      <c r="P107" s="297"/>
      <c r="Q107" s="288">
        <f t="shared" si="25"/>
        <v>1</v>
      </c>
      <c r="R107" s="348">
        <f t="shared" si="26"/>
        <v>0</v>
      </c>
      <c r="S107" s="287">
        <f t="shared" si="17"/>
        <v>0</v>
      </c>
    </row>
    <row r="108" spans="1:19">
      <c r="A108" s="295"/>
      <c r="B108" s="296"/>
      <c r="C108" s="288">
        <f t="shared" si="18"/>
        <v>1</v>
      </c>
      <c r="D108" s="297"/>
      <c r="E108" s="288">
        <f t="shared" si="19"/>
        <v>1</v>
      </c>
      <c r="F108" s="297"/>
      <c r="G108" s="288">
        <f t="shared" si="20"/>
        <v>1</v>
      </c>
      <c r="H108" s="297"/>
      <c r="I108" s="288">
        <f t="shared" si="21"/>
        <v>1</v>
      </c>
      <c r="J108" s="297"/>
      <c r="K108" s="288">
        <f t="shared" si="22"/>
        <v>1</v>
      </c>
      <c r="L108" s="297"/>
      <c r="M108" s="288">
        <f t="shared" si="23"/>
        <v>1</v>
      </c>
      <c r="N108" s="297"/>
      <c r="O108" s="288">
        <f t="shared" si="24"/>
        <v>1</v>
      </c>
      <c r="P108" s="297"/>
      <c r="Q108" s="288">
        <f t="shared" si="25"/>
        <v>1</v>
      </c>
      <c r="R108" s="348">
        <f t="shared" si="26"/>
        <v>0</v>
      </c>
      <c r="S108" s="287">
        <f t="shared" si="17"/>
        <v>0</v>
      </c>
    </row>
    <row r="109" spans="1:19">
      <c r="A109" s="295"/>
      <c r="B109" s="296"/>
      <c r="C109" s="288">
        <f t="shared" si="18"/>
        <v>1</v>
      </c>
      <c r="D109" s="297"/>
      <c r="E109" s="288">
        <f t="shared" si="19"/>
        <v>1</v>
      </c>
      <c r="F109" s="297"/>
      <c r="G109" s="288">
        <f t="shared" si="20"/>
        <v>1</v>
      </c>
      <c r="H109" s="297"/>
      <c r="I109" s="288">
        <f t="shared" si="21"/>
        <v>1</v>
      </c>
      <c r="J109" s="297"/>
      <c r="K109" s="288">
        <f t="shared" si="22"/>
        <v>1</v>
      </c>
      <c r="L109" s="297"/>
      <c r="M109" s="288">
        <f t="shared" si="23"/>
        <v>1</v>
      </c>
      <c r="N109" s="297"/>
      <c r="O109" s="288">
        <f t="shared" si="24"/>
        <v>1</v>
      </c>
      <c r="P109" s="297"/>
      <c r="Q109" s="288">
        <f t="shared" si="25"/>
        <v>1</v>
      </c>
      <c r="R109" s="348">
        <f t="shared" si="26"/>
        <v>0</v>
      </c>
      <c r="S109" s="287">
        <f t="shared" si="17"/>
        <v>0</v>
      </c>
    </row>
    <row r="110" spans="1:19">
      <c r="A110" s="295"/>
      <c r="B110" s="296"/>
      <c r="C110" s="288">
        <f t="shared" si="18"/>
        <v>1</v>
      </c>
      <c r="D110" s="297"/>
      <c r="E110" s="288">
        <f t="shared" si="19"/>
        <v>1</v>
      </c>
      <c r="F110" s="297"/>
      <c r="G110" s="288">
        <f t="shared" si="20"/>
        <v>1</v>
      </c>
      <c r="H110" s="297"/>
      <c r="I110" s="288">
        <f t="shared" si="21"/>
        <v>1</v>
      </c>
      <c r="J110" s="297"/>
      <c r="K110" s="288">
        <f t="shared" si="22"/>
        <v>1</v>
      </c>
      <c r="L110" s="297"/>
      <c r="M110" s="288">
        <f t="shared" si="23"/>
        <v>1</v>
      </c>
      <c r="N110" s="297"/>
      <c r="O110" s="288">
        <f t="shared" si="24"/>
        <v>1</v>
      </c>
      <c r="P110" s="297"/>
      <c r="Q110" s="288">
        <f t="shared" si="25"/>
        <v>1</v>
      </c>
      <c r="R110" s="348">
        <f t="shared" si="26"/>
        <v>0</v>
      </c>
      <c r="S110" s="287">
        <f t="shared" si="17"/>
        <v>0</v>
      </c>
    </row>
    <row r="111" spans="1:19">
      <c r="A111" s="295"/>
      <c r="B111" s="296"/>
      <c r="C111" s="288">
        <f t="shared" si="18"/>
        <v>1</v>
      </c>
      <c r="D111" s="297"/>
      <c r="E111" s="288">
        <f t="shared" si="19"/>
        <v>1</v>
      </c>
      <c r="F111" s="297"/>
      <c r="G111" s="288">
        <f t="shared" si="20"/>
        <v>1</v>
      </c>
      <c r="H111" s="297"/>
      <c r="I111" s="288">
        <f t="shared" si="21"/>
        <v>1</v>
      </c>
      <c r="J111" s="297"/>
      <c r="K111" s="288">
        <f t="shared" si="22"/>
        <v>1</v>
      </c>
      <c r="L111" s="297"/>
      <c r="M111" s="288">
        <f t="shared" si="23"/>
        <v>1</v>
      </c>
      <c r="N111" s="297"/>
      <c r="O111" s="288">
        <f t="shared" si="24"/>
        <v>1</v>
      </c>
      <c r="P111" s="297"/>
      <c r="Q111" s="288">
        <f t="shared" si="25"/>
        <v>1</v>
      </c>
      <c r="R111" s="348">
        <f t="shared" si="26"/>
        <v>0</v>
      </c>
      <c r="S111" s="287">
        <f t="shared" si="17"/>
        <v>0</v>
      </c>
    </row>
    <row r="112" spans="1:19">
      <c r="A112" s="295"/>
      <c r="B112" s="296"/>
      <c r="C112" s="288">
        <f t="shared" si="18"/>
        <v>1</v>
      </c>
      <c r="D112" s="297"/>
      <c r="E112" s="288">
        <f t="shared" si="19"/>
        <v>1</v>
      </c>
      <c r="F112" s="297"/>
      <c r="G112" s="288">
        <f t="shared" si="20"/>
        <v>1</v>
      </c>
      <c r="H112" s="297"/>
      <c r="I112" s="288">
        <f t="shared" si="21"/>
        <v>1</v>
      </c>
      <c r="J112" s="297"/>
      <c r="K112" s="288">
        <f t="shared" si="22"/>
        <v>1</v>
      </c>
      <c r="L112" s="297"/>
      <c r="M112" s="288">
        <f t="shared" si="23"/>
        <v>1</v>
      </c>
      <c r="N112" s="297"/>
      <c r="O112" s="288">
        <f t="shared" si="24"/>
        <v>1</v>
      </c>
      <c r="P112" s="297"/>
      <c r="Q112" s="288">
        <f t="shared" si="25"/>
        <v>1</v>
      </c>
      <c r="R112" s="348">
        <f t="shared" si="26"/>
        <v>0</v>
      </c>
      <c r="S112" s="287">
        <f t="shared" si="17"/>
        <v>0</v>
      </c>
    </row>
    <row r="113" spans="1:19">
      <c r="A113" s="295"/>
      <c r="B113" s="296"/>
      <c r="C113" s="288">
        <f t="shared" si="18"/>
        <v>1</v>
      </c>
      <c r="D113" s="297"/>
      <c r="E113" s="288">
        <f t="shared" si="19"/>
        <v>1</v>
      </c>
      <c r="F113" s="297"/>
      <c r="G113" s="288">
        <f t="shared" si="20"/>
        <v>1</v>
      </c>
      <c r="H113" s="297"/>
      <c r="I113" s="288">
        <f t="shared" si="21"/>
        <v>1</v>
      </c>
      <c r="J113" s="297"/>
      <c r="K113" s="288">
        <f t="shared" si="22"/>
        <v>1</v>
      </c>
      <c r="L113" s="297"/>
      <c r="M113" s="288">
        <f t="shared" si="23"/>
        <v>1</v>
      </c>
      <c r="N113" s="297"/>
      <c r="O113" s="288">
        <f t="shared" si="24"/>
        <v>1</v>
      </c>
      <c r="P113" s="297"/>
      <c r="Q113" s="288">
        <f t="shared" si="25"/>
        <v>1</v>
      </c>
      <c r="R113" s="348">
        <f t="shared" si="26"/>
        <v>0</v>
      </c>
      <c r="S113" s="287">
        <f t="shared" si="17"/>
        <v>0</v>
      </c>
    </row>
    <row r="114" spans="1:19">
      <c r="A114" s="295"/>
      <c r="B114" s="296"/>
      <c r="C114" s="288">
        <f t="shared" si="18"/>
        <v>1</v>
      </c>
      <c r="D114" s="297"/>
      <c r="E114" s="288">
        <f t="shared" si="19"/>
        <v>1</v>
      </c>
      <c r="F114" s="297"/>
      <c r="G114" s="288">
        <f t="shared" si="20"/>
        <v>1</v>
      </c>
      <c r="H114" s="297"/>
      <c r="I114" s="288">
        <f t="shared" si="21"/>
        <v>1</v>
      </c>
      <c r="J114" s="297"/>
      <c r="K114" s="288">
        <f t="shared" si="22"/>
        <v>1</v>
      </c>
      <c r="L114" s="297"/>
      <c r="M114" s="288">
        <f t="shared" si="23"/>
        <v>1</v>
      </c>
      <c r="N114" s="297"/>
      <c r="O114" s="288">
        <f t="shared" si="24"/>
        <v>1</v>
      </c>
      <c r="P114" s="297"/>
      <c r="Q114" s="288">
        <f t="shared" si="25"/>
        <v>1</v>
      </c>
      <c r="R114" s="348">
        <f t="shared" si="26"/>
        <v>0</v>
      </c>
      <c r="S114" s="287">
        <f t="shared" si="17"/>
        <v>0</v>
      </c>
    </row>
    <row r="115" spans="1:19">
      <c r="A115" s="295"/>
      <c r="B115" s="296"/>
      <c r="C115" s="288">
        <f t="shared" si="18"/>
        <v>1</v>
      </c>
      <c r="D115" s="297"/>
      <c r="E115" s="288">
        <f t="shared" si="19"/>
        <v>1</v>
      </c>
      <c r="F115" s="297"/>
      <c r="G115" s="288">
        <f t="shared" si="20"/>
        <v>1</v>
      </c>
      <c r="H115" s="297"/>
      <c r="I115" s="288">
        <f t="shared" si="21"/>
        <v>1</v>
      </c>
      <c r="J115" s="297"/>
      <c r="K115" s="288">
        <f t="shared" si="22"/>
        <v>1</v>
      </c>
      <c r="L115" s="297"/>
      <c r="M115" s="288">
        <f t="shared" si="23"/>
        <v>1</v>
      </c>
      <c r="N115" s="297"/>
      <c r="O115" s="288">
        <f t="shared" si="24"/>
        <v>1</v>
      </c>
      <c r="P115" s="297"/>
      <c r="Q115" s="288">
        <f t="shared" si="25"/>
        <v>1</v>
      </c>
      <c r="R115" s="348">
        <f t="shared" si="26"/>
        <v>0</v>
      </c>
      <c r="S115" s="287">
        <f t="shared" si="17"/>
        <v>0</v>
      </c>
    </row>
    <row r="116" spans="1:19">
      <c r="A116" s="295"/>
      <c r="B116" s="296"/>
      <c r="C116" s="288">
        <f t="shared" si="18"/>
        <v>1</v>
      </c>
      <c r="D116" s="297"/>
      <c r="E116" s="288">
        <f t="shared" si="19"/>
        <v>1</v>
      </c>
      <c r="F116" s="297"/>
      <c r="G116" s="288">
        <f t="shared" si="20"/>
        <v>1</v>
      </c>
      <c r="H116" s="297"/>
      <c r="I116" s="288">
        <f t="shared" si="21"/>
        <v>1</v>
      </c>
      <c r="J116" s="297"/>
      <c r="K116" s="288">
        <f t="shared" si="22"/>
        <v>1</v>
      </c>
      <c r="L116" s="297"/>
      <c r="M116" s="288">
        <f t="shared" si="23"/>
        <v>1</v>
      </c>
      <c r="N116" s="297"/>
      <c r="O116" s="288">
        <f t="shared" si="24"/>
        <v>1</v>
      </c>
      <c r="P116" s="297"/>
      <c r="Q116" s="288">
        <f t="shared" si="25"/>
        <v>1</v>
      </c>
      <c r="R116" s="348">
        <f t="shared" si="26"/>
        <v>0</v>
      </c>
      <c r="S116" s="287">
        <f t="shared" si="17"/>
        <v>0</v>
      </c>
    </row>
    <row r="117" spans="1:19">
      <c r="A117" s="295"/>
      <c r="B117" s="296"/>
      <c r="C117" s="288">
        <f t="shared" si="18"/>
        <v>1</v>
      </c>
      <c r="D117" s="297"/>
      <c r="E117" s="288">
        <f t="shared" si="19"/>
        <v>1</v>
      </c>
      <c r="F117" s="297"/>
      <c r="G117" s="288">
        <f t="shared" si="20"/>
        <v>1</v>
      </c>
      <c r="H117" s="297"/>
      <c r="I117" s="288">
        <f t="shared" si="21"/>
        <v>1</v>
      </c>
      <c r="J117" s="297"/>
      <c r="K117" s="288">
        <f t="shared" si="22"/>
        <v>1</v>
      </c>
      <c r="L117" s="297"/>
      <c r="M117" s="288">
        <f t="shared" si="23"/>
        <v>1</v>
      </c>
      <c r="N117" s="297"/>
      <c r="O117" s="288">
        <f t="shared" si="24"/>
        <v>1</v>
      </c>
      <c r="P117" s="297"/>
      <c r="Q117" s="288">
        <f t="shared" si="25"/>
        <v>1</v>
      </c>
      <c r="R117" s="348">
        <f t="shared" si="26"/>
        <v>0</v>
      </c>
      <c r="S117" s="287">
        <f t="shared" si="17"/>
        <v>0</v>
      </c>
    </row>
    <row r="118" spans="1:19">
      <c r="A118" s="295"/>
      <c r="B118" s="296"/>
      <c r="C118" s="288">
        <f t="shared" si="18"/>
        <v>1</v>
      </c>
      <c r="D118" s="297"/>
      <c r="E118" s="288">
        <f t="shared" si="19"/>
        <v>1</v>
      </c>
      <c r="F118" s="297"/>
      <c r="G118" s="288">
        <f t="shared" si="20"/>
        <v>1</v>
      </c>
      <c r="H118" s="297"/>
      <c r="I118" s="288">
        <f t="shared" si="21"/>
        <v>1</v>
      </c>
      <c r="J118" s="297"/>
      <c r="K118" s="288">
        <f t="shared" si="22"/>
        <v>1</v>
      </c>
      <c r="L118" s="297"/>
      <c r="M118" s="288">
        <f t="shared" si="23"/>
        <v>1</v>
      </c>
      <c r="N118" s="297"/>
      <c r="O118" s="288">
        <f t="shared" si="24"/>
        <v>1</v>
      </c>
      <c r="P118" s="297"/>
      <c r="Q118" s="288">
        <f t="shared" si="25"/>
        <v>1</v>
      </c>
      <c r="R118" s="348">
        <f t="shared" si="26"/>
        <v>0</v>
      </c>
      <c r="S118" s="287">
        <f t="shared" si="17"/>
        <v>0</v>
      </c>
    </row>
    <row r="119" spans="1:19">
      <c r="A119" s="295"/>
      <c r="B119" s="296"/>
      <c r="C119" s="288">
        <f t="shared" si="18"/>
        <v>1</v>
      </c>
      <c r="D119" s="297"/>
      <c r="E119" s="288">
        <f t="shared" si="19"/>
        <v>1</v>
      </c>
      <c r="F119" s="297"/>
      <c r="G119" s="288">
        <f t="shared" si="20"/>
        <v>1</v>
      </c>
      <c r="H119" s="297"/>
      <c r="I119" s="288">
        <f t="shared" si="21"/>
        <v>1</v>
      </c>
      <c r="J119" s="297"/>
      <c r="K119" s="288">
        <f t="shared" si="22"/>
        <v>1</v>
      </c>
      <c r="L119" s="297"/>
      <c r="M119" s="288">
        <f t="shared" si="23"/>
        <v>1</v>
      </c>
      <c r="N119" s="297"/>
      <c r="O119" s="288">
        <f t="shared" si="24"/>
        <v>1</v>
      </c>
      <c r="P119" s="297"/>
      <c r="Q119" s="288">
        <f t="shared" si="25"/>
        <v>1</v>
      </c>
      <c r="R119" s="348">
        <f t="shared" si="26"/>
        <v>0</v>
      </c>
      <c r="S119" s="287">
        <f t="shared" si="17"/>
        <v>0</v>
      </c>
    </row>
    <row r="120" spans="1:19">
      <c r="A120" s="295"/>
      <c r="B120" s="296"/>
      <c r="C120" s="288">
        <f t="shared" si="18"/>
        <v>1</v>
      </c>
      <c r="D120" s="297"/>
      <c r="E120" s="288">
        <f t="shared" si="19"/>
        <v>1</v>
      </c>
      <c r="F120" s="297"/>
      <c r="G120" s="288">
        <f t="shared" si="20"/>
        <v>1</v>
      </c>
      <c r="H120" s="297"/>
      <c r="I120" s="288">
        <f t="shared" si="21"/>
        <v>1</v>
      </c>
      <c r="J120" s="297"/>
      <c r="K120" s="288">
        <f t="shared" si="22"/>
        <v>1</v>
      </c>
      <c r="L120" s="297"/>
      <c r="M120" s="288">
        <f t="shared" si="23"/>
        <v>1</v>
      </c>
      <c r="N120" s="297"/>
      <c r="O120" s="288">
        <f t="shared" si="24"/>
        <v>1</v>
      </c>
      <c r="P120" s="297"/>
      <c r="Q120" s="288">
        <f t="shared" si="25"/>
        <v>1</v>
      </c>
      <c r="R120" s="348">
        <f t="shared" si="26"/>
        <v>0</v>
      </c>
      <c r="S120" s="287">
        <f t="shared" si="17"/>
        <v>0</v>
      </c>
    </row>
    <row r="121" spans="1:19">
      <c r="A121" s="295"/>
      <c r="B121" s="296"/>
      <c r="C121" s="288">
        <f t="shared" si="18"/>
        <v>1</v>
      </c>
      <c r="D121" s="297"/>
      <c r="E121" s="288">
        <f t="shared" si="19"/>
        <v>1</v>
      </c>
      <c r="F121" s="297"/>
      <c r="G121" s="288">
        <f t="shared" si="20"/>
        <v>1</v>
      </c>
      <c r="H121" s="297"/>
      <c r="I121" s="288">
        <f t="shared" si="21"/>
        <v>1</v>
      </c>
      <c r="J121" s="297"/>
      <c r="K121" s="288">
        <f t="shared" si="22"/>
        <v>1</v>
      </c>
      <c r="L121" s="297"/>
      <c r="M121" s="288">
        <f t="shared" si="23"/>
        <v>1</v>
      </c>
      <c r="N121" s="297"/>
      <c r="O121" s="288">
        <f t="shared" si="24"/>
        <v>1</v>
      </c>
      <c r="P121" s="297"/>
      <c r="Q121" s="288">
        <f t="shared" si="25"/>
        <v>1</v>
      </c>
      <c r="R121" s="348">
        <f t="shared" si="26"/>
        <v>0</v>
      </c>
      <c r="S121" s="287">
        <f t="shared" si="17"/>
        <v>0</v>
      </c>
    </row>
    <row r="122" spans="1:19">
      <c r="A122" s="295"/>
      <c r="B122" s="296"/>
      <c r="C122" s="288">
        <f t="shared" si="18"/>
        <v>1</v>
      </c>
      <c r="D122" s="297"/>
      <c r="E122" s="288">
        <f t="shared" si="19"/>
        <v>1</v>
      </c>
      <c r="F122" s="297"/>
      <c r="G122" s="288">
        <f t="shared" si="20"/>
        <v>1</v>
      </c>
      <c r="H122" s="297"/>
      <c r="I122" s="288">
        <f t="shared" si="21"/>
        <v>1</v>
      </c>
      <c r="J122" s="297"/>
      <c r="K122" s="288">
        <f t="shared" si="22"/>
        <v>1</v>
      </c>
      <c r="L122" s="297"/>
      <c r="M122" s="288">
        <f t="shared" si="23"/>
        <v>1</v>
      </c>
      <c r="N122" s="297"/>
      <c r="O122" s="288">
        <f t="shared" si="24"/>
        <v>1</v>
      </c>
      <c r="P122" s="297"/>
      <c r="Q122" s="288">
        <f t="shared" si="25"/>
        <v>1</v>
      </c>
      <c r="R122" s="348">
        <f t="shared" si="26"/>
        <v>0</v>
      </c>
      <c r="S122" s="287">
        <f t="shared" si="17"/>
        <v>0</v>
      </c>
    </row>
    <row r="123" spans="1:19">
      <c r="A123" s="295"/>
      <c r="B123" s="296"/>
      <c r="C123" s="288">
        <f t="shared" si="18"/>
        <v>1</v>
      </c>
      <c r="D123" s="297"/>
      <c r="E123" s="288">
        <f t="shared" si="19"/>
        <v>1</v>
      </c>
      <c r="F123" s="297"/>
      <c r="G123" s="288">
        <f t="shared" si="20"/>
        <v>1</v>
      </c>
      <c r="H123" s="297"/>
      <c r="I123" s="288">
        <f t="shared" si="21"/>
        <v>1</v>
      </c>
      <c r="J123" s="297"/>
      <c r="K123" s="288">
        <f t="shared" si="22"/>
        <v>1</v>
      </c>
      <c r="L123" s="297"/>
      <c r="M123" s="288">
        <f t="shared" si="23"/>
        <v>1</v>
      </c>
      <c r="N123" s="297"/>
      <c r="O123" s="288">
        <f t="shared" si="24"/>
        <v>1</v>
      </c>
      <c r="P123" s="297"/>
      <c r="Q123" s="288">
        <f t="shared" si="25"/>
        <v>1</v>
      </c>
      <c r="R123" s="348">
        <f t="shared" si="26"/>
        <v>0</v>
      </c>
      <c r="S123" s="287">
        <f t="shared" ref="S123:S186" si="27">ROUND(R123*B123/10000,0)</f>
        <v>0</v>
      </c>
    </row>
    <row r="124" spans="1:19">
      <c r="A124" s="295"/>
      <c r="B124" s="296"/>
      <c r="C124" s="288">
        <f t="shared" si="18"/>
        <v>1</v>
      </c>
      <c r="D124" s="297"/>
      <c r="E124" s="288">
        <f t="shared" si="19"/>
        <v>1</v>
      </c>
      <c r="F124" s="297"/>
      <c r="G124" s="288">
        <f t="shared" si="20"/>
        <v>1</v>
      </c>
      <c r="H124" s="297"/>
      <c r="I124" s="288">
        <f t="shared" si="21"/>
        <v>1</v>
      </c>
      <c r="J124" s="297"/>
      <c r="K124" s="288">
        <f t="shared" si="22"/>
        <v>1</v>
      </c>
      <c r="L124" s="297"/>
      <c r="M124" s="288">
        <f t="shared" si="23"/>
        <v>1</v>
      </c>
      <c r="N124" s="297"/>
      <c r="O124" s="288">
        <f t="shared" si="24"/>
        <v>1</v>
      </c>
      <c r="P124" s="297"/>
      <c r="Q124" s="288">
        <f t="shared" si="25"/>
        <v>1</v>
      </c>
      <c r="R124" s="348">
        <f t="shared" si="26"/>
        <v>0</v>
      </c>
      <c r="S124" s="287">
        <f t="shared" si="27"/>
        <v>0</v>
      </c>
    </row>
    <row r="125" spans="1:19">
      <c r="A125" s="295"/>
      <c r="B125" s="296"/>
      <c r="C125" s="288">
        <f t="shared" si="18"/>
        <v>1</v>
      </c>
      <c r="D125" s="297"/>
      <c r="E125" s="288">
        <f t="shared" si="19"/>
        <v>1</v>
      </c>
      <c r="F125" s="297"/>
      <c r="G125" s="288">
        <f t="shared" si="20"/>
        <v>1</v>
      </c>
      <c r="H125" s="297"/>
      <c r="I125" s="288">
        <f t="shared" si="21"/>
        <v>1</v>
      </c>
      <c r="J125" s="297"/>
      <c r="K125" s="288">
        <f t="shared" si="22"/>
        <v>1</v>
      </c>
      <c r="L125" s="297"/>
      <c r="M125" s="288">
        <f t="shared" si="23"/>
        <v>1</v>
      </c>
      <c r="N125" s="297"/>
      <c r="O125" s="288">
        <f t="shared" si="24"/>
        <v>1</v>
      </c>
      <c r="P125" s="297"/>
      <c r="Q125" s="288">
        <f t="shared" si="25"/>
        <v>1</v>
      </c>
      <c r="R125" s="348">
        <f t="shared" si="26"/>
        <v>0</v>
      </c>
      <c r="S125" s="287">
        <f t="shared" si="27"/>
        <v>0</v>
      </c>
    </row>
    <row r="126" spans="1:19">
      <c r="A126" s="295"/>
      <c r="B126" s="296"/>
      <c r="C126" s="288">
        <f t="shared" si="18"/>
        <v>1</v>
      </c>
      <c r="D126" s="297"/>
      <c r="E126" s="288">
        <f t="shared" si="19"/>
        <v>1</v>
      </c>
      <c r="F126" s="297"/>
      <c r="G126" s="288">
        <f t="shared" si="20"/>
        <v>1</v>
      </c>
      <c r="H126" s="297"/>
      <c r="I126" s="288">
        <f t="shared" si="21"/>
        <v>1</v>
      </c>
      <c r="J126" s="297"/>
      <c r="K126" s="288">
        <f t="shared" si="22"/>
        <v>1</v>
      </c>
      <c r="L126" s="297"/>
      <c r="M126" s="288">
        <f t="shared" si="23"/>
        <v>1</v>
      </c>
      <c r="N126" s="297"/>
      <c r="O126" s="288">
        <f t="shared" si="24"/>
        <v>1</v>
      </c>
      <c r="P126" s="297"/>
      <c r="Q126" s="288">
        <f t="shared" si="25"/>
        <v>1</v>
      </c>
      <c r="R126" s="348">
        <f t="shared" si="26"/>
        <v>0</v>
      </c>
      <c r="S126" s="287">
        <f t="shared" si="27"/>
        <v>0</v>
      </c>
    </row>
    <row r="127" spans="1:19">
      <c r="A127" s="295"/>
      <c r="B127" s="296"/>
      <c r="C127" s="288">
        <f t="shared" si="18"/>
        <v>1</v>
      </c>
      <c r="D127" s="297"/>
      <c r="E127" s="288">
        <f t="shared" si="19"/>
        <v>1</v>
      </c>
      <c r="F127" s="297"/>
      <c r="G127" s="288">
        <f t="shared" si="20"/>
        <v>1</v>
      </c>
      <c r="H127" s="297"/>
      <c r="I127" s="288">
        <f t="shared" si="21"/>
        <v>1</v>
      </c>
      <c r="J127" s="297"/>
      <c r="K127" s="288">
        <f t="shared" si="22"/>
        <v>1</v>
      </c>
      <c r="L127" s="297"/>
      <c r="M127" s="288">
        <f t="shared" si="23"/>
        <v>1</v>
      </c>
      <c r="N127" s="297"/>
      <c r="O127" s="288">
        <f t="shared" si="24"/>
        <v>1</v>
      </c>
      <c r="P127" s="297"/>
      <c r="Q127" s="288">
        <f t="shared" si="25"/>
        <v>1</v>
      </c>
      <c r="R127" s="348">
        <f t="shared" si="26"/>
        <v>0</v>
      </c>
      <c r="S127" s="287">
        <f t="shared" si="27"/>
        <v>0</v>
      </c>
    </row>
    <row r="128" spans="1:19">
      <c r="A128" s="295"/>
      <c r="B128" s="296"/>
      <c r="C128" s="288">
        <f t="shared" si="18"/>
        <v>1</v>
      </c>
      <c r="D128" s="297"/>
      <c r="E128" s="288">
        <f t="shared" si="19"/>
        <v>1</v>
      </c>
      <c r="F128" s="297"/>
      <c r="G128" s="288">
        <f t="shared" si="20"/>
        <v>1</v>
      </c>
      <c r="H128" s="297"/>
      <c r="I128" s="288">
        <f t="shared" si="21"/>
        <v>1</v>
      </c>
      <c r="J128" s="297"/>
      <c r="K128" s="288">
        <f t="shared" si="22"/>
        <v>1</v>
      </c>
      <c r="L128" s="297"/>
      <c r="M128" s="288">
        <f t="shared" si="23"/>
        <v>1</v>
      </c>
      <c r="N128" s="297"/>
      <c r="O128" s="288">
        <f t="shared" si="24"/>
        <v>1</v>
      </c>
      <c r="P128" s="297"/>
      <c r="Q128" s="288">
        <f t="shared" si="25"/>
        <v>1</v>
      </c>
      <c r="R128" s="348">
        <f t="shared" si="26"/>
        <v>0</v>
      </c>
      <c r="S128" s="287">
        <f t="shared" si="27"/>
        <v>0</v>
      </c>
    </row>
    <row r="129" spans="1:19">
      <c r="A129" s="295"/>
      <c r="B129" s="296"/>
      <c r="C129" s="288">
        <f t="shared" si="18"/>
        <v>1</v>
      </c>
      <c r="D129" s="297"/>
      <c r="E129" s="288">
        <f t="shared" si="19"/>
        <v>1</v>
      </c>
      <c r="F129" s="297"/>
      <c r="G129" s="288">
        <f t="shared" si="20"/>
        <v>1</v>
      </c>
      <c r="H129" s="297"/>
      <c r="I129" s="288">
        <f t="shared" si="21"/>
        <v>1</v>
      </c>
      <c r="J129" s="297"/>
      <c r="K129" s="288">
        <f t="shared" si="22"/>
        <v>1</v>
      </c>
      <c r="L129" s="297"/>
      <c r="M129" s="288">
        <f t="shared" si="23"/>
        <v>1</v>
      </c>
      <c r="N129" s="297"/>
      <c r="O129" s="288">
        <f t="shared" si="24"/>
        <v>1</v>
      </c>
      <c r="P129" s="297"/>
      <c r="Q129" s="288">
        <f t="shared" si="25"/>
        <v>1</v>
      </c>
      <c r="R129" s="348">
        <f t="shared" si="26"/>
        <v>0</v>
      </c>
      <c r="S129" s="287">
        <f t="shared" si="27"/>
        <v>0</v>
      </c>
    </row>
    <row r="130" spans="1:19">
      <c r="A130" s="295"/>
      <c r="B130" s="296"/>
      <c r="C130" s="288">
        <f t="shared" si="18"/>
        <v>1</v>
      </c>
      <c r="D130" s="297"/>
      <c r="E130" s="288">
        <f t="shared" si="19"/>
        <v>1</v>
      </c>
      <c r="F130" s="297"/>
      <c r="G130" s="288">
        <f t="shared" si="20"/>
        <v>1</v>
      </c>
      <c r="H130" s="297"/>
      <c r="I130" s="288">
        <f t="shared" si="21"/>
        <v>1</v>
      </c>
      <c r="J130" s="297"/>
      <c r="K130" s="288">
        <f t="shared" si="22"/>
        <v>1</v>
      </c>
      <c r="L130" s="297"/>
      <c r="M130" s="288">
        <f t="shared" si="23"/>
        <v>1</v>
      </c>
      <c r="N130" s="297"/>
      <c r="O130" s="288">
        <f t="shared" si="24"/>
        <v>1</v>
      </c>
      <c r="P130" s="297"/>
      <c r="Q130" s="288">
        <f t="shared" si="25"/>
        <v>1</v>
      </c>
      <c r="R130" s="348">
        <f t="shared" si="26"/>
        <v>0</v>
      </c>
      <c r="S130" s="287">
        <f t="shared" si="27"/>
        <v>0</v>
      </c>
    </row>
    <row r="131" spans="1:19">
      <c r="A131" s="295"/>
      <c r="B131" s="296"/>
      <c r="C131" s="288">
        <f t="shared" si="18"/>
        <v>1</v>
      </c>
      <c r="D131" s="297"/>
      <c r="E131" s="288">
        <f t="shared" si="19"/>
        <v>1</v>
      </c>
      <c r="F131" s="297"/>
      <c r="G131" s="288">
        <f t="shared" si="20"/>
        <v>1</v>
      </c>
      <c r="H131" s="297"/>
      <c r="I131" s="288">
        <f t="shared" si="21"/>
        <v>1</v>
      </c>
      <c r="J131" s="297"/>
      <c r="K131" s="288">
        <f t="shared" si="22"/>
        <v>1</v>
      </c>
      <c r="L131" s="297"/>
      <c r="M131" s="288">
        <f t="shared" si="23"/>
        <v>1</v>
      </c>
      <c r="N131" s="297"/>
      <c r="O131" s="288">
        <f t="shared" si="24"/>
        <v>1</v>
      </c>
      <c r="P131" s="297"/>
      <c r="Q131" s="288">
        <f t="shared" si="25"/>
        <v>1</v>
      </c>
      <c r="R131" s="348">
        <f t="shared" si="26"/>
        <v>0</v>
      </c>
      <c r="S131" s="287">
        <f t="shared" si="27"/>
        <v>0</v>
      </c>
    </row>
    <row r="132" spans="1:19">
      <c r="A132" s="295"/>
      <c r="B132" s="296"/>
      <c r="C132" s="288">
        <f t="shared" si="18"/>
        <v>1</v>
      </c>
      <c r="D132" s="297"/>
      <c r="E132" s="288">
        <f t="shared" si="19"/>
        <v>1</v>
      </c>
      <c r="F132" s="297"/>
      <c r="G132" s="288">
        <f t="shared" si="20"/>
        <v>1</v>
      </c>
      <c r="H132" s="297"/>
      <c r="I132" s="288">
        <f t="shared" si="21"/>
        <v>1</v>
      </c>
      <c r="J132" s="297"/>
      <c r="K132" s="288">
        <f t="shared" si="22"/>
        <v>1</v>
      </c>
      <c r="L132" s="297"/>
      <c r="M132" s="288">
        <f t="shared" si="23"/>
        <v>1</v>
      </c>
      <c r="N132" s="297"/>
      <c r="O132" s="288">
        <f t="shared" si="24"/>
        <v>1</v>
      </c>
      <c r="P132" s="297"/>
      <c r="Q132" s="288">
        <f t="shared" si="25"/>
        <v>1</v>
      </c>
      <c r="R132" s="348">
        <f t="shared" si="26"/>
        <v>0</v>
      </c>
      <c r="S132" s="287">
        <f t="shared" si="27"/>
        <v>0</v>
      </c>
    </row>
    <row r="133" spans="1:19">
      <c r="A133" s="295"/>
      <c r="B133" s="296"/>
      <c r="C133" s="288">
        <f t="shared" si="18"/>
        <v>1</v>
      </c>
      <c r="D133" s="297"/>
      <c r="E133" s="288">
        <f t="shared" si="19"/>
        <v>1</v>
      </c>
      <c r="F133" s="297"/>
      <c r="G133" s="288">
        <f t="shared" si="20"/>
        <v>1</v>
      </c>
      <c r="H133" s="297"/>
      <c r="I133" s="288">
        <f t="shared" si="21"/>
        <v>1</v>
      </c>
      <c r="J133" s="297"/>
      <c r="K133" s="288">
        <f t="shared" si="22"/>
        <v>1</v>
      </c>
      <c r="L133" s="297"/>
      <c r="M133" s="288">
        <f t="shared" si="23"/>
        <v>1</v>
      </c>
      <c r="N133" s="297"/>
      <c r="O133" s="288">
        <f t="shared" si="24"/>
        <v>1</v>
      </c>
      <c r="P133" s="297"/>
      <c r="Q133" s="288">
        <f t="shared" si="25"/>
        <v>1</v>
      </c>
      <c r="R133" s="348">
        <f t="shared" si="26"/>
        <v>0</v>
      </c>
      <c r="S133" s="287">
        <f t="shared" si="27"/>
        <v>0</v>
      </c>
    </row>
    <row r="134" spans="1:19">
      <c r="A134" s="295"/>
      <c r="B134" s="296"/>
      <c r="C134" s="288">
        <f t="shared" si="18"/>
        <v>1</v>
      </c>
      <c r="D134" s="297"/>
      <c r="E134" s="288">
        <f t="shared" si="19"/>
        <v>1</v>
      </c>
      <c r="F134" s="297"/>
      <c r="G134" s="288">
        <f t="shared" si="20"/>
        <v>1</v>
      </c>
      <c r="H134" s="297"/>
      <c r="I134" s="288">
        <f t="shared" si="21"/>
        <v>1</v>
      </c>
      <c r="J134" s="297"/>
      <c r="K134" s="288">
        <f t="shared" si="22"/>
        <v>1</v>
      </c>
      <c r="L134" s="297"/>
      <c r="M134" s="288">
        <f t="shared" si="23"/>
        <v>1</v>
      </c>
      <c r="N134" s="297"/>
      <c r="O134" s="288">
        <f t="shared" si="24"/>
        <v>1</v>
      </c>
      <c r="P134" s="297"/>
      <c r="Q134" s="288">
        <f t="shared" si="25"/>
        <v>1</v>
      </c>
      <c r="R134" s="348">
        <f t="shared" si="26"/>
        <v>0</v>
      </c>
      <c r="S134" s="287">
        <f t="shared" si="27"/>
        <v>0</v>
      </c>
    </row>
    <row r="135" spans="1:19">
      <c r="A135" s="295"/>
      <c r="B135" s="296"/>
      <c r="C135" s="288">
        <f t="shared" si="18"/>
        <v>1</v>
      </c>
      <c r="D135" s="297"/>
      <c r="E135" s="288">
        <f t="shared" si="19"/>
        <v>1</v>
      </c>
      <c r="F135" s="297"/>
      <c r="G135" s="288">
        <f t="shared" si="20"/>
        <v>1</v>
      </c>
      <c r="H135" s="297"/>
      <c r="I135" s="288">
        <f t="shared" si="21"/>
        <v>1</v>
      </c>
      <c r="J135" s="297"/>
      <c r="K135" s="288">
        <f t="shared" si="22"/>
        <v>1</v>
      </c>
      <c r="L135" s="297"/>
      <c r="M135" s="288">
        <f t="shared" si="23"/>
        <v>1</v>
      </c>
      <c r="N135" s="297"/>
      <c r="O135" s="288">
        <f t="shared" si="24"/>
        <v>1</v>
      </c>
      <c r="P135" s="297"/>
      <c r="Q135" s="288">
        <f t="shared" si="25"/>
        <v>1</v>
      </c>
      <c r="R135" s="348">
        <f t="shared" si="26"/>
        <v>0</v>
      </c>
      <c r="S135" s="287">
        <f t="shared" si="27"/>
        <v>0</v>
      </c>
    </row>
    <row r="136" spans="1:19">
      <c r="A136" s="295"/>
      <c r="B136" s="296"/>
      <c r="C136" s="288">
        <f t="shared" si="18"/>
        <v>1</v>
      </c>
      <c r="D136" s="297"/>
      <c r="E136" s="288">
        <f t="shared" si="19"/>
        <v>1</v>
      </c>
      <c r="F136" s="297"/>
      <c r="G136" s="288">
        <f t="shared" si="20"/>
        <v>1</v>
      </c>
      <c r="H136" s="297"/>
      <c r="I136" s="288">
        <f t="shared" si="21"/>
        <v>1</v>
      </c>
      <c r="J136" s="297"/>
      <c r="K136" s="288">
        <f t="shared" si="22"/>
        <v>1</v>
      </c>
      <c r="L136" s="297"/>
      <c r="M136" s="288">
        <f t="shared" si="23"/>
        <v>1</v>
      </c>
      <c r="N136" s="297"/>
      <c r="O136" s="288">
        <f t="shared" si="24"/>
        <v>1</v>
      </c>
      <c r="P136" s="297"/>
      <c r="Q136" s="288">
        <f t="shared" si="25"/>
        <v>1</v>
      </c>
      <c r="R136" s="348">
        <f t="shared" si="26"/>
        <v>0</v>
      </c>
      <c r="S136" s="287">
        <f t="shared" si="27"/>
        <v>0</v>
      </c>
    </row>
    <row r="137" spans="1:19">
      <c r="A137" s="295"/>
      <c r="B137" s="296"/>
      <c r="C137" s="288">
        <f t="shared" si="18"/>
        <v>1</v>
      </c>
      <c r="D137" s="297"/>
      <c r="E137" s="288">
        <f t="shared" si="19"/>
        <v>1</v>
      </c>
      <c r="F137" s="297"/>
      <c r="G137" s="288">
        <f t="shared" si="20"/>
        <v>1</v>
      </c>
      <c r="H137" s="297"/>
      <c r="I137" s="288">
        <f t="shared" si="21"/>
        <v>1</v>
      </c>
      <c r="J137" s="297"/>
      <c r="K137" s="288">
        <f t="shared" si="22"/>
        <v>1</v>
      </c>
      <c r="L137" s="297"/>
      <c r="M137" s="288">
        <f t="shared" si="23"/>
        <v>1</v>
      </c>
      <c r="N137" s="297"/>
      <c r="O137" s="288">
        <f t="shared" si="24"/>
        <v>1</v>
      </c>
      <c r="P137" s="297"/>
      <c r="Q137" s="288">
        <f t="shared" si="25"/>
        <v>1</v>
      </c>
      <c r="R137" s="348">
        <f t="shared" si="26"/>
        <v>0</v>
      </c>
      <c r="S137" s="287">
        <f t="shared" si="27"/>
        <v>0</v>
      </c>
    </row>
    <row r="138" spans="1:19">
      <c r="A138" s="295"/>
      <c r="B138" s="296"/>
      <c r="C138" s="288">
        <f t="shared" si="18"/>
        <v>1</v>
      </c>
      <c r="D138" s="297"/>
      <c r="E138" s="288">
        <f t="shared" si="19"/>
        <v>1</v>
      </c>
      <c r="F138" s="297"/>
      <c r="G138" s="288">
        <f t="shared" si="20"/>
        <v>1</v>
      </c>
      <c r="H138" s="297"/>
      <c r="I138" s="288">
        <f t="shared" si="21"/>
        <v>1</v>
      </c>
      <c r="J138" s="297"/>
      <c r="K138" s="288">
        <f t="shared" si="22"/>
        <v>1</v>
      </c>
      <c r="L138" s="297"/>
      <c r="M138" s="288">
        <f t="shared" si="23"/>
        <v>1</v>
      </c>
      <c r="N138" s="297"/>
      <c r="O138" s="288">
        <f t="shared" si="24"/>
        <v>1</v>
      </c>
      <c r="P138" s="297"/>
      <c r="Q138" s="288">
        <f t="shared" si="25"/>
        <v>1</v>
      </c>
      <c r="R138" s="348">
        <f t="shared" si="26"/>
        <v>0</v>
      </c>
      <c r="S138" s="287">
        <f t="shared" si="27"/>
        <v>0</v>
      </c>
    </row>
    <row r="139" spans="1:19">
      <c r="A139" s="295"/>
      <c r="B139" s="296"/>
      <c r="C139" s="288">
        <f t="shared" si="18"/>
        <v>1</v>
      </c>
      <c r="D139" s="297"/>
      <c r="E139" s="288">
        <f t="shared" si="19"/>
        <v>1</v>
      </c>
      <c r="F139" s="297"/>
      <c r="G139" s="288">
        <f t="shared" si="20"/>
        <v>1</v>
      </c>
      <c r="H139" s="297"/>
      <c r="I139" s="288">
        <f t="shared" si="21"/>
        <v>1</v>
      </c>
      <c r="J139" s="297"/>
      <c r="K139" s="288">
        <f t="shared" si="22"/>
        <v>1</v>
      </c>
      <c r="L139" s="297"/>
      <c r="M139" s="288">
        <f t="shared" si="23"/>
        <v>1</v>
      </c>
      <c r="N139" s="297"/>
      <c r="O139" s="288">
        <f t="shared" si="24"/>
        <v>1</v>
      </c>
      <c r="P139" s="297"/>
      <c r="Q139" s="288">
        <f t="shared" si="25"/>
        <v>1</v>
      </c>
      <c r="R139" s="348">
        <f t="shared" si="26"/>
        <v>0</v>
      </c>
      <c r="S139" s="287">
        <f t="shared" si="27"/>
        <v>0</v>
      </c>
    </row>
    <row r="140" spans="1:19">
      <c r="A140" s="295"/>
      <c r="B140" s="296"/>
      <c r="C140" s="288">
        <f t="shared" si="18"/>
        <v>1</v>
      </c>
      <c r="D140" s="297"/>
      <c r="E140" s="288">
        <f t="shared" si="19"/>
        <v>1</v>
      </c>
      <c r="F140" s="297"/>
      <c r="G140" s="288">
        <f t="shared" si="20"/>
        <v>1</v>
      </c>
      <c r="H140" s="297"/>
      <c r="I140" s="288">
        <f t="shared" si="21"/>
        <v>1</v>
      </c>
      <c r="J140" s="297"/>
      <c r="K140" s="288">
        <f t="shared" si="22"/>
        <v>1</v>
      </c>
      <c r="L140" s="297"/>
      <c r="M140" s="288">
        <f t="shared" si="23"/>
        <v>1</v>
      </c>
      <c r="N140" s="297"/>
      <c r="O140" s="288">
        <f t="shared" si="24"/>
        <v>1</v>
      </c>
      <c r="P140" s="297"/>
      <c r="Q140" s="288">
        <f t="shared" si="25"/>
        <v>1</v>
      </c>
      <c r="R140" s="348">
        <f t="shared" si="26"/>
        <v>0</v>
      </c>
      <c r="S140" s="287">
        <f t="shared" si="27"/>
        <v>0</v>
      </c>
    </row>
    <row r="141" spans="1:19">
      <c r="A141" s="295"/>
      <c r="B141" s="296"/>
      <c r="C141" s="288">
        <f t="shared" si="18"/>
        <v>1</v>
      </c>
      <c r="D141" s="297"/>
      <c r="E141" s="288">
        <f t="shared" si="19"/>
        <v>1</v>
      </c>
      <c r="F141" s="297"/>
      <c r="G141" s="288">
        <f t="shared" si="20"/>
        <v>1</v>
      </c>
      <c r="H141" s="297"/>
      <c r="I141" s="288">
        <f t="shared" si="21"/>
        <v>1</v>
      </c>
      <c r="J141" s="297"/>
      <c r="K141" s="288">
        <f t="shared" si="22"/>
        <v>1</v>
      </c>
      <c r="L141" s="297"/>
      <c r="M141" s="288">
        <f t="shared" si="23"/>
        <v>1</v>
      </c>
      <c r="N141" s="297"/>
      <c r="O141" s="288">
        <f t="shared" si="24"/>
        <v>1</v>
      </c>
      <c r="P141" s="297"/>
      <c r="Q141" s="288">
        <f t="shared" si="25"/>
        <v>1</v>
      </c>
      <c r="R141" s="348">
        <f t="shared" si="26"/>
        <v>0</v>
      </c>
      <c r="S141" s="287">
        <f t="shared" si="27"/>
        <v>0</v>
      </c>
    </row>
    <row r="142" spans="1:19">
      <c r="A142" s="295"/>
      <c r="B142" s="296"/>
      <c r="C142" s="288">
        <f t="shared" si="18"/>
        <v>1</v>
      </c>
      <c r="D142" s="297"/>
      <c r="E142" s="288">
        <f t="shared" si="19"/>
        <v>1</v>
      </c>
      <c r="F142" s="297"/>
      <c r="G142" s="288">
        <f t="shared" si="20"/>
        <v>1</v>
      </c>
      <c r="H142" s="297"/>
      <c r="I142" s="288">
        <f t="shared" si="21"/>
        <v>1</v>
      </c>
      <c r="J142" s="297"/>
      <c r="K142" s="288">
        <f t="shared" si="22"/>
        <v>1</v>
      </c>
      <c r="L142" s="297"/>
      <c r="M142" s="288">
        <f t="shared" si="23"/>
        <v>1</v>
      </c>
      <c r="N142" s="297"/>
      <c r="O142" s="288">
        <f t="shared" si="24"/>
        <v>1</v>
      </c>
      <c r="P142" s="297"/>
      <c r="Q142" s="288">
        <f t="shared" si="25"/>
        <v>1</v>
      </c>
      <c r="R142" s="348">
        <f t="shared" si="26"/>
        <v>0</v>
      </c>
      <c r="S142" s="287">
        <f t="shared" si="27"/>
        <v>0</v>
      </c>
    </row>
    <row r="143" spans="1:19">
      <c r="A143" s="295"/>
      <c r="B143" s="296"/>
      <c r="C143" s="288">
        <f t="shared" si="18"/>
        <v>1</v>
      </c>
      <c r="D143" s="297"/>
      <c r="E143" s="288">
        <f t="shared" si="19"/>
        <v>1</v>
      </c>
      <c r="F143" s="297"/>
      <c r="G143" s="288">
        <f t="shared" si="20"/>
        <v>1</v>
      </c>
      <c r="H143" s="297"/>
      <c r="I143" s="288">
        <f t="shared" si="21"/>
        <v>1</v>
      </c>
      <c r="J143" s="297"/>
      <c r="K143" s="288">
        <f t="shared" si="22"/>
        <v>1</v>
      </c>
      <c r="L143" s="297"/>
      <c r="M143" s="288">
        <f t="shared" si="23"/>
        <v>1</v>
      </c>
      <c r="N143" s="297"/>
      <c r="O143" s="288">
        <f t="shared" si="24"/>
        <v>1</v>
      </c>
      <c r="P143" s="297"/>
      <c r="Q143" s="288">
        <f t="shared" si="25"/>
        <v>1</v>
      </c>
      <c r="R143" s="348">
        <f t="shared" si="26"/>
        <v>0</v>
      </c>
      <c r="S143" s="287">
        <f t="shared" si="27"/>
        <v>0</v>
      </c>
    </row>
    <row r="144" spans="1:19">
      <c r="A144" s="295"/>
      <c r="B144" s="296"/>
      <c r="C144" s="288">
        <f t="shared" si="18"/>
        <v>1</v>
      </c>
      <c r="D144" s="297"/>
      <c r="E144" s="288">
        <f t="shared" si="19"/>
        <v>1</v>
      </c>
      <c r="F144" s="297"/>
      <c r="G144" s="288">
        <f t="shared" si="20"/>
        <v>1</v>
      </c>
      <c r="H144" s="297"/>
      <c r="I144" s="288">
        <f t="shared" si="21"/>
        <v>1</v>
      </c>
      <c r="J144" s="297"/>
      <c r="K144" s="288">
        <f t="shared" si="22"/>
        <v>1</v>
      </c>
      <c r="L144" s="297"/>
      <c r="M144" s="288">
        <f t="shared" si="23"/>
        <v>1</v>
      </c>
      <c r="N144" s="297"/>
      <c r="O144" s="288">
        <f t="shared" si="24"/>
        <v>1</v>
      </c>
      <c r="P144" s="297"/>
      <c r="Q144" s="288">
        <f t="shared" si="25"/>
        <v>1</v>
      </c>
      <c r="R144" s="348">
        <f t="shared" si="26"/>
        <v>0</v>
      </c>
      <c r="S144" s="287">
        <f t="shared" si="27"/>
        <v>0</v>
      </c>
    </row>
    <row r="145" spans="1:19">
      <c r="A145" s="295"/>
      <c r="B145" s="296"/>
      <c r="C145" s="288">
        <f t="shared" si="18"/>
        <v>1</v>
      </c>
      <c r="D145" s="297"/>
      <c r="E145" s="288">
        <f t="shared" si="19"/>
        <v>1</v>
      </c>
      <c r="F145" s="297"/>
      <c r="G145" s="288">
        <f t="shared" si="20"/>
        <v>1</v>
      </c>
      <c r="H145" s="297"/>
      <c r="I145" s="288">
        <f t="shared" si="21"/>
        <v>1</v>
      </c>
      <c r="J145" s="297"/>
      <c r="K145" s="288">
        <f t="shared" si="22"/>
        <v>1</v>
      </c>
      <c r="L145" s="297"/>
      <c r="M145" s="288">
        <f t="shared" si="23"/>
        <v>1</v>
      </c>
      <c r="N145" s="297"/>
      <c r="O145" s="288">
        <f t="shared" si="24"/>
        <v>1</v>
      </c>
      <c r="P145" s="297"/>
      <c r="Q145" s="288">
        <f t="shared" si="25"/>
        <v>1</v>
      </c>
      <c r="R145" s="348">
        <f t="shared" si="26"/>
        <v>0</v>
      </c>
      <c r="S145" s="287">
        <f t="shared" si="27"/>
        <v>0</v>
      </c>
    </row>
    <row r="146" spans="1:19">
      <c r="A146" s="295"/>
      <c r="B146" s="296"/>
      <c r="C146" s="288">
        <f t="shared" si="18"/>
        <v>1</v>
      </c>
      <c r="D146" s="297"/>
      <c r="E146" s="288">
        <f t="shared" si="19"/>
        <v>1</v>
      </c>
      <c r="F146" s="297"/>
      <c r="G146" s="288">
        <f t="shared" si="20"/>
        <v>1</v>
      </c>
      <c r="H146" s="297"/>
      <c r="I146" s="288">
        <f t="shared" si="21"/>
        <v>1</v>
      </c>
      <c r="J146" s="297"/>
      <c r="K146" s="288">
        <f t="shared" si="22"/>
        <v>1</v>
      </c>
      <c r="L146" s="297"/>
      <c r="M146" s="288">
        <f t="shared" si="23"/>
        <v>1</v>
      </c>
      <c r="N146" s="297"/>
      <c r="O146" s="288">
        <f t="shared" si="24"/>
        <v>1</v>
      </c>
      <c r="P146" s="297"/>
      <c r="Q146" s="288">
        <f t="shared" si="25"/>
        <v>1</v>
      </c>
      <c r="R146" s="348">
        <f t="shared" si="26"/>
        <v>0</v>
      </c>
      <c r="S146" s="287">
        <f t="shared" si="27"/>
        <v>0</v>
      </c>
    </row>
    <row r="147" spans="1:19">
      <c r="A147" s="295"/>
      <c r="B147" s="296"/>
      <c r="C147" s="288">
        <f t="shared" si="18"/>
        <v>1</v>
      </c>
      <c r="D147" s="297"/>
      <c r="E147" s="288">
        <f t="shared" si="19"/>
        <v>1</v>
      </c>
      <c r="F147" s="297"/>
      <c r="G147" s="288">
        <f t="shared" si="20"/>
        <v>1</v>
      </c>
      <c r="H147" s="297"/>
      <c r="I147" s="288">
        <f t="shared" si="21"/>
        <v>1</v>
      </c>
      <c r="J147" s="297"/>
      <c r="K147" s="288">
        <f t="shared" si="22"/>
        <v>1</v>
      </c>
      <c r="L147" s="297"/>
      <c r="M147" s="288">
        <f t="shared" si="23"/>
        <v>1</v>
      </c>
      <c r="N147" s="297"/>
      <c r="O147" s="288">
        <f t="shared" si="24"/>
        <v>1</v>
      </c>
      <c r="P147" s="297"/>
      <c r="Q147" s="288">
        <f t="shared" si="25"/>
        <v>1</v>
      </c>
      <c r="R147" s="348">
        <f t="shared" si="26"/>
        <v>0</v>
      </c>
      <c r="S147" s="287">
        <f t="shared" si="27"/>
        <v>0</v>
      </c>
    </row>
    <row r="148" spans="1:19">
      <c r="A148" s="295"/>
      <c r="B148" s="296"/>
      <c r="C148" s="288">
        <f t="shared" si="18"/>
        <v>1</v>
      </c>
      <c r="D148" s="297"/>
      <c r="E148" s="288">
        <f t="shared" si="19"/>
        <v>1</v>
      </c>
      <c r="F148" s="297"/>
      <c r="G148" s="288">
        <f t="shared" si="20"/>
        <v>1</v>
      </c>
      <c r="H148" s="297"/>
      <c r="I148" s="288">
        <f t="shared" si="21"/>
        <v>1</v>
      </c>
      <c r="J148" s="297"/>
      <c r="K148" s="288">
        <f t="shared" si="22"/>
        <v>1</v>
      </c>
      <c r="L148" s="297"/>
      <c r="M148" s="288">
        <f t="shared" si="23"/>
        <v>1</v>
      </c>
      <c r="N148" s="297"/>
      <c r="O148" s="288">
        <f t="shared" si="24"/>
        <v>1</v>
      </c>
      <c r="P148" s="297"/>
      <c r="Q148" s="288">
        <f t="shared" si="25"/>
        <v>1</v>
      </c>
      <c r="R148" s="348">
        <f t="shared" si="26"/>
        <v>0</v>
      </c>
      <c r="S148" s="287">
        <f t="shared" si="27"/>
        <v>0</v>
      </c>
    </row>
    <row r="149" spans="1:19">
      <c r="A149" s="295"/>
      <c r="B149" s="296"/>
      <c r="C149" s="288">
        <f t="shared" si="18"/>
        <v>1</v>
      </c>
      <c r="D149" s="297"/>
      <c r="E149" s="288">
        <f t="shared" si="19"/>
        <v>1</v>
      </c>
      <c r="F149" s="297"/>
      <c r="G149" s="288">
        <f t="shared" si="20"/>
        <v>1</v>
      </c>
      <c r="H149" s="297"/>
      <c r="I149" s="288">
        <f t="shared" si="21"/>
        <v>1</v>
      </c>
      <c r="J149" s="297"/>
      <c r="K149" s="288">
        <f t="shared" si="22"/>
        <v>1</v>
      </c>
      <c r="L149" s="297"/>
      <c r="M149" s="288">
        <f t="shared" si="23"/>
        <v>1</v>
      </c>
      <c r="N149" s="297"/>
      <c r="O149" s="288">
        <f t="shared" si="24"/>
        <v>1</v>
      </c>
      <c r="P149" s="297"/>
      <c r="Q149" s="288">
        <f t="shared" si="25"/>
        <v>1</v>
      </c>
      <c r="R149" s="348">
        <f t="shared" si="26"/>
        <v>0</v>
      </c>
      <c r="S149" s="287">
        <f t="shared" si="27"/>
        <v>0</v>
      </c>
    </row>
    <row r="150" spans="1:19">
      <c r="A150" s="295"/>
      <c r="B150" s="296"/>
      <c r="C150" s="288">
        <f t="shared" si="18"/>
        <v>1</v>
      </c>
      <c r="D150" s="297"/>
      <c r="E150" s="288">
        <f t="shared" si="19"/>
        <v>1</v>
      </c>
      <c r="F150" s="297"/>
      <c r="G150" s="288">
        <f t="shared" si="20"/>
        <v>1</v>
      </c>
      <c r="H150" s="297"/>
      <c r="I150" s="288">
        <f t="shared" si="21"/>
        <v>1</v>
      </c>
      <c r="J150" s="297"/>
      <c r="K150" s="288">
        <f t="shared" si="22"/>
        <v>1</v>
      </c>
      <c r="L150" s="297"/>
      <c r="M150" s="288">
        <f t="shared" si="23"/>
        <v>1</v>
      </c>
      <c r="N150" s="297"/>
      <c r="O150" s="288">
        <f t="shared" si="24"/>
        <v>1</v>
      </c>
      <c r="P150" s="297"/>
      <c r="Q150" s="288">
        <f t="shared" si="25"/>
        <v>1</v>
      </c>
      <c r="R150" s="348">
        <f t="shared" si="26"/>
        <v>0</v>
      </c>
      <c r="S150" s="287">
        <f t="shared" si="27"/>
        <v>0</v>
      </c>
    </row>
    <row r="151" spans="1:19">
      <c r="A151" s="295"/>
      <c r="B151" s="296"/>
      <c r="C151" s="288">
        <f t="shared" si="18"/>
        <v>1</v>
      </c>
      <c r="D151" s="297"/>
      <c r="E151" s="288">
        <f t="shared" si="19"/>
        <v>1</v>
      </c>
      <c r="F151" s="297"/>
      <c r="G151" s="288">
        <f t="shared" si="20"/>
        <v>1</v>
      </c>
      <c r="H151" s="297"/>
      <c r="I151" s="288">
        <f t="shared" si="21"/>
        <v>1</v>
      </c>
      <c r="J151" s="297"/>
      <c r="K151" s="288">
        <f t="shared" si="22"/>
        <v>1</v>
      </c>
      <c r="L151" s="297"/>
      <c r="M151" s="288">
        <f t="shared" si="23"/>
        <v>1</v>
      </c>
      <c r="N151" s="297"/>
      <c r="O151" s="288">
        <f t="shared" si="24"/>
        <v>1</v>
      </c>
      <c r="P151" s="297"/>
      <c r="Q151" s="288">
        <f t="shared" si="25"/>
        <v>1</v>
      </c>
      <c r="R151" s="348">
        <f t="shared" si="26"/>
        <v>0</v>
      </c>
      <c r="S151" s="287">
        <f t="shared" si="27"/>
        <v>0</v>
      </c>
    </row>
    <row r="152" spans="1:19">
      <c r="A152" s="295"/>
      <c r="B152" s="296"/>
      <c r="C152" s="288">
        <f t="shared" si="18"/>
        <v>1</v>
      </c>
      <c r="D152" s="297"/>
      <c r="E152" s="288">
        <f t="shared" si="19"/>
        <v>1</v>
      </c>
      <c r="F152" s="297"/>
      <c r="G152" s="288">
        <f t="shared" si="20"/>
        <v>1</v>
      </c>
      <c r="H152" s="297"/>
      <c r="I152" s="288">
        <f t="shared" si="21"/>
        <v>1</v>
      </c>
      <c r="J152" s="297"/>
      <c r="K152" s="288">
        <f t="shared" si="22"/>
        <v>1</v>
      </c>
      <c r="L152" s="297"/>
      <c r="M152" s="288">
        <f t="shared" si="23"/>
        <v>1</v>
      </c>
      <c r="N152" s="297"/>
      <c r="O152" s="288">
        <f t="shared" si="24"/>
        <v>1</v>
      </c>
      <c r="P152" s="297"/>
      <c r="Q152" s="288">
        <f t="shared" si="25"/>
        <v>1</v>
      </c>
      <c r="R152" s="348">
        <f t="shared" si="26"/>
        <v>0</v>
      </c>
      <c r="S152" s="287">
        <f t="shared" si="27"/>
        <v>0</v>
      </c>
    </row>
    <row r="153" spans="1:19">
      <c r="A153" s="295"/>
      <c r="B153" s="296"/>
      <c r="C153" s="288">
        <f t="shared" si="18"/>
        <v>1</v>
      </c>
      <c r="D153" s="297"/>
      <c r="E153" s="288">
        <f t="shared" si="19"/>
        <v>1</v>
      </c>
      <c r="F153" s="297"/>
      <c r="G153" s="288">
        <f t="shared" si="20"/>
        <v>1</v>
      </c>
      <c r="H153" s="297"/>
      <c r="I153" s="288">
        <f t="shared" si="21"/>
        <v>1</v>
      </c>
      <c r="J153" s="297"/>
      <c r="K153" s="288">
        <f t="shared" si="22"/>
        <v>1</v>
      </c>
      <c r="L153" s="297"/>
      <c r="M153" s="288">
        <f t="shared" si="23"/>
        <v>1</v>
      </c>
      <c r="N153" s="297"/>
      <c r="O153" s="288">
        <f t="shared" si="24"/>
        <v>1</v>
      </c>
      <c r="P153" s="297"/>
      <c r="Q153" s="288">
        <f t="shared" si="25"/>
        <v>1</v>
      </c>
      <c r="R153" s="348">
        <f t="shared" si="26"/>
        <v>0</v>
      </c>
      <c r="S153" s="287">
        <f t="shared" si="27"/>
        <v>0</v>
      </c>
    </row>
    <row r="154" spans="1:19">
      <c r="A154" s="295"/>
      <c r="B154" s="296"/>
      <c r="C154" s="288">
        <f t="shared" ref="C154:C217" si="28">IF(B154="",1,(LOOKUP(B154,$3:$3,$4:$4)-LOOKUP($B$24,$3:$3,$4:$4)+100)/100)</f>
        <v>1</v>
      </c>
      <c r="D154" s="297"/>
      <c r="E154" s="288">
        <f t="shared" ref="E154:E217" si="29">(SUMIF($5:$5,D154,$6:$6)-SUMIF($5:$5,$D$24,$6:$6)+100)/100</f>
        <v>1</v>
      </c>
      <c r="F154" s="297"/>
      <c r="G154" s="288">
        <f t="shared" ref="G154:G217" si="30">(SUMIF($7:$7,F154,$8:$8)-SUMIF($7:$7,$F$24,$8:$8)+100)/100</f>
        <v>1</v>
      </c>
      <c r="H154" s="297"/>
      <c r="I154" s="288">
        <f t="shared" ref="I154:I217" si="31">(SUMIF($9:$9,H154,$10:$10)-SUMIF($9:$9,$H$24,$10:$10)+100)/100</f>
        <v>1</v>
      </c>
      <c r="J154" s="297"/>
      <c r="K154" s="288">
        <f t="shared" ref="K154:K217" si="32">(SUMIF($11:$11,J154,$12:$12)-SUMIF($11:$11,$J$24,$12:$12)+100)/100</f>
        <v>1</v>
      </c>
      <c r="L154" s="297"/>
      <c r="M154" s="288">
        <f t="shared" ref="M154:M217" si="33">(SUMIF($13:$13,L154,$14:$14)-SUMIF($13:$13,$L$24,$14:$14)+100)/100</f>
        <v>1</v>
      </c>
      <c r="N154" s="297"/>
      <c r="O154" s="288">
        <f t="shared" ref="O154:O217" si="34">(SUMIF($15:$15,N154,$16:$16)-SUMIF($15:$15,$N$24,$16:$16)+100)/100</f>
        <v>1</v>
      </c>
      <c r="P154" s="297"/>
      <c r="Q154" s="288">
        <f t="shared" ref="Q154:Q217" si="35">(SUMIF($17:$17,P154,$18:$18)-SUMIF($17:$17,$P$24,$18:$18)+100)/100</f>
        <v>1</v>
      </c>
      <c r="R154" s="348">
        <f t="shared" ref="R154:R217" si="36">IF(B154="",0,ROUND($R$24*C154*E154*G154*I154*K154*M154*O154*Q154,0))</f>
        <v>0</v>
      </c>
      <c r="S154" s="287">
        <f t="shared" si="27"/>
        <v>0</v>
      </c>
    </row>
    <row r="155" spans="1:19">
      <c r="A155" s="295"/>
      <c r="B155" s="296"/>
      <c r="C155" s="288">
        <f t="shared" si="28"/>
        <v>1</v>
      </c>
      <c r="D155" s="297"/>
      <c r="E155" s="288">
        <f t="shared" si="29"/>
        <v>1</v>
      </c>
      <c r="F155" s="297"/>
      <c r="G155" s="288">
        <f t="shared" si="30"/>
        <v>1</v>
      </c>
      <c r="H155" s="297"/>
      <c r="I155" s="288">
        <f t="shared" si="31"/>
        <v>1</v>
      </c>
      <c r="J155" s="297"/>
      <c r="K155" s="288">
        <f t="shared" si="32"/>
        <v>1</v>
      </c>
      <c r="L155" s="297"/>
      <c r="M155" s="288">
        <f t="shared" si="33"/>
        <v>1</v>
      </c>
      <c r="N155" s="297"/>
      <c r="O155" s="288">
        <f t="shared" si="34"/>
        <v>1</v>
      </c>
      <c r="P155" s="297"/>
      <c r="Q155" s="288">
        <f t="shared" si="35"/>
        <v>1</v>
      </c>
      <c r="R155" s="348">
        <f t="shared" si="36"/>
        <v>0</v>
      </c>
      <c r="S155" s="287">
        <f t="shared" si="27"/>
        <v>0</v>
      </c>
    </row>
    <row r="156" spans="1:19">
      <c r="A156" s="295"/>
      <c r="B156" s="296"/>
      <c r="C156" s="288">
        <f t="shared" si="28"/>
        <v>1</v>
      </c>
      <c r="D156" s="297"/>
      <c r="E156" s="288">
        <f t="shared" si="29"/>
        <v>1</v>
      </c>
      <c r="F156" s="297"/>
      <c r="G156" s="288">
        <f t="shared" si="30"/>
        <v>1</v>
      </c>
      <c r="H156" s="297"/>
      <c r="I156" s="288">
        <f t="shared" si="31"/>
        <v>1</v>
      </c>
      <c r="J156" s="297"/>
      <c r="K156" s="288">
        <f t="shared" si="32"/>
        <v>1</v>
      </c>
      <c r="L156" s="297"/>
      <c r="M156" s="288">
        <f t="shared" si="33"/>
        <v>1</v>
      </c>
      <c r="N156" s="297"/>
      <c r="O156" s="288">
        <f t="shared" si="34"/>
        <v>1</v>
      </c>
      <c r="P156" s="297"/>
      <c r="Q156" s="288">
        <f t="shared" si="35"/>
        <v>1</v>
      </c>
      <c r="R156" s="348">
        <f t="shared" si="36"/>
        <v>0</v>
      </c>
      <c r="S156" s="287">
        <f t="shared" si="27"/>
        <v>0</v>
      </c>
    </row>
    <row r="157" spans="1:19">
      <c r="A157" s="295"/>
      <c r="B157" s="296"/>
      <c r="C157" s="288">
        <f t="shared" si="28"/>
        <v>1</v>
      </c>
      <c r="D157" s="297"/>
      <c r="E157" s="288">
        <f t="shared" si="29"/>
        <v>1</v>
      </c>
      <c r="F157" s="297"/>
      <c r="G157" s="288">
        <f t="shared" si="30"/>
        <v>1</v>
      </c>
      <c r="H157" s="297"/>
      <c r="I157" s="288">
        <f t="shared" si="31"/>
        <v>1</v>
      </c>
      <c r="J157" s="297"/>
      <c r="K157" s="288">
        <f t="shared" si="32"/>
        <v>1</v>
      </c>
      <c r="L157" s="297"/>
      <c r="M157" s="288">
        <f t="shared" si="33"/>
        <v>1</v>
      </c>
      <c r="N157" s="297"/>
      <c r="O157" s="288">
        <f t="shared" si="34"/>
        <v>1</v>
      </c>
      <c r="P157" s="297"/>
      <c r="Q157" s="288">
        <f t="shared" si="35"/>
        <v>1</v>
      </c>
      <c r="R157" s="348">
        <f t="shared" si="36"/>
        <v>0</v>
      </c>
      <c r="S157" s="287">
        <f t="shared" si="27"/>
        <v>0</v>
      </c>
    </row>
    <row r="158" spans="1:19">
      <c r="A158" s="295"/>
      <c r="B158" s="296"/>
      <c r="C158" s="288">
        <f t="shared" si="28"/>
        <v>1</v>
      </c>
      <c r="D158" s="297"/>
      <c r="E158" s="288">
        <f t="shared" si="29"/>
        <v>1</v>
      </c>
      <c r="F158" s="297"/>
      <c r="G158" s="288">
        <f t="shared" si="30"/>
        <v>1</v>
      </c>
      <c r="H158" s="297"/>
      <c r="I158" s="288">
        <f t="shared" si="31"/>
        <v>1</v>
      </c>
      <c r="J158" s="297"/>
      <c r="K158" s="288">
        <f t="shared" si="32"/>
        <v>1</v>
      </c>
      <c r="L158" s="297"/>
      <c r="M158" s="288">
        <f t="shared" si="33"/>
        <v>1</v>
      </c>
      <c r="N158" s="297"/>
      <c r="O158" s="288">
        <f t="shared" si="34"/>
        <v>1</v>
      </c>
      <c r="P158" s="297"/>
      <c r="Q158" s="288">
        <f t="shared" si="35"/>
        <v>1</v>
      </c>
      <c r="R158" s="348">
        <f t="shared" si="36"/>
        <v>0</v>
      </c>
      <c r="S158" s="287">
        <f t="shared" si="27"/>
        <v>0</v>
      </c>
    </row>
    <row r="159" spans="1:19">
      <c r="A159" s="295"/>
      <c r="B159" s="296"/>
      <c r="C159" s="288">
        <f t="shared" si="28"/>
        <v>1</v>
      </c>
      <c r="D159" s="297"/>
      <c r="E159" s="288">
        <f t="shared" si="29"/>
        <v>1</v>
      </c>
      <c r="F159" s="297"/>
      <c r="G159" s="288">
        <f t="shared" si="30"/>
        <v>1</v>
      </c>
      <c r="H159" s="297"/>
      <c r="I159" s="288">
        <f t="shared" si="31"/>
        <v>1</v>
      </c>
      <c r="J159" s="297"/>
      <c r="K159" s="288">
        <f t="shared" si="32"/>
        <v>1</v>
      </c>
      <c r="L159" s="297"/>
      <c r="M159" s="288">
        <f t="shared" si="33"/>
        <v>1</v>
      </c>
      <c r="N159" s="297"/>
      <c r="O159" s="288">
        <f t="shared" si="34"/>
        <v>1</v>
      </c>
      <c r="P159" s="297"/>
      <c r="Q159" s="288">
        <f t="shared" si="35"/>
        <v>1</v>
      </c>
      <c r="R159" s="348">
        <f t="shared" si="36"/>
        <v>0</v>
      </c>
      <c r="S159" s="287">
        <f t="shared" si="27"/>
        <v>0</v>
      </c>
    </row>
    <row r="160" spans="1:19">
      <c r="A160" s="295"/>
      <c r="B160" s="296"/>
      <c r="C160" s="288">
        <f t="shared" si="28"/>
        <v>1</v>
      </c>
      <c r="D160" s="297"/>
      <c r="E160" s="288">
        <f t="shared" si="29"/>
        <v>1</v>
      </c>
      <c r="F160" s="297"/>
      <c r="G160" s="288">
        <f t="shared" si="30"/>
        <v>1</v>
      </c>
      <c r="H160" s="297"/>
      <c r="I160" s="288">
        <f t="shared" si="31"/>
        <v>1</v>
      </c>
      <c r="J160" s="297"/>
      <c r="K160" s="288">
        <f t="shared" si="32"/>
        <v>1</v>
      </c>
      <c r="L160" s="297"/>
      <c r="M160" s="288">
        <f t="shared" si="33"/>
        <v>1</v>
      </c>
      <c r="N160" s="297"/>
      <c r="O160" s="288">
        <f t="shared" si="34"/>
        <v>1</v>
      </c>
      <c r="P160" s="297"/>
      <c r="Q160" s="288">
        <f t="shared" si="35"/>
        <v>1</v>
      </c>
      <c r="R160" s="348">
        <f t="shared" si="36"/>
        <v>0</v>
      </c>
      <c r="S160" s="287">
        <f t="shared" si="27"/>
        <v>0</v>
      </c>
    </row>
    <row r="161" spans="1:19">
      <c r="A161" s="295"/>
      <c r="B161" s="296"/>
      <c r="C161" s="288">
        <f t="shared" si="28"/>
        <v>1</v>
      </c>
      <c r="D161" s="297"/>
      <c r="E161" s="288">
        <f t="shared" si="29"/>
        <v>1</v>
      </c>
      <c r="F161" s="297"/>
      <c r="G161" s="288">
        <f t="shared" si="30"/>
        <v>1</v>
      </c>
      <c r="H161" s="297"/>
      <c r="I161" s="288">
        <f t="shared" si="31"/>
        <v>1</v>
      </c>
      <c r="J161" s="297"/>
      <c r="K161" s="288">
        <f t="shared" si="32"/>
        <v>1</v>
      </c>
      <c r="L161" s="297"/>
      <c r="M161" s="288">
        <f t="shared" si="33"/>
        <v>1</v>
      </c>
      <c r="N161" s="297"/>
      <c r="O161" s="288">
        <f t="shared" si="34"/>
        <v>1</v>
      </c>
      <c r="P161" s="297"/>
      <c r="Q161" s="288">
        <f t="shared" si="35"/>
        <v>1</v>
      </c>
      <c r="R161" s="348">
        <f t="shared" si="36"/>
        <v>0</v>
      </c>
      <c r="S161" s="287">
        <f t="shared" si="27"/>
        <v>0</v>
      </c>
    </row>
    <row r="162" spans="1:19">
      <c r="A162" s="295"/>
      <c r="B162" s="296"/>
      <c r="C162" s="288">
        <f t="shared" si="28"/>
        <v>1</v>
      </c>
      <c r="D162" s="297"/>
      <c r="E162" s="288">
        <f t="shared" si="29"/>
        <v>1</v>
      </c>
      <c r="F162" s="297"/>
      <c r="G162" s="288">
        <f t="shared" si="30"/>
        <v>1</v>
      </c>
      <c r="H162" s="297"/>
      <c r="I162" s="288">
        <f t="shared" si="31"/>
        <v>1</v>
      </c>
      <c r="J162" s="297"/>
      <c r="K162" s="288">
        <f t="shared" si="32"/>
        <v>1</v>
      </c>
      <c r="L162" s="297"/>
      <c r="M162" s="288">
        <f t="shared" si="33"/>
        <v>1</v>
      </c>
      <c r="N162" s="297"/>
      <c r="O162" s="288">
        <f t="shared" si="34"/>
        <v>1</v>
      </c>
      <c r="P162" s="297"/>
      <c r="Q162" s="288">
        <f t="shared" si="35"/>
        <v>1</v>
      </c>
      <c r="R162" s="348">
        <f t="shared" si="36"/>
        <v>0</v>
      </c>
      <c r="S162" s="287">
        <f t="shared" si="27"/>
        <v>0</v>
      </c>
    </row>
    <row r="163" spans="1:19">
      <c r="A163" s="295"/>
      <c r="B163" s="296"/>
      <c r="C163" s="288">
        <f t="shared" si="28"/>
        <v>1</v>
      </c>
      <c r="D163" s="297"/>
      <c r="E163" s="288">
        <f t="shared" si="29"/>
        <v>1</v>
      </c>
      <c r="F163" s="297"/>
      <c r="G163" s="288">
        <f t="shared" si="30"/>
        <v>1</v>
      </c>
      <c r="H163" s="297"/>
      <c r="I163" s="288">
        <f t="shared" si="31"/>
        <v>1</v>
      </c>
      <c r="J163" s="297"/>
      <c r="K163" s="288">
        <f t="shared" si="32"/>
        <v>1</v>
      </c>
      <c r="L163" s="297"/>
      <c r="M163" s="288">
        <f t="shared" si="33"/>
        <v>1</v>
      </c>
      <c r="N163" s="297"/>
      <c r="O163" s="288">
        <f t="shared" si="34"/>
        <v>1</v>
      </c>
      <c r="P163" s="297"/>
      <c r="Q163" s="288">
        <f t="shared" si="35"/>
        <v>1</v>
      </c>
      <c r="R163" s="348">
        <f t="shared" si="36"/>
        <v>0</v>
      </c>
      <c r="S163" s="287">
        <f t="shared" si="27"/>
        <v>0</v>
      </c>
    </row>
    <row r="164" spans="1:19">
      <c r="A164" s="295"/>
      <c r="B164" s="296"/>
      <c r="C164" s="288">
        <f t="shared" si="28"/>
        <v>1</v>
      </c>
      <c r="D164" s="297"/>
      <c r="E164" s="288">
        <f t="shared" si="29"/>
        <v>1</v>
      </c>
      <c r="F164" s="297"/>
      <c r="G164" s="288">
        <f t="shared" si="30"/>
        <v>1</v>
      </c>
      <c r="H164" s="297"/>
      <c r="I164" s="288">
        <f t="shared" si="31"/>
        <v>1</v>
      </c>
      <c r="J164" s="297"/>
      <c r="K164" s="288">
        <f t="shared" si="32"/>
        <v>1</v>
      </c>
      <c r="L164" s="297"/>
      <c r="M164" s="288">
        <f t="shared" si="33"/>
        <v>1</v>
      </c>
      <c r="N164" s="297"/>
      <c r="O164" s="288">
        <f t="shared" si="34"/>
        <v>1</v>
      </c>
      <c r="P164" s="297"/>
      <c r="Q164" s="288">
        <f t="shared" si="35"/>
        <v>1</v>
      </c>
      <c r="R164" s="348">
        <f t="shared" si="36"/>
        <v>0</v>
      </c>
      <c r="S164" s="287">
        <f t="shared" si="27"/>
        <v>0</v>
      </c>
    </row>
    <row r="165" spans="1:19">
      <c r="A165" s="295"/>
      <c r="B165" s="296"/>
      <c r="C165" s="288">
        <f t="shared" si="28"/>
        <v>1</v>
      </c>
      <c r="D165" s="297"/>
      <c r="E165" s="288">
        <f t="shared" si="29"/>
        <v>1</v>
      </c>
      <c r="F165" s="297"/>
      <c r="G165" s="288">
        <f t="shared" si="30"/>
        <v>1</v>
      </c>
      <c r="H165" s="297"/>
      <c r="I165" s="288">
        <f t="shared" si="31"/>
        <v>1</v>
      </c>
      <c r="J165" s="297"/>
      <c r="K165" s="288">
        <f t="shared" si="32"/>
        <v>1</v>
      </c>
      <c r="L165" s="297"/>
      <c r="M165" s="288">
        <f t="shared" si="33"/>
        <v>1</v>
      </c>
      <c r="N165" s="297"/>
      <c r="O165" s="288">
        <f t="shared" si="34"/>
        <v>1</v>
      </c>
      <c r="P165" s="297"/>
      <c r="Q165" s="288">
        <f t="shared" si="35"/>
        <v>1</v>
      </c>
      <c r="R165" s="348">
        <f t="shared" si="36"/>
        <v>0</v>
      </c>
      <c r="S165" s="287">
        <f t="shared" si="27"/>
        <v>0</v>
      </c>
    </row>
    <row r="166" spans="1:19">
      <c r="A166" s="295"/>
      <c r="B166" s="296"/>
      <c r="C166" s="288">
        <f t="shared" si="28"/>
        <v>1</v>
      </c>
      <c r="D166" s="297"/>
      <c r="E166" s="288">
        <f t="shared" si="29"/>
        <v>1</v>
      </c>
      <c r="F166" s="297"/>
      <c r="G166" s="288">
        <f t="shared" si="30"/>
        <v>1</v>
      </c>
      <c r="H166" s="297"/>
      <c r="I166" s="288">
        <f t="shared" si="31"/>
        <v>1</v>
      </c>
      <c r="J166" s="297"/>
      <c r="K166" s="288">
        <f t="shared" si="32"/>
        <v>1</v>
      </c>
      <c r="L166" s="297"/>
      <c r="M166" s="288">
        <f t="shared" si="33"/>
        <v>1</v>
      </c>
      <c r="N166" s="297"/>
      <c r="O166" s="288">
        <f t="shared" si="34"/>
        <v>1</v>
      </c>
      <c r="P166" s="297"/>
      <c r="Q166" s="288">
        <f t="shared" si="35"/>
        <v>1</v>
      </c>
      <c r="R166" s="348">
        <f t="shared" si="36"/>
        <v>0</v>
      </c>
      <c r="S166" s="287">
        <f t="shared" si="27"/>
        <v>0</v>
      </c>
    </row>
    <row r="167" spans="1:19">
      <c r="A167" s="295"/>
      <c r="B167" s="296"/>
      <c r="C167" s="288">
        <f t="shared" si="28"/>
        <v>1</v>
      </c>
      <c r="D167" s="297"/>
      <c r="E167" s="288">
        <f t="shared" si="29"/>
        <v>1</v>
      </c>
      <c r="F167" s="297"/>
      <c r="G167" s="288">
        <f t="shared" si="30"/>
        <v>1</v>
      </c>
      <c r="H167" s="297"/>
      <c r="I167" s="288">
        <f t="shared" si="31"/>
        <v>1</v>
      </c>
      <c r="J167" s="297"/>
      <c r="K167" s="288">
        <f t="shared" si="32"/>
        <v>1</v>
      </c>
      <c r="L167" s="297"/>
      <c r="M167" s="288">
        <f t="shared" si="33"/>
        <v>1</v>
      </c>
      <c r="N167" s="297"/>
      <c r="O167" s="288">
        <f t="shared" si="34"/>
        <v>1</v>
      </c>
      <c r="P167" s="297"/>
      <c r="Q167" s="288">
        <f t="shared" si="35"/>
        <v>1</v>
      </c>
      <c r="R167" s="348">
        <f t="shared" si="36"/>
        <v>0</v>
      </c>
      <c r="S167" s="287">
        <f t="shared" si="27"/>
        <v>0</v>
      </c>
    </row>
    <row r="168" spans="1:19">
      <c r="A168" s="295"/>
      <c r="B168" s="296"/>
      <c r="C168" s="288">
        <f t="shared" si="28"/>
        <v>1</v>
      </c>
      <c r="D168" s="297"/>
      <c r="E168" s="288">
        <f t="shared" si="29"/>
        <v>1</v>
      </c>
      <c r="F168" s="297"/>
      <c r="G168" s="288">
        <f t="shared" si="30"/>
        <v>1</v>
      </c>
      <c r="H168" s="297"/>
      <c r="I168" s="288">
        <f t="shared" si="31"/>
        <v>1</v>
      </c>
      <c r="J168" s="297"/>
      <c r="K168" s="288">
        <f t="shared" si="32"/>
        <v>1</v>
      </c>
      <c r="L168" s="297"/>
      <c r="M168" s="288">
        <f t="shared" si="33"/>
        <v>1</v>
      </c>
      <c r="N168" s="297"/>
      <c r="O168" s="288">
        <f t="shared" si="34"/>
        <v>1</v>
      </c>
      <c r="P168" s="297"/>
      <c r="Q168" s="288">
        <f t="shared" si="35"/>
        <v>1</v>
      </c>
      <c r="R168" s="348">
        <f t="shared" si="36"/>
        <v>0</v>
      </c>
      <c r="S168" s="287">
        <f t="shared" si="27"/>
        <v>0</v>
      </c>
    </row>
    <row r="169" spans="1:19">
      <c r="A169" s="295"/>
      <c r="B169" s="296"/>
      <c r="C169" s="288">
        <f t="shared" si="28"/>
        <v>1</v>
      </c>
      <c r="D169" s="297"/>
      <c r="E169" s="288">
        <f t="shared" si="29"/>
        <v>1</v>
      </c>
      <c r="F169" s="297"/>
      <c r="G169" s="288">
        <f t="shared" si="30"/>
        <v>1</v>
      </c>
      <c r="H169" s="297"/>
      <c r="I169" s="288">
        <f t="shared" si="31"/>
        <v>1</v>
      </c>
      <c r="J169" s="297"/>
      <c r="K169" s="288">
        <f t="shared" si="32"/>
        <v>1</v>
      </c>
      <c r="L169" s="297"/>
      <c r="M169" s="288">
        <f t="shared" si="33"/>
        <v>1</v>
      </c>
      <c r="N169" s="297"/>
      <c r="O169" s="288">
        <f t="shared" si="34"/>
        <v>1</v>
      </c>
      <c r="P169" s="297"/>
      <c r="Q169" s="288">
        <f t="shared" si="35"/>
        <v>1</v>
      </c>
      <c r="R169" s="348">
        <f t="shared" si="36"/>
        <v>0</v>
      </c>
      <c r="S169" s="287">
        <f t="shared" si="27"/>
        <v>0</v>
      </c>
    </row>
    <row r="170" spans="1:19">
      <c r="A170" s="295"/>
      <c r="B170" s="296"/>
      <c r="C170" s="288">
        <f t="shared" si="28"/>
        <v>1</v>
      </c>
      <c r="D170" s="297"/>
      <c r="E170" s="288">
        <f t="shared" si="29"/>
        <v>1</v>
      </c>
      <c r="F170" s="297"/>
      <c r="G170" s="288">
        <f t="shared" si="30"/>
        <v>1</v>
      </c>
      <c r="H170" s="297"/>
      <c r="I170" s="288">
        <f t="shared" si="31"/>
        <v>1</v>
      </c>
      <c r="J170" s="297"/>
      <c r="K170" s="288">
        <f t="shared" si="32"/>
        <v>1</v>
      </c>
      <c r="L170" s="297"/>
      <c r="M170" s="288">
        <f t="shared" si="33"/>
        <v>1</v>
      </c>
      <c r="N170" s="297"/>
      <c r="O170" s="288">
        <f t="shared" si="34"/>
        <v>1</v>
      </c>
      <c r="P170" s="297"/>
      <c r="Q170" s="288">
        <f t="shared" si="35"/>
        <v>1</v>
      </c>
      <c r="R170" s="348">
        <f t="shared" si="36"/>
        <v>0</v>
      </c>
      <c r="S170" s="287">
        <f t="shared" si="27"/>
        <v>0</v>
      </c>
    </row>
    <row r="171" spans="1:19">
      <c r="A171" s="295"/>
      <c r="B171" s="296"/>
      <c r="C171" s="288">
        <f t="shared" si="28"/>
        <v>1</v>
      </c>
      <c r="D171" s="297"/>
      <c r="E171" s="288">
        <f t="shared" si="29"/>
        <v>1</v>
      </c>
      <c r="F171" s="297"/>
      <c r="G171" s="288">
        <f t="shared" si="30"/>
        <v>1</v>
      </c>
      <c r="H171" s="297"/>
      <c r="I171" s="288">
        <f t="shared" si="31"/>
        <v>1</v>
      </c>
      <c r="J171" s="297"/>
      <c r="K171" s="288">
        <f t="shared" si="32"/>
        <v>1</v>
      </c>
      <c r="L171" s="297"/>
      <c r="M171" s="288">
        <f t="shared" si="33"/>
        <v>1</v>
      </c>
      <c r="N171" s="297"/>
      <c r="O171" s="288">
        <f t="shared" si="34"/>
        <v>1</v>
      </c>
      <c r="P171" s="297"/>
      <c r="Q171" s="288">
        <f t="shared" si="35"/>
        <v>1</v>
      </c>
      <c r="R171" s="348">
        <f t="shared" si="36"/>
        <v>0</v>
      </c>
      <c r="S171" s="287">
        <f t="shared" si="27"/>
        <v>0</v>
      </c>
    </row>
    <row r="172" spans="1:19">
      <c r="A172" s="295"/>
      <c r="B172" s="296"/>
      <c r="C172" s="288">
        <f t="shared" si="28"/>
        <v>1</v>
      </c>
      <c r="D172" s="297"/>
      <c r="E172" s="288">
        <f t="shared" si="29"/>
        <v>1</v>
      </c>
      <c r="F172" s="297"/>
      <c r="G172" s="288">
        <f t="shared" si="30"/>
        <v>1</v>
      </c>
      <c r="H172" s="297"/>
      <c r="I172" s="288">
        <f t="shared" si="31"/>
        <v>1</v>
      </c>
      <c r="J172" s="297"/>
      <c r="K172" s="288">
        <f t="shared" si="32"/>
        <v>1</v>
      </c>
      <c r="L172" s="297"/>
      <c r="M172" s="288">
        <f t="shared" si="33"/>
        <v>1</v>
      </c>
      <c r="N172" s="297"/>
      <c r="O172" s="288">
        <f t="shared" si="34"/>
        <v>1</v>
      </c>
      <c r="P172" s="297"/>
      <c r="Q172" s="288">
        <f t="shared" si="35"/>
        <v>1</v>
      </c>
      <c r="R172" s="348">
        <f t="shared" si="36"/>
        <v>0</v>
      </c>
      <c r="S172" s="287">
        <f t="shared" si="27"/>
        <v>0</v>
      </c>
    </row>
    <row r="173" spans="1:19">
      <c r="A173" s="295"/>
      <c r="B173" s="296"/>
      <c r="C173" s="288">
        <f t="shared" si="28"/>
        <v>1</v>
      </c>
      <c r="D173" s="297"/>
      <c r="E173" s="288">
        <f t="shared" si="29"/>
        <v>1</v>
      </c>
      <c r="F173" s="297"/>
      <c r="G173" s="288">
        <f t="shared" si="30"/>
        <v>1</v>
      </c>
      <c r="H173" s="297"/>
      <c r="I173" s="288">
        <f t="shared" si="31"/>
        <v>1</v>
      </c>
      <c r="J173" s="297"/>
      <c r="K173" s="288">
        <f t="shared" si="32"/>
        <v>1</v>
      </c>
      <c r="L173" s="297"/>
      <c r="M173" s="288">
        <f t="shared" si="33"/>
        <v>1</v>
      </c>
      <c r="N173" s="297"/>
      <c r="O173" s="288">
        <f t="shared" si="34"/>
        <v>1</v>
      </c>
      <c r="P173" s="297"/>
      <c r="Q173" s="288">
        <f t="shared" si="35"/>
        <v>1</v>
      </c>
      <c r="R173" s="348">
        <f t="shared" si="36"/>
        <v>0</v>
      </c>
      <c r="S173" s="287">
        <f t="shared" si="27"/>
        <v>0</v>
      </c>
    </row>
    <row r="174" spans="1:19">
      <c r="A174" s="295"/>
      <c r="B174" s="296"/>
      <c r="C174" s="288">
        <f t="shared" si="28"/>
        <v>1</v>
      </c>
      <c r="D174" s="297"/>
      <c r="E174" s="288">
        <f t="shared" si="29"/>
        <v>1</v>
      </c>
      <c r="F174" s="297"/>
      <c r="G174" s="288">
        <f t="shared" si="30"/>
        <v>1</v>
      </c>
      <c r="H174" s="297"/>
      <c r="I174" s="288">
        <f t="shared" si="31"/>
        <v>1</v>
      </c>
      <c r="J174" s="297"/>
      <c r="K174" s="288">
        <f t="shared" si="32"/>
        <v>1</v>
      </c>
      <c r="L174" s="297"/>
      <c r="M174" s="288">
        <f t="shared" si="33"/>
        <v>1</v>
      </c>
      <c r="N174" s="297"/>
      <c r="O174" s="288">
        <f t="shared" si="34"/>
        <v>1</v>
      </c>
      <c r="P174" s="297"/>
      <c r="Q174" s="288">
        <f t="shared" si="35"/>
        <v>1</v>
      </c>
      <c r="R174" s="348">
        <f t="shared" si="36"/>
        <v>0</v>
      </c>
      <c r="S174" s="287">
        <f t="shared" si="27"/>
        <v>0</v>
      </c>
    </row>
    <row r="175" spans="1:19">
      <c r="A175" s="295"/>
      <c r="B175" s="296"/>
      <c r="C175" s="288">
        <f t="shared" si="28"/>
        <v>1</v>
      </c>
      <c r="D175" s="297"/>
      <c r="E175" s="288">
        <f t="shared" si="29"/>
        <v>1</v>
      </c>
      <c r="F175" s="297"/>
      <c r="G175" s="288">
        <f t="shared" si="30"/>
        <v>1</v>
      </c>
      <c r="H175" s="297"/>
      <c r="I175" s="288">
        <f t="shared" si="31"/>
        <v>1</v>
      </c>
      <c r="J175" s="297"/>
      <c r="K175" s="288">
        <f t="shared" si="32"/>
        <v>1</v>
      </c>
      <c r="L175" s="297"/>
      <c r="M175" s="288">
        <f t="shared" si="33"/>
        <v>1</v>
      </c>
      <c r="N175" s="297"/>
      <c r="O175" s="288">
        <f t="shared" si="34"/>
        <v>1</v>
      </c>
      <c r="P175" s="297"/>
      <c r="Q175" s="288">
        <f t="shared" si="35"/>
        <v>1</v>
      </c>
      <c r="R175" s="348">
        <f t="shared" si="36"/>
        <v>0</v>
      </c>
      <c r="S175" s="287">
        <f t="shared" si="27"/>
        <v>0</v>
      </c>
    </row>
    <row r="176" spans="1:19">
      <c r="A176" s="295"/>
      <c r="B176" s="296"/>
      <c r="C176" s="288">
        <f t="shared" si="28"/>
        <v>1</v>
      </c>
      <c r="D176" s="297"/>
      <c r="E176" s="288">
        <f t="shared" si="29"/>
        <v>1</v>
      </c>
      <c r="F176" s="297"/>
      <c r="G176" s="288">
        <f t="shared" si="30"/>
        <v>1</v>
      </c>
      <c r="H176" s="297"/>
      <c r="I176" s="288">
        <f t="shared" si="31"/>
        <v>1</v>
      </c>
      <c r="J176" s="297"/>
      <c r="K176" s="288">
        <f t="shared" si="32"/>
        <v>1</v>
      </c>
      <c r="L176" s="297"/>
      <c r="M176" s="288">
        <f t="shared" si="33"/>
        <v>1</v>
      </c>
      <c r="N176" s="297"/>
      <c r="O176" s="288">
        <f t="shared" si="34"/>
        <v>1</v>
      </c>
      <c r="P176" s="297"/>
      <c r="Q176" s="288">
        <f t="shared" si="35"/>
        <v>1</v>
      </c>
      <c r="R176" s="348">
        <f t="shared" si="36"/>
        <v>0</v>
      </c>
      <c r="S176" s="287">
        <f t="shared" si="27"/>
        <v>0</v>
      </c>
    </row>
    <row r="177" spans="1:19">
      <c r="A177" s="295"/>
      <c r="B177" s="296"/>
      <c r="C177" s="288">
        <f t="shared" si="28"/>
        <v>1</v>
      </c>
      <c r="D177" s="297"/>
      <c r="E177" s="288">
        <f t="shared" si="29"/>
        <v>1</v>
      </c>
      <c r="F177" s="297"/>
      <c r="G177" s="288">
        <f t="shared" si="30"/>
        <v>1</v>
      </c>
      <c r="H177" s="297"/>
      <c r="I177" s="288">
        <f t="shared" si="31"/>
        <v>1</v>
      </c>
      <c r="J177" s="297"/>
      <c r="K177" s="288">
        <f t="shared" si="32"/>
        <v>1</v>
      </c>
      <c r="L177" s="297"/>
      <c r="M177" s="288">
        <f t="shared" si="33"/>
        <v>1</v>
      </c>
      <c r="N177" s="297"/>
      <c r="O177" s="288">
        <f t="shared" si="34"/>
        <v>1</v>
      </c>
      <c r="P177" s="297"/>
      <c r="Q177" s="288">
        <f t="shared" si="35"/>
        <v>1</v>
      </c>
      <c r="R177" s="348">
        <f t="shared" si="36"/>
        <v>0</v>
      </c>
      <c r="S177" s="287">
        <f t="shared" si="27"/>
        <v>0</v>
      </c>
    </row>
    <row r="178" spans="1:19">
      <c r="A178" s="295"/>
      <c r="B178" s="296"/>
      <c r="C178" s="288">
        <f t="shared" si="28"/>
        <v>1</v>
      </c>
      <c r="D178" s="297"/>
      <c r="E178" s="288">
        <f t="shared" si="29"/>
        <v>1</v>
      </c>
      <c r="F178" s="297"/>
      <c r="G178" s="288">
        <f t="shared" si="30"/>
        <v>1</v>
      </c>
      <c r="H178" s="297"/>
      <c r="I178" s="288">
        <f t="shared" si="31"/>
        <v>1</v>
      </c>
      <c r="J178" s="297"/>
      <c r="K178" s="288">
        <f t="shared" si="32"/>
        <v>1</v>
      </c>
      <c r="L178" s="297"/>
      <c r="M178" s="288">
        <f t="shared" si="33"/>
        <v>1</v>
      </c>
      <c r="N178" s="297"/>
      <c r="O178" s="288">
        <f t="shared" si="34"/>
        <v>1</v>
      </c>
      <c r="P178" s="297"/>
      <c r="Q178" s="288">
        <f t="shared" si="35"/>
        <v>1</v>
      </c>
      <c r="R178" s="348">
        <f t="shared" si="36"/>
        <v>0</v>
      </c>
      <c r="S178" s="287">
        <f t="shared" si="27"/>
        <v>0</v>
      </c>
    </row>
    <row r="179" spans="1:19">
      <c r="A179" s="295"/>
      <c r="B179" s="296"/>
      <c r="C179" s="288">
        <f t="shared" si="28"/>
        <v>1</v>
      </c>
      <c r="D179" s="297"/>
      <c r="E179" s="288">
        <f t="shared" si="29"/>
        <v>1</v>
      </c>
      <c r="F179" s="297"/>
      <c r="G179" s="288">
        <f t="shared" si="30"/>
        <v>1</v>
      </c>
      <c r="H179" s="297"/>
      <c r="I179" s="288">
        <f t="shared" si="31"/>
        <v>1</v>
      </c>
      <c r="J179" s="297"/>
      <c r="K179" s="288">
        <f t="shared" si="32"/>
        <v>1</v>
      </c>
      <c r="L179" s="297"/>
      <c r="M179" s="288">
        <f t="shared" si="33"/>
        <v>1</v>
      </c>
      <c r="N179" s="297"/>
      <c r="O179" s="288">
        <f t="shared" si="34"/>
        <v>1</v>
      </c>
      <c r="P179" s="297"/>
      <c r="Q179" s="288">
        <f t="shared" si="35"/>
        <v>1</v>
      </c>
      <c r="R179" s="348">
        <f t="shared" si="36"/>
        <v>0</v>
      </c>
      <c r="S179" s="287">
        <f t="shared" si="27"/>
        <v>0</v>
      </c>
    </row>
    <row r="180" spans="1:19">
      <c r="A180" s="295"/>
      <c r="B180" s="296"/>
      <c r="C180" s="288">
        <f t="shared" si="28"/>
        <v>1</v>
      </c>
      <c r="D180" s="297"/>
      <c r="E180" s="288">
        <f t="shared" si="29"/>
        <v>1</v>
      </c>
      <c r="F180" s="297"/>
      <c r="G180" s="288">
        <f t="shared" si="30"/>
        <v>1</v>
      </c>
      <c r="H180" s="297"/>
      <c r="I180" s="288">
        <f t="shared" si="31"/>
        <v>1</v>
      </c>
      <c r="J180" s="297"/>
      <c r="K180" s="288">
        <f t="shared" si="32"/>
        <v>1</v>
      </c>
      <c r="L180" s="297"/>
      <c r="M180" s="288">
        <f t="shared" si="33"/>
        <v>1</v>
      </c>
      <c r="N180" s="297"/>
      <c r="O180" s="288">
        <f t="shared" si="34"/>
        <v>1</v>
      </c>
      <c r="P180" s="297"/>
      <c r="Q180" s="288">
        <f t="shared" si="35"/>
        <v>1</v>
      </c>
      <c r="R180" s="348">
        <f t="shared" si="36"/>
        <v>0</v>
      </c>
      <c r="S180" s="287">
        <f t="shared" si="27"/>
        <v>0</v>
      </c>
    </row>
    <row r="181" spans="1:19">
      <c r="A181" s="295"/>
      <c r="B181" s="296"/>
      <c r="C181" s="288">
        <f t="shared" si="28"/>
        <v>1</v>
      </c>
      <c r="D181" s="297"/>
      <c r="E181" s="288">
        <f t="shared" si="29"/>
        <v>1</v>
      </c>
      <c r="F181" s="297"/>
      <c r="G181" s="288">
        <f t="shared" si="30"/>
        <v>1</v>
      </c>
      <c r="H181" s="297"/>
      <c r="I181" s="288">
        <f t="shared" si="31"/>
        <v>1</v>
      </c>
      <c r="J181" s="297"/>
      <c r="K181" s="288">
        <f t="shared" si="32"/>
        <v>1</v>
      </c>
      <c r="L181" s="297"/>
      <c r="M181" s="288">
        <f t="shared" si="33"/>
        <v>1</v>
      </c>
      <c r="N181" s="297"/>
      <c r="O181" s="288">
        <f t="shared" si="34"/>
        <v>1</v>
      </c>
      <c r="P181" s="297"/>
      <c r="Q181" s="288">
        <f t="shared" si="35"/>
        <v>1</v>
      </c>
      <c r="R181" s="348">
        <f t="shared" si="36"/>
        <v>0</v>
      </c>
      <c r="S181" s="287">
        <f t="shared" si="27"/>
        <v>0</v>
      </c>
    </row>
    <row r="182" spans="1:19">
      <c r="A182" s="295"/>
      <c r="B182" s="296"/>
      <c r="C182" s="288">
        <f t="shared" si="28"/>
        <v>1</v>
      </c>
      <c r="D182" s="297"/>
      <c r="E182" s="288">
        <f t="shared" si="29"/>
        <v>1</v>
      </c>
      <c r="F182" s="297"/>
      <c r="G182" s="288">
        <f t="shared" si="30"/>
        <v>1</v>
      </c>
      <c r="H182" s="297"/>
      <c r="I182" s="288">
        <f t="shared" si="31"/>
        <v>1</v>
      </c>
      <c r="J182" s="297"/>
      <c r="K182" s="288">
        <f t="shared" si="32"/>
        <v>1</v>
      </c>
      <c r="L182" s="297"/>
      <c r="M182" s="288">
        <f t="shared" si="33"/>
        <v>1</v>
      </c>
      <c r="N182" s="297"/>
      <c r="O182" s="288">
        <f t="shared" si="34"/>
        <v>1</v>
      </c>
      <c r="P182" s="297"/>
      <c r="Q182" s="288">
        <f t="shared" si="35"/>
        <v>1</v>
      </c>
      <c r="R182" s="348">
        <f t="shared" si="36"/>
        <v>0</v>
      </c>
      <c r="S182" s="287">
        <f t="shared" si="27"/>
        <v>0</v>
      </c>
    </row>
    <row r="183" spans="1:19">
      <c r="A183" s="295"/>
      <c r="B183" s="296"/>
      <c r="C183" s="288">
        <f t="shared" si="28"/>
        <v>1</v>
      </c>
      <c r="D183" s="297"/>
      <c r="E183" s="288">
        <f t="shared" si="29"/>
        <v>1</v>
      </c>
      <c r="F183" s="297"/>
      <c r="G183" s="288">
        <f t="shared" si="30"/>
        <v>1</v>
      </c>
      <c r="H183" s="297"/>
      <c r="I183" s="288">
        <f t="shared" si="31"/>
        <v>1</v>
      </c>
      <c r="J183" s="297"/>
      <c r="K183" s="288">
        <f t="shared" si="32"/>
        <v>1</v>
      </c>
      <c r="L183" s="297"/>
      <c r="M183" s="288">
        <f t="shared" si="33"/>
        <v>1</v>
      </c>
      <c r="N183" s="297"/>
      <c r="O183" s="288">
        <f t="shared" si="34"/>
        <v>1</v>
      </c>
      <c r="P183" s="297"/>
      <c r="Q183" s="288">
        <f t="shared" si="35"/>
        <v>1</v>
      </c>
      <c r="R183" s="348">
        <f t="shared" si="36"/>
        <v>0</v>
      </c>
      <c r="S183" s="287">
        <f t="shared" si="27"/>
        <v>0</v>
      </c>
    </row>
    <row r="184" spans="1:19">
      <c r="A184" s="295"/>
      <c r="B184" s="296"/>
      <c r="C184" s="288">
        <f t="shared" si="28"/>
        <v>1</v>
      </c>
      <c r="D184" s="297"/>
      <c r="E184" s="288">
        <f t="shared" si="29"/>
        <v>1</v>
      </c>
      <c r="F184" s="297"/>
      <c r="G184" s="288">
        <f t="shared" si="30"/>
        <v>1</v>
      </c>
      <c r="H184" s="297"/>
      <c r="I184" s="288">
        <f t="shared" si="31"/>
        <v>1</v>
      </c>
      <c r="J184" s="297"/>
      <c r="K184" s="288">
        <f t="shared" si="32"/>
        <v>1</v>
      </c>
      <c r="L184" s="297"/>
      <c r="M184" s="288">
        <f t="shared" si="33"/>
        <v>1</v>
      </c>
      <c r="N184" s="297"/>
      <c r="O184" s="288">
        <f t="shared" si="34"/>
        <v>1</v>
      </c>
      <c r="P184" s="297"/>
      <c r="Q184" s="288">
        <f t="shared" si="35"/>
        <v>1</v>
      </c>
      <c r="R184" s="348">
        <f t="shared" si="36"/>
        <v>0</v>
      </c>
      <c r="S184" s="287">
        <f t="shared" si="27"/>
        <v>0</v>
      </c>
    </row>
    <row r="185" spans="1:19">
      <c r="A185" s="295"/>
      <c r="B185" s="296"/>
      <c r="C185" s="288">
        <f t="shared" si="28"/>
        <v>1</v>
      </c>
      <c r="D185" s="297"/>
      <c r="E185" s="288">
        <f t="shared" si="29"/>
        <v>1</v>
      </c>
      <c r="F185" s="297"/>
      <c r="G185" s="288">
        <f t="shared" si="30"/>
        <v>1</v>
      </c>
      <c r="H185" s="297"/>
      <c r="I185" s="288">
        <f t="shared" si="31"/>
        <v>1</v>
      </c>
      <c r="J185" s="297"/>
      <c r="K185" s="288">
        <f t="shared" si="32"/>
        <v>1</v>
      </c>
      <c r="L185" s="297"/>
      <c r="M185" s="288">
        <f t="shared" si="33"/>
        <v>1</v>
      </c>
      <c r="N185" s="297"/>
      <c r="O185" s="288">
        <f t="shared" si="34"/>
        <v>1</v>
      </c>
      <c r="P185" s="297"/>
      <c r="Q185" s="288">
        <f t="shared" si="35"/>
        <v>1</v>
      </c>
      <c r="R185" s="348">
        <f t="shared" si="36"/>
        <v>0</v>
      </c>
      <c r="S185" s="287">
        <f t="shared" si="27"/>
        <v>0</v>
      </c>
    </row>
    <row r="186" spans="1:19">
      <c r="A186" s="295"/>
      <c r="B186" s="296"/>
      <c r="C186" s="288">
        <f t="shared" si="28"/>
        <v>1</v>
      </c>
      <c r="D186" s="297"/>
      <c r="E186" s="288">
        <f t="shared" si="29"/>
        <v>1</v>
      </c>
      <c r="F186" s="297"/>
      <c r="G186" s="288">
        <f t="shared" si="30"/>
        <v>1</v>
      </c>
      <c r="H186" s="297"/>
      <c r="I186" s="288">
        <f t="shared" si="31"/>
        <v>1</v>
      </c>
      <c r="J186" s="297"/>
      <c r="K186" s="288">
        <f t="shared" si="32"/>
        <v>1</v>
      </c>
      <c r="L186" s="297"/>
      <c r="M186" s="288">
        <f t="shared" si="33"/>
        <v>1</v>
      </c>
      <c r="N186" s="297"/>
      <c r="O186" s="288">
        <f t="shared" si="34"/>
        <v>1</v>
      </c>
      <c r="P186" s="297"/>
      <c r="Q186" s="288">
        <f t="shared" si="35"/>
        <v>1</v>
      </c>
      <c r="R186" s="348">
        <f t="shared" si="36"/>
        <v>0</v>
      </c>
      <c r="S186" s="287">
        <f t="shared" si="27"/>
        <v>0</v>
      </c>
    </row>
    <row r="187" spans="1:19">
      <c r="A187" s="295"/>
      <c r="B187" s="296"/>
      <c r="C187" s="288">
        <f t="shared" si="28"/>
        <v>1</v>
      </c>
      <c r="D187" s="297"/>
      <c r="E187" s="288">
        <f t="shared" si="29"/>
        <v>1</v>
      </c>
      <c r="F187" s="297"/>
      <c r="G187" s="288">
        <f t="shared" si="30"/>
        <v>1</v>
      </c>
      <c r="H187" s="297"/>
      <c r="I187" s="288">
        <f t="shared" si="31"/>
        <v>1</v>
      </c>
      <c r="J187" s="297"/>
      <c r="K187" s="288">
        <f t="shared" si="32"/>
        <v>1</v>
      </c>
      <c r="L187" s="297"/>
      <c r="M187" s="288">
        <f t="shared" si="33"/>
        <v>1</v>
      </c>
      <c r="N187" s="297"/>
      <c r="O187" s="288">
        <f t="shared" si="34"/>
        <v>1</v>
      </c>
      <c r="P187" s="297"/>
      <c r="Q187" s="288">
        <f t="shared" si="35"/>
        <v>1</v>
      </c>
      <c r="R187" s="348">
        <f t="shared" si="36"/>
        <v>0</v>
      </c>
      <c r="S187" s="287">
        <f t="shared" ref="S187:S222" si="37">ROUND(R187*B187/10000,0)</f>
        <v>0</v>
      </c>
    </row>
    <row r="188" spans="1:19">
      <c r="A188" s="295"/>
      <c r="B188" s="296"/>
      <c r="C188" s="288">
        <f t="shared" si="28"/>
        <v>1</v>
      </c>
      <c r="D188" s="297"/>
      <c r="E188" s="288">
        <f t="shared" si="29"/>
        <v>1</v>
      </c>
      <c r="F188" s="297"/>
      <c r="G188" s="288">
        <f t="shared" si="30"/>
        <v>1</v>
      </c>
      <c r="H188" s="297"/>
      <c r="I188" s="288">
        <f t="shared" si="31"/>
        <v>1</v>
      </c>
      <c r="J188" s="297"/>
      <c r="K188" s="288">
        <f t="shared" si="32"/>
        <v>1</v>
      </c>
      <c r="L188" s="297"/>
      <c r="M188" s="288">
        <f t="shared" si="33"/>
        <v>1</v>
      </c>
      <c r="N188" s="297"/>
      <c r="O188" s="288">
        <f t="shared" si="34"/>
        <v>1</v>
      </c>
      <c r="P188" s="297"/>
      <c r="Q188" s="288">
        <f t="shared" si="35"/>
        <v>1</v>
      </c>
      <c r="R188" s="348">
        <f t="shared" si="36"/>
        <v>0</v>
      </c>
      <c r="S188" s="287">
        <f t="shared" si="37"/>
        <v>0</v>
      </c>
    </row>
    <row r="189" spans="1:19">
      <c r="A189" s="295"/>
      <c r="B189" s="296"/>
      <c r="C189" s="288">
        <f t="shared" si="28"/>
        <v>1</v>
      </c>
      <c r="D189" s="297"/>
      <c r="E189" s="288">
        <f t="shared" si="29"/>
        <v>1</v>
      </c>
      <c r="F189" s="297"/>
      <c r="G189" s="288">
        <f t="shared" si="30"/>
        <v>1</v>
      </c>
      <c r="H189" s="297"/>
      <c r="I189" s="288">
        <f t="shared" si="31"/>
        <v>1</v>
      </c>
      <c r="J189" s="297"/>
      <c r="K189" s="288">
        <f t="shared" si="32"/>
        <v>1</v>
      </c>
      <c r="L189" s="297"/>
      <c r="M189" s="288">
        <f t="shared" si="33"/>
        <v>1</v>
      </c>
      <c r="N189" s="297"/>
      <c r="O189" s="288">
        <f t="shared" si="34"/>
        <v>1</v>
      </c>
      <c r="P189" s="297"/>
      <c r="Q189" s="288">
        <f t="shared" si="35"/>
        <v>1</v>
      </c>
      <c r="R189" s="348">
        <f t="shared" si="36"/>
        <v>0</v>
      </c>
      <c r="S189" s="287">
        <f t="shared" si="37"/>
        <v>0</v>
      </c>
    </row>
    <row r="190" spans="1:19">
      <c r="A190" s="295"/>
      <c r="B190" s="296"/>
      <c r="C190" s="288">
        <f t="shared" si="28"/>
        <v>1</v>
      </c>
      <c r="D190" s="297"/>
      <c r="E190" s="288">
        <f t="shared" si="29"/>
        <v>1</v>
      </c>
      <c r="F190" s="297"/>
      <c r="G190" s="288">
        <f t="shared" si="30"/>
        <v>1</v>
      </c>
      <c r="H190" s="297"/>
      <c r="I190" s="288">
        <f t="shared" si="31"/>
        <v>1</v>
      </c>
      <c r="J190" s="297"/>
      <c r="K190" s="288">
        <f t="shared" si="32"/>
        <v>1</v>
      </c>
      <c r="L190" s="297"/>
      <c r="M190" s="288">
        <f t="shared" si="33"/>
        <v>1</v>
      </c>
      <c r="N190" s="297"/>
      <c r="O190" s="288">
        <f t="shared" si="34"/>
        <v>1</v>
      </c>
      <c r="P190" s="297"/>
      <c r="Q190" s="288">
        <f t="shared" si="35"/>
        <v>1</v>
      </c>
      <c r="R190" s="348">
        <f t="shared" si="36"/>
        <v>0</v>
      </c>
      <c r="S190" s="287">
        <f t="shared" si="37"/>
        <v>0</v>
      </c>
    </row>
    <row r="191" spans="1:19">
      <c r="A191" s="295"/>
      <c r="B191" s="296"/>
      <c r="C191" s="288">
        <f t="shared" si="28"/>
        <v>1</v>
      </c>
      <c r="D191" s="297"/>
      <c r="E191" s="288">
        <f t="shared" si="29"/>
        <v>1</v>
      </c>
      <c r="F191" s="297"/>
      <c r="G191" s="288">
        <f t="shared" si="30"/>
        <v>1</v>
      </c>
      <c r="H191" s="297"/>
      <c r="I191" s="288">
        <f t="shared" si="31"/>
        <v>1</v>
      </c>
      <c r="J191" s="297"/>
      <c r="K191" s="288">
        <f t="shared" si="32"/>
        <v>1</v>
      </c>
      <c r="L191" s="297"/>
      <c r="M191" s="288">
        <f t="shared" si="33"/>
        <v>1</v>
      </c>
      <c r="N191" s="297"/>
      <c r="O191" s="288">
        <f t="shared" si="34"/>
        <v>1</v>
      </c>
      <c r="P191" s="297"/>
      <c r="Q191" s="288">
        <f t="shared" si="35"/>
        <v>1</v>
      </c>
      <c r="R191" s="348">
        <f t="shared" si="36"/>
        <v>0</v>
      </c>
      <c r="S191" s="287">
        <f t="shared" si="37"/>
        <v>0</v>
      </c>
    </row>
    <row r="192" spans="1:19">
      <c r="A192" s="295"/>
      <c r="B192" s="296"/>
      <c r="C192" s="288">
        <f t="shared" si="28"/>
        <v>1</v>
      </c>
      <c r="D192" s="297"/>
      <c r="E192" s="288">
        <f t="shared" si="29"/>
        <v>1</v>
      </c>
      <c r="F192" s="297"/>
      <c r="G192" s="288">
        <f t="shared" si="30"/>
        <v>1</v>
      </c>
      <c r="H192" s="297"/>
      <c r="I192" s="288">
        <f t="shared" si="31"/>
        <v>1</v>
      </c>
      <c r="J192" s="297"/>
      <c r="K192" s="288">
        <f t="shared" si="32"/>
        <v>1</v>
      </c>
      <c r="L192" s="297"/>
      <c r="M192" s="288">
        <f t="shared" si="33"/>
        <v>1</v>
      </c>
      <c r="N192" s="297"/>
      <c r="O192" s="288">
        <f t="shared" si="34"/>
        <v>1</v>
      </c>
      <c r="P192" s="297"/>
      <c r="Q192" s="288">
        <f t="shared" si="35"/>
        <v>1</v>
      </c>
      <c r="R192" s="348">
        <f t="shared" si="36"/>
        <v>0</v>
      </c>
      <c r="S192" s="287">
        <f t="shared" si="37"/>
        <v>0</v>
      </c>
    </row>
    <row r="193" spans="1:19">
      <c r="A193" s="295"/>
      <c r="B193" s="296"/>
      <c r="C193" s="288">
        <f t="shared" si="28"/>
        <v>1</v>
      </c>
      <c r="D193" s="297"/>
      <c r="E193" s="288">
        <f t="shared" si="29"/>
        <v>1</v>
      </c>
      <c r="F193" s="297"/>
      <c r="G193" s="288">
        <f t="shared" si="30"/>
        <v>1</v>
      </c>
      <c r="H193" s="297"/>
      <c r="I193" s="288">
        <f t="shared" si="31"/>
        <v>1</v>
      </c>
      <c r="J193" s="297"/>
      <c r="K193" s="288">
        <f t="shared" si="32"/>
        <v>1</v>
      </c>
      <c r="L193" s="297"/>
      <c r="M193" s="288">
        <f t="shared" si="33"/>
        <v>1</v>
      </c>
      <c r="N193" s="297"/>
      <c r="O193" s="288">
        <f t="shared" si="34"/>
        <v>1</v>
      </c>
      <c r="P193" s="297"/>
      <c r="Q193" s="288">
        <f t="shared" si="35"/>
        <v>1</v>
      </c>
      <c r="R193" s="348">
        <f t="shared" si="36"/>
        <v>0</v>
      </c>
      <c r="S193" s="287">
        <f t="shared" si="37"/>
        <v>0</v>
      </c>
    </row>
    <row r="194" spans="1:19">
      <c r="A194" s="295"/>
      <c r="B194" s="296"/>
      <c r="C194" s="288">
        <f t="shared" si="28"/>
        <v>1</v>
      </c>
      <c r="D194" s="297"/>
      <c r="E194" s="288">
        <f t="shared" si="29"/>
        <v>1</v>
      </c>
      <c r="F194" s="297"/>
      <c r="G194" s="288">
        <f t="shared" si="30"/>
        <v>1</v>
      </c>
      <c r="H194" s="297"/>
      <c r="I194" s="288">
        <f t="shared" si="31"/>
        <v>1</v>
      </c>
      <c r="J194" s="297"/>
      <c r="K194" s="288">
        <f t="shared" si="32"/>
        <v>1</v>
      </c>
      <c r="L194" s="297"/>
      <c r="M194" s="288">
        <f t="shared" si="33"/>
        <v>1</v>
      </c>
      <c r="N194" s="297"/>
      <c r="O194" s="288">
        <f t="shared" si="34"/>
        <v>1</v>
      </c>
      <c r="P194" s="297"/>
      <c r="Q194" s="288">
        <f t="shared" si="35"/>
        <v>1</v>
      </c>
      <c r="R194" s="348">
        <f t="shared" si="36"/>
        <v>0</v>
      </c>
      <c r="S194" s="287">
        <f t="shared" si="37"/>
        <v>0</v>
      </c>
    </row>
    <row r="195" spans="1:19">
      <c r="A195" s="295"/>
      <c r="B195" s="296"/>
      <c r="C195" s="288">
        <f t="shared" si="28"/>
        <v>1</v>
      </c>
      <c r="D195" s="297"/>
      <c r="E195" s="288">
        <f t="shared" si="29"/>
        <v>1</v>
      </c>
      <c r="F195" s="297"/>
      <c r="G195" s="288">
        <f t="shared" si="30"/>
        <v>1</v>
      </c>
      <c r="H195" s="297"/>
      <c r="I195" s="288">
        <f t="shared" si="31"/>
        <v>1</v>
      </c>
      <c r="J195" s="297"/>
      <c r="K195" s="288">
        <f t="shared" si="32"/>
        <v>1</v>
      </c>
      <c r="L195" s="297"/>
      <c r="M195" s="288">
        <f t="shared" si="33"/>
        <v>1</v>
      </c>
      <c r="N195" s="297"/>
      <c r="O195" s="288">
        <f t="shared" si="34"/>
        <v>1</v>
      </c>
      <c r="P195" s="297"/>
      <c r="Q195" s="288">
        <f t="shared" si="35"/>
        <v>1</v>
      </c>
      <c r="R195" s="348">
        <f t="shared" si="36"/>
        <v>0</v>
      </c>
      <c r="S195" s="287">
        <f t="shared" si="37"/>
        <v>0</v>
      </c>
    </row>
    <row r="196" spans="1:19">
      <c r="A196" s="295"/>
      <c r="B196" s="296"/>
      <c r="C196" s="288">
        <f t="shared" si="28"/>
        <v>1</v>
      </c>
      <c r="D196" s="297"/>
      <c r="E196" s="288">
        <f t="shared" si="29"/>
        <v>1</v>
      </c>
      <c r="F196" s="297"/>
      <c r="G196" s="288">
        <f t="shared" si="30"/>
        <v>1</v>
      </c>
      <c r="H196" s="297"/>
      <c r="I196" s="288">
        <f t="shared" si="31"/>
        <v>1</v>
      </c>
      <c r="J196" s="297"/>
      <c r="K196" s="288">
        <f t="shared" si="32"/>
        <v>1</v>
      </c>
      <c r="L196" s="297"/>
      <c r="M196" s="288">
        <f t="shared" si="33"/>
        <v>1</v>
      </c>
      <c r="N196" s="297"/>
      <c r="O196" s="288">
        <f t="shared" si="34"/>
        <v>1</v>
      </c>
      <c r="P196" s="297"/>
      <c r="Q196" s="288">
        <f t="shared" si="35"/>
        <v>1</v>
      </c>
      <c r="R196" s="348">
        <f t="shared" si="36"/>
        <v>0</v>
      </c>
      <c r="S196" s="287">
        <f t="shared" si="37"/>
        <v>0</v>
      </c>
    </row>
    <row r="197" spans="1:19">
      <c r="A197" s="295"/>
      <c r="B197" s="296"/>
      <c r="C197" s="288">
        <f t="shared" si="28"/>
        <v>1</v>
      </c>
      <c r="D197" s="297"/>
      <c r="E197" s="288">
        <f t="shared" si="29"/>
        <v>1</v>
      </c>
      <c r="F197" s="297"/>
      <c r="G197" s="288">
        <f t="shared" si="30"/>
        <v>1</v>
      </c>
      <c r="H197" s="297"/>
      <c r="I197" s="288">
        <f t="shared" si="31"/>
        <v>1</v>
      </c>
      <c r="J197" s="297"/>
      <c r="K197" s="288">
        <f t="shared" si="32"/>
        <v>1</v>
      </c>
      <c r="L197" s="297"/>
      <c r="M197" s="288">
        <f t="shared" si="33"/>
        <v>1</v>
      </c>
      <c r="N197" s="297"/>
      <c r="O197" s="288">
        <f t="shared" si="34"/>
        <v>1</v>
      </c>
      <c r="P197" s="297"/>
      <c r="Q197" s="288">
        <f t="shared" si="35"/>
        <v>1</v>
      </c>
      <c r="R197" s="348">
        <f t="shared" si="36"/>
        <v>0</v>
      </c>
      <c r="S197" s="287">
        <f t="shared" si="37"/>
        <v>0</v>
      </c>
    </row>
    <row r="198" spans="1:19">
      <c r="A198" s="295"/>
      <c r="B198" s="296"/>
      <c r="C198" s="288">
        <f t="shared" si="28"/>
        <v>1</v>
      </c>
      <c r="D198" s="297"/>
      <c r="E198" s="288">
        <f t="shared" si="29"/>
        <v>1</v>
      </c>
      <c r="F198" s="297"/>
      <c r="G198" s="288">
        <f t="shared" si="30"/>
        <v>1</v>
      </c>
      <c r="H198" s="297"/>
      <c r="I198" s="288">
        <f t="shared" si="31"/>
        <v>1</v>
      </c>
      <c r="J198" s="297"/>
      <c r="K198" s="288">
        <f t="shared" si="32"/>
        <v>1</v>
      </c>
      <c r="L198" s="297"/>
      <c r="M198" s="288">
        <f t="shared" si="33"/>
        <v>1</v>
      </c>
      <c r="N198" s="297"/>
      <c r="O198" s="288">
        <f t="shared" si="34"/>
        <v>1</v>
      </c>
      <c r="P198" s="297"/>
      <c r="Q198" s="288">
        <f t="shared" si="35"/>
        <v>1</v>
      </c>
      <c r="R198" s="348">
        <f t="shared" si="36"/>
        <v>0</v>
      </c>
      <c r="S198" s="287">
        <f t="shared" si="37"/>
        <v>0</v>
      </c>
    </row>
    <row r="199" spans="1:19">
      <c r="A199" s="295"/>
      <c r="B199" s="296"/>
      <c r="C199" s="288">
        <f t="shared" si="28"/>
        <v>1</v>
      </c>
      <c r="D199" s="297"/>
      <c r="E199" s="288">
        <f t="shared" si="29"/>
        <v>1</v>
      </c>
      <c r="F199" s="297"/>
      <c r="G199" s="288">
        <f t="shared" si="30"/>
        <v>1</v>
      </c>
      <c r="H199" s="297"/>
      <c r="I199" s="288">
        <f t="shared" si="31"/>
        <v>1</v>
      </c>
      <c r="J199" s="297"/>
      <c r="K199" s="288">
        <f t="shared" si="32"/>
        <v>1</v>
      </c>
      <c r="L199" s="297"/>
      <c r="M199" s="288">
        <f t="shared" si="33"/>
        <v>1</v>
      </c>
      <c r="N199" s="297"/>
      <c r="O199" s="288">
        <f t="shared" si="34"/>
        <v>1</v>
      </c>
      <c r="P199" s="297"/>
      <c r="Q199" s="288">
        <f t="shared" si="35"/>
        <v>1</v>
      </c>
      <c r="R199" s="348">
        <f t="shared" si="36"/>
        <v>0</v>
      </c>
      <c r="S199" s="287">
        <f t="shared" si="37"/>
        <v>0</v>
      </c>
    </row>
    <row r="200" spans="1:19">
      <c r="A200" s="295"/>
      <c r="B200" s="296"/>
      <c r="C200" s="288">
        <f t="shared" si="28"/>
        <v>1</v>
      </c>
      <c r="D200" s="297"/>
      <c r="E200" s="288">
        <f t="shared" si="29"/>
        <v>1</v>
      </c>
      <c r="F200" s="297"/>
      <c r="G200" s="288">
        <f t="shared" si="30"/>
        <v>1</v>
      </c>
      <c r="H200" s="297"/>
      <c r="I200" s="288">
        <f t="shared" si="31"/>
        <v>1</v>
      </c>
      <c r="J200" s="297"/>
      <c r="K200" s="288">
        <f t="shared" si="32"/>
        <v>1</v>
      </c>
      <c r="L200" s="297"/>
      <c r="M200" s="288">
        <f t="shared" si="33"/>
        <v>1</v>
      </c>
      <c r="N200" s="297"/>
      <c r="O200" s="288">
        <f t="shared" si="34"/>
        <v>1</v>
      </c>
      <c r="P200" s="297"/>
      <c r="Q200" s="288">
        <f t="shared" si="35"/>
        <v>1</v>
      </c>
      <c r="R200" s="348">
        <f t="shared" si="36"/>
        <v>0</v>
      </c>
      <c r="S200" s="287">
        <f t="shared" si="37"/>
        <v>0</v>
      </c>
    </row>
    <row r="201" spans="1:19">
      <c r="A201" s="295"/>
      <c r="B201" s="296"/>
      <c r="C201" s="288">
        <f t="shared" si="28"/>
        <v>1</v>
      </c>
      <c r="D201" s="297"/>
      <c r="E201" s="288">
        <f t="shared" si="29"/>
        <v>1</v>
      </c>
      <c r="F201" s="297"/>
      <c r="G201" s="288">
        <f t="shared" si="30"/>
        <v>1</v>
      </c>
      <c r="H201" s="297"/>
      <c r="I201" s="288">
        <f t="shared" si="31"/>
        <v>1</v>
      </c>
      <c r="J201" s="297"/>
      <c r="K201" s="288">
        <f t="shared" si="32"/>
        <v>1</v>
      </c>
      <c r="L201" s="297"/>
      <c r="M201" s="288">
        <f t="shared" si="33"/>
        <v>1</v>
      </c>
      <c r="N201" s="297"/>
      <c r="O201" s="288">
        <f t="shared" si="34"/>
        <v>1</v>
      </c>
      <c r="P201" s="297"/>
      <c r="Q201" s="288">
        <f t="shared" si="35"/>
        <v>1</v>
      </c>
      <c r="R201" s="348">
        <f t="shared" si="36"/>
        <v>0</v>
      </c>
      <c r="S201" s="287">
        <f t="shared" si="37"/>
        <v>0</v>
      </c>
    </row>
    <row r="202" spans="1:19">
      <c r="A202" s="295"/>
      <c r="B202" s="296"/>
      <c r="C202" s="288">
        <f t="shared" si="28"/>
        <v>1</v>
      </c>
      <c r="D202" s="297"/>
      <c r="E202" s="288">
        <f t="shared" si="29"/>
        <v>1</v>
      </c>
      <c r="F202" s="297"/>
      <c r="G202" s="288">
        <f t="shared" si="30"/>
        <v>1</v>
      </c>
      <c r="H202" s="297"/>
      <c r="I202" s="288">
        <f t="shared" si="31"/>
        <v>1</v>
      </c>
      <c r="J202" s="297"/>
      <c r="K202" s="288">
        <f t="shared" si="32"/>
        <v>1</v>
      </c>
      <c r="L202" s="297"/>
      <c r="M202" s="288">
        <f t="shared" si="33"/>
        <v>1</v>
      </c>
      <c r="N202" s="297"/>
      <c r="O202" s="288">
        <f t="shared" si="34"/>
        <v>1</v>
      </c>
      <c r="P202" s="297"/>
      <c r="Q202" s="288">
        <f t="shared" si="35"/>
        <v>1</v>
      </c>
      <c r="R202" s="348">
        <f t="shared" si="36"/>
        <v>0</v>
      </c>
      <c r="S202" s="287">
        <f t="shared" si="37"/>
        <v>0</v>
      </c>
    </row>
    <row r="203" spans="1:19">
      <c r="A203" s="295"/>
      <c r="B203" s="296"/>
      <c r="C203" s="288">
        <f t="shared" si="28"/>
        <v>1</v>
      </c>
      <c r="D203" s="297"/>
      <c r="E203" s="288">
        <f t="shared" si="29"/>
        <v>1</v>
      </c>
      <c r="F203" s="297"/>
      <c r="G203" s="288">
        <f t="shared" si="30"/>
        <v>1</v>
      </c>
      <c r="H203" s="297"/>
      <c r="I203" s="288">
        <f t="shared" si="31"/>
        <v>1</v>
      </c>
      <c r="J203" s="297"/>
      <c r="K203" s="288">
        <f t="shared" si="32"/>
        <v>1</v>
      </c>
      <c r="L203" s="297"/>
      <c r="M203" s="288">
        <f t="shared" si="33"/>
        <v>1</v>
      </c>
      <c r="N203" s="297"/>
      <c r="O203" s="288">
        <f t="shared" si="34"/>
        <v>1</v>
      </c>
      <c r="P203" s="297"/>
      <c r="Q203" s="288">
        <f t="shared" si="35"/>
        <v>1</v>
      </c>
      <c r="R203" s="348">
        <f t="shared" si="36"/>
        <v>0</v>
      </c>
      <c r="S203" s="287">
        <f t="shared" si="37"/>
        <v>0</v>
      </c>
    </row>
    <row r="204" spans="1:19">
      <c r="A204" s="295"/>
      <c r="B204" s="296"/>
      <c r="C204" s="288">
        <f t="shared" si="28"/>
        <v>1</v>
      </c>
      <c r="D204" s="297"/>
      <c r="E204" s="288">
        <f t="shared" si="29"/>
        <v>1</v>
      </c>
      <c r="F204" s="297"/>
      <c r="G204" s="288">
        <f t="shared" si="30"/>
        <v>1</v>
      </c>
      <c r="H204" s="297"/>
      <c r="I204" s="288">
        <f t="shared" si="31"/>
        <v>1</v>
      </c>
      <c r="J204" s="297"/>
      <c r="K204" s="288">
        <f t="shared" si="32"/>
        <v>1</v>
      </c>
      <c r="L204" s="297"/>
      <c r="M204" s="288">
        <f t="shared" si="33"/>
        <v>1</v>
      </c>
      <c r="N204" s="297"/>
      <c r="O204" s="288">
        <f t="shared" si="34"/>
        <v>1</v>
      </c>
      <c r="P204" s="297"/>
      <c r="Q204" s="288">
        <f t="shared" si="35"/>
        <v>1</v>
      </c>
      <c r="R204" s="348">
        <f t="shared" si="36"/>
        <v>0</v>
      </c>
      <c r="S204" s="287">
        <f t="shared" si="37"/>
        <v>0</v>
      </c>
    </row>
    <row r="205" spans="1:19">
      <c r="A205" s="295"/>
      <c r="B205" s="296"/>
      <c r="C205" s="288">
        <f t="shared" si="28"/>
        <v>1</v>
      </c>
      <c r="D205" s="297"/>
      <c r="E205" s="288">
        <f t="shared" si="29"/>
        <v>1</v>
      </c>
      <c r="F205" s="297"/>
      <c r="G205" s="288">
        <f t="shared" si="30"/>
        <v>1</v>
      </c>
      <c r="H205" s="297"/>
      <c r="I205" s="288">
        <f t="shared" si="31"/>
        <v>1</v>
      </c>
      <c r="J205" s="297"/>
      <c r="K205" s="288">
        <f t="shared" si="32"/>
        <v>1</v>
      </c>
      <c r="L205" s="297"/>
      <c r="M205" s="288">
        <f t="shared" si="33"/>
        <v>1</v>
      </c>
      <c r="N205" s="297"/>
      <c r="O205" s="288">
        <f t="shared" si="34"/>
        <v>1</v>
      </c>
      <c r="P205" s="297"/>
      <c r="Q205" s="288">
        <f t="shared" si="35"/>
        <v>1</v>
      </c>
      <c r="R205" s="348">
        <f t="shared" si="36"/>
        <v>0</v>
      </c>
      <c r="S205" s="287">
        <f t="shared" si="37"/>
        <v>0</v>
      </c>
    </row>
    <row r="206" spans="1:19">
      <c r="A206" s="295"/>
      <c r="B206" s="296"/>
      <c r="C206" s="288">
        <f t="shared" si="28"/>
        <v>1</v>
      </c>
      <c r="D206" s="297"/>
      <c r="E206" s="288">
        <f t="shared" si="29"/>
        <v>1</v>
      </c>
      <c r="F206" s="297"/>
      <c r="G206" s="288">
        <f t="shared" si="30"/>
        <v>1</v>
      </c>
      <c r="H206" s="297"/>
      <c r="I206" s="288">
        <f t="shared" si="31"/>
        <v>1</v>
      </c>
      <c r="J206" s="297"/>
      <c r="K206" s="288">
        <f t="shared" si="32"/>
        <v>1</v>
      </c>
      <c r="L206" s="297"/>
      <c r="M206" s="288">
        <f t="shared" si="33"/>
        <v>1</v>
      </c>
      <c r="N206" s="297"/>
      <c r="O206" s="288">
        <f t="shared" si="34"/>
        <v>1</v>
      </c>
      <c r="P206" s="297"/>
      <c r="Q206" s="288">
        <f t="shared" si="35"/>
        <v>1</v>
      </c>
      <c r="R206" s="348">
        <f t="shared" si="36"/>
        <v>0</v>
      </c>
      <c r="S206" s="287">
        <f t="shared" si="37"/>
        <v>0</v>
      </c>
    </row>
    <row r="207" spans="1:19">
      <c r="A207" s="295"/>
      <c r="B207" s="296"/>
      <c r="C207" s="288">
        <f t="shared" si="28"/>
        <v>1</v>
      </c>
      <c r="D207" s="297"/>
      <c r="E207" s="288">
        <f t="shared" si="29"/>
        <v>1</v>
      </c>
      <c r="F207" s="297"/>
      <c r="G207" s="288">
        <f t="shared" si="30"/>
        <v>1</v>
      </c>
      <c r="H207" s="297"/>
      <c r="I207" s="288">
        <f t="shared" si="31"/>
        <v>1</v>
      </c>
      <c r="J207" s="297"/>
      <c r="K207" s="288">
        <f t="shared" si="32"/>
        <v>1</v>
      </c>
      <c r="L207" s="297"/>
      <c r="M207" s="288">
        <f t="shared" si="33"/>
        <v>1</v>
      </c>
      <c r="N207" s="297"/>
      <c r="O207" s="288">
        <f t="shared" si="34"/>
        <v>1</v>
      </c>
      <c r="P207" s="297"/>
      <c r="Q207" s="288">
        <f t="shared" si="35"/>
        <v>1</v>
      </c>
      <c r="R207" s="348">
        <f t="shared" si="36"/>
        <v>0</v>
      </c>
      <c r="S207" s="287">
        <f t="shared" si="37"/>
        <v>0</v>
      </c>
    </row>
    <row r="208" spans="1:19">
      <c r="A208" s="295"/>
      <c r="B208" s="296"/>
      <c r="C208" s="288">
        <f t="shared" si="28"/>
        <v>1</v>
      </c>
      <c r="D208" s="297"/>
      <c r="E208" s="288">
        <f t="shared" si="29"/>
        <v>1</v>
      </c>
      <c r="F208" s="297"/>
      <c r="G208" s="288">
        <f t="shared" si="30"/>
        <v>1</v>
      </c>
      <c r="H208" s="297"/>
      <c r="I208" s="288">
        <f t="shared" si="31"/>
        <v>1</v>
      </c>
      <c r="J208" s="297"/>
      <c r="K208" s="288">
        <f t="shared" si="32"/>
        <v>1</v>
      </c>
      <c r="L208" s="297"/>
      <c r="M208" s="288">
        <f t="shared" si="33"/>
        <v>1</v>
      </c>
      <c r="N208" s="297"/>
      <c r="O208" s="288">
        <f t="shared" si="34"/>
        <v>1</v>
      </c>
      <c r="P208" s="297"/>
      <c r="Q208" s="288">
        <f t="shared" si="35"/>
        <v>1</v>
      </c>
      <c r="R208" s="348">
        <f t="shared" si="36"/>
        <v>0</v>
      </c>
      <c r="S208" s="287">
        <f t="shared" si="37"/>
        <v>0</v>
      </c>
    </row>
    <row r="209" spans="1:19">
      <c r="A209" s="295"/>
      <c r="B209" s="296"/>
      <c r="C209" s="288">
        <f t="shared" si="28"/>
        <v>1</v>
      </c>
      <c r="D209" s="297"/>
      <c r="E209" s="288">
        <f t="shared" si="29"/>
        <v>1</v>
      </c>
      <c r="F209" s="297"/>
      <c r="G209" s="288">
        <f t="shared" si="30"/>
        <v>1</v>
      </c>
      <c r="H209" s="297"/>
      <c r="I209" s="288">
        <f t="shared" si="31"/>
        <v>1</v>
      </c>
      <c r="J209" s="297"/>
      <c r="K209" s="288">
        <f t="shared" si="32"/>
        <v>1</v>
      </c>
      <c r="L209" s="297"/>
      <c r="M209" s="288">
        <f t="shared" si="33"/>
        <v>1</v>
      </c>
      <c r="N209" s="297"/>
      <c r="O209" s="288">
        <f t="shared" si="34"/>
        <v>1</v>
      </c>
      <c r="P209" s="297"/>
      <c r="Q209" s="288">
        <f t="shared" si="35"/>
        <v>1</v>
      </c>
      <c r="R209" s="348">
        <f t="shared" si="36"/>
        <v>0</v>
      </c>
      <c r="S209" s="287">
        <f t="shared" si="37"/>
        <v>0</v>
      </c>
    </row>
    <row r="210" spans="1:19">
      <c r="A210" s="295"/>
      <c r="B210" s="296"/>
      <c r="C210" s="288">
        <f t="shared" si="28"/>
        <v>1</v>
      </c>
      <c r="D210" s="297"/>
      <c r="E210" s="288">
        <f t="shared" si="29"/>
        <v>1</v>
      </c>
      <c r="F210" s="297"/>
      <c r="G210" s="288">
        <f t="shared" si="30"/>
        <v>1</v>
      </c>
      <c r="H210" s="297"/>
      <c r="I210" s="288">
        <f t="shared" si="31"/>
        <v>1</v>
      </c>
      <c r="J210" s="297"/>
      <c r="K210" s="288">
        <f t="shared" si="32"/>
        <v>1</v>
      </c>
      <c r="L210" s="297"/>
      <c r="M210" s="288">
        <f t="shared" si="33"/>
        <v>1</v>
      </c>
      <c r="N210" s="297"/>
      <c r="O210" s="288">
        <f t="shared" si="34"/>
        <v>1</v>
      </c>
      <c r="P210" s="297"/>
      <c r="Q210" s="288">
        <f t="shared" si="35"/>
        <v>1</v>
      </c>
      <c r="R210" s="348">
        <f t="shared" si="36"/>
        <v>0</v>
      </c>
      <c r="S210" s="287">
        <f t="shared" si="37"/>
        <v>0</v>
      </c>
    </row>
    <row r="211" spans="1:19">
      <c r="A211" s="295"/>
      <c r="B211" s="296"/>
      <c r="C211" s="288">
        <f t="shared" si="28"/>
        <v>1</v>
      </c>
      <c r="D211" s="297"/>
      <c r="E211" s="288">
        <f t="shared" si="29"/>
        <v>1</v>
      </c>
      <c r="F211" s="297"/>
      <c r="G211" s="288">
        <f t="shared" si="30"/>
        <v>1</v>
      </c>
      <c r="H211" s="297"/>
      <c r="I211" s="288">
        <f t="shared" si="31"/>
        <v>1</v>
      </c>
      <c r="J211" s="297"/>
      <c r="K211" s="288">
        <f t="shared" si="32"/>
        <v>1</v>
      </c>
      <c r="L211" s="297"/>
      <c r="M211" s="288">
        <f t="shared" si="33"/>
        <v>1</v>
      </c>
      <c r="N211" s="297"/>
      <c r="O211" s="288">
        <f t="shared" si="34"/>
        <v>1</v>
      </c>
      <c r="P211" s="297"/>
      <c r="Q211" s="288">
        <f t="shared" si="35"/>
        <v>1</v>
      </c>
      <c r="R211" s="348">
        <f t="shared" si="36"/>
        <v>0</v>
      </c>
      <c r="S211" s="287">
        <f t="shared" si="37"/>
        <v>0</v>
      </c>
    </row>
    <row r="212" spans="1:19">
      <c r="A212" s="295"/>
      <c r="B212" s="296"/>
      <c r="C212" s="288">
        <f t="shared" si="28"/>
        <v>1</v>
      </c>
      <c r="D212" s="297"/>
      <c r="E212" s="288">
        <f t="shared" si="29"/>
        <v>1</v>
      </c>
      <c r="F212" s="297"/>
      <c r="G212" s="288">
        <f t="shared" si="30"/>
        <v>1</v>
      </c>
      <c r="H212" s="297"/>
      <c r="I212" s="288">
        <f t="shared" si="31"/>
        <v>1</v>
      </c>
      <c r="J212" s="297"/>
      <c r="K212" s="288">
        <f t="shared" si="32"/>
        <v>1</v>
      </c>
      <c r="L212" s="297"/>
      <c r="M212" s="288">
        <f t="shared" si="33"/>
        <v>1</v>
      </c>
      <c r="N212" s="297"/>
      <c r="O212" s="288">
        <f t="shared" si="34"/>
        <v>1</v>
      </c>
      <c r="P212" s="297"/>
      <c r="Q212" s="288">
        <f t="shared" si="35"/>
        <v>1</v>
      </c>
      <c r="R212" s="348">
        <f t="shared" si="36"/>
        <v>0</v>
      </c>
      <c r="S212" s="287">
        <f t="shared" si="37"/>
        <v>0</v>
      </c>
    </row>
    <row r="213" spans="1:19">
      <c r="A213" s="295"/>
      <c r="B213" s="296"/>
      <c r="C213" s="288">
        <f t="shared" si="28"/>
        <v>1</v>
      </c>
      <c r="D213" s="297"/>
      <c r="E213" s="288">
        <f t="shared" si="29"/>
        <v>1</v>
      </c>
      <c r="F213" s="297"/>
      <c r="G213" s="288">
        <f t="shared" si="30"/>
        <v>1</v>
      </c>
      <c r="H213" s="297"/>
      <c r="I213" s="288">
        <f t="shared" si="31"/>
        <v>1</v>
      </c>
      <c r="J213" s="297"/>
      <c r="K213" s="288">
        <f t="shared" si="32"/>
        <v>1</v>
      </c>
      <c r="L213" s="297"/>
      <c r="M213" s="288">
        <f t="shared" si="33"/>
        <v>1</v>
      </c>
      <c r="N213" s="297"/>
      <c r="O213" s="288">
        <f t="shared" si="34"/>
        <v>1</v>
      </c>
      <c r="P213" s="297"/>
      <c r="Q213" s="288">
        <f t="shared" si="35"/>
        <v>1</v>
      </c>
      <c r="R213" s="348">
        <f t="shared" si="36"/>
        <v>0</v>
      </c>
      <c r="S213" s="287">
        <f t="shared" si="37"/>
        <v>0</v>
      </c>
    </row>
    <row r="214" spans="1:19">
      <c r="A214" s="295"/>
      <c r="B214" s="296"/>
      <c r="C214" s="288">
        <f t="shared" si="28"/>
        <v>1</v>
      </c>
      <c r="D214" s="297"/>
      <c r="E214" s="288">
        <f t="shared" si="29"/>
        <v>1</v>
      </c>
      <c r="F214" s="297"/>
      <c r="G214" s="288">
        <f t="shared" si="30"/>
        <v>1</v>
      </c>
      <c r="H214" s="297"/>
      <c r="I214" s="288">
        <f t="shared" si="31"/>
        <v>1</v>
      </c>
      <c r="J214" s="297"/>
      <c r="K214" s="288">
        <f t="shared" si="32"/>
        <v>1</v>
      </c>
      <c r="L214" s="297"/>
      <c r="M214" s="288">
        <f t="shared" si="33"/>
        <v>1</v>
      </c>
      <c r="N214" s="297"/>
      <c r="O214" s="288">
        <f t="shared" si="34"/>
        <v>1</v>
      </c>
      <c r="P214" s="297"/>
      <c r="Q214" s="288">
        <f t="shared" si="35"/>
        <v>1</v>
      </c>
      <c r="R214" s="348">
        <f t="shared" si="36"/>
        <v>0</v>
      </c>
      <c r="S214" s="287">
        <f t="shared" si="37"/>
        <v>0</v>
      </c>
    </row>
    <row r="215" spans="1:19">
      <c r="A215" s="295"/>
      <c r="B215" s="296"/>
      <c r="C215" s="288">
        <f t="shared" si="28"/>
        <v>1</v>
      </c>
      <c r="D215" s="297"/>
      <c r="E215" s="288">
        <f t="shared" si="29"/>
        <v>1</v>
      </c>
      <c r="F215" s="297"/>
      <c r="G215" s="288">
        <f t="shared" si="30"/>
        <v>1</v>
      </c>
      <c r="H215" s="297"/>
      <c r="I215" s="288">
        <f t="shared" si="31"/>
        <v>1</v>
      </c>
      <c r="J215" s="297"/>
      <c r="K215" s="288">
        <f t="shared" si="32"/>
        <v>1</v>
      </c>
      <c r="L215" s="297"/>
      <c r="M215" s="288">
        <f t="shared" si="33"/>
        <v>1</v>
      </c>
      <c r="N215" s="297"/>
      <c r="O215" s="288">
        <f t="shared" si="34"/>
        <v>1</v>
      </c>
      <c r="P215" s="297"/>
      <c r="Q215" s="288">
        <f t="shared" si="35"/>
        <v>1</v>
      </c>
      <c r="R215" s="348">
        <f t="shared" si="36"/>
        <v>0</v>
      </c>
      <c r="S215" s="287">
        <f t="shared" si="37"/>
        <v>0</v>
      </c>
    </row>
    <row r="216" spans="1:19">
      <c r="A216" s="295"/>
      <c r="B216" s="296"/>
      <c r="C216" s="288">
        <f t="shared" si="28"/>
        <v>1</v>
      </c>
      <c r="D216" s="297"/>
      <c r="E216" s="288">
        <f t="shared" si="29"/>
        <v>1</v>
      </c>
      <c r="F216" s="297"/>
      <c r="G216" s="288">
        <f t="shared" si="30"/>
        <v>1</v>
      </c>
      <c r="H216" s="297"/>
      <c r="I216" s="288">
        <f t="shared" si="31"/>
        <v>1</v>
      </c>
      <c r="J216" s="297"/>
      <c r="K216" s="288">
        <f t="shared" si="32"/>
        <v>1</v>
      </c>
      <c r="L216" s="297"/>
      <c r="M216" s="288">
        <f t="shared" si="33"/>
        <v>1</v>
      </c>
      <c r="N216" s="297"/>
      <c r="O216" s="288">
        <f t="shared" si="34"/>
        <v>1</v>
      </c>
      <c r="P216" s="297"/>
      <c r="Q216" s="288">
        <f t="shared" si="35"/>
        <v>1</v>
      </c>
      <c r="R216" s="348">
        <f t="shared" si="36"/>
        <v>0</v>
      </c>
      <c r="S216" s="287">
        <f t="shared" si="37"/>
        <v>0</v>
      </c>
    </row>
    <row r="217" spans="1:19">
      <c r="A217" s="295"/>
      <c r="B217" s="296"/>
      <c r="C217" s="288">
        <f t="shared" si="28"/>
        <v>1</v>
      </c>
      <c r="D217" s="297"/>
      <c r="E217" s="288">
        <f t="shared" si="29"/>
        <v>1</v>
      </c>
      <c r="F217" s="297"/>
      <c r="G217" s="288">
        <f t="shared" si="30"/>
        <v>1</v>
      </c>
      <c r="H217" s="297"/>
      <c r="I217" s="288">
        <f t="shared" si="31"/>
        <v>1</v>
      </c>
      <c r="J217" s="297"/>
      <c r="K217" s="288">
        <f t="shared" si="32"/>
        <v>1</v>
      </c>
      <c r="L217" s="297"/>
      <c r="M217" s="288">
        <f t="shared" si="33"/>
        <v>1</v>
      </c>
      <c r="N217" s="297"/>
      <c r="O217" s="288">
        <f t="shared" si="34"/>
        <v>1</v>
      </c>
      <c r="P217" s="297"/>
      <c r="Q217" s="288">
        <f t="shared" si="35"/>
        <v>1</v>
      </c>
      <c r="R217" s="348">
        <f t="shared" si="36"/>
        <v>0</v>
      </c>
      <c r="S217" s="287">
        <f t="shared" si="37"/>
        <v>0</v>
      </c>
    </row>
    <row r="218" spans="1:19">
      <c r="A218" s="295"/>
      <c r="B218" s="296"/>
      <c r="C218" s="288">
        <f t="shared" ref="C218:C281" si="38">IF(B218="",1,(LOOKUP(B218,$3:$3,$4:$4)-LOOKUP($B$24,$3:$3,$4:$4)+100)/100)</f>
        <v>1</v>
      </c>
      <c r="D218" s="297"/>
      <c r="E218" s="288">
        <f t="shared" ref="E218:E281" si="39">(SUMIF($5:$5,D218,$6:$6)-SUMIF($5:$5,$D$24,$6:$6)+100)/100</f>
        <v>1</v>
      </c>
      <c r="F218" s="297"/>
      <c r="G218" s="288">
        <f t="shared" ref="G218:G281" si="40">(SUMIF($7:$7,F218,$8:$8)-SUMIF($7:$7,$F$24,$8:$8)+100)/100</f>
        <v>1</v>
      </c>
      <c r="H218" s="297"/>
      <c r="I218" s="288">
        <f t="shared" ref="I218:I281" si="41">(SUMIF($9:$9,H218,$10:$10)-SUMIF($9:$9,$H$24,$10:$10)+100)/100</f>
        <v>1</v>
      </c>
      <c r="J218" s="297"/>
      <c r="K218" s="288">
        <f t="shared" ref="K218:K281" si="42">(SUMIF($11:$11,J218,$12:$12)-SUMIF($11:$11,$J$24,$12:$12)+100)/100</f>
        <v>1</v>
      </c>
      <c r="L218" s="297"/>
      <c r="M218" s="288">
        <f t="shared" ref="M218:M281" si="43">(SUMIF($13:$13,L218,$14:$14)-SUMIF($13:$13,$L$24,$14:$14)+100)/100</f>
        <v>1</v>
      </c>
      <c r="N218" s="297"/>
      <c r="O218" s="288">
        <f t="shared" ref="O218:O281" si="44">(SUMIF($15:$15,N218,$16:$16)-SUMIF($15:$15,$N$24,$16:$16)+100)/100</f>
        <v>1</v>
      </c>
      <c r="P218" s="297"/>
      <c r="Q218" s="288">
        <f t="shared" ref="Q218:Q281" si="45">(SUMIF($17:$17,P218,$18:$18)-SUMIF($17:$17,$P$24,$18:$18)+100)/100</f>
        <v>1</v>
      </c>
      <c r="R218" s="348">
        <f t="shared" ref="R218:R281" si="46">IF(B218="",0,ROUND($R$24*C218*E218*G218*I218*K218*M218*O218*Q218,0))</f>
        <v>0</v>
      </c>
      <c r="S218" s="287">
        <f t="shared" si="37"/>
        <v>0</v>
      </c>
    </row>
    <row r="219" spans="1:19">
      <c r="A219" s="295"/>
      <c r="B219" s="296"/>
      <c r="C219" s="288">
        <f t="shared" si="38"/>
        <v>1</v>
      </c>
      <c r="D219" s="297"/>
      <c r="E219" s="288">
        <f t="shared" si="39"/>
        <v>1</v>
      </c>
      <c r="F219" s="297"/>
      <c r="G219" s="288">
        <f t="shared" si="40"/>
        <v>1</v>
      </c>
      <c r="H219" s="297"/>
      <c r="I219" s="288">
        <f t="shared" si="41"/>
        <v>1</v>
      </c>
      <c r="J219" s="297"/>
      <c r="K219" s="288">
        <f t="shared" si="42"/>
        <v>1</v>
      </c>
      <c r="L219" s="297"/>
      <c r="M219" s="288">
        <f t="shared" si="43"/>
        <v>1</v>
      </c>
      <c r="N219" s="297"/>
      <c r="O219" s="288">
        <f t="shared" si="44"/>
        <v>1</v>
      </c>
      <c r="P219" s="297"/>
      <c r="Q219" s="288">
        <f t="shared" si="45"/>
        <v>1</v>
      </c>
      <c r="R219" s="348">
        <f t="shared" si="46"/>
        <v>0</v>
      </c>
      <c r="S219" s="287">
        <f t="shared" si="37"/>
        <v>0</v>
      </c>
    </row>
    <row r="220" spans="1:19">
      <c r="A220" s="295"/>
      <c r="B220" s="296"/>
      <c r="C220" s="288">
        <f t="shared" si="38"/>
        <v>1</v>
      </c>
      <c r="D220" s="297"/>
      <c r="E220" s="288">
        <f t="shared" si="39"/>
        <v>1</v>
      </c>
      <c r="F220" s="297"/>
      <c r="G220" s="288">
        <f t="shared" si="40"/>
        <v>1</v>
      </c>
      <c r="H220" s="297"/>
      <c r="I220" s="288">
        <f t="shared" si="41"/>
        <v>1</v>
      </c>
      <c r="J220" s="297"/>
      <c r="K220" s="288">
        <f t="shared" si="42"/>
        <v>1</v>
      </c>
      <c r="L220" s="297"/>
      <c r="M220" s="288">
        <f t="shared" si="43"/>
        <v>1</v>
      </c>
      <c r="N220" s="297"/>
      <c r="O220" s="288">
        <f t="shared" si="44"/>
        <v>1</v>
      </c>
      <c r="P220" s="297"/>
      <c r="Q220" s="288">
        <f t="shared" si="45"/>
        <v>1</v>
      </c>
      <c r="R220" s="348">
        <f t="shared" si="46"/>
        <v>0</v>
      </c>
      <c r="S220" s="287">
        <f t="shared" si="37"/>
        <v>0</v>
      </c>
    </row>
    <row r="221" spans="1:19">
      <c r="A221" s="295"/>
      <c r="B221" s="296"/>
      <c r="C221" s="288">
        <f t="shared" si="38"/>
        <v>1</v>
      </c>
      <c r="D221" s="297"/>
      <c r="E221" s="288">
        <f t="shared" si="39"/>
        <v>1</v>
      </c>
      <c r="F221" s="297"/>
      <c r="G221" s="288">
        <f t="shared" si="40"/>
        <v>1</v>
      </c>
      <c r="H221" s="297"/>
      <c r="I221" s="288">
        <f t="shared" si="41"/>
        <v>1</v>
      </c>
      <c r="J221" s="297"/>
      <c r="K221" s="288">
        <f t="shared" si="42"/>
        <v>1</v>
      </c>
      <c r="L221" s="297"/>
      <c r="M221" s="288">
        <f t="shared" si="43"/>
        <v>1</v>
      </c>
      <c r="N221" s="297"/>
      <c r="O221" s="288">
        <f t="shared" si="44"/>
        <v>1</v>
      </c>
      <c r="P221" s="297"/>
      <c r="Q221" s="288">
        <f t="shared" si="45"/>
        <v>1</v>
      </c>
      <c r="R221" s="348">
        <f t="shared" si="46"/>
        <v>0</v>
      </c>
      <c r="S221" s="287">
        <f t="shared" si="37"/>
        <v>0</v>
      </c>
    </row>
    <row r="222" spans="1:19">
      <c r="A222" s="295"/>
      <c r="B222" s="296"/>
      <c r="C222" s="288">
        <f t="shared" si="38"/>
        <v>1</v>
      </c>
      <c r="D222" s="297"/>
      <c r="E222" s="288">
        <f t="shared" si="39"/>
        <v>1</v>
      </c>
      <c r="F222" s="297"/>
      <c r="G222" s="288">
        <f t="shared" si="40"/>
        <v>1</v>
      </c>
      <c r="H222" s="297"/>
      <c r="I222" s="288">
        <f t="shared" si="41"/>
        <v>1</v>
      </c>
      <c r="J222" s="297"/>
      <c r="K222" s="288">
        <f t="shared" si="42"/>
        <v>1</v>
      </c>
      <c r="L222" s="297"/>
      <c r="M222" s="288">
        <f t="shared" si="43"/>
        <v>1</v>
      </c>
      <c r="N222" s="297"/>
      <c r="O222" s="288">
        <f t="shared" si="44"/>
        <v>1</v>
      </c>
      <c r="P222" s="297"/>
      <c r="Q222" s="288">
        <f t="shared" si="45"/>
        <v>1</v>
      </c>
      <c r="R222" s="348">
        <f t="shared" si="46"/>
        <v>0</v>
      </c>
      <c r="S222" s="287">
        <f t="shared" si="37"/>
        <v>0</v>
      </c>
    </row>
    <row r="223" spans="1:19">
      <c r="A223" s="295"/>
      <c r="B223" s="296"/>
      <c r="C223" s="288">
        <f t="shared" si="38"/>
        <v>1</v>
      </c>
      <c r="D223" s="297"/>
      <c r="E223" s="288">
        <f t="shared" si="39"/>
        <v>1</v>
      </c>
      <c r="F223" s="297"/>
      <c r="G223" s="288">
        <f t="shared" si="40"/>
        <v>1</v>
      </c>
      <c r="H223" s="297"/>
      <c r="I223" s="288">
        <f t="shared" si="41"/>
        <v>1</v>
      </c>
      <c r="J223" s="297"/>
      <c r="K223" s="288">
        <f t="shared" si="42"/>
        <v>1</v>
      </c>
      <c r="L223" s="297"/>
      <c r="M223" s="288">
        <f t="shared" si="43"/>
        <v>1</v>
      </c>
      <c r="N223" s="297"/>
      <c r="O223" s="288">
        <f t="shared" si="44"/>
        <v>1</v>
      </c>
      <c r="P223" s="297"/>
      <c r="Q223" s="288">
        <f t="shared" si="45"/>
        <v>1</v>
      </c>
      <c r="R223" s="348">
        <f t="shared" si="46"/>
        <v>0</v>
      </c>
      <c r="S223" s="287">
        <f t="shared" ref="S223:S286" si="47">ROUND(R223*B223/10000,0)</f>
        <v>0</v>
      </c>
    </row>
    <row r="224" spans="1:19">
      <c r="A224" s="295"/>
      <c r="B224" s="296"/>
      <c r="C224" s="288">
        <f t="shared" si="38"/>
        <v>1</v>
      </c>
      <c r="D224" s="297"/>
      <c r="E224" s="288">
        <f t="shared" si="39"/>
        <v>1</v>
      </c>
      <c r="F224" s="297"/>
      <c r="G224" s="288">
        <f t="shared" si="40"/>
        <v>1</v>
      </c>
      <c r="H224" s="297"/>
      <c r="I224" s="288">
        <f t="shared" si="41"/>
        <v>1</v>
      </c>
      <c r="J224" s="297"/>
      <c r="K224" s="288">
        <f t="shared" si="42"/>
        <v>1</v>
      </c>
      <c r="L224" s="297"/>
      <c r="M224" s="288">
        <f t="shared" si="43"/>
        <v>1</v>
      </c>
      <c r="N224" s="297"/>
      <c r="O224" s="288">
        <f t="shared" si="44"/>
        <v>1</v>
      </c>
      <c r="P224" s="297"/>
      <c r="Q224" s="288">
        <f t="shared" si="45"/>
        <v>1</v>
      </c>
      <c r="R224" s="348">
        <f t="shared" si="46"/>
        <v>0</v>
      </c>
      <c r="S224" s="287">
        <f t="shared" si="47"/>
        <v>0</v>
      </c>
    </row>
    <row r="225" spans="1:19">
      <c r="A225" s="295"/>
      <c r="B225" s="296"/>
      <c r="C225" s="288">
        <f t="shared" si="38"/>
        <v>1</v>
      </c>
      <c r="D225" s="297"/>
      <c r="E225" s="288">
        <f t="shared" si="39"/>
        <v>1</v>
      </c>
      <c r="F225" s="297"/>
      <c r="G225" s="288">
        <f t="shared" si="40"/>
        <v>1</v>
      </c>
      <c r="H225" s="297"/>
      <c r="I225" s="288">
        <f t="shared" si="41"/>
        <v>1</v>
      </c>
      <c r="J225" s="297"/>
      <c r="K225" s="288">
        <f t="shared" si="42"/>
        <v>1</v>
      </c>
      <c r="L225" s="297"/>
      <c r="M225" s="288">
        <f t="shared" si="43"/>
        <v>1</v>
      </c>
      <c r="N225" s="297"/>
      <c r="O225" s="288">
        <f t="shared" si="44"/>
        <v>1</v>
      </c>
      <c r="P225" s="297"/>
      <c r="Q225" s="288">
        <f t="shared" si="45"/>
        <v>1</v>
      </c>
      <c r="R225" s="348">
        <f t="shared" si="46"/>
        <v>0</v>
      </c>
      <c r="S225" s="287">
        <f t="shared" si="47"/>
        <v>0</v>
      </c>
    </row>
    <row r="226" spans="1:19">
      <c r="A226" s="295"/>
      <c r="B226" s="296"/>
      <c r="C226" s="288">
        <f t="shared" si="38"/>
        <v>1</v>
      </c>
      <c r="D226" s="297"/>
      <c r="E226" s="288">
        <f t="shared" si="39"/>
        <v>1</v>
      </c>
      <c r="F226" s="297"/>
      <c r="G226" s="288">
        <f t="shared" si="40"/>
        <v>1</v>
      </c>
      <c r="H226" s="297"/>
      <c r="I226" s="288">
        <f t="shared" si="41"/>
        <v>1</v>
      </c>
      <c r="J226" s="297"/>
      <c r="K226" s="288">
        <f t="shared" si="42"/>
        <v>1</v>
      </c>
      <c r="L226" s="297"/>
      <c r="M226" s="288">
        <f t="shared" si="43"/>
        <v>1</v>
      </c>
      <c r="N226" s="297"/>
      <c r="O226" s="288">
        <f t="shared" si="44"/>
        <v>1</v>
      </c>
      <c r="P226" s="297"/>
      <c r="Q226" s="288">
        <f t="shared" si="45"/>
        <v>1</v>
      </c>
      <c r="R226" s="348">
        <f t="shared" si="46"/>
        <v>0</v>
      </c>
      <c r="S226" s="287">
        <f t="shared" si="47"/>
        <v>0</v>
      </c>
    </row>
    <row r="227" spans="1:19">
      <c r="A227" s="295"/>
      <c r="B227" s="296"/>
      <c r="C227" s="288">
        <f t="shared" si="38"/>
        <v>1</v>
      </c>
      <c r="D227" s="297"/>
      <c r="E227" s="288">
        <f t="shared" si="39"/>
        <v>1</v>
      </c>
      <c r="F227" s="297"/>
      <c r="G227" s="288">
        <f t="shared" si="40"/>
        <v>1</v>
      </c>
      <c r="H227" s="297"/>
      <c r="I227" s="288">
        <f t="shared" si="41"/>
        <v>1</v>
      </c>
      <c r="J227" s="297"/>
      <c r="K227" s="288">
        <f t="shared" si="42"/>
        <v>1</v>
      </c>
      <c r="L227" s="297"/>
      <c r="M227" s="288">
        <f t="shared" si="43"/>
        <v>1</v>
      </c>
      <c r="N227" s="297"/>
      <c r="O227" s="288">
        <f t="shared" si="44"/>
        <v>1</v>
      </c>
      <c r="P227" s="297"/>
      <c r="Q227" s="288">
        <f t="shared" si="45"/>
        <v>1</v>
      </c>
      <c r="R227" s="348">
        <f t="shared" si="46"/>
        <v>0</v>
      </c>
      <c r="S227" s="287">
        <f t="shared" si="47"/>
        <v>0</v>
      </c>
    </row>
    <row r="228" spans="1:19">
      <c r="A228" s="295"/>
      <c r="B228" s="296"/>
      <c r="C228" s="288">
        <f t="shared" si="38"/>
        <v>1</v>
      </c>
      <c r="D228" s="297"/>
      <c r="E228" s="288">
        <f t="shared" si="39"/>
        <v>1</v>
      </c>
      <c r="F228" s="297"/>
      <c r="G228" s="288">
        <f t="shared" si="40"/>
        <v>1</v>
      </c>
      <c r="H228" s="297"/>
      <c r="I228" s="288">
        <f t="shared" si="41"/>
        <v>1</v>
      </c>
      <c r="J228" s="297"/>
      <c r="K228" s="288">
        <f t="shared" si="42"/>
        <v>1</v>
      </c>
      <c r="L228" s="297"/>
      <c r="M228" s="288">
        <f t="shared" si="43"/>
        <v>1</v>
      </c>
      <c r="N228" s="297"/>
      <c r="O228" s="288">
        <f t="shared" si="44"/>
        <v>1</v>
      </c>
      <c r="P228" s="297"/>
      <c r="Q228" s="288">
        <f t="shared" si="45"/>
        <v>1</v>
      </c>
      <c r="R228" s="348">
        <f t="shared" si="46"/>
        <v>0</v>
      </c>
      <c r="S228" s="287">
        <f t="shared" si="47"/>
        <v>0</v>
      </c>
    </row>
    <row r="229" spans="1:19">
      <c r="A229" s="295"/>
      <c r="B229" s="296"/>
      <c r="C229" s="288">
        <f t="shared" si="38"/>
        <v>1</v>
      </c>
      <c r="D229" s="297"/>
      <c r="E229" s="288">
        <f t="shared" si="39"/>
        <v>1</v>
      </c>
      <c r="F229" s="297"/>
      <c r="G229" s="288">
        <f t="shared" si="40"/>
        <v>1</v>
      </c>
      <c r="H229" s="297"/>
      <c r="I229" s="288">
        <f t="shared" si="41"/>
        <v>1</v>
      </c>
      <c r="J229" s="297"/>
      <c r="K229" s="288">
        <f t="shared" si="42"/>
        <v>1</v>
      </c>
      <c r="L229" s="297"/>
      <c r="M229" s="288">
        <f t="shared" si="43"/>
        <v>1</v>
      </c>
      <c r="N229" s="297"/>
      <c r="O229" s="288">
        <f t="shared" si="44"/>
        <v>1</v>
      </c>
      <c r="P229" s="297"/>
      <c r="Q229" s="288">
        <f t="shared" si="45"/>
        <v>1</v>
      </c>
      <c r="R229" s="348">
        <f t="shared" si="46"/>
        <v>0</v>
      </c>
      <c r="S229" s="287">
        <f t="shared" si="47"/>
        <v>0</v>
      </c>
    </row>
    <row r="230" spans="1:19">
      <c r="A230" s="295"/>
      <c r="B230" s="296"/>
      <c r="C230" s="288">
        <f t="shared" si="38"/>
        <v>1</v>
      </c>
      <c r="D230" s="297"/>
      <c r="E230" s="288">
        <f t="shared" si="39"/>
        <v>1</v>
      </c>
      <c r="F230" s="297"/>
      <c r="G230" s="288">
        <f t="shared" si="40"/>
        <v>1</v>
      </c>
      <c r="H230" s="297"/>
      <c r="I230" s="288">
        <f t="shared" si="41"/>
        <v>1</v>
      </c>
      <c r="J230" s="297"/>
      <c r="K230" s="288">
        <f t="shared" si="42"/>
        <v>1</v>
      </c>
      <c r="L230" s="297"/>
      <c r="M230" s="288">
        <f t="shared" si="43"/>
        <v>1</v>
      </c>
      <c r="N230" s="297"/>
      <c r="O230" s="288">
        <f t="shared" si="44"/>
        <v>1</v>
      </c>
      <c r="P230" s="297"/>
      <c r="Q230" s="288">
        <f t="shared" si="45"/>
        <v>1</v>
      </c>
      <c r="R230" s="348">
        <f t="shared" si="46"/>
        <v>0</v>
      </c>
      <c r="S230" s="287">
        <f t="shared" si="47"/>
        <v>0</v>
      </c>
    </row>
    <row r="231" spans="1:19">
      <c r="A231" s="295"/>
      <c r="B231" s="296"/>
      <c r="C231" s="288">
        <f t="shared" si="38"/>
        <v>1</v>
      </c>
      <c r="D231" s="297"/>
      <c r="E231" s="288">
        <f t="shared" si="39"/>
        <v>1</v>
      </c>
      <c r="F231" s="297"/>
      <c r="G231" s="288">
        <f t="shared" si="40"/>
        <v>1</v>
      </c>
      <c r="H231" s="297"/>
      <c r="I231" s="288">
        <f t="shared" si="41"/>
        <v>1</v>
      </c>
      <c r="J231" s="297"/>
      <c r="K231" s="288">
        <f t="shared" si="42"/>
        <v>1</v>
      </c>
      <c r="L231" s="297"/>
      <c r="M231" s="288">
        <f t="shared" si="43"/>
        <v>1</v>
      </c>
      <c r="N231" s="297"/>
      <c r="O231" s="288">
        <f t="shared" si="44"/>
        <v>1</v>
      </c>
      <c r="P231" s="297"/>
      <c r="Q231" s="288">
        <f t="shared" si="45"/>
        <v>1</v>
      </c>
      <c r="R231" s="348">
        <f t="shared" si="46"/>
        <v>0</v>
      </c>
      <c r="S231" s="287">
        <f t="shared" si="47"/>
        <v>0</v>
      </c>
    </row>
    <row r="232" spans="1:19">
      <c r="A232" s="295"/>
      <c r="B232" s="296"/>
      <c r="C232" s="288">
        <f t="shared" si="38"/>
        <v>1</v>
      </c>
      <c r="D232" s="297"/>
      <c r="E232" s="288">
        <f t="shared" si="39"/>
        <v>1</v>
      </c>
      <c r="F232" s="297"/>
      <c r="G232" s="288">
        <f t="shared" si="40"/>
        <v>1</v>
      </c>
      <c r="H232" s="297"/>
      <c r="I232" s="288">
        <f t="shared" si="41"/>
        <v>1</v>
      </c>
      <c r="J232" s="297"/>
      <c r="K232" s="288">
        <f t="shared" si="42"/>
        <v>1</v>
      </c>
      <c r="L232" s="297"/>
      <c r="M232" s="288">
        <f t="shared" si="43"/>
        <v>1</v>
      </c>
      <c r="N232" s="297"/>
      <c r="O232" s="288">
        <f t="shared" si="44"/>
        <v>1</v>
      </c>
      <c r="P232" s="297"/>
      <c r="Q232" s="288">
        <f t="shared" si="45"/>
        <v>1</v>
      </c>
      <c r="R232" s="348">
        <f t="shared" si="46"/>
        <v>0</v>
      </c>
      <c r="S232" s="287">
        <f t="shared" si="47"/>
        <v>0</v>
      </c>
    </row>
    <row r="233" spans="1:19">
      <c r="A233" s="295"/>
      <c r="B233" s="296"/>
      <c r="C233" s="288">
        <f t="shared" si="38"/>
        <v>1</v>
      </c>
      <c r="D233" s="297"/>
      <c r="E233" s="288">
        <f t="shared" si="39"/>
        <v>1</v>
      </c>
      <c r="F233" s="297"/>
      <c r="G233" s="288">
        <f t="shared" si="40"/>
        <v>1</v>
      </c>
      <c r="H233" s="297"/>
      <c r="I233" s="288">
        <f t="shared" si="41"/>
        <v>1</v>
      </c>
      <c r="J233" s="297"/>
      <c r="K233" s="288">
        <f t="shared" si="42"/>
        <v>1</v>
      </c>
      <c r="L233" s="297"/>
      <c r="M233" s="288">
        <f t="shared" si="43"/>
        <v>1</v>
      </c>
      <c r="N233" s="297"/>
      <c r="O233" s="288">
        <f t="shared" si="44"/>
        <v>1</v>
      </c>
      <c r="P233" s="297"/>
      <c r="Q233" s="288">
        <f t="shared" si="45"/>
        <v>1</v>
      </c>
      <c r="R233" s="348">
        <f t="shared" si="46"/>
        <v>0</v>
      </c>
      <c r="S233" s="287">
        <f t="shared" si="47"/>
        <v>0</v>
      </c>
    </row>
    <row r="234" spans="1:19">
      <c r="A234" s="295"/>
      <c r="B234" s="296"/>
      <c r="C234" s="288">
        <f t="shared" si="38"/>
        <v>1</v>
      </c>
      <c r="D234" s="297"/>
      <c r="E234" s="288">
        <f t="shared" si="39"/>
        <v>1</v>
      </c>
      <c r="F234" s="297"/>
      <c r="G234" s="288">
        <f t="shared" si="40"/>
        <v>1</v>
      </c>
      <c r="H234" s="297"/>
      <c r="I234" s="288">
        <f t="shared" si="41"/>
        <v>1</v>
      </c>
      <c r="J234" s="297"/>
      <c r="K234" s="288">
        <f t="shared" si="42"/>
        <v>1</v>
      </c>
      <c r="L234" s="297"/>
      <c r="M234" s="288">
        <f t="shared" si="43"/>
        <v>1</v>
      </c>
      <c r="N234" s="297"/>
      <c r="O234" s="288">
        <f t="shared" si="44"/>
        <v>1</v>
      </c>
      <c r="P234" s="297"/>
      <c r="Q234" s="288">
        <f t="shared" si="45"/>
        <v>1</v>
      </c>
      <c r="R234" s="348">
        <f t="shared" si="46"/>
        <v>0</v>
      </c>
      <c r="S234" s="287">
        <f t="shared" si="47"/>
        <v>0</v>
      </c>
    </row>
    <row r="235" spans="1:19">
      <c r="A235" s="295"/>
      <c r="B235" s="296"/>
      <c r="C235" s="288">
        <f t="shared" si="38"/>
        <v>1</v>
      </c>
      <c r="D235" s="297"/>
      <c r="E235" s="288">
        <f t="shared" si="39"/>
        <v>1</v>
      </c>
      <c r="F235" s="297"/>
      <c r="G235" s="288">
        <f t="shared" si="40"/>
        <v>1</v>
      </c>
      <c r="H235" s="297"/>
      <c r="I235" s="288">
        <f t="shared" si="41"/>
        <v>1</v>
      </c>
      <c r="J235" s="297"/>
      <c r="K235" s="288">
        <f t="shared" si="42"/>
        <v>1</v>
      </c>
      <c r="L235" s="297"/>
      <c r="M235" s="288">
        <f t="shared" si="43"/>
        <v>1</v>
      </c>
      <c r="N235" s="297"/>
      <c r="O235" s="288">
        <f t="shared" si="44"/>
        <v>1</v>
      </c>
      <c r="P235" s="297"/>
      <c r="Q235" s="288">
        <f t="shared" si="45"/>
        <v>1</v>
      </c>
      <c r="R235" s="348">
        <f t="shared" si="46"/>
        <v>0</v>
      </c>
      <c r="S235" s="287">
        <f t="shared" si="47"/>
        <v>0</v>
      </c>
    </row>
    <row r="236" spans="1:19">
      <c r="A236" s="295"/>
      <c r="B236" s="296"/>
      <c r="C236" s="288">
        <f t="shared" si="38"/>
        <v>1</v>
      </c>
      <c r="D236" s="297"/>
      <c r="E236" s="288">
        <f t="shared" si="39"/>
        <v>1</v>
      </c>
      <c r="F236" s="297"/>
      <c r="G236" s="288">
        <f t="shared" si="40"/>
        <v>1</v>
      </c>
      <c r="H236" s="297"/>
      <c r="I236" s="288">
        <f t="shared" si="41"/>
        <v>1</v>
      </c>
      <c r="J236" s="297"/>
      <c r="K236" s="288">
        <f t="shared" si="42"/>
        <v>1</v>
      </c>
      <c r="L236" s="297"/>
      <c r="M236" s="288">
        <f t="shared" si="43"/>
        <v>1</v>
      </c>
      <c r="N236" s="297"/>
      <c r="O236" s="288">
        <f t="shared" si="44"/>
        <v>1</v>
      </c>
      <c r="P236" s="297"/>
      <c r="Q236" s="288">
        <f t="shared" si="45"/>
        <v>1</v>
      </c>
      <c r="R236" s="348">
        <f t="shared" si="46"/>
        <v>0</v>
      </c>
      <c r="S236" s="287">
        <f t="shared" si="47"/>
        <v>0</v>
      </c>
    </row>
    <row r="237" spans="1:19">
      <c r="A237" s="295"/>
      <c r="B237" s="296"/>
      <c r="C237" s="288">
        <f t="shared" si="38"/>
        <v>1</v>
      </c>
      <c r="D237" s="297"/>
      <c r="E237" s="288">
        <f t="shared" si="39"/>
        <v>1</v>
      </c>
      <c r="F237" s="297"/>
      <c r="G237" s="288">
        <f t="shared" si="40"/>
        <v>1</v>
      </c>
      <c r="H237" s="297"/>
      <c r="I237" s="288">
        <f t="shared" si="41"/>
        <v>1</v>
      </c>
      <c r="J237" s="297"/>
      <c r="K237" s="288">
        <f t="shared" si="42"/>
        <v>1</v>
      </c>
      <c r="L237" s="297"/>
      <c r="M237" s="288">
        <f t="shared" si="43"/>
        <v>1</v>
      </c>
      <c r="N237" s="297"/>
      <c r="O237" s="288">
        <f t="shared" si="44"/>
        <v>1</v>
      </c>
      <c r="P237" s="297"/>
      <c r="Q237" s="288">
        <f t="shared" si="45"/>
        <v>1</v>
      </c>
      <c r="R237" s="348">
        <f t="shared" si="46"/>
        <v>0</v>
      </c>
      <c r="S237" s="287">
        <f t="shared" si="47"/>
        <v>0</v>
      </c>
    </row>
    <row r="238" spans="1:19">
      <c r="A238" s="295"/>
      <c r="B238" s="296"/>
      <c r="C238" s="288">
        <f t="shared" si="38"/>
        <v>1</v>
      </c>
      <c r="D238" s="297"/>
      <c r="E238" s="288">
        <f t="shared" si="39"/>
        <v>1</v>
      </c>
      <c r="F238" s="297"/>
      <c r="G238" s="288">
        <f t="shared" si="40"/>
        <v>1</v>
      </c>
      <c r="H238" s="297"/>
      <c r="I238" s="288">
        <f t="shared" si="41"/>
        <v>1</v>
      </c>
      <c r="J238" s="297"/>
      <c r="K238" s="288">
        <f t="shared" si="42"/>
        <v>1</v>
      </c>
      <c r="L238" s="297"/>
      <c r="M238" s="288">
        <f t="shared" si="43"/>
        <v>1</v>
      </c>
      <c r="N238" s="297"/>
      <c r="O238" s="288">
        <f t="shared" si="44"/>
        <v>1</v>
      </c>
      <c r="P238" s="297"/>
      <c r="Q238" s="288">
        <f t="shared" si="45"/>
        <v>1</v>
      </c>
      <c r="R238" s="348">
        <f t="shared" si="46"/>
        <v>0</v>
      </c>
      <c r="S238" s="287">
        <f t="shared" si="47"/>
        <v>0</v>
      </c>
    </row>
    <row r="239" spans="1:19">
      <c r="A239" s="295"/>
      <c r="B239" s="296"/>
      <c r="C239" s="288">
        <f t="shared" si="38"/>
        <v>1</v>
      </c>
      <c r="D239" s="297"/>
      <c r="E239" s="288">
        <f t="shared" si="39"/>
        <v>1</v>
      </c>
      <c r="F239" s="297"/>
      <c r="G239" s="288">
        <f t="shared" si="40"/>
        <v>1</v>
      </c>
      <c r="H239" s="297"/>
      <c r="I239" s="288">
        <f t="shared" si="41"/>
        <v>1</v>
      </c>
      <c r="J239" s="297"/>
      <c r="K239" s="288">
        <f t="shared" si="42"/>
        <v>1</v>
      </c>
      <c r="L239" s="297"/>
      <c r="M239" s="288">
        <f t="shared" si="43"/>
        <v>1</v>
      </c>
      <c r="N239" s="297"/>
      <c r="O239" s="288">
        <f t="shared" si="44"/>
        <v>1</v>
      </c>
      <c r="P239" s="297"/>
      <c r="Q239" s="288">
        <f t="shared" si="45"/>
        <v>1</v>
      </c>
      <c r="R239" s="348">
        <f t="shared" si="46"/>
        <v>0</v>
      </c>
      <c r="S239" s="287">
        <f t="shared" si="47"/>
        <v>0</v>
      </c>
    </row>
    <row r="240" spans="1:19">
      <c r="A240" s="295"/>
      <c r="B240" s="296"/>
      <c r="C240" s="288">
        <f t="shared" si="38"/>
        <v>1</v>
      </c>
      <c r="D240" s="297"/>
      <c r="E240" s="288">
        <f t="shared" si="39"/>
        <v>1</v>
      </c>
      <c r="F240" s="297"/>
      <c r="G240" s="288">
        <f t="shared" si="40"/>
        <v>1</v>
      </c>
      <c r="H240" s="297"/>
      <c r="I240" s="288">
        <f t="shared" si="41"/>
        <v>1</v>
      </c>
      <c r="J240" s="297"/>
      <c r="K240" s="288">
        <f t="shared" si="42"/>
        <v>1</v>
      </c>
      <c r="L240" s="297"/>
      <c r="M240" s="288">
        <f t="shared" si="43"/>
        <v>1</v>
      </c>
      <c r="N240" s="297"/>
      <c r="O240" s="288">
        <f t="shared" si="44"/>
        <v>1</v>
      </c>
      <c r="P240" s="297"/>
      <c r="Q240" s="288">
        <f t="shared" si="45"/>
        <v>1</v>
      </c>
      <c r="R240" s="348">
        <f t="shared" si="46"/>
        <v>0</v>
      </c>
      <c r="S240" s="287">
        <f t="shared" si="47"/>
        <v>0</v>
      </c>
    </row>
    <row r="241" spans="1:19">
      <c r="A241" s="295"/>
      <c r="B241" s="296"/>
      <c r="C241" s="288">
        <f t="shared" si="38"/>
        <v>1</v>
      </c>
      <c r="D241" s="297"/>
      <c r="E241" s="288">
        <f t="shared" si="39"/>
        <v>1</v>
      </c>
      <c r="F241" s="297"/>
      <c r="G241" s="288">
        <f t="shared" si="40"/>
        <v>1</v>
      </c>
      <c r="H241" s="297"/>
      <c r="I241" s="288">
        <f t="shared" si="41"/>
        <v>1</v>
      </c>
      <c r="J241" s="297"/>
      <c r="K241" s="288">
        <f t="shared" si="42"/>
        <v>1</v>
      </c>
      <c r="L241" s="297"/>
      <c r="M241" s="288">
        <f t="shared" si="43"/>
        <v>1</v>
      </c>
      <c r="N241" s="297"/>
      <c r="O241" s="288">
        <f t="shared" si="44"/>
        <v>1</v>
      </c>
      <c r="P241" s="297"/>
      <c r="Q241" s="288">
        <f t="shared" si="45"/>
        <v>1</v>
      </c>
      <c r="R241" s="348">
        <f t="shared" si="46"/>
        <v>0</v>
      </c>
      <c r="S241" s="287">
        <f t="shared" si="47"/>
        <v>0</v>
      </c>
    </row>
    <row r="242" spans="1:19">
      <c r="A242" s="295"/>
      <c r="B242" s="296"/>
      <c r="C242" s="288">
        <f t="shared" si="38"/>
        <v>1</v>
      </c>
      <c r="D242" s="297"/>
      <c r="E242" s="288">
        <f t="shared" si="39"/>
        <v>1</v>
      </c>
      <c r="F242" s="297"/>
      <c r="G242" s="288">
        <f t="shared" si="40"/>
        <v>1</v>
      </c>
      <c r="H242" s="297"/>
      <c r="I242" s="288">
        <f t="shared" si="41"/>
        <v>1</v>
      </c>
      <c r="J242" s="297"/>
      <c r="K242" s="288">
        <f t="shared" si="42"/>
        <v>1</v>
      </c>
      <c r="L242" s="297"/>
      <c r="M242" s="288">
        <f t="shared" si="43"/>
        <v>1</v>
      </c>
      <c r="N242" s="297"/>
      <c r="O242" s="288">
        <f t="shared" si="44"/>
        <v>1</v>
      </c>
      <c r="P242" s="297"/>
      <c r="Q242" s="288">
        <f t="shared" si="45"/>
        <v>1</v>
      </c>
      <c r="R242" s="348">
        <f t="shared" si="46"/>
        <v>0</v>
      </c>
      <c r="S242" s="287">
        <f t="shared" si="47"/>
        <v>0</v>
      </c>
    </row>
    <row r="243" spans="1:19">
      <c r="A243" s="295"/>
      <c r="B243" s="296"/>
      <c r="C243" s="288">
        <f t="shared" si="38"/>
        <v>1</v>
      </c>
      <c r="D243" s="297"/>
      <c r="E243" s="288">
        <f t="shared" si="39"/>
        <v>1</v>
      </c>
      <c r="F243" s="297"/>
      <c r="G243" s="288">
        <f t="shared" si="40"/>
        <v>1</v>
      </c>
      <c r="H243" s="297"/>
      <c r="I243" s="288">
        <f t="shared" si="41"/>
        <v>1</v>
      </c>
      <c r="J243" s="297"/>
      <c r="K243" s="288">
        <f t="shared" si="42"/>
        <v>1</v>
      </c>
      <c r="L243" s="297"/>
      <c r="M243" s="288">
        <f t="shared" si="43"/>
        <v>1</v>
      </c>
      <c r="N243" s="297"/>
      <c r="O243" s="288">
        <f t="shared" si="44"/>
        <v>1</v>
      </c>
      <c r="P243" s="297"/>
      <c r="Q243" s="288">
        <f t="shared" si="45"/>
        <v>1</v>
      </c>
      <c r="R243" s="348">
        <f t="shared" si="46"/>
        <v>0</v>
      </c>
      <c r="S243" s="287">
        <f t="shared" si="47"/>
        <v>0</v>
      </c>
    </row>
    <row r="244" spans="1:19">
      <c r="A244" s="295"/>
      <c r="B244" s="296"/>
      <c r="C244" s="288">
        <f t="shared" si="38"/>
        <v>1</v>
      </c>
      <c r="D244" s="297"/>
      <c r="E244" s="288">
        <f t="shared" si="39"/>
        <v>1</v>
      </c>
      <c r="F244" s="297"/>
      <c r="G244" s="288">
        <f t="shared" si="40"/>
        <v>1</v>
      </c>
      <c r="H244" s="297"/>
      <c r="I244" s="288">
        <f t="shared" si="41"/>
        <v>1</v>
      </c>
      <c r="J244" s="297"/>
      <c r="K244" s="288">
        <f t="shared" si="42"/>
        <v>1</v>
      </c>
      <c r="L244" s="297"/>
      <c r="M244" s="288">
        <f t="shared" si="43"/>
        <v>1</v>
      </c>
      <c r="N244" s="297"/>
      <c r="O244" s="288">
        <f t="shared" si="44"/>
        <v>1</v>
      </c>
      <c r="P244" s="297"/>
      <c r="Q244" s="288">
        <f t="shared" si="45"/>
        <v>1</v>
      </c>
      <c r="R244" s="348">
        <f t="shared" si="46"/>
        <v>0</v>
      </c>
      <c r="S244" s="287">
        <f t="shared" si="47"/>
        <v>0</v>
      </c>
    </row>
    <row r="245" spans="1:19">
      <c r="A245" s="295"/>
      <c r="B245" s="296"/>
      <c r="C245" s="288">
        <f t="shared" si="38"/>
        <v>1</v>
      </c>
      <c r="D245" s="297"/>
      <c r="E245" s="288">
        <f t="shared" si="39"/>
        <v>1</v>
      </c>
      <c r="F245" s="297"/>
      <c r="G245" s="288">
        <f t="shared" si="40"/>
        <v>1</v>
      </c>
      <c r="H245" s="297"/>
      <c r="I245" s="288">
        <f t="shared" si="41"/>
        <v>1</v>
      </c>
      <c r="J245" s="297"/>
      <c r="K245" s="288">
        <f t="shared" si="42"/>
        <v>1</v>
      </c>
      <c r="L245" s="297"/>
      <c r="M245" s="288">
        <f t="shared" si="43"/>
        <v>1</v>
      </c>
      <c r="N245" s="297"/>
      <c r="O245" s="288">
        <f t="shared" si="44"/>
        <v>1</v>
      </c>
      <c r="P245" s="297"/>
      <c r="Q245" s="288">
        <f t="shared" si="45"/>
        <v>1</v>
      </c>
      <c r="R245" s="348">
        <f t="shared" si="46"/>
        <v>0</v>
      </c>
      <c r="S245" s="287">
        <f t="shared" si="47"/>
        <v>0</v>
      </c>
    </row>
    <row r="246" spans="1:19">
      <c r="A246" s="295"/>
      <c r="B246" s="296"/>
      <c r="C246" s="288">
        <f t="shared" si="38"/>
        <v>1</v>
      </c>
      <c r="D246" s="297"/>
      <c r="E246" s="288">
        <f t="shared" si="39"/>
        <v>1</v>
      </c>
      <c r="F246" s="297"/>
      <c r="G246" s="288">
        <f t="shared" si="40"/>
        <v>1</v>
      </c>
      <c r="H246" s="297"/>
      <c r="I246" s="288">
        <f t="shared" si="41"/>
        <v>1</v>
      </c>
      <c r="J246" s="297"/>
      <c r="K246" s="288">
        <f t="shared" si="42"/>
        <v>1</v>
      </c>
      <c r="L246" s="297"/>
      <c r="M246" s="288">
        <f t="shared" si="43"/>
        <v>1</v>
      </c>
      <c r="N246" s="297"/>
      <c r="O246" s="288">
        <f t="shared" si="44"/>
        <v>1</v>
      </c>
      <c r="P246" s="297"/>
      <c r="Q246" s="288">
        <f t="shared" si="45"/>
        <v>1</v>
      </c>
      <c r="R246" s="348">
        <f t="shared" si="46"/>
        <v>0</v>
      </c>
      <c r="S246" s="287">
        <f t="shared" si="47"/>
        <v>0</v>
      </c>
    </row>
    <row r="247" spans="1:19">
      <c r="A247" s="295"/>
      <c r="B247" s="296"/>
      <c r="C247" s="288">
        <f t="shared" si="38"/>
        <v>1</v>
      </c>
      <c r="D247" s="297"/>
      <c r="E247" s="288">
        <f t="shared" si="39"/>
        <v>1</v>
      </c>
      <c r="F247" s="297"/>
      <c r="G247" s="288">
        <f t="shared" si="40"/>
        <v>1</v>
      </c>
      <c r="H247" s="297"/>
      <c r="I247" s="288">
        <f t="shared" si="41"/>
        <v>1</v>
      </c>
      <c r="J247" s="297"/>
      <c r="K247" s="288">
        <f t="shared" si="42"/>
        <v>1</v>
      </c>
      <c r="L247" s="297"/>
      <c r="M247" s="288">
        <f t="shared" si="43"/>
        <v>1</v>
      </c>
      <c r="N247" s="297"/>
      <c r="O247" s="288">
        <f t="shared" si="44"/>
        <v>1</v>
      </c>
      <c r="P247" s="297"/>
      <c r="Q247" s="288">
        <f t="shared" si="45"/>
        <v>1</v>
      </c>
      <c r="R247" s="348">
        <f t="shared" si="46"/>
        <v>0</v>
      </c>
      <c r="S247" s="287">
        <f t="shared" si="47"/>
        <v>0</v>
      </c>
    </row>
    <row r="248" spans="1:19">
      <c r="A248" s="295"/>
      <c r="B248" s="296"/>
      <c r="C248" s="288">
        <f t="shared" si="38"/>
        <v>1</v>
      </c>
      <c r="D248" s="297"/>
      <c r="E248" s="288">
        <f t="shared" si="39"/>
        <v>1</v>
      </c>
      <c r="F248" s="297"/>
      <c r="G248" s="288">
        <f t="shared" si="40"/>
        <v>1</v>
      </c>
      <c r="H248" s="297"/>
      <c r="I248" s="288">
        <f t="shared" si="41"/>
        <v>1</v>
      </c>
      <c r="J248" s="297"/>
      <c r="K248" s="288">
        <f t="shared" si="42"/>
        <v>1</v>
      </c>
      <c r="L248" s="297"/>
      <c r="M248" s="288">
        <f t="shared" si="43"/>
        <v>1</v>
      </c>
      <c r="N248" s="297"/>
      <c r="O248" s="288">
        <f t="shared" si="44"/>
        <v>1</v>
      </c>
      <c r="P248" s="297"/>
      <c r="Q248" s="288">
        <f t="shared" si="45"/>
        <v>1</v>
      </c>
      <c r="R248" s="348">
        <f t="shared" si="46"/>
        <v>0</v>
      </c>
      <c r="S248" s="287">
        <f t="shared" si="47"/>
        <v>0</v>
      </c>
    </row>
    <row r="249" spans="1:19">
      <c r="A249" s="295"/>
      <c r="B249" s="296"/>
      <c r="C249" s="288">
        <f t="shared" si="38"/>
        <v>1</v>
      </c>
      <c r="D249" s="297"/>
      <c r="E249" s="288">
        <f t="shared" si="39"/>
        <v>1</v>
      </c>
      <c r="F249" s="297"/>
      <c r="G249" s="288">
        <f t="shared" si="40"/>
        <v>1</v>
      </c>
      <c r="H249" s="297"/>
      <c r="I249" s="288">
        <f t="shared" si="41"/>
        <v>1</v>
      </c>
      <c r="J249" s="297"/>
      <c r="K249" s="288">
        <f t="shared" si="42"/>
        <v>1</v>
      </c>
      <c r="L249" s="297"/>
      <c r="M249" s="288">
        <f t="shared" si="43"/>
        <v>1</v>
      </c>
      <c r="N249" s="297"/>
      <c r="O249" s="288">
        <f t="shared" si="44"/>
        <v>1</v>
      </c>
      <c r="P249" s="297"/>
      <c r="Q249" s="288">
        <f t="shared" si="45"/>
        <v>1</v>
      </c>
      <c r="R249" s="348">
        <f t="shared" si="46"/>
        <v>0</v>
      </c>
      <c r="S249" s="287">
        <f t="shared" si="47"/>
        <v>0</v>
      </c>
    </row>
    <row r="250" spans="1:19">
      <c r="A250" s="295"/>
      <c r="B250" s="296"/>
      <c r="C250" s="288">
        <f t="shared" si="38"/>
        <v>1</v>
      </c>
      <c r="D250" s="297"/>
      <c r="E250" s="288">
        <f t="shared" si="39"/>
        <v>1</v>
      </c>
      <c r="F250" s="297"/>
      <c r="G250" s="288">
        <f t="shared" si="40"/>
        <v>1</v>
      </c>
      <c r="H250" s="297"/>
      <c r="I250" s="288">
        <f t="shared" si="41"/>
        <v>1</v>
      </c>
      <c r="J250" s="297"/>
      <c r="K250" s="288">
        <f t="shared" si="42"/>
        <v>1</v>
      </c>
      <c r="L250" s="297"/>
      <c r="M250" s="288">
        <f t="shared" si="43"/>
        <v>1</v>
      </c>
      <c r="N250" s="297"/>
      <c r="O250" s="288">
        <f t="shared" si="44"/>
        <v>1</v>
      </c>
      <c r="P250" s="297"/>
      <c r="Q250" s="288">
        <f t="shared" si="45"/>
        <v>1</v>
      </c>
      <c r="R250" s="348">
        <f t="shared" si="46"/>
        <v>0</v>
      </c>
      <c r="S250" s="287">
        <f t="shared" si="47"/>
        <v>0</v>
      </c>
    </row>
    <row r="251" spans="1:19">
      <c r="A251" s="295"/>
      <c r="B251" s="296"/>
      <c r="C251" s="288">
        <f t="shared" si="38"/>
        <v>1</v>
      </c>
      <c r="D251" s="297"/>
      <c r="E251" s="288">
        <f t="shared" si="39"/>
        <v>1</v>
      </c>
      <c r="F251" s="297"/>
      <c r="G251" s="288">
        <f t="shared" si="40"/>
        <v>1</v>
      </c>
      <c r="H251" s="297"/>
      <c r="I251" s="288">
        <f t="shared" si="41"/>
        <v>1</v>
      </c>
      <c r="J251" s="297"/>
      <c r="K251" s="288">
        <f t="shared" si="42"/>
        <v>1</v>
      </c>
      <c r="L251" s="297"/>
      <c r="M251" s="288">
        <f t="shared" si="43"/>
        <v>1</v>
      </c>
      <c r="N251" s="297"/>
      <c r="O251" s="288">
        <f t="shared" si="44"/>
        <v>1</v>
      </c>
      <c r="P251" s="297"/>
      <c r="Q251" s="288">
        <f t="shared" si="45"/>
        <v>1</v>
      </c>
      <c r="R251" s="348">
        <f t="shared" si="46"/>
        <v>0</v>
      </c>
      <c r="S251" s="287">
        <f t="shared" si="47"/>
        <v>0</v>
      </c>
    </row>
    <row r="252" spans="1:19">
      <c r="A252" s="295"/>
      <c r="B252" s="296"/>
      <c r="C252" s="288">
        <f t="shared" si="38"/>
        <v>1</v>
      </c>
      <c r="D252" s="297"/>
      <c r="E252" s="288">
        <f t="shared" si="39"/>
        <v>1</v>
      </c>
      <c r="F252" s="297"/>
      <c r="G252" s="288">
        <f t="shared" si="40"/>
        <v>1</v>
      </c>
      <c r="H252" s="297"/>
      <c r="I252" s="288">
        <f t="shared" si="41"/>
        <v>1</v>
      </c>
      <c r="J252" s="297"/>
      <c r="K252" s="288">
        <f t="shared" si="42"/>
        <v>1</v>
      </c>
      <c r="L252" s="297"/>
      <c r="M252" s="288">
        <f t="shared" si="43"/>
        <v>1</v>
      </c>
      <c r="N252" s="297"/>
      <c r="O252" s="288">
        <f t="shared" si="44"/>
        <v>1</v>
      </c>
      <c r="P252" s="297"/>
      <c r="Q252" s="288">
        <f t="shared" si="45"/>
        <v>1</v>
      </c>
      <c r="R252" s="348">
        <f t="shared" si="46"/>
        <v>0</v>
      </c>
      <c r="S252" s="287">
        <f t="shared" si="47"/>
        <v>0</v>
      </c>
    </row>
    <row r="253" spans="1:19">
      <c r="A253" s="295"/>
      <c r="B253" s="296"/>
      <c r="C253" s="288">
        <f t="shared" si="38"/>
        <v>1</v>
      </c>
      <c r="D253" s="297"/>
      <c r="E253" s="288">
        <f t="shared" si="39"/>
        <v>1</v>
      </c>
      <c r="F253" s="297"/>
      <c r="G253" s="288">
        <f t="shared" si="40"/>
        <v>1</v>
      </c>
      <c r="H253" s="297"/>
      <c r="I253" s="288">
        <f t="shared" si="41"/>
        <v>1</v>
      </c>
      <c r="J253" s="297"/>
      <c r="K253" s="288">
        <f t="shared" si="42"/>
        <v>1</v>
      </c>
      <c r="L253" s="297"/>
      <c r="M253" s="288">
        <f t="shared" si="43"/>
        <v>1</v>
      </c>
      <c r="N253" s="297"/>
      <c r="O253" s="288">
        <f t="shared" si="44"/>
        <v>1</v>
      </c>
      <c r="P253" s="297"/>
      <c r="Q253" s="288">
        <f t="shared" si="45"/>
        <v>1</v>
      </c>
      <c r="R253" s="348">
        <f t="shared" si="46"/>
        <v>0</v>
      </c>
      <c r="S253" s="287">
        <f t="shared" si="47"/>
        <v>0</v>
      </c>
    </row>
    <row r="254" spans="1:19">
      <c r="A254" s="295"/>
      <c r="B254" s="296"/>
      <c r="C254" s="288">
        <f t="shared" si="38"/>
        <v>1</v>
      </c>
      <c r="D254" s="297"/>
      <c r="E254" s="288">
        <f t="shared" si="39"/>
        <v>1</v>
      </c>
      <c r="F254" s="297"/>
      <c r="G254" s="288">
        <f t="shared" si="40"/>
        <v>1</v>
      </c>
      <c r="H254" s="297"/>
      <c r="I254" s="288">
        <f t="shared" si="41"/>
        <v>1</v>
      </c>
      <c r="J254" s="297"/>
      <c r="K254" s="288">
        <f t="shared" si="42"/>
        <v>1</v>
      </c>
      <c r="L254" s="297"/>
      <c r="M254" s="288">
        <f t="shared" si="43"/>
        <v>1</v>
      </c>
      <c r="N254" s="297"/>
      <c r="O254" s="288">
        <f t="shared" si="44"/>
        <v>1</v>
      </c>
      <c r="P254" s="297"/>
      <c r="Q254" s="288">
        <f t="shared" si="45"/>
        <v>1</v>
      </c>
      <c r="R254" s="348">
        <f t="shared" si="46"/>
        <v>0</v>
      </c>
      <c r="S254" s="287">
        <f t="shared" si="47"/>
        <v>0</v>
      </c>
    </row>
    <row r="255" spans="1:19">
      <c r="A255" s="295"/>
      <c r="B255" s="296"/>
      <c r="C255" s="288">
        <f t="shared" si="38"/>
        <v>1</v>
      </c>
      <c r="D255" s="297"/>
      <c r="E255" s="288">
        <f t="shared" si="39"/>
        <v>1</v>
      </c>
      <c r="F255" s="297"/>
      <c r="G255" s="288">
        <f t="shared" si="40"/>
        <v>1</v>
      </c>
      <c r="H255" s="297"/>
      <c r="I255" s="288">
        <f t="shared" si="41"/>
        <v>1</v>
      </c>
      <c r="J255" s="297"/>
      <c r="K255" s="288">
        <f t="shared" si="42"/>
        <v>1</v>
      </c>
      <c r="L255" s="297"/>
      <c r="M255" s="288">
        <f t="shared" si="43"/>
        <v>1</v>
      </c>
      <c r="N255" s="297"/>
      <c r="O255" s="288">
        <f t="shared" si="44"/>
        <v>1</v>
      </c>
      <c r="P255" s="297"/>
      <c r="Q255" s="288">
        <f t="shared" si="45"/>
        <v>1</v>
      </c>
      <c r="R255" s="348">
        <f t="shared" si="46"/>
        <v>0</v>
      </c>
      <c r="S255" s="287">
        <f t="shared" si="47"/>
        <v>0</v>
      </c>
    </row>
    <row r="256" spans="1:19">
      <c r="A256" s="295"/>
      <c r="B256" s="296"/>
      <c r="C256" s="288">
        <f t="shared" si="38"/>
        <v>1</v>
      </c>
      <c r="D256" s="297"/>
      <c r="E256" s="288">
        <f t="shared" si="39"/>
        <v>1</v>
      </c>
      <c r="F256" s="297"/>
      <c r="G256" s="288">
        <f t="shared" si="40"/>
        <v>1</v>
      </c>
      <c r="H256" s="297"/>
      <c r="I256" s="288">
        <f t="shared" si="41"/>
        <v>1</v>
      </c>
      <c r="J256" s="297"/>
      <c r="K256" s="288">
        <f t="shared" si="42"/>
        <v>1</v>
      </c>
      <c r="L256" s="297"/>
      <c r="M256" s="288">
        <f t="shared" si="43"/>
        <v>1</v>
      </c>
      <c r="N256" s="297"/>
      <c r="O256" s="288">
        <f t="shared" si="44"/>
        <v>1</v>
      </c>
      <c r="P256" s="297"/>
      <c r="Q256" s="288">
        <f t="shared" si="45"/>
        <v>1</v>
      </c>
      <c r="R256" s="348">
        <f t="shared" si="46"/>
        <v>0</v>
      </c>
      <c r="S256" s="287">
        <f t="shared" si="47"/>
        <v>0</v>
      </c>
    </row>
    <row r="257" spans="1:19">
      <c r="A257" s="295"/>
      <c r="B257" s="296"/>
      <c r="C257" s="288">
        <f t="shared" si="38"/>
        <v>1</v>
      </c>
      <c r="D257" s="297"/>
      <c r="E257" s="288">
        <f t="shared" si="39"/>
        <v>1</v>
      </c>
      <c r="F257" s="297"/>
      <c r="G257" s="288">
        <f t="shared" si="40"/>
        <v>1</v>
      </c>
      <c r="H257" s="297"/>
      <c r="I257" s="288">
        <f t="shared" si="41"/>
        <v>1</v>
      </c>
      <c r="J257" s="297"/>
      <c r="K257" s="288">
        <f t="shared" si="42"/>
        <v>1</v>
      </c>
      <c r="L257" s="297"/>
      <c r="M257" s="288">
        <f t="shared" si="43"/>
        <v>1</v>
      </c>
      <c r="N257" s="297"/>
      <c r="O257" s="288">
        <f t="shared" si="44"/>
        <v>1</v>
      </c>
      <c r="P257" s="297"/>
      <c r="Q257" s="288">
        <f t="shared" si="45"/>
        <v>1</v>
      </c>
      <c r="R257" s="348">
        <f t="shared" si="46"/>
        <v>0</v>
      </c>
      <c r="S257" s="287">
        <f t="shared" si="47"/>
        <v>0</v>
      </c>
    </row>
    <row r="258" spans="1:19">
      <c r="A258" s="295"/>
      <c r="B258" s="296"/>
      <c r="C258" s="288">
        <f t="shared" si="38"/>
        <v>1</v>
      </c>
      <c r="D258" s="297"/>
      <c r="E258" s="288">
        <f t="shared" si="39"/>
        <v>1</v>
      </c>
      <c r="F258" s="297"/>
      <c r="G258" s="288">
        <f t="shared" si="40"/>
        <v>1</v>
      </c>
      <c r="H258" s="297"/>
      <c r="I258" s="288">
        <f t="shared" si="41"/>
        <v>1</v>
      </c>
      <c r="J258" s="297"/>
      <c r="K258" s="288">
        <f t="shared" si="42"/>
        <v>1</v>
      </c>
      <c r="L258" s="297"/>
      <c r="M258" s="288">
        <f t="shared" si="43"/>
        <v>1</v>
      </c>
      <c r="N258" s="297"/>
      <c r="O258" s="288">
        <f t="shared" si="44"/>
        <v>1</v>
      </c>
      <c r="P258" s="297"/>
      <c r="Q258" s="288">
        <f t="shared" si="45"/>
        <v>1</v>
      </c>
      <c r="R258" s="348">
        <f t="shared" si="46"/>
        <v>0</v>
      </c>
      <c r="S258" s="287">
        <f t="shared" si="47"/>
        <v>0</v>
      </c>
    </row>
    <row r="259" spans="1:19">
      <c r="A259" s="295"/>
      <c r="B259" s="296"/>
      <c r="C259" s="288">
        <f t="shared" si="38"/>
        <v>1</v>
      </c>
      <c r="D259" s="297"/>
      <c r="E259" s="288">
        <f t="shared" si="39"/>
        <v>1</v>
      </c>
      <c r="F259" s="297"/>
      <c r="G259" s="288">
        <f t="shared" si="40"/>
        <v>1</v>
      </c>
      <c r="H259" s="297"/>
      <c r="I259" s="288">
        <f t="shared" si="41"/>
        <v>1</v>
      </c>
      <c r="J259" s="297"/>
      <c r="K259" s="288">
        <f t="shared" si="42"/>
        <v>1</v>
      </c>
      <c r="L259" s="297"/>
      <c r="M259" s="288">
        <f t="shared" si="43"/>
        <v>1</v>
      </c>
      <c r="N259" s="297"/>
      <c r="O259" s="288">
        <f t="shared" si="44"/>
        <v>1</v>
      </c>
      <c r="P259" s="297"/>
      <c r="Q259" s="288">
        <f t="shared" si="45"/>
        <v>1</v>
      </c>
      <c r="R259" s="348">
        <f t="shared" si="46"/>
        <v>0</v>
      </c>
      <c r="S259" s="287">
        <f t="shared" si="47"/>
        <v>0</v>
      </c>
    </row>
    <row r="260" spans="1:19">
      <c r="A260" s="295"/>
      <c r="B260" s="296"/>
      <c r="C260" s="288">
        <f t="shared" si="38"/>
        <v>1</v>
      </c>
      <c r="D260" s="297"/>
      <c r="E260" s="288">
        <f t="shared" si="39"/>
        <v>1</v>
      </c>
      <c r="F260" s="297"/>
      <c r="G260" s="288">
        <f t="shared" si="40"/>
        <v>1</v>
      </c>
      <c r="H260" s="297"/>
      <c r="I260" s="288">
        <f t="shared" si="41"/>
        <v>1</v>
      </c>
      <c r="J260" s="297"/>
      <c r="K260" s="288">
        <f t="shared" si="42"/>
        <v>1</v>
      </c>
      <c r="L260" s="297"/>
      <c r="M260" s="288">
        <f t="shared" si="43"/>
        <v>1</v>
      </c>
      <c r="N260" s="297"/>
      <c r="O260" s="288">
        <f t="shared" si="44"/>
        <v>1</v>
      </c>
      <c r="P260" s="297"/>
      <c r="Q260" s="288">
        <f t="shared" si="45"/>
        <v>1</v>
      </c>
      <c r="R260" s="348">
        <f t="shared" si="46"/>
        <v>0</v>
      </c>
      <c r="S260" s="287">
        <f t="shared" si="47"/>
        <v>0</v>
      </c>
    </row>
    <row r="261" spans="1:19">
      <c r="A261" s="295"/>
      <c r="B261" s="296"/>
      <c r="C261" s="288">
        <f t="shared" si="38"/>
        <v>1</v>
      </c>
      <c r="D261" s="297"/>
      <c r="E261" s="288">
        <f t="shared" si="39"/>
        <v>1</v>
      </c>
      <c r="F261" s="297"/>
      <c r="G261" s="288">
        <f t="shared" si="40"/>
        <v>1</v>
      </c>
      <c r="H261" s="297"/>
      <c r="I261" s="288">
        <f t="shared" si="41"/>
        <v>1</v>
      </c>
      <c r="J261" s="297"/>
      <c r="K261" s="288">
        <f t="shared" si="42"/>
        <v>1</v>
      </c>
      <c r="L261" s="297"/>
      <c r="M261" s="288">
        <f t="shared" si="43"/>
        <v>1</v>
      </c>
      <c r="N261" s="297"/>
      <c r="O261" s="288">
        <f t="shared" si="44"/>
        <v>1</v>
      </c>
      <c r="P261" s="297"/>
      <c r="Q261" s="288">
        <f t="shared" si="45"/>
        <v>1</v>
      </c>
      <c r="R261" s="348">
        <f t="shared" si="46"/>
        <v>0</v>
      </c>
      <c r="S261" s="287">
        <f t="shared" si="47"/>
        <v>0</v>
      </c>
    </row>
    <row r="262" spans="1:19">
      <c r="A262" s="295"/>
      <c r="B262" s="296"/>
      <c r="C262" s="288">
        <f t="shared" si="38"/>
        <v>1</v>
      </c>
      <c r="D262" s="297"/>
      <c r="E262" s="288">
        <f t="shared" si="39"/>
        <v>1</v>
      </c>
      <c r="F262" s="297"/>
      <c r="G262" s="288">
        <f t="shared" si="40"/>
        <v>1</v>
      </c>
      <c r="H262" s="297"/>
      <c r="I262" s="288">
        <f t="shared" si="41"/>
        <v>1</v>
      </c>
      <c r="J262" s="297"/>
      <c r="K262" s="288">
        <f t="shared" si="42"/>
        <v>1</v>
      </c>
      <c r="L262" s="297"/>
      <c r="M262" s="288">
        <f t="shared" si="43"/>
        <v>1</v>
      </c>
      <c r="N262" s="297"/>
      <c r="O262" s="288">
        <f t="shared" si="44"/>
        <v>1</v>
      </c>
      <c r="P262" s="297"/>
      <c r="Q262" s="288">
        <f t="shared" si="45"/>
        <v>1</v>
      </c>
      <c r="R262" s="348">
        <f t="shared" si="46"/>
        <v>0</v>
      </c>
      <c r="S262" s="287">
        <f t="shared" si="47"/>
        <v>0</v>
      </c>
    </row>
    <row r="263" spans="1:19">
      <c r="A263" s="295"/>
      <c r="B263" s="296"/>
      <c r="C263" s="288">
        <f t="shared" si="38"/>
        <v>1</v>
      </c>
      <c r="D263" s="297"/>
      <c r="E263" s="288">
        <f t="shared" si="39"/>
        <v>1</v>
      </c>
      <c r="F263" s="297"/>
      <c r="G263" s="288">
        <f t="shared" si="40"/>
        <v>1</v>
      </c>
      <c r="H263" s="297"/>
      <c r="I263" s="288">
        <f t="shared" si="41"/>
        <v>1</v>
      </c>
      <c r="J263" s="297"/>
      <c r="K263" s="288">
        <f t="shared" si="42"/>
        <v>1</v>
      </c>
      <c r="L263" s="297"/>
      <c r="M263" s="288">
        <f t="shared" si="43"/>
        <v>1</v>
      </c>
      <c r="N263" s="297"/>
      <c r="O263" s="288">
        <f t="shared" si="44"/>
        <v>1</v>
      </c>
      <c r="P263" s="297"/>
      <c r="Q263" s="288">
        <f t="shared" si="45"/>
        <v>1</v>
      </c>
      <c r="R263" s="348">
        <f t="shared" si="46"/>
        <v>0</v>
      </c>
      <c r="S263" s="287">
        <f t="shared" si="47"/>
        <v>0</v>
      </c>
    </row>
    <row r="264" spans="1:19">
      <c r="A264" s="295"/>
      <c r="B264" s="296"/>
      <c r="C264" s="288">
        <f t="shared" si="38"/>
        <v>1</v>
      </c>
      <c r="D264" s="297"/>
      <c r="E264" s="288">
        <f t="shared" si="39"/>
        <v>1</v>
      </c>
      <c r="F264" s="297"/>
      <c r="G264" s="288">
        <f t="shared" si="40"/>
        <v>1</v>
      </c>
      <c r="H264" s="297"/>
      <c r="I264" s="288">
        <f t="shared" si="41"/>
        <v>1</v>
      </c>
      <c r="J264" s="297"/>
      <c r="K264" s="288">
        <f t="shared" si="42"/>
        <v>1</v>
      </c>
      <c r="L264" s="297"/>
      <c r="M264" s="288">
        <f t="shared" si="43"/>
        <v>1</v>
      </c>
      <c r="N264" s="297"/>
      <c r="O264" s="288">
        <f t="shared" si="44"/>
        <v>1</v>
      </c>
      <c r="P264" s="297"/>
      <c r="Q264" s="288">
        <f t="shared" si="45"/>
        <v>1</v>
      </c>
      <c r="R264" s="348">
        <f t="shared" si="46"/>
        <v>0</v>
      </c>
      <c r="S264" s="287">
        <f t="shared" si="47"/>
        <v>0</v>
      </c>
    </row>
    <row r="265" spans="1:19">
      <c r="A265" s="295"/>
      <c r="B265" s="296"/>
      <c r="C265" s="288">
        <f t="shared" si="38"/>
        <v>1</v>
      </c>
      <c r="D265" s="297"/>
      <c r="E265" s="288">
        <f t="shared" si="39"/>
        <v>1</v>
      </c>
      <c r="F265" s="297"/>
      <c r="G265" s="288">
        <f t="shared" si="40"/>
        <v>1</v>
      </c>
      <c r="H265" s="297"/>
      <c r="I265" s="288">
        <f t="shared" si="41"/>
        <v>1</v>
      </c>
      <c r="J265" s="297"/>
      <c r="K265" s="288">
        <f t="shared" si="42"/>
        <v>1</v>
      </c>
      <c r="L265" s="297"/>
      <c r="M265" s="288">
        <f t="shared" si="43"/>
        <v>1</v>
      </c>
      <c r="N265" s="297"/>
      <c r="O265" s="288">
        <f t="shared" si="44"/>
        <v>1</v>
      </c>
      <c r="P265" s="297"/>
      <c r="Q265" s="288">
        <f t="shared" si="45"/>
        <v>1</v>
      </c>
      <c r="R265" s="348">
        <f t="shared" si="46"/>
        <v>0</v>
      </c>
      <c r="S265" s="287">
        <f t="shared" si="47"/>
        <v>0</v>
      </c>
    </row>
    <row r="266" spans="1:19">
      <c r="A266" s="295"/>
      <c r="B266" s="296"/>
      <c r="C266" s="288">
        <f t="shared" si="38"/>
        <v>1</v>
      </c>
      <c r="D266" s="297"/>
      <c r="E266" s="288">
        <f t="shared" si="39"/>
        <v>1</v>
      </c>
      <c r="F266" s="297"/>
      <c r="G266" s="288">
        <f t="shared" si="40"/>
        <v>1</v>
      </c>
      <c r="H266" s="297"/>
      <c r="I266" s="288">
        <f t="shared" si="41"/>
        <v>1</v>
      </c>
      <c r="J266" s="297"/>
      <c r="K266" s="288">
        <f t="shared" si="42"/>
        <v>1</v>
      </c>
      <c r="L266" s="297"/>
      <c r="M266" s="288">
        <f t="shared" si="43"/>
        <v>1</v>
      </c>
      <c r="N266" s="297"/>
      <c r="O266" s="288">
        <f t="shared" si="44"/>
        <v>1</v>
      </c>
      <c r="P266" s="297"/>
      <c r="Q266" s="288">
        <f t="shared" si="45"/>
        <v>1</v>
      </c>
      <c r="R266" s="348">
        <f t="shared" si="46"/>
        <v>0</v>
      </c>
      <c r="S266" s="287">
        <f t="shared" si="47"/>
        <v>0</v>
      </c>
    </row>
    <row r="267" spans="1:19">
      <c r="A267" s="295"/>
      <c r="B267" s="296"/>
      <c r="C267" s="288">
        <f t="shared" si="38"/>
        <v>1</v>
      </c>
      <c r="D267" s="297"/>
      <c r="E267" s="288">
        <f t="shared" si="39"/>
        <v>1</v>
      </c>
      <c r="F267" s="297"/>
      <c r="G267" s="288">
        <f t="shared" si="40"/>
        <v>1</v>
      </c>
      <c r="H267" s="297"/>
      <c r="I267" s="288">
        <f t="shared" si="41"/>
        <v>1</v>
      </c>
      <c r="J267" s="297"/>
      <c r="K267" s="288">
        <f t="shared" si="42"/>
        <v>1</v>
      </c>
      <c r="L267" s="297"/>
      <c r="M267" s="288">
        <f t="shared" si="43"/>
        <v>1</v>
      </c>
      <c r="N267" s="297"/>
      <c r="O267" s="288">
        <f t="shared" si="44"/>
        <v>1</v>
      </c>
      <c r="P267" s="297"/>
      <c r="Q267" s="288">
        <f t="shared" si="45"/>
        <v>1</v>
      </c>
      <c r="R267" s="348">
        <f t="shared" si="46"/>
        <v>0</v>
      </c>
      <c r="S267" s="287">
        <f t="shared" si="47"/>
        <v>0</v>
      </c>
    </row>
    <row r="268" spans="1:19">
      <c r="A268" s="295"/>
      <c r="B268" s="296"/>
      <c r="C268" s="288">
        <f t="shared" si="38"/>
        <v>1</v>
      </c>
      <c r="D268" s="297"/>
      <c r="E268" s="288">
        <f t="shared" si="39"/>
        <v>1</v>
      </c>
      <c r="F268" s="297"/>
      <c r="G268" s="288">
        <f t="shared" si="40"/>
        <v>1</v>
      </c>
      <c r="H268" s="297"/>
      <c r="I268" s="288">
        <f t="shared" si="41"/>
        <v>1</v>
      </c>
      <c r="J268" s="297"/>
      <c r="K268" s="288">
        <f t="shared" si="42"/>
        <v>1</v>
      </c>
      <c r="L268" s="297"/>
      <c r="M268" s="288">
        <f t="shared" si="43"/>
        <v>1</v>
      </c>
      <c r="N268" s="297"/>
      <c r="O268" s="288">
        <f t="shared" si="44"/>
        <v>1</v>
      </c>
      <c r="P268" s="297"/>
      <c r="Q268" s="288">
        <f t="shared" si="45"/>
        <v>1</v>
      </c>
      <c r="R268" s="348">
        <f t="shared" si="46"/>
        <v>0</v>
      </c>
      <c r="S268" s="287">
        <f t="shared" si="47"/>
        <v>0</v>
      </c>
    </row>
    <row r="269" spans="1:19">
      <c r="A269" s="295"/>
      <c r="B269" s="296"/>
      <c r="C269" s="288">
        <f t="shared" si="38"/>
        <v>1</v>
      </c>
      <c r="D269" s="297"/>
      <c r="E269" s="288">
        <f t="shared" si="39"/>
        <v>1</v>
      </c>
      <c r="F269" s="297"/>
      <c r="G269" s="288">
        <f t="shared" si="40"/>
        <v>1</v>
      </c>
      <c r="H269" s="297"/>
      <c r="I269" s="288">
        <f t="shared" si="41"/>
        <v>1</v>
      </c>
      <c r="J269" s="297"/>
      <c r="K269" s="288">
        <f t="shared" si="42"/>
        <v>1</v>
      </c>
      <c r="L269" s="297"/>
      <c r="M269" s="288">
        <f t="shared" si="43"/>
        <v>1</v>
      </c>
      <c r="N269" s="297"/>
      <c r="O269" s="288">
        <f t="shared" si="44"/>
        <v>1</v>
      </c>
      <c r="P269" s="297"/>
      <c r="Q269" s="288">
        <f t="shared" si="45"/>
        <v>1</v>
      </c>
      <c r="R269" s="348">
        <f t="shared" si="46"/>
        <v>0</v>
      </c>
      <c r="S269" s="287">
        <f t="shared" si="47"/>
        <v>0</v>
      </c>
    </row>
    <row r="270" spans="1:19">
      <c r="A270" s="295"/>
      <c r="B270" s="296"/>
      <c r="C270" s="288">
        <f t="shared" si="38"/>
        <v>1</v>
      </c>
      <c r="D270" s="297"/>
      <c r="E270" s="288">
        <f t="shared" si="39"/>
        <v>1</v>
      </c>
      <c r="F270" s="297"/>
      <c r="G270" s="288">
        <f t="shared" si="40"/>
        <v>1</v>
      </c>
      <c r="H270" s="297"/>
      <c r="I270" s="288">
        <f t="shared" si="41"/>
        <v>1</v>
      </c>
      <c r="J270" s="297"/>
      <c r="K270" s="288">
        <f t="shared" si="42"/>
        <v>1</v>
      </c>
      <c r="L270" s="297"/>
      <c r="M270" s="288">
        <f t="shared" si="43"/>
        <v>1</v>
      </c>
      <c r="N270" s="297"/>
      <c r="O270" s="288">
        <f t="shared" si="44"/>
        <v>1</v>
      </c>
      <c r="P270" s="297"/>
      <c r="Q270" s="288">
        <f t="shared" si="45"/>
        <v>1</v>
      </c>
      <c r="R270" s="348">
        <f t="shared" si="46"/>
        <v>0</v>
      </c>
      <c r="S270" s="287">
        <f t="shared" si="47"/>
        <v>0</v>
      </c>
    </row>
    <row r="271" spans="1:19">
      <c r="A271" s="295"/>
      <c r="B271" s="296"/>
      <c r="C271" s="288">
        <f t="shared" si="38"/>
        <v>1</v>
      </c>
      <c r="D271" s="297"/>
      <c r="E271" s="288">
        <f t="shared" si="39"/>
        <v>1</v>
      </c>
      <c r="F271" s="297"/>
      <c r="G271" s="288">
        <f t="shared" si="40"/>
        <v>1</v>
      </c>
      <c r="H271" s="297"/>
      <c r="I271" s="288">
        <f t="shared" si="41"/>
        <v>1</v>
      </c>
      <c r="J271" s="297"/>
      <c r="K271" s="288">
        <f t="shared" si="42"/>
        <v>1</v>
      </c>
      <c r="L271" s="297"/>
      <c r="M271" s="288">
        <f t="shared" si="43"/>
        <v>1</v>
      </c>
      <c r="N271" s="297"/>
      <c r="O271" s="288">
        <f t="shared" si="44"/>
        <v>1</v>
      </c>
      <c r="P271" s="297"/>
      <c r="Q271" s="288">
        <f t="shared" si="45"/>
        <v>1</v>
      </c>
      <c r="R271" s="348">
        <f t="shared" si="46"/>
        <v>0</v>
      </c>
      <c r="S271" s="287">
        <f t="shared" si="47"/>
        <v>0</v>
      </c>
    </row>
    <row r="272" spans="1:19">
      <c r="A272" s="295"/>
      <c r="B272" s="296"/>
      <c r="C272" s="288">
        <f t="shared" si="38"/>
        <v>1</v>
      </c>
      <c r="D272" s="297"/>
      <c r="E272" s="288">
        <f t="shared" si="39"/>
        <v>1</v>
      </c>
      <c r="F272" s="297"/>
      <c r="G272" s="288">
        <f t="shared" si="40"/>
        <v>1</v>
      </c>
      <c r="H272" s="297"/>
      <c r="I272" s="288">
        <f t="shared" si="41"/>
        <v>1</v>
      </c>
      <c r="J272" s="297"/>
      <c r="K272" s="288">
        <f t="shared" si="42"/>
        <v>1</v>
      </c>
      <c r="L272" s="297"/>
      <c r="M272" s="288">
        <f t="shared" si="43"/>
        <v>1</v>
      </c>
      <c r="N272" s="297"/>
      <c r="O272" s="288">
        <f t="shared" si="44"/>
        <v>1</v>
      </c>
      <c r="P272" s="297"/>
      <c r="Q272" s="288">
        <f t="shared" si="45"/>
        <v>1</v>
      </c>
      <c r="R272" s="348">
        <f t="shared" si="46"/>
        <v>0</v>
      </c>
      <c r="S272" s="287">
        <f t="shared" si="47"/>
        <v>0</v>
      </c>
    </row>
    <row r="273" spans="1:19">
      <c r="A273" s="295"/>
      <c r="B273" s="296"/>
      <c r="C273" s="288">
        <f t="shared" si="38"/>
        <v>1</v>
      </c>
      <c r="D273" s="297"/>
      <c r="E273" s="288">
        <f t="shared" si="39"/>
        <v>1</v>
      </c>
      <c r="F273" s="297"/>
      <c r="G273" s="288">
        <f t="shared" si="40"/>
        <v>1</v>
      </c>
      <c r="H273" s="297"/>
      <c r="I273" s="288">
        <f t="shared" si="41"/>
        <v>1</v>
      </c>
      <c r="J273" s="297"/>
      <c r="K273" s="288">
        <f t="shared" si="42"/>
        <v>1</v>
      </c>
      <c r="L273" s="297"/>
      <c r="M273" s="288">
        <f t="shared" si="43"/>
        <v>1</v>
      </c>
      <c r="N273" s="297"/>
      <c r="O273" s="288">
        <f t="shared" si="44"/>
        <v>1</v>
      </c>
      <c r="P273" s="297"/>
      <c r="Q273" s="288">
        <f t="shared" si="45"/>
        <v>1</v>
      </c>
      <c r="R273" s="348">
        <f t="shared" si="46"/>
        <v>0</v>
      </c>
      <c r="S273" s="287">
        <f t="shared" si="47"/>
        <v>0</v>
      </c>
    </row>
    <row r="274" spans="1:19">
      <c r="A274" s="295"/>
      <c r="B274" s="296"/>
      <c r="C274" s="288">
        <f t="shared" si="38"/>
        <v>1</v>
      </c>
      <c r="D274" s="297"/>
      <c r="E274" s="288">
        <f t="shared" si="39"/>
        <v>1</v>
      </c>
      <c r="F274" s="297"/>
      <c r="G274" s="288">
        <f t="shared" si="40"/>
        <v>1</v>
      </c>
      <c r="H274" s="297"/>
      <c r="I274" s="288">
        <f t="shared" si="41"/>
        <v>1</v>
      </c>
      <c r="J274" s="297"/>
      <c r="K274" s="288">
        <f t="shared" si="42"/>
        <v>1</v>
      </c>
      <c r="L274" s="297"/>
      <c r="M274" s="288">
        <f t="shared" si="43"/>
        <v>1</v>
      </c>
      <c r="N274" s="297"/>
      <c r="O274" s="288">
        <f t="shared" si="44"/>
        <v>1</v>
      </c>
      <c r="P274" s="297"/>
      <c r="Q274" s="288">
        <f t="shared" si="45"/>
        <v>1</v>
      </c>
      <c r="R274" s="348">
        <f t="shared" si="46"/>
        <v>0</v>
      </c>
      <c r="S274" s="287">
        <f t="shared" si="47"/>
        <v>0</v>
      </c>
    </row>
    <row r="275" spans="1:19">
      <c r="A275" s="295"/>
      <c r="B275" s="296"/>
      <c r="C275" s="288">
        <f t="shared" si="38"/>
        <v>1</v>
      </c>
      <c r="D275" s="297"/>
      <c r="E275" s="288">
        <f t="shared" si="39"/>
        <v>1</v>
      </c>
      <c r="F275" s="297"/>
      <c r="G275" s="288">
        <f t="shared" si="40"/>
        <v>1</v>
      </c>
      <c r="H275" s="297"/>
      <c r="I275" s="288">
        <f t="shared" si="41"/>
        <v>1</v>
      </c>
      <c r="J275" s="297"/>
      <c r="K275" s="288">
        <f t="shared" si="42"/>
        <v>1</v>
      </c>
      <c r="L275" s="297"/>
      <c r="M275" s="288">
        <f t="shared" si="43"/>
        <v>1</v>
      </c>
      <c r="N275" s="297"/>
      <c r="O275" s="288">
        <f t="shared" si="44"/>
        <v>1</v>
      </c>
      <c r="P275" s="297"/>
      <c r="Q275" s="288">
        <f t="shared" si="45"/>
        <v>1</v>
      </c>
      <c r="R275" s="348">
        <f t="shared" si="46"/>
        <v>0</v>
      </c>
      <c r="S275" s="287">
        <f t="shared" si="47"/>
        <v>0</v>
      </c>
    </row>
    <row r="276" spans="1:19">
      <c r="A276" s="295"/>
      <c r="B276" s="296"/>
      <c r="C276" s="288">
        <f t="shared" si="38"/>
        <v>1</v>
      </c>
      <c r="D276" s="297"/>
      <c r="E276" s="288">
        <f t="shared" si="39"/>
        <v>1</v>
      </c>
      <c r="F276" s="297"/>
      <c r="G276" s="288">
        <f t="shared" si="40"/>
        <v>1</v>
      </c>
      <c r="H276" s="297"/>
      <c r="I276" s="288">
        <f t="shared" si="41"/>
        <v>1</v>
      </c>
      <c r="J276" s="297"/>
      <c r="K276" s="288">
        <f t="shared" si="42"/>
        <v>1</v>
      </c>
      <c r="L276" s="297"/>
      <c r="M276" s="288">
        <f t="shared" si="43"/>
        <v>1</v>
      </c>
      <c r="N276" s="297"/>
      <c r="O276" s="288">
        <f t="shared" si="44"/>
        <v>1</v>
      </c>
      <c r="P276" s="297"/>
      <c r="Q276" s="288">
        <f t="shared" si="45"/>
        <v>1</v>
      </c>
      <c r="R276" s="348">
        <f t="shared" si="46"/>
        <v>0</v>
      </c>
      <c r="S276" s="287">
        <f t="shared" si="47"/>
        <v>0</v>
      </c>
    </row>
    <row r="277" spans="1:19">
      <c r="A277" s="295"/>
      <c r="B277" s="296"/>
      <c r="C277" s="288">
        <f t="shared" si="38"/>
        <v>1</v>
      </c>
      <c r="D277" s="297"/>
      <c r="E277" s="288">
        <f t="shared" si="39"/>
        <v>1</v>
      </c>
      <c r="F277" s="297"/>
      <c r="G277" s="288">
        <f t="shared" si="40"/>
        <v>1</v>
      </c>
      <c r="H277" s="297"/>
      <c r="I277" s="288">
        <f t="shared" si="41"/>
        <v>1</v>
      </c>
      <c r="J277" s="297"/>
      <c r="K277" s="288">
        <f t="shared" si="42"/>
        <v>1</v>
      </c>
      <c r="L277" s="297"/>
      <c r="M277" s="288">
        <f t="shared" si="43"/>
        <v>1</v>
      </c>
      <c r="N277" s="297"/>
      <c r="O277" s="288">
        <f t="shared" si="44"/>
        <v>1</v>
      </c>
      <c r="P277" s="297"/>
      <c r="Q277" s="288">
        <f t="shared" si="45"/>
        <v>1</v>
      </c>
      <c r="R277" s="348">
        <f t="shared" si="46"/>
        <v>0</v>
      </c>
      <c r="S277" s="287">
        <f t="shared" si="47"/>
        <v>0</v>
      </c>
    </row>
    <row r="278" spans="1:19">
      <c r="A278" s="295"/>
      <c r="B278" s="296"/>
      <c r="C278" s="288">
        <f t="shared" si="38"/>
        <v>1</v>
      </c>
      <c r="D278" s="297"/>
      <c r="E278" s="288">
        <f t="shared" si="39"/>
        <v>1</v>
      </c>
      <c r="F278" s="297"/>
      <c r="G278" s="288">
        <f t="shared" si="40"/>
        <v>1</v>
      </c>
      <c r="H278" s="297"/>
      <c r="I278" s="288">
        <f t="shared" si="41"/>
        <v>1</v>
      </c>
      <c r="J278" s="297"/>
      <c r="K278" s="288">
        <f t="shared" si="42"/>
        <v>1</v>
      </c>
      <c r="L278" s="297"/>
      <c r="M278" s="288">
        <f t="shared" si="43"/>
        <v>1</v>
      </c>
      <c r="N278" s="297"/>
      <c r="O278" s="288">
        <f t="shared" si="44"/>
        <v>1</v>
      </c>
      <c r="P278" s="297"/>
      <c r="Q278" s="288">
        <f t="shared" si="45"/>
        <v>1</v>
      </c>
      <c r="R278" s="348">
        <f t="shared" si="46"/>
        <v>0</v>
      </c>
      <c r="S278" s="287">
        <f t="shared" si="47"/>
        <v>0</v>
      </c>
    </row>
    <row r="279" spans="1:19">
      <c r="A279" s="295"/>
      <c r="B279" s="296"/>
      <c r="C279" s="288">
        <f t="shared" si="38"/>
        <v>1</v>
      </c>
      <c r="D279" s="297"/>
      <c r="E279" s="288">
        <f t="shared" si="39"/>
        <v>1</v>
      </c>
      <c r="F279" s="297"/>
      <c r="G279" s="288">
        <f t="shared" si="40"/>
        <v>1</v>
      </c>
      <c r="H279" s="297"/>
      <c r="I279" s="288">
        <f t="shared" si="41"/>
        <v>1</v>
      </c>
      <c r="J279" s="297"/>
      <c r="K279" s="288">
        <f t="shared" si="42"/>
        <v>1</v>
      </c>
      <c r="L279" s="297"/>
      <c r="M279" s="288">
        <f t="shared" si="43"/>
        <v>1</v>
      </c>
      <c r="N279" s="297"/>
      <c r="O279" s="288">
        <f t="shared" si="44"/>
        <v>1</v>
      </c>
      <c r="P279" s="297"/>
      <c r="Q279" s="288">
        <f t="shared" si="45"/>
        <v>1</v>
      </c>
      <c r="R279" s="348">
        <f t="shared" si="46"/>
        <v>0</v>
      </c>
      <c r="S279" s="287">
        <f t="shared" si="47"/>
        <v>0</v>
      </c>
    </row>
    <row r="280" spans="1:19">
      <c r="A280" s="295"/>
      <c r="B280" s="296"/>
      <c r="C280" s="288">
        <f t="shared" si="38"/>
        <v>1</v>
      </c>
      <c r="D280" s="297"/>
      <c r="E280" s="288">
        <f t="shared" si="39"/>
        <v>1</v>
      </c>
      <c r="F280" s="297"/>
      <c r="G280" s="288">
        <f t="shared" si="40"/>
        <v>1</v>
      </c>
      <c r="H280" s="297"/>
      <c r="I280" s="288">
        <f t="shared" si="41"/>
        <v>1</v>
      </c>
      <c r="J280" s="297"/>
      <c r="K280" s="288">
        <f t="shared" si="42"/>
        <v>1</v>
      </c>
      <c r="L280" s="297"/>
      <c r="M280" s="288">
        <f t="shared" si="43"/>
        <v>1</v>
      </c>
      <c r="N280" s="297"/>
      <c r="O280" s="288">
        <f t="shared" si="44"/>
        <v>1</v>
      </c>
      <c r="P280" s="297"/>
      <c r="Q280" s="288">
        <f t="shared" si="45"/>
        <v>1</v>
      </c>
      <c r="R280" s="348">
        <f t="shared" si="46"/>
        <v>0</v>
      </c>
      <c r="S280" s="287">
        <f t="shared" si="47"/>
        <v>0</v>
      </c>
    </row>
    <row r="281" spans="1:19">
      <c r="A281" s="295"/>
      <c r="B281" s="296"/>
      <c r="C281" s="288">
        <f t="shared" si="38"/>
        <v>1</v>
      </c>
      <c r="D281" s="297"/>
      <c r="E281" s="288">
        <f t="shared" si="39"/>
        <v>1</v>
      </c>
      <c r="F281" s="297"/>
      <c r="G281" s="288">
        <f t="shared" si="40"/>
        <v>1</v>
      </c>
      <c r="H281" s="297"/>
      <c r="I281" s="288">
        <f t="shared" si="41"/>
        <v>1</v>
      </c>
      <c r="J281" s="297"/>
      <c r="K281" s="288">
        <f t="shared" si="42"/>
        <v>1</v>
      </c>
      <c r="L281" s="297"/>
      <c r="M281" s="288">
        <f t="shared" si="43"/>
        <v>1</v>
      </c>
      <c r="N281" s="297"/>
      <c r="O281" s="288">
        <f t="shared" si="44"/>
        <v>1</v>
      </c>
      <c r="P281" s="297"/>
      <c r="Q281" s="288">
        <f t="shared" si="45"/>
        <v>1</v>
      </c>
      <c r="R281" s="348">
        <f t="shared" si="46"/>
        <v>0</v>
      </c>
      <c r="S281" s="287">
        <f t="shared" si="47"/>
        <v>0</v>
      </c>
    </row>
    <row r="282" spans="1:19">
      <c r="A282" s="295"/>
      <c r="B282" s="296"/>
      <c r="C282" s="288">
        <f t="shared" ref="C282:C345" si="48">IF(B282="",1,(LOOKUP(B282,$3:$3,$4:$4)-LOOKUP($B$24,$3:$3,$4:$4)+100)/100)</f>
        <v>1</v>
      </c>
      <c r="D282" s="297"/>
      <c r="E282" s="288">
        <f t="shared" ref="E282:E345" si="49">(SUMIF($5:$5,D282,$6:$6)-SUMIF($5:$5,$D$24,$6:$6)+100)/100</f>
        <v>1</v>
      </c>
      <c r="F282" s="297"/>
      <c r="G282" s="288">
        <f t="shared" ref="G282:G345" si="50">(SUMIF($7:$7,F282,$8:$8)-SUMIF($7:$7,$F$24,$8:$8)+100)/100</f>
        <v>1</v>
      </c>
      <c r="H282" s="297"/>
      <c r="I282" s="288">
        <f t="shared" ref="I282:I345" si="51">(SUMIF($9:$9,H282,$10:$10)-SUMIF($9:$9,$H$24,$10:$10)+100)/100</f>
        <v>1</v>
      </c>
      <c r="J282" s="297"/>
      <c r="K282" s="288">
        <f t="shared" ref="K282:K345" si="52">(SUMIF($11:$11,J282,$12:$12)-SUMIF($11:$11,$J$24,$12:$12)+100)/100</f>
        <v>1</v>
      </c>
      <c r="L282" s="297"/>
      <c r="M282" s="288">
        <f t="shared" ref="M282:M345" si="53">(SUMIF($13:$13,L282,$14:$14)-SUMIF($13:$13,$L$24,$14:$14)+100)/100</f>
        <v>1</v>
      </c>
      <c r="N282" s="297"/>
      <c r="O282" s="288">
        <f t="shared" ref="O282:O345" si="54">(SUMIF($15:$15,N282,$16:$16)-SUMIF($15:$15,$N$24,$16:$16)+100)/100</f>
        <v>1</v>
      </c>
      <c r="P282" s="297"/>
      <c r="Q282" s="288">
        <f t="shared" ref="Q282:Q345" si="55">(SUMIF($17:$17,P282,$18:$18)-SUMIF($17:$17,$P$24,$18:$18)+100)/100</f>
        <v>1</v>
      </c>
      <c r="R282" s="348">
        <f t="shared" ref="R282:R345" si="56">IF(B282="",0,ROUND($R$24*C282*E282*G282*I282*K282*M282*O282*Q282,0))</f>
        <v>0</v>
      </c>
      <c r="S282" s="287">
        <f t="shared" si="47"/>
        <v>0</v>
      </c>
    </row>
    <row r="283" spans="1:19">
      <c r="A283" s="295"/>
      <c r="B283" s="296"/>
      <c r="C283" s="288">
        <f t="shared" si="48"/>
        <v>1</v>
      </c>
      <c r="D283" s="297"/>
      <c r="E283" s="288">
        <f t="shared" si="49"/>
        <v>1</v>
      </c>
      <c r="F283" s="297"/>
      <c r="G283" s="288">
        <f t="shared" si="50"/>
        <v>1</v>
      </c>
      <c r="H283" s="297"/>
      <c r="I283" s="288">
        <f t="shared" si="51"/>
        <v>1</v>
      </c>
      <c r="J283" s="297"/>
      <c r="K283" s="288">
        <f t="shared" si="52"/>
        <v>1</v>
      </c>
      <c r="L283" s="297"/>
      <c r="M283" s="288">
        <f t="shared" si="53"/>
        <v>1</v>
      </c>
      <c r="N283" s="297"/>
      <c r="O283" s="288">
        <f t="shared" si="54"/>
        <v>1</v>
      </c>
      <c r="P283" s="297"/>
      <c r="Q283" s="288">
        <f t="shared" si="55"/>
        <v>1</v>
      </c>
      <c r="R283" s="348">
        <f t="shared" si="56"/>
        <v>0</v>
      </c>
      <c r="S283" s="287">
        <f t="shared" si="47"/>
        <v>0</v>
      </c>
    </row>
    <row r="284" spans="1:19">
      <c r="A284" s="295"/>
      <c r="B284" s="296"/>
      <c r="C284" s="288">
        <f t="shared" si="48"/>
        <v>1</v>
      </c>
      <c r="D284" s="297"/>
      <c r="E284" s="288">
        <f t="shared" si="49"/>
        <v>1</v>
      </c>
      <c r="F284" s="297"/>
      <c r="G284" s="288">
        <f t="shared" si="50"/>
        <v>1</v>
      </c>
      <c r="H284" s="297"/>
      <c r="I284" s="288">
        <f t="shared" si="51"/>
        <v>1</v>
      </c>
      <c r="J284" s="297"/>
      <c r="K284" s="288">
        <f t="shared" si="52"/>
        <v>1</v>
      </c>
      <c r="L284" s="297"/>
      <c r="M284" s="288">
        <f t="shared" si="53"/>
        <v>1</v>
      </c>
      <c r="N284" s="297"/>
      <c r="O284" s="288">
        <f t="shared" si="54"/>
        <v>1</v>
      </c>
      <c r="P284" s="297"/>
      <c r="Q284" s="288">
        <f t="shared" si="55"/>
        <v>1</v>
      </c>
      <c r="R284" s="348">
        <f t="shared" si="56"/>
        <v>0</v>
      </c>
      <c r="S284" s="287">
        <f t="shared" si="47"/>
        <v>0</v>
      </c>
    </row>
    <row r="285" spans="1:19">
      <c r="A285" s="295"/>
      <c r="B285" s="296"/>
      <c r="C285" s="288">
        <f t="shared" si="48"/>
        <v>1</v>
      </c>
      <c r="D285" s="297"/>
      <c r="E285" s="288">
        <f t="shared" si="49"/>
        <v>1</v>
      </c>
      <c r="F285" s="297"/>
      <c r="G285" s="288">
        <f t="shared" si="50"/>
        <v>1</v>
      </c>
      <c r="H285" s="297"/>
      <c r="I285" s="288">
        <f t="shared" si="51"/>
        <v>1</v>
      </c>
      <c r="J285" s="297"/>
      <c r="K285" s="288">
        <f t="shared" si="52"/>
        <v>1</v>
      </c>
      <c r="L285" s="297"/>
      <c r="M285" s="288">
        <f t="shared" si="53"/>
        <v>1</v>
      </c>
      <c r="N285" s="297"/>
      <c r="O285" s="288">
        <f t="shared" si="54"/>
        <v>1</v>
      </c>
      <c r="P285" s="297"/>
      <c r="Q285" s="288">
        <f t="shared" si="55"/>
        <v>1</v>
      </c>
      <c r="R285" s="348">
        <f t="shared" si="56"/>
        <v>0</v>
      </c>
      <c r="S285" s="287">
        <f t="shared" si="47"/>
        <v>0</v>
      </c>
    </row>
    <row r="286" spans="1:19">
      <c r="A286" s="295"/>
      <c r="B286" s="296"/>
      <c r="C286" s="288">
        <f t="shared" si="48"/>
        <v>1</v>
      </c>
      <c r="D286" s="297"/>
      <c r="E286" s="288">
        <f t="shared" si="49"/>
        <v>1</v>
      </c>
      <c r="F286" s="297"/>
      <c r="G286" s="288">
        <f t="shared" si="50"/>
        <v>1</v>
      </c>
      <c r="H286" s="297"/>
      <c r="I286" s="288">
        <f t="shared" si="51"/>
        <v>1</v>
      </c>
      <c r="J286" s="297"/>
      <c r="K286" s="288">
        <f t="shared" si="52"/>
        <v>1</v>
      </c>
      <c r="L286" s="297"/>
      <c r="M286" s="288">
        <f t="shared" si="53"/>
        <v>1</v>
      </c>
      <c r="N286" s="297"/>
      <c r="O286" s="288">
        <f t="shared" si="54"/>
        <v>1</v>
      </c>
      <c r="P286" s="297"/>
      <c r="Q286" s="288">
        <f t="shared" si="55"/>
        <v>1</v>
      </c>
      <c r="R286" s="348">
        <f t="shared" si="56"/>
        <v>0</v>
      </c>
      <c r="S286" s="287">
        <f t="shared" si="47"/>
        <v>0</v>
      </c>
    </row>
    <row r="287" spans="1:19">
      <c r="A287" s="295"/>
      <c r="B287" s="296"/>
      <c r="C287" s="288">
        <f t="shared" si="48"/>
        <v>1</v>
      </c>
      <c r="D287" s="297"/>
      <c r="E287" s="288">
        <f t="shared" si="49"/>
        <v>1</v>
      </c>
      <c r="F287" s="297"/>
      <c r="G287" s="288">
        <f t="shared" si="50"/>
        <v>1</v>
      </c>
      <c r="H287" s="297"/>
      <c r="I287" s="288">
        <f t="shared" si="51"/>
        <v>1</v>
      </c>
      <c r="J287" s="297"/>
      <c r="K287" s="288">
        <f t="shared" si="52"/>
        <v>1</v>
      </c>
      <c r="L287" s="297"/>
      <c r="M287" s="288">
        <f t="shared" si="53"/>
        <v>1</v>
      </c>
      <c r="N287" s="297"/>
      <c r="O287" s="288">
        <f t="shared" si="54"/>
        <v>1</v>
      </c>
      <c r="P287" s="297"/>
      <c r="Q287" s="288">
        <f t="shared" si="55"/>
        <v>1</v>
      </c>
      <c r="R287" s="348">
        <f t="shared" si="56"/>
        <v>0</v>
      </c>
      <c r="S287" s="287">
        <f t="shared" ref="S287:S320" si="57">ROUND(R287*B287/10000,0)</f>
        <v>0</v>
      </c>
    </row>
    <row r="288" spans="1:19">
      <c r="A288" s="295"/>
      <c r="B288" s="296"/>
      <c r="C288" s="288">
        <f t="shared" si="48"/>
        <v>1</v>
      </c>
      <c r="D288" s="297"/>
      <c r="E288" s="288">
        <f t="shared" si="49"/>
        <v>1</v>
      </c>
      <c r="F288" s="297"/>
      <c r="G288" s="288">
        <f t="shared" si="50"/>
        <v>1</v>
      </c>
      <c r="H288" s="297"/>
      <c r="I288" s="288">
        <f t="shared" si="51"/>
        <v>1</v>
      </c>
      <c r="J288" s="297"/>
      <c r="K288" s="288">
        <f t="shared" si="52"/>
        <v>1</v>
      </c>
      <c r="L288" s="297"/>
      <c r="M288" s="288">
        <f t="shared" si="53"/>
        <v>1</v>
      </c>
      <c r="N288" s="297"/>
      <c r="O288" s="288">
        <f t="shared" si="54"/>
        <v>1</v>
      </c>
      <c r="P288" s="297"/>
      <c r="Q288" s="288">
        <f t="shared" si="55"/>
        <v>1</v>
      </c>
      <c r="R288" s="348">
        <f t="shared" si="56"/>
        <v>0</v>
      </c>
      <c r="S288" s="287">
        <f t="shared" si="57"/>
        <v>0</v>
      </c>
    </row>
    <row r="289" spans="1:19">
      <c r="A289" s="295"/>
      <c r="B289" s="296"/>
      <c r="C289" s="288">
        <f t="shared" si="48"/>
        <v>1</v>
      </c>
      <c r="D289" s="297"/>
      <c r="E289" s="288">
        <f t="shared" si="49"/>
        <v>1</v>
      </c>
      <c r="F289" s="297"/>
      <c r="G289" s="288">
        <f t="shared" si="50"/>
        <v>1</v>
      </c>
      <c r="H289" s="297"/>
      <c r="I289" s="288">
        <f t="shared" si="51"/>
        <v>1</v>
      </c>
      <c r="J289" s="297"/>
      <c r="K289" s="288">
        <f t="shared" si="52"/>
        <v>1</v>
      </c>
      <c r="L289" s="297"/>
      <c r="M289" s="288">
        <f t="shared" si="53"/>
        <v>1</v>
      </c>
      <c r="N289" s="297"/>
      <c r="O289" s="288">
        <f t="shared" si="54"/>
        <v>1</v>
      </c>
      <c r="P289" s="297"/>
      <c r="Q289" s="288">
        <f t="shared" si="55"/>
        <v>1</v>
      </c>
      <c r="R289" s="348">
        <f t="shared" si="56"/>
        <v>0</v>
      </c>
      <c r="S289" s="287">
        <f t="shared" si="57"/>
        <v>0</v>
      </c>
    </row>
    <row r="290" spans="1:19">
      <c r="A290" s="295"/>
      <c r="B290" s="296"/>
      <c r="C290" s="288">
        <f t="shared" si="48"/>
        <v>1</v>
      </c>
      <c r="D290" s="297"/>
      <c r="E290" s="288">
        <f t="shared" si="49"/>
        <v>1</v>
      </c>
      <c r="F290" s="297"/>
      <c r="G290" s="288">
        <f t="shared" si="50"/>
        <v>1</v>
      </c>
      <c r="H290" s="297"/>
      <c r="I290" s="288">
        <f t="shared" si="51"/>
        <v>1</v>
      </c>
      <c r="J290" s="297"/>
      <c r="K290" s="288">
        <f t="shared" si="52"/>
        <v>1</v>
      </c>
      <c r="L290" s="297"/>
      <c r="M290" s="288">
        <f t="shared" si="53"/>
        <v>1</v>
      </c>
      <c r="N290" s="297"/>
      <c r="O290" s="288">
        <f t="shared" si="54"/>
        <v>1</v>
      </c>
      <c r="P290" s="297"/>
      <c r="Q290" s="288">
        <f t="shared" si="55"/>
        <v>1</v>
      </c>
      <c r="R290" s="348">
        <f t="shared" si="56"/>
        <v>0</v>
      </c>
      <c r="S290" s="287">
        <f t="shared" si="57"/>
        <v>0</v>
      </c>
    </row>
    <row r="291" spans="1:19">
      <c r="A291" s="295"/>
      <c r="B291" s="296"/>
      <c r="C291" s="288">
        <f t="shared" si="48"/>
        <v>1</v>
      </c>
      <c r="D291" s="297"/>
      <c r="E291" s="288">
        <f t="shared" si="49"/>
        <v>1</v>
      </c>
      <c r="F291" s="297"/>
      <c r="G291" s="288">
        <f t="shared" si="50"/>
        <v>1</v>
      </c>
      <c r="H291" s="297"/>
      <c r="I291" s="288">
        <f t="shared" si="51"/>
        <v>1</v>
      </c>
      <c r="J291" s="297"/>
      <c r="K291" s="288">
        <f t="shared" si="52"/>
        <v>1</v>
      </c>
      <c r="L291" s="297"/>
      <c r="M291" s="288">
        <f t="shared" si="53"/>
        <v>1</v>
      </c>
      <c r="N291" s="297"/>
      <c r="O291" s="288">
        <f t="shared" si="54"/>
        <v>1</v>
      </c>
      <c r="P291" s="297"/>
      <c r="Q291" s="288">
        <f t="shared" si="55"/>
        <v>1</v>
      </c>
      <c r="R291" s="348">
        <f t="shared" si="56"/>
        <v>0</v>
      </c>
      <c r="S291" s="287">
        <f t="shared" si="57"/>
        <v>0</v>
      </c>
    </row>
    <row r="292" spans="1:19">
      <c r="A292" s="295"/>
      <c r="B292" s="296"/>
      <c r="C292" s="288">
        <f t="shared" si="48"/>
        <v>1</v>
      </c>
      <c r="D292" s="297"/>
      <c r="E292" s="288">
        <f t="shared" si="49"/>
        <v>1</v>
      </c>
      <c r="F292" s="297"/>
      <c r="G292" s="288">
        <f t="shared" si="50"/>
        <v>1</v>
      </c>
      <c r="H292" s="297"/>
      <c r="I292" s="288">
        <f t="shared" si="51"/>
        <v>1</v>
      </c>
      <c r="J292" s="297"/>
      <c r="K292" s="288">
        <f t="shared" si="52"/>
        <v>1</v>
      </c>
      <c r="L292" s="297"/>
      <c r="M292" s="288">
        <f t="shared" si="53"/>
        <v>1</v>
      </c>
      <c r="N292" s="297"/>
      <c r="O292" s="288">
        <f t="shared" si="54"/>
        <v>1</v>
      </c>
      <c r="P292" s="297"/>
      <c r="Q292" s="288">
        <f t="shared" si="55"/>
        <v>1</v>
      </c>
      <c r="R292" s="348">
        <f t="shared" si="56"/>
        <v>0</v>
      </c>
      <c r="S292" s="287">
        <f t="shared" si="57"/>
        <v>0</v>
      </c>
    </row>
    <row r="293" spans="1:19">
      <c r="A293" s="295"/>
      <c r="B293" s="296"/>
      <c r="C293" s="288">
        <f t="shared" si="48"/>
        <v>1</v>
      </c>
      <c r="D293" s="297"/>
      <c r="E293" s="288">
        <f t="shared" si="49"/>
        <v>1</v>
      </c>
      <c r="F293" s="297"/>
      <c r="G293" s="288">
        <f t="shared" si="50"/>
        <v>1</v>
      </c>
      <c r="H293" s="297"/>
      <c r="I293" s="288">
        <f t="shared" si="51"/>
        <v>1</v>
      </c>
      <c r="J293" s="297"/>
      <c r="K293" s="288">
        <f t="shared" si="52"/>
        <v>1</v>
      </c>
      <c r="L293" s="297"/>
      <c r="M293" s="288">
        <f t="shared" si="53"/>
        <v>1</v>
      </c>
      <c r="N293" s="297"/>
      <c r="O293" s="288">
        <f t="shared" si="54"/>
        <v>1</v>
      </c>
      <c r="P293" s="297"/>
      <c r="Q293" s="288">
        <f t="shared" si="55"/>
        <v>1</v>
      </c>
      <c r="R293" s="348">
        <f t="shared" si="56"/>
        <v>0</v>
      </c>
      <c r="S293" s="287">
        <f t="shared" si="57"/>
        <v>0</v>
      </c>
    </row>
    <row r="294" spans="1:19">
      <c r="A294" s="295"/>
      <c r="B294" s="296"/>
      <c r="C294" s="288">
        <f t="shared" si="48"/>
        <v>1</v>
      </c>
      <c r="D294" s="297"/>
      <c r="E294" s="288">
        <f t="shared" si="49"/>
        <v>1</v>
      </c>
      <c r="F294" s="297"/>
      <c r="G294" s="288">
        <f t="shared" si="50"/>
        <v>1</v>
      </c>
      <c r="H294" s="297"/>
      <c r="I294" s="288">
        <f t="shared" si="51"/>
        <v>1</v>
      </c>
      <c r="J294" s="297"/>
      <c r="K294" s="288">
        <f t="shared" si="52"/>
        <v>1</v>
      </c>
      <c r="L294" s="297"/>
      <c r="M294" s="288">
        <f t="shared" si="53"/>
        <v>1</v>
      </c>
      <c r="N294" s="297"/>
      <c r="O294" s="288">
        <f t="shared" si="54"/>
        <v>1</v>
      </c>
      <c r="P294" s="297"/>
      <c r="Q294" s="288">
        <f t="shared" si="55"/>
        <v>1</v>
      </c>
      <c r="R294" s="348">
        <f t="shared" si="56"/>
        <v>0</v>
      </c>
      <c r="S294" s="287">
        <f t="shared" si="57"/>
        <v>0</v>
      </c>
    </row>
    <row r="295" spans="1:19">
      <c r="A295" s="295"/>
      <c r="B295" s="296"/>
      <c r="C295" s="288">
        <f t="shared" si="48"/>
        <v>1</v>
      </c>
      <c r="D295" s="297"/>
      <c r="E295" s="288">
        <f t="shared" si="49"/>
        <v>1</v>
      </c>
      <c r="F295" s="297"/>
      <c r="G295" s="288">
        <f t="shared" si="50"/>
        <v>1</v>
      </c>
      <c r="H295" s="297"/>
      <c r="I295" s="288">
        <f t="shared" si="51"/>
        <v>1</v>
      </c>
      <c r="J295" s="297"/>
      <c r="K295" s="288">
        <f t="shared" si="52"/>
        <v>1</v>
      </c>
      <c r="L295" s="297"/>
      <c r="M295" s="288">
        <f t="shared" si="53"/>
        <v>1</v>
      </c>
      <c r="N295" s="297"/>
      <c r="O295" s="288">
        <f t="shared" si="54"/>
        <v>1</v>
      </c>
      <c r="P295" s="297"/>
      <c r="Q295" s="288">
        <f t="shared" si="55"/>
        <v>1</v>
      </c>
      <c r="R295" s="348">
        <f t="shared" si="56"/>
        <v>0</v>
      </c>
      <c r="S295" s="287">
        <f t="shared" si="57"/>
        <v>0</v>
      </c>
    </row>
    <row r="296" spans="1:19">
      <c r="A296" s="295"/>
      <c r="B296" s="296"/>
      <c r="C296" s="288">
        <f t="shared" si="48"/>
        <v>1</v>
      </c>
      <c r="D296" s="297"/>
      <c r="E296" s="288">
        <f t="shared" si="49"/>
        <v>1</v>
      </c>
      <c r="F296" s="297"/>
      <c r="G296" s="288">
        <f t="shared" si="50"/>
        <v>1</v>
      </c>
      <c r="H296" s="297"/>
      <c r="I296" s="288">
        <f t="shared" si="51"/>
        <v>1</v>
      </c>
      <c r="J296" s="297"/>
      <c r="K296" s="288">
        <f t="shared" si="52"/>
        <v>1</v>
      </c>
      <c r="L296" s="297"/>
      <c r="M296" s="288">
        <f t="shared" si="53"/>
        <v>1</v>
      </c>
      <c r="N296" s="297"/>
      <c r="O296" s="288">
        <f t="shared" si="54"/>
        <v>1</v>
      </c>
      <c r="P296" s="297"/>
      <c r="Q296" s="288">
        <f t="shared" si="55"/>
        <v>1</v>
      </c>
      <c r="R296" s="348">
        <f t="shared" si="56"/>
        <v>0</v>
      </c>
      <c r="S296" s="287">
        <f t="shared" si="57"/>
        <v>0</v>
      </c>
    </row>
    <row r="297" spans="1:19">
      <c r="A297" s="295"/>
      <c r="B297" s="296"/>
      <c r="C297" s="288">
        <f t="shared" si="48"/>
        <v>1</v>
      </c>
      <c r="D297" s="297"/>
      <c r="E297" s="288">
        <f t="shared" si="49"/>
        <v>1</v>
      </c>
      <c r="F297" s="297"/>
      <c r="G297" s="288">
        <f t="shared" si="50"/>
        <v>1</v>
      </c>
      <c r="H297" s="297"/>
      <c r="I297" s="288">
        <f t="shared" si="51"/>
        <v>1</v>
      </c>
      <c r="J297" s="297"/>
      <c r="K297" s="288">
        <f t="shared" si="52"/>
        <v>1</v>
      </c>
      <c r="L297" s="297"/>
      <c r="M297" s="288">
        <f t="shared" si="53"/>
        <v>1</v>
      </c>
      <c r="N297" s="297"/>
      <c r="O297" s="288">
        <f t="shared" si="54"/>
        <v>1</v>
      </c>
      <c r="P297" s="297"/>
      <c r="Q297" s="288">
        <f t="shared" si="55"/>
        <v>1</v>
      </c>
      <c r="R297" s="348">
        <f t="shared" si="56"/>
        <v>0</v>
      </c>
      <c r="S297" s="287">
        <f t="shared" si="57"/>
        <v>0</v>
      </c>
    </row>
    <row r="298" spans="1:19">
      <c r="A298" s="295"/>
      <c r="B298" s="296"/>
      <c r="C298" s="288">
        <f t="shared" si="48"/>
        <v>1</v>
      </c>
      <c r="D298" s="297"/>
      <c r="E298" s="288">
        <f t="shared" si="49"/>
        <v>1</v>
      </c>
      <c r="F298" s="297"/>
      <c r="G298" s="288">
        <f t="shared" si="50"/>
        <v>1</v>
      </c>
      <c r="H298" s="297"/>
      <c r="I298" s="288">
        <f t="shared" si="51"/>
        <v>1</v>
      </c>
      <c r="J298" s="297"/>
      <c r="K298" s="288">
        <f t="shared" si="52"/>
        <v>1</v>
      </c>
      <c r="L298" s="297"/>
      <c r="M298" s="288">
        <f t="shared" si="53"/>
        <v>1</v>
      </c>
      <c r="N298" s="297"/>
      <c r="O298" s="288">
        <f t="shared" si="54"/>
        <v>1</v>
      </c>
      <c r="P298" s="297"/>
      <c r="Q298" s="288">
        <f t="shared" si="55"/>
        <v>1</v>
      </c>
      <c r="R298" s="348">
        <f t="shared" si="56"/>
        <v>0</v>
      </c>
      <c r="S298" s="287">
        <f t="shared" si="57"/>
        <v>0</v>
      </c>
    </row>
    <row r="299" spans="1:19">
      <c r="A299" s="295"/>
      <c r="B299" s="296"/>
      <c r="C299" s="288">
        <f t="shared" si="48"/>
        <v>1</v>
      </c>
      <c r="D299" s="297"/>
      <c r="E299" s="288">
        <f t="shared" si="49"/>
        <v>1</v>
      </c>
      <c r="F299" s="297"/>
      <c r="G299" s="288">
        <f t="shared" si="50"/>
        <v>1</v>
      </c>
      <c r="H299" s="297"/>
      <c r="I299" s="288">
        <f t="shared" si="51"/>
        <v>1</v>
      </c>
      <c r="J299" s="297"/>
      <c r="K299" s="288">
        <f t="shared" si="52"/>
        <v>1</v>
      </c>
      <c r="L299" s="297"/>
      <c r="M299" s="288">
        <f t="shared" si="53"/>
        <v>1</v>
      </c>
      <c r="N299" s="297"/>
      <c r="O299" s="288">
        <f t="shared" si="54"/>
        <v>1</v>
      </c>
      <c r="P299" s="297"/>
      <c r="Q299" s="288">
        <f t="shared" si="55"/>
        <v>1</v>
      </c>
      <c r="R299" s="348">
        <f t="shared" si="56"/>
        <v>0</v>
      </c>
      <c r="S299" s="287">
        <f t="shared" si="57"/>
        <v>0</v>
      </c>
    </row>
    <row r="300" spans="1:19">
      <c r="A300" s="295"/>
      <c r="B300" s="296"/>
      <c r="C300" s="288">
        <f t="shared" si="48"/>
        <v>1</v>
      </c>
      <c r="D300" s="297"/>
      <c r="E300" s="288">
        <f t="shared" si="49"/>
        <v>1</v>
      </c>
      <c r="F300" s="297"/>
      <c r="G300" s="288">
        <f t="shared" si="50"/>
        <v>1</v>
      </c>
      <c r="H300" s="297"/>
      <c r="I300" s="288">
        <f t="shared" si="51"/>
        <v>1</v>
      </c>
      <c r="J300" s="297"/>
      <c r="K300" s="288">
        <f t="shared" si="52"/>
        <v>1</v>
      </c>
      <c r="L300" s="297"/>
      <c r="M300" s="288">
        <f t="shared" si="53"/>
        <v>1</v>
      </c>
      <c r="N300" s="297"/>
      <c r="O300" s="288">
        <f t="shared" si="54"/>
        <v>1</v>
      </c>
      <c r="P300" s="297"/>
      <c r="Q300" s="288">
        <f t="shared" si="55"/>
        <v>1</v>
      </c>
      <c r="R300" s="348">
        <f t="shared" si="56"/>
        <v>0</v>
      </c>
      <c r="S300" s="287">
        <f t="shared" si="57"/>
        <v>0</v>
      </c>
    </row>
    <row r="301" spans="1:19">
      <c r="A301" s="295"/>
      <c r="B301" s="296"/>
      <c r="C301" s="288">
        <f t="shared" si="48"/>
        <v>1</v>
      </c>
      <c r="D301" s="297"/>
      <c r="E301" s="288">
        <f t="shared" si="49"/>
        <v>1</v>
      </c>
      <c r="F301" s="297"/>
      <c r="G301" s="288">
        <f t="shared" si="50"/>
        <v>1</v>
      </c>
      <c r="H301" s="297"/>
      <c r="I301" s="288">
        <f t="shared" si="51"/>
        <v>1</v>
      </c>
      <c r="J301" s="297"/>
      <c r="K301" s="288">
        <f t="shared" si="52"/>
        <v>1</v>
      </c>
      <c r="L301" s="297"/>
      <c r="M301" s="288">
        <f t="shared" si="53"/>
        <v>1</v>
      </c>
      <c r="N301" s="297"/>
      <c r="O301" s="288">
        <f t="shared" si="54"/>
        <v>1</v>
      </c>
      <c r="P301" s="297"/>
      <c r="Q301" s="288">
        <f t="shared" si="55"/>
        <v>1</v>
      </c>
      <c r="R301" s="348">
        <f t="shared" si="56"/>
        <v>0</v>
      </c>
      <c r="S301" s="287">
        <f t="shared" si="57"/>
        <v>0</v>
      </c>
    </row>
    <row r="302" spans="1:19">
      <c r="A302" s="295"/>
      <c r="B302" s="296"/>
      <c r="C302" s="288">
        <f t="shared" si="48"/>
        <v>1</v>
      </c>
      <c r="D302" s="297"/>
      <c r="E302" s="288">
        <f t="shared" si="49"/>
        <v>1</v>
      </c>
      <c r="F302" s="297"/>
      <c r="G302" s="288">
        <f t="shared" si="50"/>
        <v>1</v>
      </c>
      <c r="H302" s="297"/>
      <c r="I302" s="288">
        <f t="shared" si="51"/>
        <v>1</v>
      </c>
      <c r="J302" s="297"/>
      <c r="K302" s="288">
        <f t="shared" si="52"/>
        <v>1</v>
      </c>
      <c r="L302" s="297"/>
      <c r="M302" s="288">
        <f t="shared" si="53"/>
        <v>1</v>
      </c>
      <c r="N302" s="297"/>
      <c r="O302" s="288">
        <f t="shared" si="54"/>
        <v>1</v>
      </c>
      <c r="P302" s="297"/>
      <c r="Q302" s="288">
        <f t="shared" si="55"/>
        <v>1</v>
      </c>
      <c r="R302" s="348">
        <f t="shared" si="56"/>
        <v>0</v>
      </c>
      <c r="S302" s="287">
        <f t="shared" si="57"/>
        <v>0</v>
      </c>
    </row>
    <row r="303" spans="1:19">
      <c r="A303" s="295"/>
      <c r="B303" s="296"/>
      <c r="C303" s="288">
        <f t="shared" si="48"/>
        <v>1</v>
      </c>
      <c r="D303" s="297"/>
      <c r="E303" s="288">
        <f t="shared" si="49"/>
        <v>1</v>
      </c>
      <c r="F303" s="297"/>
      <c r="G303" s="288">
        <f t="shared" si="50"/>
        <v>1</v>
      </c>
      <c r="H303" s="297"/>
      <c r="I303" s="288">
        <f t="shared" si="51"/>
        <v>1</v>
      </c>
      <c r="J303" s="297"/>
      <c r="K303" s="288">
        <f t="shared" si="52"/>
        <v>1</v>
      </c>
      <c r="L303" s="297"/>
      <c r="M303" s="288">
        <f t="shared" si="53"/>
        <v>1</v>
      </c>
      <c r="N303" s="297"/>
      <c r="O303" s="288">
        <f t="shared" si="54"/>
        <v>1</v>
      </c>
      <c r="P303" s="297"/>
      <c r="Q303" s="288">
        <f t="shared" si="55"/>
        <v>1</v>
      </c>
      <c r="R303" s="348">
        <f t="shared" si="56"/>
        <v>0</v>
      </c>
      <c r="S303" s="287">
        <f t="shared" si="57"/>
        <v>0</v>
      </c>
    </row>
    <row r="304" spans="1:19">
      <c r="A304" s="295"/>
      <c r="B304" s="296"/>
      <c r="C304" s="288">
        <f t="shared" si="48"/>
        <v>1</v>
      </c>
      <c r="D304" s="297"/>
      <c r="E304" s="288">
        <f t="shared" si="49"/>
        <v>1</v>
      </c>
      <c r="F304" s="297"/>
      <c r="G304" s="288">
        <f t="shared" si="50"/>
        <v>1</v>
      </c>
      <c r="H304" s="297"/>
      <c r="I304" s="288">
        <f t="shared" si="51"/>
        <v>1</v>
      </c>
      <c r="J304" s="297"/>
      <c r="K304" s="288">
        <f t="shared" si="52"/>
        <v>1</v>
      </c>
      <c r="L304" s="297"/>
      <c r="M304" s="288">
        <f t="shared" si="53"/>
        <v>1</v>
      </c>
      <c r="N304" s="297"/>
      <c r="O304" s="288">
        <f t="shared" si="54"/>
        <v>1</v>
      </c>
      <c r="P304" s="297"/>
      <c r="Q304" s="288">
        <f t="shared" si="55"/>
        <v>1</v>
      </c>
      <c r="R304" s="348">
        <f t="shared" si="56"/>
        <v>0</v>
      </c>
      <c r="S304" s="287">
        <f t="shared" si="57"/>
        <v>0</v>
      </c>
    </row>
    <row r="305" spans="1:19">
      <c r="A305" s="295"/>
      <c r="B305" s="296"/>
      <c r="C305" s="288">
        <f t="shared" si="48"/>
        <v>1</v>
      </c>
      <c r="D305" s="297"/>
      <c r="E305" s="288">
        <f t="shared" si="49"/>
        <v>1</v>
      </c>
      <c r="F305" s="297"/>
      <c r="G305" s="288">
        <f t="shared" si="50"/>
        <v>1</v>
      </c>
      <c r="H305" s="297"/>
      <c r="I305" s="288">
        <f t="shared" si="51"/>
        <v>1</v>
      </c>
      <c r="J305" s="297"/>
      <c r="K305" s="288">
        <f t="shared" si="52"/>
        <v>1</v>
      </c>
      <c r="L305" s="297"/>
      <c r="M305" s="288">
        <f t="shared" si="53"/>
        <v>1</v>
      </c>
      <c r="N305" s="297"/>
      <c r="O305" s="288">
        <f t="shared" si="54"/>
        <v>1</v>
      </c>
      <c r="P305" s="297"/>
      <c r="Q305" s="288">
        <f t="shared" si="55"/>
        <v>1</v>
      </c>
      <c r="R305" s="348">
        <f t="shared" si="56"/>
        <v>0</v>
      </c>
      <c r="S305" s="287">
        <f t="shared" si="57"/>
        <v>0</v>
      </c>
    </row>
    <row r="306" spans="1:19">
      <c r="A306" s="295"/>
      <c r="B306" s="296"/>
      <c r="C306" s="288">
        <f t="shared" si="48"/>
        <v>1</v>
      </c>
      <c r="D306" s="297"/>
      <c r="E306" s="288">
        <f t="shared" si="49"/>
        <v>1</v>
      </c>
      <c r="F306" s="297"/>
      <c r="G306" s="288">
        <f t="shared" si="50"/>
        <v>1</v>
      </c>
      <c r="H306" s="297"/>
      <c r="I306" s="288">
        <f t="shared" si="51"/>
        <v>1</v>
      </c>
      <c r="J306" s="297"/>
      <c r="K306" s="288">
        <f t="shared" si="52"/>
        <v>1</v>
      </c>
      <c r="L306" s="297"/>
      <c r="M306" s="288">
        <f t="shared" si="53"/>
        <v>1</v>
      </c>
      <c r="N306" s="297"/>
      <c r="O306" s="288">
        <f t="shared" si="54"/>
        <v>1</v>
      </c>
      <c r="P306" s="297"/>
      <c r="Q306" s="288">
        <f t="shared" si="55"/>
        <v>1</v>
      </c>
      <c r="R306" s="348">
        <f t="shared" si="56"/>
        <v>0</v>
      </c>
      <c r="S306" s="287">
        <f t="shared" si="57"/>
        <v>0</v>
      </c>
    </row>
    <row r="307" spans="1:19">
      <c r="A307" s="295"/>
      <c r="B307" s="296"/>
      <c r="C307" s="288">
        <f t="shared" si="48"/>
        <v>1</v>
      </c>
      <c r="D307" s="297"/>
      <c r="E307" s="288">
        <f t="shared" si="49"/>
        <v>1</v>
      </c>
      <c r="F307" s="297"/>
      <c r="G307" s="288">
        <f t="shared" si="50"/>
        <v>1</v>
      </c>
      <c r="H307" s="297"/>
      <c r="I307" s="288">
        <f t="shared" si="51"/>
        <v>1</v>
      </c>
      <c r="J307" s="297"/>
      <c r="K307" s="288">
        <f t="shared" si="52"/>
        <v>1</v>
      </c>
      <c r="L307" s="297"/>
      <c r="M307" s="288">
        <f t="shared" si="53"/>
        <v>1</v>
      </c>
      <c r="N307" s="297"/>
      <c r="O307" s="288">
        <f t="shared" si="54"/>
        <v>1</v>
      </c>
      <c r="P307" s="297"/>
      <c r="Q307" s="288">
        <f t="shared" si="55"/>
        <v>1</v>
      </c>
      <c r="R307" s="348">
        <f t="shared" si="56"/>
        <v>0</v>
      </c>
      <c r="S307" s="287">
        <f t="shared" si="57"/>
        <v>0</v>
      </c>
    </row>
    <row r="308" spans="1:19">
      <c r="A308" s="295"/>
      <c r="B308" s="296"/>
      <c r="C308" s="288">
        <f t="shared" si="48"/>
        <v>1</v>
      </c>
      <c r="D308" s="297"/>
      <c r="E308" s="288">
        <f t="shared" si="49"/>
        <v>1</v>
      </c>
      <c r="F308" s="297"/>
      <c r="G308" s="288">
        <f t="shared" si="50"/>
        <v>1</v>
      </c>
      <c r="H308" s="297"/>
      <c r="I308" s="288">
        <f t="shared" si="51"/>
        <v>1</v>
      </c>
      <c r="J308" s="297"/>
      <c r="K308" s="288">
        <f t="shared" si="52"/>
        <v>1</v>
      </c>
      <c r="L308" s="297"/>
      <c r="M308" s="288">
        <f t="shared" si="53"/>
        <v>1</v>
      </c>
      <c r="N308" s="297"/>
      <c r="O308" s="288">
        <f t="shared" si="54"/>
        <v>1</v>
      </c>
      <c r="P308" s="297"/>
      <c r="Q308" s="288">
        <f t="shared" si="55"/>
        <v>1</v>
      </c>
      <c r="R308" s="348">
        <f t="shared" si="56"/>
        <v>0</v>
      </c>
      <c r="S308" s="287">
        <f t="shared" si="57"/>
        <v>0</v>
      </c>
    </row>
    <row r="309" spans="1:19">
      <c r="A309" s="295"/>
      <c r="B309" s="296"/>
      <c r="C309" s="288">
        <f t="shared" si="48"/>
        <v>1</v>
      </c>
      <c r="D309" s="297"/>
      <c r="E309" s="288">
        <f t="shared" si="49"/>
        <v>1</v>
      </c>
      <c r="F309" s="297"/>
      <c r="G309" s="288">
        <f t="shared" si="50"/>
        <v>1</v>
      </c>
      <c r="H309" s="297"/>
      <c r="I309" s="288">
        <f t="shared" si="51"/>
        <v>1</v>
      </c>
      <c r="J309" s="297"/>
      <c r="K309" s="288">
        <f t="shared" si="52"/>
        <v>1</v>
      </c>
      <c r="L309" s="297"/>
      <c r="M309" s="288">
        <f t="shared" si="53"/>
        <v>1</v>
      </c>
      <c r="N309" s="297"/>
      <c r="O309" s="288">
        <f t="shared" si="54"/>
        <v>1</v>
      </c>
      <c r="P309" s="297"/>
      <c r="Q309" s="288">
        <f t="shared" si="55"/>
        <v>1</v>
      </c>
      <c r="R309" s="348">
        <f t="shared" si="56"/>
        <v>0</v>
      </c>
      <c r="S309" s="287">
        <f t="shared" si="57"/>
        <v>0</v>
      </c>
    </row>
    <row r="310" spans="1:19">
      <c r="A310" s="295"/>
      <c r="B310" s="296"/>
      <c r="C310" s="288">
        <f t="shared" si="48"/>
        <v>1</v>
      </c>
      <c r="D310" s="297"/>
      <c r="E310" s="288">
        <f t="shared" si="49"/>
        <v>1</v>
      </c>
      <c r="F310" s="297"/>
      <c r="G310" s="288">
        <f t="shared" si="50"/>
        <v>1</v>
      </c>
      <c r="H310" s="297"/>
      <c r="I310" s="288">
        <f t="shared" si="51"/>
        <v>1</v>
      </c>
      <c r="J310" s="297"/>
      <c r="K310" s="288">
        <f t="shared" si="52"/>
        <v>1</v>
      </c>
      <c r="L310" s="297"/>
      <c r="M310" s="288">
        <f t="shared" si="53"/>
        <v>1</v>
      </c>
      <c r="N310" s="297"/>
      <c r="O310" s="288">
        <f t="shared" si="54"/>
        <v>1</v>
      </c>
      <c r="P310" s="297"/>
      <c r="Q310" s="288">
        <f t="shared" si="55"/>
        <v>1</v>
      </c>
      <c r="R310" s="348">
        <f t="shared" si="56"/>
        <v>0</v>
      </c>
      <c r="S310" s="287">
        <f t="shared" si="57"/>
        <v>0</v>
      </c>
    </row>
    <row r="311" spans="1:19">
      <c r="A311" s="295"/>
      <c r="B311" s="296"/>
      <c r="C311" s="288">
        <f t="shared" si="48"/>
        <v>1</v>
      </c>
      <c r="D311" s="297"/>
      <c r="E311" s="288">
        <f t="shared" si="49"/>
        <v>1</v>
      </c>
      <c r="F311" s="297"/>
      <c r="G311" s="288">
        <f t="shared" si="50"/>
        <v>1</v>
      </c>
      <c r="H311" s="297"/>
      <c r="I311" s="288">
        <f t="shared" si="51"/>
        <v>1</v>
      </c>
      <c r="J311" s="297"/>
      <c r="K311" s="288">
        <f t="shared" si="52"/>
        <v>1</v>
      </c>
      <c r="L311" s="297"/>
      <c r="M311" s="288">
        <f t="shared" si="53"/>
        <v>1</v>
      </c>
      <c r="N311" s="297"/>
      <c r="O311" s="288">
        <f t="shared" si="54"/>
        <v>1</v>
      </c>
      <c r="P311" s="297"/>
      <c r="Q311" s="288">
        <f t="shared" si="55"/>
        <v>1</v>
      </c>
      <c r="R311" s="348">
        <f t="shared" si="56"/>
        <v>0</v>
      </c>
      <c r="S311" s="287">
        <f t="shared" si="57"/>
        <v>0</v>
      </c>
    </row>
    <row r="312" spans="1:19">
      <c r="A312" s="295"/>
      <c r="B312" s="296"/>
      <c r="C312" s="288">
        <f t="shared" si="48"/>
        <v>1</v>
      </c>
      <c r="D312" s="297"/>
      <c r="E312" s="288">
        <f t="shared" si="49"/>
        <v>1</v>
      </c>
      <c r="F312" s="297"/>
      <c r="G312" s="288">
        <f t="shared" si="50"/>
        <v>1</v>
      </c>
      <c r="H312" s="297"/>
      <c r="I312" s="288">
        <f t="shared" si="51"/>
        <v>1</v>
      </c>
      <c r="J312" s="297"/>
      <c r="K312" s="288">
        <f t="shared" si="52"/>
        <v>1</v>
      </c>
      <c r="L312" s="297"/>
      <c r="M312" s="288">
        <f t="shared" si="53"/>
        <v>1</v>
      </c>
      <c r="N312" s="297"/>
      <c r="O312" s="288">
        <f t="shared" si="54"/>
        <v>1</v>
      </c>
      <c r="P312" s="297"/>
      <c r="Q312" s="288">
        <f t="shared" si="55"/>
        <v>1</v>
      </c>
      <c r="R312" s="348">
        <f t="shared" si="56"/>
        <v>0</v>
      </c>
      <c r="S312" s="287">
        <f t="shared" si="57"/>
        <v>0</v>
      </c>
    </row>
    <row r="313" spans="1:19">
      <c r="A313" s="295"/>
      <c r="B313" s="296"/>
      <c r="C313" s="288">
        <f t="shared" si="48"/>
        <v>1</v>
      </c>
      <c r="D313" s="297"/>
      <c r="E313" s="288">
        <f t="shared" si="49"/>
        <v>1</v>
      </c>
      <c r="F313" s="297"/>
      <c r="G313" s="288">
        <f t="shared" si="50"/>
        <v>1</v>
      </c>
      <c r="H313" s="297"/>
      <c r="I313" s="288">
        <f t="shared" si="51"/>
        <v>1</v>
      </c>
      <c r="J313" s="297"/>
      <c r="K313" s="288">
        <f t="shared" si="52"/>
        <v>1</v>
      </c>
      <c r="L313" s="297"/>
      <c r="M313" s="288">
        <f t="shared" si="53"/>
        <v>1</v>
      </c>
      <c r="N313" s="297"/>
      <c r="O313" s="288">
        <f t="shared" si="54"/>
        <v>1</v>
      </c>
      <c r="P313" s="297"/>
      <c r="Q313" s="288">
        <f t="shared" si="55"/>
        <v>1</v>
      </c>
      <c r="R313" s="348">
        <f t="shared" si="56"/>
        <v>0</v>
      </c>
      <c r="S313" s="287">
        <f t="shared" si="57"/>
        <v>0</v>
      </c>
    </row>
    <row r="314" spans="1:19">
      <c r="A314" s="295"/>
      <c r="B314" s="296"/>
      <c r="C314" s="288">
        <f t="shared" si="48"/>
        <v>1</v>
      </c>
      <c r="D314" s="297"/>
      <c r="E314" s="288">
        <f t="shared" si="49"/>
        <v>1</v>
      </c>
      <c r="F314" s="297"/>
      <c r="G314" s="288">
        <f t="shared" si="50"/>
        <v>1</v>
      </c>
      <c r="H314" s="297"/>
      <c r="I314" s="288">
        <f t="shared" si="51"/>
        <v>1</v>
      </c>
      <c r="J314" s="297"/>
      <c r="K314" s="288">
        <f t="shared" si="52"/>
        <v>1</v>
      </c>
      <c r="L314" s="297"/>
      <c r="M314" s="288">
        <f t="shared" si="53"/>
        <v>1</v>
      </c>
      <c r="N314" s="297"/>
      <c r="O314" s="288">
        <f t="shared" si="54"/>
        <v>1</v>
      </c>
      <c r="P314" s="297"/>
      <c r="Q314" s="288">
        <f t="shared" si="55"/>
        <v>1</v>
      </c>
      <c r="R314" s="348">
        <f t="shared" si="56"/>
        <v>0</v>
      </c>
      <c r="S314" s="287">
        <f t="shared" si="57"/>
        <v>0</v>
      </c>
    </row>
    <row r="315" spans="1:19">
      <c r="A315" s="295"/>
      <c r="B315" s="296"/>
      <c r="C315" s="288">
        <f t="shared" si="48"/>
        <v>1</v>
      </c>
      <c r="D315" s="297"/>
      <c r="E315" s="288">
        <f t="shared" si="49"/>
        <v>1</v>
      </c>
      <c r="F315" s="297"/>
      <c r="G315" s="288">
        <f t="shared" si="50"/>
        <v>1</v>
      </c>
      <c r="H315" s="297"/>
      <c r="I315" s="288">
        <f t="shared" si="51"/>
        <v>1</v>
      </c>
      <c r="J315" s="297"/>
      <c r="K315" s="288">
        <f t="shared" si="52"/>
        <v>1</v>
      </c>
      <c r="L315" s="297"/>
      <c r="M315" s="288">
        <f t="shared" si="53"/>
        <v>1</v>
      </c>
      <c r="N315" s="297"/>
      <c r="O315" s="288">
        <f t="shared" si="54"/>
        <v>1</v>
      </c>
      <c r="P315" s="297"/>
      <c r="Q315" s="288">
        <f t="shared" si="55"/>
        <v>1</v>
      </c>
      <c r="R315" s="348">
        <f t="shared" si="56"/>
        <v>0</v>
      </c>
      <c r="S315" s="287">
        <f t="shared" si="57"/>
        <v>0</v>
      </c>
    </row>
    <row r="316" spans="1:19">
      <c r="A316" s="295"/>
      <c r="B316" s="296"/>
      <c r="C316" s="288">
        <f t="shared" si="48"/>
        <v>1</v>
      </c>
      <c r="D316" s="297"/>
      <c r="E316" s="288">
        <f t="shared" si="49"/>
        <v>1</v>
      </c>
      <c r="F316" s="297"/>
      <c r="G316" s="288">
        <f t="shared" si="50"/>
        <v>1</v>
      </c>
      <c r="H316" s="297"/>
      <c r="I316" s="288">
        <f t="shared" si="51"/>
        <v>1</v>
      </c>
      <c r="J316" s="297"/>
      <c r="K316" s="288">
        <f t="shared" si="52"/>
        <v>1</v>
      </c>
      <c r="L316" s="297"/>
      <c r="M316" s="288">
        <f t="shared" si="53"/>
        <v>1</v>
      </c>
      <c r="N316" s="297"/>
      <c r="O316" s="288">
        <f t="shared" si="54"/>
        <v>1</v>
      </c>
      <c r="P316" s="297"/>
      <c r="Q316" s="288">
        <f t="shared" si="55"/>
        <v>1</v>
      </c>
      <c r="R316" s="348">
        <f t="shared" si="56"/>
        <v>0</v>
      </c>
      <c r="S316" s="287">
        <f t="shared" si="57"/>
        <v>0</v>
      </c>
    </row>
    <row r="317" spans="1:19">
      <c r="A317" s="295"/>
      <c r="B317" s="296"/>
      <c r="C317" s="288">
        <f t="shared" si="48"/>
        <v>1</v>
      </c>
      <c r="D317" s="297"/>
      <c r="E317" s="288">
        <f t="shared" si="49"/>
        <v>1</v>
      </c>
      <c r="F317" s="297"/>
      <c r="G317" s="288">
        <f t="shared" si="50"/>
        <v>1</v>
      </c>
      <c r="H317" s="297"/>
      <c r="I317" s="288">
        <f t="shared" si="51"/>
        <v>1</v>
      </c>
      <c r="J317" s="297"/>
      <c r="K317" s="288">
        <f t="shared" si="52"/>
        <v>1</v>
      </c>
      <c r="L317" s="297"/>
      <c r="M317" s="288">
        <f t="shared" si="53"/>
        <v>1</v>
      </c>
      <c r="N317" s="297"/>
      <c r="O317" s="288">
        <f t="shared" si="54"/>
        <v>1</v>
      </c>
      <c r="P317" s="297"/>
      <c r="Q317" s="288">
        <f t="shared" si="55"/>
        <v>1</v>
      </c>
      <c r="R317" s="348">
        <f t="shared" si="56"/>
        <v>0</v>
      </c>
      <c r="S317" s="287">
        <f t="shared" si="57"/>
        <v>0</v>
      </c>
    </row>
    <row r="318" spans="1:19">
      <c r="A318" s="295"/>
      <c r="B318" s="296"/>
      <c r="C318" s="288">
        <f t="shared" si="48"/>
        <v>1</v>
      </c>
      <c r="D318" s="297"/>
      <c r="E318" s="288">
        <f t="shared" si="49"/>
        <v>1</v>
      </c>
      <c r="F318" s="297"/>
      <c r="G318" s="288">
        <f t="shared" si="50"/>
        <v>1</v>
      </c>
      <c r="H318" s="297"/>
      <c r="I318" s="288">
        <f t="shared" si="51"/>
        <v>1</v>
      </c>
      <c r="J318" s="297"/>
      <c r="K318" s="288">
        <f t="shared" si="52"/>
        <v>1</v>
      </c>
      <c r="L318" s="297"/>
      <c r="M318" s="288">
        <f t="shared" si="53"/>
        <v>1</v>
      </c>
      <c r="N318" s="297"/>
      <c r="O318" s="288">
        <f t="shared" si="54"/>
        <v>1</v>
      </c>
      <c r="P318" s="297"/>
      <c r="Q318" s="288">
        <f t="shared" si="55"/>
        <v>1</v>
      </c>
      <c r="R318" s="348">
        <f t="shared" si="56"/>
        <v>0</v>
      </c>
      <c r="S318" s="287">
        <f t="shared" si="57"/>
        <v>0</v>
      </c>
    </row>
    <row r="319" spans="1:19">
      <c r="A319" s="295"/>
      <c r="B319" s="296"/>
      <c r="C319" s="288">
        <f t="shared" si="48"/>
        <v>1</v>
      </c>
      <c r="D319" s="297"/>
      <c r="E319" s="288">
        <f t="shared" si="49"/>
        <v>1</v>
      </c>
      <c r="F319" s="297"/>
      <c r="G319" s="288">
        <f t="shared" si="50"/>
        <v>1</v>
      </c>
      <c r="H319" s="297"/>
      <c r="I319" s="288">
        <f t="shared" si="51"/>
        <v>1</v>
      </c>
      <c r="J319" s="297"/>
      <c r="K319" s="288">
        <f t="shared" si="52"/>
        <v>1</v>
      </c>
      <c r="L319" s="297"/>
      <c r="M319" s="288">
        <f t="shared" si="53"/>
        <v>1</v>
      </c>
      <c r="N319" s="297"/>
      <c r="O319" s="288">
        <f t="shared" si="54"/>
        <v>1</v>
      </c>
      <c r="P319" s="297"/>
      <c r="Q319" s="288">
        <f t="shared" si="55"/>
        <v>1</v>
      </c>
      <c r="R319" s="348">
        <f t="shared" si="56"/>
        <v>0</v>
      </c>
      <c r="S319" s="287">
        <f t="shared" si="57"/>
        <v>0</v>
      </c>
    </row>
    <row r="320" spans="1:19">
      <c r="A320" s="295"/>
      <c r="B320" s="296"/>
      <c r="C320" s="288">
        <f t="shared" si="48"/>
        <v>1</v>
      </c>
      <c r="D320" s="297"/>
      <c r="E320" s="288">
        <f t="shared" si="49"/>
        <v>1</v>
      </c>
      <c r="F320" s="297"/>
      <c r="G320" s="288">
        <f t="shared" si="50"/>
        <v>1</v>
      </c>
      <c r="H320" s="297"/>
      <c r="I320" s="288">
        <f t="shared" si="51"/>
        <v>1</v>
      </c>
      <c r="J320" s="297"/>
      <c r="K320" s="288">
        <f t="shared" si="52"/>
        <v>1</v>
      </c>
      <c r="L320" s="297"/>
      <c r="M320" s="288">
        <f t="shared" si="53"/>
        <v>1</v>
      </c>
      <c r="N320" s="297"/>
      <c r="O320" s="288">
        <f t="shared" si="54"/>
        <v>1</v>
      </c>
      <c r="P320" s="297"/>
      <c r="Q320" s="288">
        <f t="shared" si="55"/>
        <v>1</v>
      </c>
      <c r="R320" s="348">
        <f t="shared" si="56"/>
        <v>0</v>
      </c>
      <c r="S320" s="287">
        <f t="shared" si="57"/>
        <v>0</v>
      </c>
    </row>
    <row r="321" spans="1:19">
      <c r="A321" s="295"/>
      <c r="B321" s="296"/>
      <c r="C321" s="288">
        <f t="shared" si="48"/>
        <v>1</v>
      </c>
      <c r="D321" s="297"/>
      <c r="E321" s="288">
        <f t="shared" si="49"/>
        <v>1</v>
      </c>
      <c r="F321" s="297"/>
      <c r="G321" s="288">
        <f t="shared" si="50"/>
        <v>1</v>
      </c>
      <c r="H321" s="297"/>
      <c r="I321" s="288">
        <f t="shared" si="51"/>
        <v>1</v>
      </c>
      <c r="J321" s="297"/>
      <c r="K321" s="288">
        <f t="shared" si="52"/>
        <v>1</v>
      </c>
      <c r="L321" s="297"/>
      <c r="M321" s="288">
        <f t="shared" si="53"/>
        <v>1</v>
      </c>
      <c r="N321" s="297"/>
      <c r="O321" s="288">
        <f t="shared" si="54"/>
        <v>1</v>
      </c>
      <c r="P321" s="297"/>
      <c r="Q321" s="288">
        <f t="shared" si="55"/>
        <v>1</v>
      </c>
      <c r="R321" s="348">
        <f t="shared" si="56"/>
        <v>0</v>
      </c>
      <c r="S321" s="287">
        <f t="shared" ref="S321:S384" si="58">ROUND(R321*B321/10000,0)</f>
        <v>0</v>
      </c>
    </row>
    <row r="322" spans="1:19">
      <c r="A322" s="295"/>
      <c r="B322" s="296"/>
      <c r="C322" s="288">
        <f t="shared" si="48"/>
        <v>1</v>
      </c>
      <c r="D322" s="297"/>
      <c r="E322" s="288">
        <f t="shared" si="49"/>
        <v>1</v>
      </c>
      <c r="F322" s="297"/>
      <c r="G322" s="288">
        <f t="shared" si="50"/>
        <v>1</v>
      </c>
      <c r="H322" s="297"/>
      <c r="I322" s="288">
        <f t="shared" si="51"/>
        <v>1</v>
      </c>
      <c r="J322" s="297"/>
      <c r="K322" s="288">
        <f t="shared" si="52"/>
        <v>1</v>
      </c>
      <c r="L322" s="297"/>
      <c r="M322" s="288">
        <f t="shared" si="53"/>
        <v>1</v>
      </c>
      <c r="N322" s="297"/>
      <c r="O322" s="288">
        <f t="shared" si="54"/>
        <v>1</v>
      </c>
      <c r="P322" s="297"/>
      <c r="Q322" s="288">
        <f t="shared" si="55"/>
        <v>1</v>
      </c>
      <c r="R322" s="348">
        <f t="shared" si="56"/>
        <v>0</v>
      </c>
      <c r="S322" s="287">
        <f t="shared" si="58"/>
        <v>0</v>
      </c>
    </row>
    <row r="323" spans="1:19">
      <c r="A323" s="295"/>
      <c r="B323" s="296"/>
      <c r="C323" s="288">
        <f t="shared" si="48"/>
        <v>1</v>
      </c>
      <c r="D323" s="297"/>
      <c r="E323" s="288">
        <f t="shared" si="49"/>
        <v>1</v>
      </c>
      <c r="F323" s="297"/>
      <c r="G323" s="288">
        <f t="shared" si="50"/>
        <v>1</v>
      </c>
      <c r="H323" s="297"/>
      <c r="I323" s="288">
        <f t="shared" si="51"/>
        <v>1</v>
      </c>
      <c r="J323" s="297"/>
      <c r="K323" s="288">
        <f t="shared" si="52"/>
        <v>1</v>
      </c>
      <c r="L323" s="297"/>
      <c r="M323" s="288">
        <f t="shared" si="53"/>
        <v>1</v>
      </c>
      <c r="N323" s="297"/>
      <c r="O323" s="288">
        <f t="shared" si="54"/>
        <v>1</v>
      </c>
      <c r="P323" s="297"/>
      <c r="Q323" s="288">
        <f t="shared" si="55"/>
        <v>1</v>
      </c>
      <c r="R323" s="348">
        <f t="shared" si="56"/>
        <v>0</v>
      </c>
      <c r="S323" s="287">
        <f t="shared" si="58"/>
        <v>0</v>
      </c>
    </row>
    <row r="324" spans="1:19">
      <c r="A324" s="295"/>
      <c r="B324" s="296"/>
      <c r="C324" s="288">
        <f t="shared" si="48"/>
        <v>1</v>
      </c>
      <c r="D324" s="297"/>
      <c r="E324" s="288">
        <f t="shared" si="49"/>
        <v>1</v>
      </c>
      <c r="F324" s="297"/>
      <c r="G324" s="288">
        <f t="shared" si="50"/>
        <v>1</v>
      </c>
      <c r="H324" s="297"/>
      <c r="I324" s="288">
        <f t="shared" si="51"/>
        <v>1</v>
      </c>
      <c r="J324" s="297"/>
      <c r="K324" s="288">
        <f t="shared" si="52"/>
        <v>1</v>
      </c>
      <c r="L324" s="297"/>
      <c r="M324" s="288">
        <f t="shared" si="53"/>
        <v>1</v>
      </c>
      <c r="N324" s="297"/>
      <c r="O324" s="288">
        <f t="shared" si="54"/>
        <v>1</v>
      </c>
      <c r="P324" s="297"/>
      <c r="Q324" s="288">
        <f t="shared" si="55"/>
        <v>1</v>
      </c>
      <c r="R324" s="348">
        <f t="shared" si="56"/>
        <v>0</v>
      </c>
      <c r="S324" s="287">
        <f t="shared" si="58"/>
        <v>0</v>
      </c>
    </row>
    <row r="325" spans="1:19">
      <c r="A325" s="295"/>
      <c r="B325" s="296"/>
      <c r="C325" s="288">
        <f t="shared" si="48"/>
        <v>1</v>
      </c>
      <c r="D325" s="297"/>
      <c r="E325" s="288">
        <f t="shared" si="49"/>
        <v>1</v>
      </c>
      <c r="F325" s="297"/>
      <c r="G325" s="288">
        <f t="shared" si="50"/>
        <v>1</v>
      </c>
      <c r="H325" s="297"/>
      <c r="I325" s="288">
        <f t="shared" si="51"/>
        <v>1</v>
      </c>
      <c r="J325" s="297"/>
      <c r="K325" s="288">
        <f t="shared" si="52"/>
        <v>1</v>
      </c>
      <c r="L325" s="297"/>
      <c r="M325" s="288">
        <f t="shared" si="53"/>
        <v>1</v>
      </c>
      <c r="N325" s="297"/>
      <c r="O325" s="288">
        <f t="shared" si="54"/>
        <v>1</v>
      </c>
      <c r="P325" s="297"/>
      <c r="Q325" s="288">
        <f t="shared" si="55"/>
        <v>1</v>
      </c>
      <c r="R325" s="348">
        <f t="shared" si="56"/>
        <v>0</v>
      </c>
      <c r="S325" s="287">
        <f t="shared" si="58"/>
        <v>0</v>
      </c>
    </row>
    <row r="326" spans="1:19">
      <c r="A326" s="295"/>
      <c r="B326" s="296"/>
      <c r="C326" s="288">
        <f t="shared" si="48"/>
        <v>1</v>
      </c>
      <c r="D326" s="297"/>
      <c r="E326" s="288">
        <f t="shared" si="49"/>
        <v>1</v>
      </c>
      <c r="F326" s="297"/>
      <c r="G326" s="288">
        <f t="shared" si="50"/>
        <v>1</v>
      </c>
      <c r="H326" s="297"/>
      <c r="I326" s="288">
        <f t="shared" si="51"/>
        <v>1</v>
      </c>
      <c r="J326" s="297"/>
      <c r="K326" s="288">
        <f t="shared" si="52"/>
        <v>1</v>
      </c>
      <c r="L326" s="297"/>
      <c r="M326" s="288">
        <f t="shared" si="53"/>
        <v>1</v>
      </c>
      <c r="N326" s="297"/>
      <c r="O326" s="288">
        <f t="shared" si="54"/>
        <v>1</v>
      </c>
      <c r="P326" s="297"/>
      <c r="Q326" s="288">
        <f t="shared" si="55"/>
        <v>1</v>
      </c>
      <c r="R326" s="348">
        <f t="shared" si="56"/>
        <v>0</v>
      </c>
      <c r="S326" s="287">
        <f t="shared" si="58"/>
        <v>0</v>
      </c>
    </row>
    <row r="327" spans="1:19">
      <c r="A327" s="295"/>
      <c r="B327" s="296"/>
      <c r="C327" s="288">
        <f t="shared" si="48"/>
        <v>1</v>
      </c>
      <c r="D327" s="297"/>
      <c r="E327" s="288">
        <f t="shared" si="49"/>
        <v>1</v>
      </c>
      <c r="F327" s="297"/>
      <c r="G327" s="288">
        <f t="shared" si="50"/>
        <v>1</v>
      </c>
      <c r="H327" s="297"/>
      <c r="I327" s="288">
        <f t="shared" si="51"/>
        <v>1</v>
      </c>
      <c r="J327" s="297"/>
      <c r="K327" s="288">
        <f t="shared" si="52"/>
        <v>1</v>
      </c>
      <c r="L327" s="297"/>
      <c r="M327" s="288">
        <f t="shared" si="53"/>
        <v>1</v>
      </c>
      <c r="N327" s="297"/>
      <c r="O327" s="288">
        <f t="shared" si="54"/>
        <v>1</v>
      </c>
      <c r="P327" s="297"/>
      <c r="Q327" s="288">
        <f t="shared" si="55"/>
        <v>1</v>
      </c>
      <c r="R327" s="348">
        <f t="shared" si="56"/>
        <v>0</v>
      </c>
      <c r="S327" s="287">
        <f t="shared" si="58"/>
        <v>0</v>
      </c>
    </row>
    <row r="328" spans="1:19">
      <c r="A328" s="295"/>
      <c r="B328" s="296"/>
      <c r="C328" s="288">
        <f t="shared" si="48"/>
        <v>1</v>
      </c>
      <c r="D328" s="297"/>
      <c r="E328" s="288">
        <f t="shared" si="49"/>
        <v>1</v>
      </c>
      <c r="F328" s="297"/>
      <c r="G328" s="288">
        <f t="shared" si="50"/>
        <v>1</v>
      </c>
      <c r="H328" s="297"/>
      <c r="I328" s="288">
        <f t="shared" si="51"/>
        <v>1</v>
      </c>
      <c r="J328" s="297"/>
      <c r="K328" s="288">
        <f t="shared" si="52"/>
        <v>1</v>
      </c>
      <c r="L328" s="297"/>
      <c r="M328" s="288">
        <f t="shared" si="53"/>
        <v>1</v>
      </c>
      <c r="N328" s="297"/>
      <c r="O328" s="288">
        <f t="shared" si="54"/>
        <v>1</v>
      </c>
      <c r="P328" s="297"/>
      <c r="Q328" s="288">
        <f t="shared" si="55"/>
        <v>1</v>
      </c>
      <c r="R328" s="348">
        <f t="shared" si="56"/>
        <v>0</v>
      </c>
      <c r="S328" s="287">
        <f t="shared" si="58"/>
        <v>0</v>
      </c>
    </row>
    <row r="329" spans="1:19">
      <c r="A329" s="295"/>
      <c r="B329" s="296"/>
      <c r="C329" s="288">
        <f t="shared" si="48"/>
        <v>1</v>
      </c>
      <c r="D329" s="297"/>
      <c r="E329" s="288">
        <f t="shared" si="49"/>
        <v>1</v>
      </c>
      <c r="F329" s="297"/>
      <c r="G329" s="288">
        <f t="shared" si="50"/>
        <v>1</v>
      </c>
      <c r="H329" s="297"/>
      <c r="I329" s="288">
        <f t="shared" si="51"/>
        <v>1</v>
      </c>
      <c r="J329" s="297"/>
      <c r="K329" s="288">
        <f t="shared" si="52"/>
        <v>1</v>
      </c>
      <c r="L329" s="297"/>
      <c r="M329" s="288">
        <f t="shared" si="53"/>
        <v>1</v>
      </c>
      <c r="N329" s="297"/>
      <c r="O329" s="288">
        <f t="shared" si="54"/>
        <v>1</v>
      </c>
      <c r="P329" s="297"/>
      <c r="Q329" s="288">
        <f t="shared" si="55"/>
        <v>1</v>
      </c>
      <c r="R329" s="348">
        <f t="shared" si="56"/>
        <v>0</v>
      </c>
      <c r="S329" s="287">
        <f t="shared" si="58"/>
        <v>0</v>
      </c>
    </row>
    <row r="330" spans="1:19">
      <c r="A330" s="295"/>
      <c r="B330" s="296"/>
      <c r="C330" s="288">
        <f t="shared" si="48"/>
        <v>1</v>
      </c>
      <c r="D330" s="297"/>
      <c r="E330" s="288">
        <f t="shared" si="49"/>
        <v>1</v>
      </c>
      <c r="F330" s="297"/>
      <c r="G330" s="288">
        <f t="shared" si="50"/>
        <v>1</v>
      </c>
      <c r="H330" s="297"/>
      <c r="I330" s="288">
        <f t="shared" si="51"/>
        <v>1</v>
      </c>
      <c r="J330" s="297"/>
      <c r="K330" s="288">
        <f t="shared" si="52"/>
        <v>1</v>
      </c>
      <c r="L330" s="297"/>
      <c r="M330" s="288">
        <f t="shared" si="53"/>
        <v>1</v>
      </c>
      <c r="N330" s="297"/>
      <c r="O330" s="288">
        <f t="shared" si="54"/>
        <v>1</v>
      </c>
      <c r="P330" s="297"/>
      <c r="Q330" s="288">
        <f t="shared" si="55"/>
        <v>1</v>
      </c>
      <c r="R330" s="348">
        <f t="shared" si="56"/>
        <v>0</v>
      </c>
      <c r="S330" s="287">
        <f t="shared" si="58"/>
        <v>0</v>
      </c>
    </row>
    <row r="331" spans="1:19">
      <c r="A331" s="295"/>
      <c r="B331" s="296"/>
      <c r="C331" s="288">
        <f t="shared" si="48"/>
        <v>1</v>
      </c>
      <c r="D331" s="297"/>
      <c r="E331" s="288">
        <f t="shared" si="49"/>
        <v>1</v>
      </c>
      <c r="F331" s="297"/>
      <c r="G331" s="288">
        <f t="shared" si="50"/>
        <v>1</v>
      </c>
      <c r="H331" s="297"/>
      <c r="I331" s="288">
        <f t="shared" si="51"/>
        <v>1</v>
      </c>
      <c r="J331" s="297"/>
      <c r="K331" s="288">
        <f t="shared" si="52"/>
        <v>1</v>
      </c>
      <c r="L331" s="297"/>
      <c r="M331" s="288">
        <f t="shared" si="53"/>
        <v>1</v>
      </c>
      <c r="N331" s="297"/>
      <c r="O331" s="288">
        <f t="shared" si="54"/>
        <v>1</v>
      </c>
      <c r="P331" s="297"/>
      <c r="Q331" s="288">
        <f t="shared" si="55"/>
        <v>1</v>
      </c>
      <c r="R331" s="348">
        <f t="shared" si="56"/>
        <v>0</v>
      </c>
      <c r="S331" s="287">
        <f t="shared" si="58"/>
        <v>0</v>
      </c>
    </row>
    <row r="332" spans="1:19">
      <c r="A332" s="295"/>
      <c r="B332" s="296"/>
      <c r="C332" s="288">
        <f t="shared" si="48"/>
        <v>1</v>
      </c>
      <c r="D332" s="297"/>
      <c r="E332" s="288">
        <f t="shared" si="49"/>
        <v>1</v>
      </c>
      <c r="F332" s="297"/>
      <c r="G332" s="288">
        <f t="shared" si="50"/>
        <v>1</v>
      </c>
      <c r="H332" s="297"/>
      <c r="I332" s="288">
        <f t="shared" si="51"/>
        <v>1</v>
      </c>
      <c r="J332" s="297"/>
      <c r="K332" s="288">
        <f t="shared" si="52"/>
        <v>1</v>
      </c>
      <c r="L332" s="297"/>
      <c r="M332" s="288">
        <f t="shared" si="53"/>
        <v>1</v>
      </c>
      <c r="N332" s="297"/>
      <c r="O332" s="288">
        <f t="shared" si="54"/>
        <v>1</v>
      </c>
      <c r="P332" s="297"/>
      <c r="Q332" s="288">
        <f t="shared" si="55"/>
        <v>1</v>
      </c>
      <c r="R332" s="348">
        <f t="shared" si="56"/>
        <v>0</v>
      </c>
      <c r="S332" s="287">
        <f t="shared" si="58"/>
        <v>0</v>
      </c>
    </row>
    <row r="333" spans="1:19">
      <c r="A333" s="295"/>
      <c r="B333" s="296"/>
      <c r="C333" s="288">
        <f t="shared" si="48"/>
        <v>1</v>
      </c>
      <c r="D333" s="297"/>
      <c r="E333" s="288">
        <f t="shared" si="49"/>
        <v>1</v>
      </c>
      <c r="F333" s="297"/>
      <c r="G333" s="288">
        <f t="shared" si="50"/>
        <v>1</v>
      </c>
      <c r="H333" s="297"/>
      <c r="I333" s="288">
        <f t="shared" si="51"/>
        <v>1</v>
      </c>
      <c r="J333" s="297"/>
      <c r="K333" s="288">
        <f t="shared" si="52"/>
        <v>1</v>
      </c>
      <c r="L333" s="297"/>
      <c r="M333" s="288">
        <f t="shared" si="53"/>
        <v>1</v>
      </c>
      <c r="N333" s="297"/>
      <c r="O333" s="288">
        <f t="shared" si="54"/>
        <v>1</v>
      </c>
      <c r="P333" s="297"/>
      <c r="Q333" s="288">
        <f t="shared" si="55"/>
        <v>1</v>
      </c>
      <c r="R333" s="348">
        <f t="shared" si="56"/>
        <v>0</v>
      </c>
      <c r="S333" s="287">
        <f t="shared" si="58"/>
        <v>0</v>
      </c>
    </row>
    <row r="334" spans="1:19">
      <c r="A334" s="295"/>
      <c r="B334" s="296"/>
      <c r="C334" s="288">
        <f t="shared" si="48"/>
        <v>1</v>
      </c>
      <c r="D334" s="297"/>
      <c r="E334" s="288">
        <f t="shared" si="49"/>
        <v>1</v>
      </c>
      <c r="F334" s="297"/>
      <c r="G334" s="288">
        <f t="shared" si="50"/>
        <v>1</v>
      </c>
      <c r="H334" s="297"/>
      <c r="I334" s="288">
        <f t="shared" si="51"/>
        <v>1</v>
      </c>
      <c r="J334" s="297"/>
      <c r="K334" s="288">
        <f t="shared" si="52"/>
        <v>1</v>
      </c>
      <c r="L334" s="297"/>
      <c r="M334" s="288">
        <f t="shared" si="53"/>
        <v>1</v>
      </c>
      <c r="N334" s="297"/>
      <c r="O334" s="288">
        <f t="shared" si="54"/>
        <v>1</v>
      </c>
      <c r="P334" s="297"/>
      <c r="Q334" s="288">
        <f t="shared" si="55"/>
        <v>1</v>
      </c>
      <c r="R334" s="348">
        <f t="shared" si="56"/>
        <v>0</v>
      </c>
      <c r="S334" s="287">
        <f t="shared" si="58"/>
        <v>0</v>
      </c>
    </row>
    <row r="335" spans="1:19">
      <c r="A335" s="295"/>
      <c r="B335" s="296"/>
      <c r="C335" s="288">
        <f t="shared" si="48"/>
        <v>1</v>
      </c>
      <c r="D335" s="297"/>
      <c r="E335" s="288">
        <f t="shared" si="49"/>
        <v>1</v>
      </c>
      <c r="F335" s="297"/>
      <c r="G335" s="288">
        <f t="shared" si="50"/>
        <v>1</v>
      </c>
      <c r="H335" s="297"/>
      <c r="I335" s="288">
        <f t="shared" si="51"/>
        <v>1</v>
      </c>
      <c r="J335" s="297"/>
      <c r="K335" s="288">
        <f t="shared" si="52"/>
        <v>1</v>
      </c>
      <c r="L335" s="297"/>
      <c r="M335" s="288">
        <f t="shared" si="53"/>
        <v>1</v>
      </c>
      <c r="N335" s="297"/>
      <c r="O335" s="288">
        <f t="shared" si="54"/>
        <v>1</v>
      </c>
      <c r="P335" s="297"/>
      <c r="Q335" s="288">
        <f t="shared" si="55"/>
        <v>1</v>
      </c>
      <c r="R335" s="348">
        <f t="shared" si="56"/>
        <v>0</v>
      </c>
      <c r="S335" s="287">
        <f t="shared" si="58"/>
        <v>0</v>
      </c>
    </row>
    <row r="336" spans="1:19">
      <c r="A336" s="295"/>
      <c r="B336" s="296"/>
      <c r="C336" s="288">
        <f t="shared" si="48"/>
        <v>1</v>
      </c>
      <c r="D336" s="297"/>
      <c r="E336" s="288">
        <f t="shared" si="49"/>
        <v>1</v>
      </c>
      <c r="F336" s="297"/>
      <c r="G336" s="288">
        <f t="shared" si="50"/>
        <v>1</v>
      </c>
      <c r="H336" s="297"/>
      <c r="I336" s="288">
        <f t="shared" si="51"/>
        <v>1</v>
      </c>
      <c r="J336" s="297"/>
      <c r="K336" s="288">
        <f t="shared" si="52"/>
        <v>1</v>
      </c>
      <c r="L336" s="297"/>
      <c r="M336" s="288">
        <f t="shared" si="53"/>
        <v>1</v>
      </c>
      <c r="N336" s="297"/>
      <c r="O336" s="288">
        <f t="shared" si="54"/>
        <v>1</v>
      </c>
      <c r="P336" s="297"/>
      <c r="Q336" s="288">
        <f t="shared" si="55"/>
        <v>1</v>
      </c>
      <c r="R336" s="348">
        <f t="shared" si="56"/>
        <v>0</v>
      </c>
      <c r="S336" s="287">
        <f t="shared" si="58"/>
        <v>0</v>
      </c>
    </row>
    <row r="337" spans="1:19">
      <c r="A337" s="295"/>
      <c r="B337" s="296"/>
      <c r="C337" s="288">
        <f t="shared" si="48"/>
        <v>1</v>
      </c>
      <c r="D337" s="297"/>
      <c r="E337" s="288">
        <f t="shared" si="49"/>
        <v>1</v>
      </c>
      <c r="F337" s="297"/>
      <c r="G337" s="288">
        <f t="shared" si="50"/>
        <v>1</v>
      </c>
      <c r="H337" s="297"/>
      <c r="I337" s="288">
        <f t="shared" si="51"/>
        <v>1</v>
      </c>
      <c r="J337" s="297"/>
      <c r="K337" s="288">
        <f t="shared" si="52"/>
        <v>1</v>
      </c>
      <c r="L337" s="297"/>
      <c r="M337" s="288">
        <f t="shared" si="53"/>
        <v>1</v>
      </c>
      <c r="N337" s="297"/>
      <c r="O337" s="288">
        <f t="shared" si="54"/>
        <v>1</v>
      </c>
      <c r="P337" s="297"/>
      <c r="Q337" s="288">
        <f t="shared" si="55"/>
        <v>1</v>
      </c>
      <c r="R337" s="348">
        <f t="shared" si="56"/>
        <v>0</v>
      </c>
      <c r="S337" s="287">
        <f t="shared" si="58"/>
        <v>0</v>
      </c>
    </row>
    <row r="338" spans="1:19">
      <c r="A338" s="295"/>
      <c r="B338" s="296"/>
      <c r="C338" s="288">
        <f t="shared" si="48"/>
        <v>1</v>
      </c>
      <c r="D338" s="297"/>
      <c r="E338" s="288">
        <f t="shared" si="49"/>
        <v>1</v>
      </c>
      <c r="F338" s="297"/>
      <c r="G338" s="288">
        <f t="shared" si="50"/>
        <v>1</v>
      </c>
      <c r="H338" s="297"/>
      <c r="I338" s="288">
        <f t="shared" si="51"/>
        <v>1</v>
      </c>
      <c r="J338" s="297"/>
      <c r="K338" s="288">
        <f t="shared" si="52"/>
        <v>1</v>
      </c>
      <c r="L338" s="297"/>
      <c r="M338" s="288">
        <f t="shared" si="53"/>
        <v>1</v>
      </c>
      <c r="N338" s="297"/>
      <c r="O338" s="288">
        <f t="shared" si="54"/>
        <v>1</v>
      </c>
      <c r="P338" s="297"/>
      <c r="Q338" s="288">
        <f t="shared" si="55"/>
        <v>1</v>
      </c>
      <c r="R338" s="348">
        <f t="shared" si="56"/>
        <v>0</v>
      </c>
      <c r="S338" s="287">
        <f t="shared" si="58"/>
        <v>0</v>
      </c>
    </row>
    <row r="339" spans="1:19">
      <c r="A339" s="295"/>
      <c r="B339" s="296"/>
      <c r="C339" s="288">
        <f t="shared" si="48"/>
        <v>1</v>
      </c>
      <c r="D339" s="297"/>
      <c r="E339" s="288">
        <f t="shared" si="49"/>
        <v>1</v>
      </c>
      <c r="F339" s="297"/>
      <c r="G339" s="288">
        <f t="shared" si="50"/>
        <v>1</v>
      </c>
      <c r="H339" s="297"/>
      <c r="I339" s="288">
        <f t="shared" si="51"/>
        <v>1</v>
      </c>
      <c r="J339" s="297"/>
      <c r="K339" s="288">
        <f t="shared" si="52"/>
        <v>1</v>
      </c>
      <c r="L339" s="297"/>
      <c r="M339" s="288">
        <f t="shared" si="53"/>
        <v>1</v>
      </c>
      <c r="N339" s="297"/>
      <c r="O339" s="288">
        <f t="shared" si="54"/>
        <v>1</v>
      </c>
      <c r="P339" s="297"/>
      <c r="Q339" s="288">
        <f t="shared" si="55"/>
        <v>1</v>
      </c>
      <c r="R339" s="348">
        <f t="shared" si="56"/>
        <v>0</v>
      </c>
      <c r="S339" s="287">
        <f t="shared" si="58"/>
        <v>0</v>
      </c>
    </row>
    <row r="340" spans="1:19">
      <c r="A340" s="295"/>
      <c r="B340" s="296"/>
      <c r="C340" s="288">
        <f t="shared" si="48"/>
        <v>1</v>
      </c>
      <c r="D340" s="297"/>
      <c r="E340" s="288">
        <f t="shared" si="49"/>
        <v>1</v>
      </c>
      <c r="F340" s="297"/>
      <c r="G340" s="288">
        <f t="shared" si="50"/>
        <v>1</v>
      </c>
      <c r="H340" s="297"/>
      <c r="I340" s="288">
        <f t="shared" si="51"/>
        <v>1</v>
      </c>
      <c r="J340" s="297"/>
      <c r="K340" s="288">
        <f t="shared" si="52"/>
        <v>1</v>
      </c>
      <c r="L340" s="297"/>
      <c r="M340" s="288">
        <f t="shared" si="53"/>
        <v>1</v>
      </c>
      <c r="N340" s="297"/>
      <c r="O340" s="288">
        <f t="shared" si="54"/>
        <v>1</v>
      </c>
      <c r="P340" s="297"/>
      <c r="Q340" s="288">
        <f t="shared" si="55"/>
        <v>1</v>
      </c>
      <c r="R340" s="348">
        <f t="shared" si="56"/>
        <v>0</v>
      </c>
      <c r="S340" s="287">
        <f t="shared" si="58"/>
        <v>0</v>
      </c>
    </row>
    <row r="341" spans="1:19">
      <c r="A341" s="295"/>
      <c r="B341" s="296"/>
      <c r="C341" s="288">
        <f t="shared" si="48"/>
        <v>1</v>
      </c>
      <c r="D341" s="297"/>
      <c r="E341" s="288">
        <f t="shared" si="49"/>
        <v>1</v>
      </c>
      <c r="F341" s="297"/>
      <c r="G341" s="288">
        <f t="shared" si="50"/>
        <v>1</v>
      </c>
      <c r="H341" s="297"/>
      <c r="I341" s="288">
        <f t="shared" si="51"/>
        <v>1</v>
      </c>
      <c r="J341" s="297"/>
      <c r="K341" s="288">
        <f t="shared" si="52"/>
        <v>1</v>
      </c>
      <c r="L341" s="297"/>
      <c r="M341" s="288">
        <f t="shared" si="53"/>
        <v>1</v>
      </c>
      <c r="N341" s="297"/>
      <c r="O341" s="288">
        <f t="shared" si="54"/>
        <v>1</v>
      </c>
      <c r="P341" s="297"/>
      <c r="Q341" s="288">
        <f t="shared" si="55"/>
        <v>1</v>
      </c>
      <c r="R341" s="348">
        <f t="shared" si="56"/>
        <v>0</v>
      </c>
      <c r="S341" s="287">
        <f t="shared" si="58"/>
        <v>0</v>
      </c>
    </row>
    <row r="342" spans="1:19">
      <c r="A342" s="295"/>
      <c r="B342" s="296"/>
      <c r="C342" s="288">
        <f t="shared" si="48"/>
        <v>1</v>
      </c>
      <c r="D342" s="297"/>
      <c r="E342" s="288">
        <f t="shared" si="49"/>
        <v>1</v>
      </c>
      <c r="F342" s="297"/>
      <c r="G342" s="288">
        <f t="shared" si="50"/>
        <v>1</v>
      </c>
      <c r="H342" s="297"/>
      <c r="I342" s="288">
        <f t="shared" si="51"/>
        <v>1</v>
      </c>
      <c r="J342" s="297"/>
      <c r="K342" s="288">
        <f t="shared" si="52"/>
        <v>1</v>
      </c>
      <c r="L342" s="297"/>
      <c r="M342" s="288">
        <f t="shared" si="53"/>
        <v>1</v>
      </c>
      <c r="N342" s="297"/>
      <c r="O342" s="288">
        <f t="shared" si="54"/>
        <v>1</v>
      </c>
      <c r="P342" s="297"/>
      <c r="Q342" s="288">
        <f t="shared" si="55"/>
        <v>1</v>
      </c>
      <c r="R342" s="348">
        <f t="shared" si="56"/>
        <v>0</v>
      </c>
      <c r="S342" s="287">
        <f t="shared" si="58"/>
        <v>0</v>
      </c>
    </row>
    <row r="343" spans="1:19">
      <c r="A343" s="295"/>
      <c r="B343" s="296"/>
      <c r="C343" s="288">
        <f t="shared" si="48"/>
        <v>1</v>
      </c>
      <c r="D343" s="297"/>
      <c r="E343" s="288">
        <f t="shared" si="49"/>
        <v>1</v>
      </c>
      <c r="F343" s="297"/>
      <c r="G343" s="288">
        <f t="shared" si="50"/>
        <v>1</v>
      </c>
      <c r="H343" s="297"/>
      <c r="I343" s="288">
        <f t="shared" si="51"/>
        <v>1</v>
      </c>
      <c r="J343" s="297"/>
      <c r="K343" s="288">
        <f t="shared" si="52"/>
        <v>1</v>
      </c>
      <c r="L343" s="297"/>
      <c r="M343" s="288">
        <f t="shared" si="53"/>
        <v>1</v>
      </c>
      <c r="N343" s="297"/>
      <c r="O343" s="288">
        <f t="shared" si="54"/>
        <v>1</v>
      </c>
      <c r="P343" s="297"/>
      <c r="Q343" s="288">
        <f t="shared" si="55"/>
        <v>1</v>
      </c>
      <c r="R343" s="348">
        <f t="shared" si="56"/>
        <v>0</v>
      </c>
      <c r="S343" s="287">
        <f t="shared" si="58"/>
        <v>0</v>
      </c>
    </row>
    <row r="344" spans="1:19">
      <c r="A344" s="295"/>
      <c r="B344" s="296"/>
      <c r="C344" s="288">
        <f t="shared" si="48"/>
        <v>1</v>
      </c>
      <c r="D344" s="297"/>
      <c r="E344" s="288">
        <f t="shared" si="49"/>
        <v>1</v>
      </c>
      <c r="F344" s="297"/>
      <c r="G344" s="288">
        <f t="shared" si="50"/>
        <v>1</v>
      </c>
      <c r="H344" s="297"/>
      <c r="I344" s="288">
        <f t="shared" si="51"/>
        <v>1</v>
      </c>
      <c r="J344" s="297"/>
      <c r="K344" s="288">
        <f t="shared" si="52"/>
        <v>1</v>
      </c>
      <c r="L344" s="297"/>
      <c r="M344" s="288">
        <f t="shared" si="53"/>
        <v>1</v>
      </c>
      <c r="N344" s="297"/>
      <c r="O344" s="288">
        <f t="shared" si="54"/>
        <v>1</v>
      </c>
      <c r="P344" s="297"/>
      <c r="Q344" s="288">
        <f t="shared" si="55"/>
        <v>1</v>
      </c>
      <c r="R344" s="348">
        <f t="shared" si="56"/>
        <v>0</v>
      </c>
      <c r="S344" s="287">
        <f t="shared" si="58"/>
        <v>0</v>
      </c>
    </row>
    <row r="345" spans="1:19">
      <c r="A345" s="295"/>
      <c r="B345" s="296"/>
      <c r="C345" s="288">
        <f t="shared" si="48"/>
        <v>1</v>
      </c>
      <c r="D345" s="297"/>
      <c r="E345" s="288">
        <f t="shared" si="49"/>
        <v>1</v>
      </c>
      <c r="F345" s="297"/>
      <c r="G345" s="288">
        <f t="shared" si="50"/>
        <v>1</v>
      </c>
      <c r="H345" s="297"/>
      <c r="I345" s="288">
        <f t="shared" si="51"/>
        <v>1</v>
      </c>
      <c r="J345" s="297"/>
      <c r="K345" s="288">
        <f t="shared" si="52"/>
        <v>1</v>
      </c>
      <c r="L345" s="297"/>
      <c r="M345" s="288">
        <f t="shared" si="53"/>
        <v>1</v>
      </c>
      <c r="N345" s="297"/>
      <c r="O345" s="288">
        <f t="shared" si="54"/>
        <v>1</v>
      </c>
      <c r="P345" s="297"/>
      <c r="Q345" s="288">
        <f t="shared" si="55"/>
        <v>1</v>
      </c>
      <c r="R345" s="348">
        <f t="shared" si="56"/>
        <v>0</v>
      </c>
      <c r="S345" s="287">
        <f t="shared" si="58"/>
        <v>0</v>
      </c>
    </row>
    <row r="346" spans="1:19">
      <c r="A346" s="295"/>
      <c r="B346" s="296"/>
      <c r="C346" s="288">
        <f t="shared" ref="C346:C409" si="59">IF(B346="",1,(LOOKUP(B346,$3:$3,$4:$4)-LOOKUP($B$24,$3:$3,$4:$4)+100)/100)</f>
        <v>1</v>
      </c>
      <c r="D346" s="297"/>
      <c r="E346" s="288">
        <f t="shared" ref="E346:E409" si="60">(SUMIF($5:$5,D346,$6:$6)-SUMIF($5:$5,$D$24,$6:$6)+100)/100</f>
        <v>1</v>
      </c>
      <c r="F346" s="297"/>
      <c r="G346" s="288">
        <f t="shared" ref="G346:G409" si="61">(SUMIF($7:$7,F346,$8:$8)-SUMIF($7:$7,$F$24,$8:$8)+100)/100</f>
        <v>1</v>
      </c>
      <c r="H346" s="297"/>
      <c r="I346" s="288">
        <f t="shared" ref="I346:I409" si="62">(SUMIF($9:$9,H346,$10:$10)-SUMIF($9:$9,$H$24,$10:$10)+100)/100</f>
        <v>1</v>
      </c>
      <c r="J346" s="297"/>
      <c r="K346" s="288">
        <f t="shared" ref="K346:K409" si="63">(SUMIF($11:$11,J346,$12:$12)-SUMIF($11:$11,$J$24,$12:$12)+100)/100</f>
        <v>1</v>
      </c>
      <c r="L346" s="297"/>
      <c r="M346" s="288">
        <f t="shared" ref="M346:M409" si="64">(SUMIF($13:$13,L346,$14:$14)-SUMIF($13:$13,$L$24,$14:$14)+100)/100</f>
        <v>1</v>
      </c>
      <c r="N346" s="297"/>
      <c r="O346" s="288">
        <f t="shared" ref="O346:O409" si="65">(SUMIF($15:$15,N346,$16:$16)-SUMIF($15:$15,$N$24,$16:$16)+100)/100</f>
        <v>1</v>
      </c>
      <c r="P346" s="297"/>
      <c r="Q346" s="288">
        <f t="shared" ref="Q346:Q409" si="66">(SUMIF($17:$17,P346,$18:$18)-SUMIF($17:$17,$P$24,$18:$18)+100)/100</f>
        <v>1</v>
      </c>
      <c r="R346" s="348">
        <f t="shared" ref="R346:R409" si="67">IF(B346="",0,ROUND($R$24*C346*E346*G346*I346*K346*M346*O346*Q346,0))</f>
        <v>0</v>
      </c>
      <c r="S346" s="287">
        <f t="shared" si="58"/>
        <v>0</v>
      </c>
    </row>
    <row r="347" spans="1:19">
      <c r="A347" s="295"/>
      <c r="B347" s="296"/>
      <c r="C347" s="288">
        <f t="shared" si="59"/>
        <v>1</v>
      </c>
      <c r="D347" s="297"/>
      <c r="E347" s="288">
        <f t="shared" si="60"/>
        <v>1</v>
      </c>
      <c r="F347" s="297"/>
      <c r="G347" s="288">
        <f t="shared" si="61"/>
        <v>1</v>
      </c>
      <c r="H347" s="297"/>
      <c r="I347" s="288">
        <f t="shared" si="62"/>
        <v>1</v>
      </c>
      <c r="J347" s="297"/>
      <c r="K347" s="288">
        <f t="shared" si="63"/>
        <v>1</v>
      </c>
      <c r="L347" s="297"/>
      <c r="M347" s="288">
        <f t="shared" si="64"/>
        <v>1</v>
      </c>
      <c r="N347" s="297"/>
      <c r="O347" s="288">
        <f t="shared" si="65"/>
        <v>1</v>
      </c>
      <c r="P347" s="297"/>
      <c r="Q347" s="288">
        <f t="shared" si="66"/>
        <v>1</v>
      </c>
      <c r="R347" s="348">
        <f t="shared" si="67"/>
        <v>0</v>
      </c>
      <c r="S347" s="287">
        <f t="shared" si="58"/>
        <v>0</v>
      </c>
    </row>
    <row r="348" spans="1:19">
      <c r="A348" s="295"/>
      <c r="B348" s="296"/>
      <c r="C348" s="288">
        <f t="shared" si="59"/>
        <v>1</v>
      </c>
      <c r="D348" s="297"/>
      <c r="E348" s="288">
        <f t="shared" si="60"/>
        <v>1</v>
      </c>
      <c r="F348" s="297"/>
      <c r="G348" s="288">
        <f t="shared" si="61"/>
        <v>1</v>
      </c>
      <c r="H348" s="297"/>
      <c r="I348" s="288">
        <f t="shared" si="62"/>
        <v>1</v>
      </c>
      <c r="J348" s="297"/>
      <c r="K348" s="288">
        <f t="shared" si="63"/>
        <v>1</v>
      </c>
      <c r="L348" s="297"/>
      <c r="M348" s="288">
        <f t="shared" si="64"/>
        <v>1</v>
      </c>
      <c r="N348" s="297"/>
      <c r="O348" s="288">
        <f t="shared" si="65"/>
        <v>1</v>
      </c>
      <c r="P348" s="297"/>
      <c r="Q348" s="288">
        <f t="shared" si="66"/>
        <v>1</v>
      </c>
      <c r="R348" s="348">
        <f t="shared" si="67"/>
        <v>0</v>
      </c>
      <c r="S348" s="287">
        <f t="shared" si="58"/>
        <v>0</v>
      </c>
    </row>
    <row r="349" spans="1:19">
      <c r="A349" s="295"/>
      <c r="B349" s="296"/>
      <c r="C349" s="288">
        <f t="shared" si="59"/>
        <v>1</v>
      </c>
      <c r="D349" s="297"/>
      <c r="E349" s="288">
        <f t="shared" si="60"/>
        <v>1</v>
      </c>
      <c r="F349" s="297"/>
      <c r="G349" s="288">
        <f t="shared" si="61"/>
        <v>1</v>
      </c>
      <c r="H349" s="297"/>
      <c r="I349" s="288">
        <f t="shared" si="62"/>
        <v>1</v>
      </c>
      <c r="J349" s="297"/>
      <c r="K349" s="288">
        <f t="shared" si="63"/>
        <v>1</v>
      </c>
      <c r="L349" s="297"/>
      <c r="M349" s="288">
        <f t="shared" si="64"/>
        <v>1</v>
      </c>
      <c r="N349" s="297"/>
      <c r="O349" s="288">
        <f t="shared" si="65"/>
        <v>1</v>
      </c>
      <c r="P349" s="297"/>
      <c r="Q349" s="288">
        <f t="shared" si="66"/>
        <v>1</v>
      </c>
      <c r="R349" s="348">
        <f t="shared" si="67"/>
        <v>0</v>
      </c>
      <c r="S349" s="287">
        <f t="shared" si="58"/>
        <v>0</v>
      </c>
    </row>
    <row r="350" spans="1:19">
      <c r="A350" s="295"/>
      <c r="B350" s="296"/>
      <c r="C350" s="288">
        <f t="shared" si="59"/>
        <v>1</v>
      </c>
      <c r="D350" s="297"/>
      <c r="E350" s="288">
        <f t="shared" si="60"/>
        <v>1</v>
      </c>
      <c r="F350" s="297"/>
      <c r="G350" s="288">
        <f t="shared" si="61"/>
        <v>1</v>
      </c>
      <c r="H350" s="297"/>
      <c r="I350" s="288">
        <f t="shared" si="62"/>
        <v>1</v>
      </c>
      <c r="J350" s="297"/>
      <c r="K350" s="288">
        <f t="shared" si="63"/>
        <v>1</v>
      </c>
      <c r="L350" s="297"/>
      <c r="M350" s="288">
        <f t="shared" si="64"/>
        <v>1</v>
      </c>
      <c r="N350" s="297"/>
      <c r="O350" s="288">
        <f t="shared" si="65"/>
        <v>1</v>
      </c>
      <c r="P350" s="297"/>
      <c r="Q350" s="288">
        <f t="shared" si="66"/>
        <v>1</v>
      </c>
      <c r="R350" s="348">
        <f t="shared" si="67"/>
        <v>0</v>
      </c>
      <c r="S350" s="287">
        <f t="shared" si="58"/>
        <v>0</v>
      </c>
    </row>
    <row r="351" spans="1:19">
      <c r="A351" s="295"/>
      <c r="B351" s="296"/>
      <c r="C351" s="288">
        <f t="shared" si="59"/>
        <v>1</v>
      </c>
      <c r="D351" s="297"/>
      <c r="E351" s="288">
        <f t="shared" si="60"/>
        <v>1</v>
      </c>
      <c r="F351" s="297"/>
      <c r="G351" s="288">
        <f t="shared" si="61"/>
        <v>1</v>
      </c>
      <c r="H351" s="297"/>
      <c r="I351" s="288">
        <f t="shared" si="62"/>
        <v>1</v>
      </c>
      <c r="J351" s="297"/>
      <c r="K351" s="288">
        <f t="shared" si="63"/>
        <v>1</v>
      </c>
      <c r="L351" s="297"/>
      <c r="M351" s="288">
        <f t="shared" si="64"/>
        <v>1</v>
      </c>
      <c r="N351" s="297"/>
      <c r="O351" s="288">
        <f t="shared" si="65"/>
        <v>1</v>
      </c>
      <c r="P351" s="297"/>
      <c r="Q351" s="288">
        <f t="shared" si="66"/>
        <v>1</v>
      </c>
      <c r="R351" s="348">
        <f t="shared" si="67"/>
        <v>0</v>
      </c>
      <c r="S351" s="287">
        <f t="shared" si="58"/>
        <v>0</v>
      </c>
    </row>
    <row r="352" spans="1:19">
      <c r="A352" s="295"/>
      <c r="B352" s="296"/>
      <c r="C352" s="288">
        <f t="shared" si="59"/>
        <v>1</v>
      </c>
      <c r="D352" s="297"/>
      <c r="E352" s="288">
        <f t="shared" si="60"/>
        <v>1</v>
      </c>
      <c r="F352" s="297"/>
      <c r="G352" s="288">
        <f t="shared" si="61"/>
        <v>1</v>
      </c>
      <c r="H352" s="297"/>
      <c r="I352" s="288">
        <f t="shared" si="62"/>
        <v>1</v>
      </c>
      <c r="J352" s="297"/>
      <c r="K352" s="288">
        <f t="shared" si="63"/>
        <v>1</v>
      </c>
      <c r="L352" s="297"/>
      <c r="M352" s="288">
        <f t="shared" si="64"/>
        <v>1</v>
      </c>
      <c r="N352" s="297"/>
      <c r="O352" s="288">
        <f t="shared" si="65"/>
        <v>1</v>
      </c>
      <c r="P352" s="297"/>
      <c r="Q352" s="288">
        <f t="shared" si="66"/>
        <v>1</v>
      </c>
      <c r="R352" s="348">
        <f t="shared" si="67"/>
        <v>0</v>
      </c>
      <c r="S352" s="287">
        <f t="shared" si="58"/>
        <v>0</v>
      </c>
    </row>
    <row r="353" spans="1:19">
      <c r="A353" s="295"/>
      <c r="B353" s="296"/>
      <c r="C353" s="288">
        <f t="shared" si="59"/>
        <v>1</v>
      </c>
      <c r="D353" s="297"/>
      <c r="E353" s="288">
        <f t="shared" si="60"/>
        <v>1</v>
      </c>
      <c r="F353" s="297"/>
      <c r="G353" s="288">
        <f t="shared" si="61"/>
        <v>1</v>
      </c>
      <c r="H353" s="297"/>
      <c r="I353" s="288">
        <f t="shared" si="62"/>
        <v>1</v>
      </c>
      <c r="J353" s="297"/>
      <c r="K353" s="288">
        <f t="shared" si="63"/>
        <v>1</v>
      </c>
      <c r="L353" s="297"/>
      <c r="M353" s="288">
        <f t="shared" si="64"/>
        <v>1</v>
      </c>
      <c r="N353" s="297"/>
      <c r="O353" s="288">
        <f t="shared" si="65"/>
        <v>1</v>
      </c>
      <c r="P353" s="297"/>
      <c r="Q353" s="288">
        <f t="shared" si="66"/>
        <v>1</v>
      </c>
      <c r="R353" s="348">
        <f t="shared" si="67"/>
        <v>0</v>
      </c>
      <c r="S353" s="287">
        <f t="shared" si="58"/>
        <v>0</v>
      </c>
    </row>
    <row r="354" spans="1:19">
      <c r="A354" s="295"/>
      <c r="B354" s="296"/>
      <c r="C354" s="288">
        <f t="shared" si="59"/>
        <v>1</v>
      </c>
      <c r="D354" s="297"/>
      <c r="E354" s="288">
        <f t="shared" si="60"/>
        <v>1</v>
      </c>
      <c r="F354" s="297"/>
      <c r="G354" s="288">
        <f t="shared" si="61"/>
        <v>1</v>
      </c>
      <c r="H354" s="297"/>
      <c r="I354" s="288">
        <f t="shared" si="62"/>
        <v>1</v>
      </c>
      <c r="J354" s="297"/>
      <c r="K354" s="288">
        <f t="shared" si="63"/>
        <v>1</v>
      </c>
      <c r="L354" s="297"/>
      <c r="M354" s="288">
        <f t="shared" si="64"/>
        <v>1</v>
      </c>
      <c r="N354" s="297"/>
      <c r="O354" s="288">
        <f t="shared" si="65"/>
        <v>1</v>
      </c>
      <c r="P354" s="297"/>
      <c r="Q354" s="288">
        <f t="shared" si="66"/>
        <v>1</v>
      </c>
      <c r="R354" s="348">
        <f t="shared" si="67"/>
        <v>0</v>
      </c>
      <c r="S354" s="287">
        <f t="shared" si="58"/>
        <v>0</v>
      </c>
    </row>
    <row r="355" spans="1:19">
      <c r="A355" s="295"/>
      <c r="B355" s="296"/>
      <c r="C355" s="288">
        <f t="shared" si="59"/>
        <v>1</v>
      </c>
      <c r="D355" s="297"/>
      <c r="E355" s="288">
        <f t="shared" si="60"/>
        <v>1</v>
      </c>
      <c r="F355" s="297"/>
      <c r="G355" s="288">
        <f t="shared" si="61"/>
        <v>1</v>
      </c>
      <c r="H355" s="297"/>
      <c r="I355" s="288">
        <f t="shared" si="62"/>
        <v>1</v>
      </c>
      <c r="J355" s="297"/>
      <c r="K355" s="288">
        <f t="shared" si="63"/>
        <v>1</v>
      </c>
      <c r="L355" s="297"/>
      <c r="M355" s="288">
        <f t="shared" si="64"/>
        <v>1</v>
      </c>
      <c r="N355" s="297"/>
      <c r="O355" s="288">
        <f t="shared" si="65"/>
        <v>1</v>
      </c>
      <c r="P355" s="297"/>
      <c r="Q355" s="288">
        <f t="shared" si="66"/>
        <v>1</v>
      </c>
      <c r="R355" s="348">
        <f t="shared" si="67"/>
        <v>0</v>
      </c>
      <c r="S355" s="287">
        <f t="shared" si="58"/>
        <v>0</v>
      </c>
    </row>
    <row r="356" spans="1:19">
      <c r="A356" s="295"/>
      <c r="B356" s="296"/>
      <c r="C356" s="288">
        <f t="shared" si="59"/>
        <v>1</v>
      </c>
      <c r="D356" s="297"/>
      <c r="E356" s="288">
        <f t="shared" si="60"/>
        <v>1</v>
      </c>
      <c r="F356" s="297"/>
      <c r="G356" s="288">
        <f t="shared" si="61"/>
        <v>1</v>
      </c>
      <c r="H356" s="297"/>
      <c r="I356" s="288">
        <f t="shared" si="62"/>
        <v>1</v>
      </c>
      <c r="J356" s="297"/>
      <c r="K356" s="288">
        <f t="shared" si="63"/>
        <v>1</v>
      </c>
      <c r="L356" s="297"/>
      <c r="M356" s="288">
        <f t="shared" si="64"/>
        <v>1</v>
      </c>
      <c r="N356" s="297"/>
      <c r="O356" s="288">
        <f t="shared" si="65"/>
        <v>1</v>
      </c>
      <c r="P356" s="297"/>
      <c r="Q356" s="288">
        <f t="shared" si="66"/>
        <v>1</v>
      </c>
      <c r="R356" s="348">
        <f t="shared" si="67"/>
        <v>0</v>
      </c>
      <c r="S356" s="287">
        <f t="shared" si="58"/>
        <v>0</v>
      </c>
    </row>
    <row r="357" spans="1:19">
      <c r="A357" s="295"/>
      <c r="B357" s="296"/>
      <c r="C357" s="288">
        <f t="shared" si="59"/>
        <v>1</v>
      </c>
      <c r="D357" s="297"/>
      <c r="E357" s="288">
        <f t="shared" si="60"/>
        <v>1</v>
      </c>
      <c r="F357" s="297"/>
      <c r="G357" s="288">
        <f t="shared" si="61"/>
        <v>1</v>
      </c>
      <c r="H357" s="297"/>
      <c r="I357" s="288">
        <f t="shared" si="62"/>
        <v>1</v>
      </c>
      <c r="J357" s="297"/>
      <c r="K357" s="288">
        <f t="shared" si="63"/>
        <v>1</v>
      </c>
      <c r="L357" s="297"/>
      <c r="M357" s="288">
        <f t="shared" si="64"/>
        <v>1</v>
      </c>
      <c r="N357" s="297"/>
      <c r="O357" s="288">
        <f t="shared" si="65"/>
        <v>1</v>
      </c>
      <c r="P357" s="297"/>
      <c r="Q357" s="288">
        <f t="shared" si="66"/>
        <v>1</v>
      </c>
      <c r="R357" s="348">
        <f t="shared" si="67"/>
        <v>0</v>
      </c>
      <c r="S357" s="287">
        <f t="shared" si="58"/>
        <v>0</v>
      </c>
    </row>
    <row r="358" spans="1:19">
      <c r="A358" s="295"/>
      <c r="B358" s="296"/>
      <c r="C358" s="288">
        <f t="shared" si="59"/>
        <v>1</v>
      </c>
      <c r="D358" s="297"/>
      <c r="E358" s="288">
        <f t="shared" si="60"/>
        <v>1</v>
      </c>
      <c r="F358" s="297"/>
      <c r="G358" s="288">
        <f t="shared" si="61"/>
        <v>1</v>
      </c>
      <c r="H358" s="297"/>
      <c r="I358" s="288">
        <f t="shared" si="62"/>
        <v>1</v>
      </c>
      <c r="J358" s="297"/>
      <c r="K358" s="288">
        <f t="shared" si="63"/>
        <v>1</v>
      </c>
      <c r="L358" s="297"/>
      <c r="M358" s="288">
        <f t="shared" si="64"/>
        <v>1</v>
      </c>
      <c r="N358" s="297"/>
      <c r="O358" s="288">
        <f t="shared" si="65"/>
        <v>1</v>
      </c>
      <c r="P358" s="297"/>
      <c r="Q358" s="288">
        <f t="shared" si="66"/>
        <v>1</v>
      </c>
      <c r="R358" s="348">
        <f t="shared" si="67"/>
        <v>0</v>
      </c>
      <c r="S358" s="287">
        <f t="shared" si="58"/>
        <v>0</v>
      </c>
    </row>
    <row r="359" spans="1:19">
      <c r="A359" s="295"/>
      <c r="B359" s="296"/>
      <c r="C359" s="288">
        <f t="shared" si="59"/>
        <v>1</v>
      </c>
      <c r="D359" s="297"/>
      <c r="E359" s="288">
        <f t="shared" si="60"/>
        <v>1</v>
      </c>
      <c r="F359" s="297"/>
      <c r="G359" s="288">
        <f t="shared" si="61"/>
        <v>1</v>
      </c>
      <c r="H359" s="297"/>
      <c r="I359" s="288">
        <f t="shared" si="62"/>
        <v>1</v>
      </c>
      <c r="J359" s="297"/>
      <c r="K359" s="288">
        <f t="shared" si="63"/>
        <v>1</v>
      </c>
      <c r="L359" s="297"/>
      <c r="M359" s="288">
        <f t="shared" si="64"/>
        <v>1</v>
      </c>
      <c r="N359" s="297"/>
      <c r="O359" s="288">
        <f t="shared" si="65"/>
        <v>1</v>
      </c>
      <c r="P359" s="297"/>
      <c r="Q359" s="288">
        <f t="shared" si="66"/>
        <v>1</v>
      </c>
      <c r="R359" s="348">
        <f t="shared" si="67"/>
        <v>0</v>
      </c>
      <c r="S359" s="287">
        <f t="shared" si="58"/>
        <v>0</v>
      </c>
    </row>
    <row r="360" spans="1:19">
      <c r="A360" s="295"/>
      <c r="B360" s="296"/>
      <c r="C360" s="288">
        <f t="shared" si="59"/>
        <v>1</v>
      </c>
      <c r="D360" s="297"/>
      <c r="E360" s="288">
        <f t="shared" si="60"/>
        <v>1</v>
      </c>
      <c r="F360" s="297"/>
      <c r="G360" s="288">
        <f t="shared" si="61"/>
        <v>1</v>
      </c>
      <c r="H360" s="297"/>
      <c r="I360" s="288">
        <f t="shared" si="62"/>
        <v>1</v>
      </c>
      <c r="J360" s="297"/>
      <c r="K360" s="288">
        <f t="shared" si="63"/>
        <v>1</v>
      </c>
      <c r="L360" s="297"/>
      <c r="M360" s="288">
        <f t="shared" si="64"/>
        <v>1</v>
      </c>
      <c r="N360" s="297"/>
      <c r="O360" s="288">
        <f t="shared" si="65"/>
        <v>1</v>
      </c>
      <c r="P360" s="297"/>
      <c r="Q360" s="288">
        <f t="shared" si="66"/>
        <v>1</v>
      </c>
      <c r="R360" s="348">
        <f t="shared" si="67"/>
        <v>0</v>
      </c>
      <c r="S360" s="287">
        <f t="shared" si="58"/>
        <v>0</v>
      </c>
    </row>
    <row r="361" spans="1:19">
      <c r="A361" s="295"/>
      <c r="B361" s="296"/>
      <c r="C361" s="288">
        <f t="shared" si="59"/>
        <v>1</v>
      </c>
      <c r="D361" s="297"/>
      <c r="E361" s="288">
        <f t="shared" si="60"/>
        <v>1</v>
      </c>
      <c r="F361" s="297"/>
      <c r="G361" s="288">
        <f t="shared" si="61"/>
        <v>1</v>
      </c>
      <c r="H361" s="297"/>
      <c r="I361" s="288">
        <f t="shared" si="62"/>
        <v>1</v>
      </c>
      <c r="J361" s="297"/>
      <c r="K361" s="288">
        <f t="shared" si="63"/>
        <v>1</v>
      </c>
      <c r="L361" s="297"/>
      <c r="M361" s="288">
        <f t="shared" si="64"/>
        <v>1</v>
      </c>
      <c r="N361" s="297"/>
      <c r="O361" s="288">
        <f t="shared" si="65"/>
        <v>1</v>
      </c>
      <c r="P361" s="297"/>
      <c r="Q361" s="288">
        <f t="shared" si="66"/>
        <v>1</v>
      </c>
      <c r="R361" s="348">
        <f t="shared" si="67"/>
        <v>0</v>
      </c>
      <c r="S361" s="287">
        <f t="shared" si="58"/>
        <v>0</v>
      </c>
    </row>
    <row r="362" spans="1:19">
      <c r="A362" s="295"/>
      <c r="B362" s="296"/>
      <c r="C362" s="288">
        <f t="shared" si="59"/>
        <v>1</v>
      </c>
      <c r="D362" s="297"/>
      <c r="E362" s="288">
        <f t="shared" si="60"/>
        <v>1</v>
      </c>
      <c r="F362" s="297"/>
      <c r="G362" s="288">
        <f t="shared" si="61"/>
        <v>1</v>
      </c>
      <c r="H362" s="297"/>
      <c r="I362" s="288">
        <f t="shared" si="62"/>
        <v>1</v>
      </c>
      <c r="J362" s="297"/>
      <c r="K362" s="288">
        <f t="shared" si="63"/>
        <v>1</v>
      </c>
      <c r="L362" s="297"/>
      <c r="M362" s="288">
        <f t="shared" si="64"/>
        <v>1</v>
      </c>
      <c r="N362" s="297"/>
      <c r="O362" s="288">
        <f t="shared" si="65"/>
        <v>1</v>
      </c>
      <c r="P362" s="297"/>
      <c r="Q362" s="288">
        <f t="shared" si="66"/>
        <v>1</v>
      </c>
      <c r="R362" s="348">
        <f t="shared" si="67"/>
        <v>0</v>
      </c>
      <c r="S362" s="287">
        <f t="shared" si="58"/>
        <v>0</v>
      </c>
    </row>
    <row r="363" spans="1:19">
      <c r="A363" s="295"/>
      <c r="B363" s="296"/>
      <c r="C363" s="288">
        <f t="shared" si="59"/>
        <v>1</v>
      </c>
      <c r="D363" s="297"/>
      <c r="E363" s="288">
        <f t="shared" si="60"/>
        <v>1</v>
      </c>
      <c r="F363" s="297"/>
      <c r="G363" s="288">
        <f t="shared" si="61"/>
        <v>1</v>
      </c>
      <c r="H363" s="297"/>
      <c r="I363" s="288">
        <f t="shared" si="62"/>
        <v>1</v>
      </c>
      <c r="J363" s="297"/>
      <c r="K363" s="288">
        <f t="shared" si="63"/>
        <v>1</v>
      </c>
      <c r="L363" s="297"/>
      <c r="M363" s="288">
        <f t="shared" si="64"/>
        <v>1</v>
      </c>
      <c r="N363" s="297"/>
      <c r="O363" s="288">
        <f t="shared" si="65"/>
        <v>1</v>
      </c>
      <c r="P363" s="297"/>
      <c r="Q363" s="288">
        <f t="shared" si="66"/>
        <v>1</v>
      </c>
      <c r="R363" s="348">
        <f t="shared" si="67"/>
        <v>0</v>
      </c>
      <c r="S363" s="287">
        <f t="shared" si="58"/>
        <v>0</v>
      </c>
    </row>
    <row r="364" spans="1:19">
      <c r="A364" s="295"/>
      <c r="B364" s="296"/>
      <c r="C364" s="288">
        <f t="shared" si="59"/>
        <v>1</v>
      </c>
      <c r="D364" s="297"/>
      <c r="E364" s="288">
        <f t="shared" si="60"/>
        <v>1</v>
      </c>
      <c r="F364" s="297"/>
      <c r="G364" s="288">
        <f t="shared" si="61"/>
        <v>1</v>
      </c>
      <c r="H364" s="297"/>
      <c r="I364" s="288">
        <f t="shared" si="62"/>
        <v>1</v>
      </c>
      <c r="J364" s="297"/>
      <c r="K364" s="288">
        <f t="shared" si="63"/>
        <v>1</v>
      </c>
      <c r="L364" s="297"/>
      <c r="M364" s="288">
        <f t="shared" si="64"/>
        <v>1</v>
      </c>
      <c r="N364" s="297"/>
      <c r="O364" s="288">
        <f t="shared" si="65"/>
        <v>1</v>
      </c>
      <c r="P364" s="297"/>
      <c r="Q364" s="288">
        <f t="shared" si="66"/>
        <v>1</v>
      </c>
      <c r="R364" s="348">
        <f t="shared" si="67"/>
        <v>0</v>
      </c>
      <c r="S364" s="287">
        <f t="shared" si="58"/>
        <v>0</v>
      </c>
    </row>
    <row r="365" spans="1:19">
      <c r="A365" s="295"/>
      <c r="B365" s="296"/>
      <c r="C365" s="288">
        <f t="shared" si="59"/>
        <v>1</v>
      </c>
      <c r="D365" s="297"/>
      <c r="E365" s="288">
        <f t="shared" si="60"/>
        <v>1</v>
      </c>
      <c r="F365" s="297"/>
      <c r="G365" s="288">
        <f t="shared" si="61"/>
        <v>1</v>
      </c>
      <c r="H365" s="297"/>
      <c r="I365" s="288">
        <f t="shared" si="62"/>
        <v>1</v>
      </c>
      <c r="J365" s="297"/>
      <c r="K365" s="288">
        <f t="shared" si="63"/>
        <v>1</v>
      </c>
      <c r="L365" s="297"/>
      <c r="M365" s="288">
        <f t="shared" si="64"/>
        <v>1</v>
      </c>
      <c r="N365" s="297"/>
      <c r="O365" s="288">
        <f t="shared" si="65"/>
        <v>1</v>
      </c>
      <c r="P365" s="297"/>
      <c r="Q365" s="288">
        <f t="shared" si="66"/>
        <v>1</v>
      </c>
      <c r="R365" s="348">
        <f t="shared" si="67"/>
        <v>0</v>
      </c>
      <c r="S365" s="287">
        <f t="shared" si="58"/>
        <v>0</v>
      </c>
    </row>
    <row r="366" spans="1:19">
      <c r="A366" s="295"/>
      <c r="B366" s="296"/>
      <c r="C366" s="288">
        <f t="shared" si="59"/>
        <v>1</v>
      </c>
      <c r="D366" s="297"/>
      <c r="E366" s="288">
        <f t="shared" si="60"/>
        <v>1</v>
      </c>
      <c r="F366" s="297"/>
      <c r="G366" s="288">
        <f t="shared" si="61"/>
        <v>1</v>
      </c>
      <c r="H366" s="297"/>
      <c r="I366" s="288">
        <f t="shared" si="62"/>
        <v>1</v>
      </c>
      <c r="J366" s="297"/>
      <c r="K366" s="288">
        <f t="shared" si="63"/>
        <v>1</v>
      </c>
      <c r="L366" s="297"/>
      <c r="M366" s="288">
        <f t="shared" si="64"/>
        <v>1</v>
      </c>
      <c r="N366" s="297"/>
      <c r="O366" s="288">
        <f t="shared" si="65"/>
        <v>1</v>
      </c>
      <c r="P366" s="297"/>
      <c r="Q366" s="288">
        <f t="shared" si="66"/>
        <v>1</v>
      </c>
      <c r="R366" s="348">
        <f t="shared" si="67"/>
        <v>0</v>
      </c>
      <c r="S366" s="287">
        <f t="shared" si="58"/>
        <v>0</v>
      </c>
    </row>
    <row r="367" spans="1:19">
      <c r="A367" s="295"/>
      <c r="B367" s="296"/>
      <c r="C367" s="288">
        <f t="shared" si="59"/>
        <v>1</v>
      </c>
      <c r="D367" s="297"/>
      <c r="E367" s="288">
        <f t="shared" si="60"/>
        <v>1</v>
      </c>
      <c r="F367" s="297"/>
      <c r="G367" s="288">
        <f t="shared" si="61"/>
        <v>1</v>
      </c>
      <c r="H367" s="297"/>
      <c r="I367" s="288">
        <f t="shared" si="62"/>
        <v>1</v>
      </c>
      <c r="J367" s="297"/>
      <c r="K367" s="288">
        <f t="shared" si="63"/>
        <v>1</v>
      </c>
      <c r="L367" s="297"/>
      <c r="M367" s="288">
        <f t="shared" si="64"/>
        <v>1</v>
      </c>
      <c r="N367" s="297"/>
      <c r="O367" s="288">
        <f t="shared" si="65"/>
        <v>1</v>
      </c>
      <c r="P367" s="297"/>
      <c r="Q367" s="288">
        <f t="shared" si="66"/>
        <v>1</v>
      </c>
      <c r="R367" s="348">
        <f t="shared" si="67"/>
        <v>0</v>
      </c>
      <c r="S367" s="287">
        <f t="shared" si="58"/>
        <v>0</v>
      </c>
    </row>
    <row r="368" spans="1:19">
      <c r="A368" s="295"/>
      <c r="B368" s="296"/>
      <c r="C368" s="288">
        <f t="shared" si="59"/>
        <v>1</v>
      </c>
      <c r="D368" s="297"/>
      <c r="E368" s="288">
        <f t="shared" si="60"/>
        <v>1</v>
      </c>
      <c r="F368" s="297"/>
      <c r="G368" s="288">
        <f t="shared" si="61"/>
        <v>1</v>
      </c>
      <c r="H368" s="297"/>
      <c r="I368" s="288">
        <f t="shared" si="62"/>
        <v>1</v>
      </c>
      <c r="J368" s="297"/>
      <c r="K368" s="288">
        <f t="shared" si="63"/>
        <v>1</v>
      </c>
      <c r="L368" s="297"/>
      <c r="M368" s="288">
        <f t="shared" si="64"/>
        <v>1</v>
      </c>
      <c r="N368" s="297"/>
      <c r="O368" s="288">
        <f t="shared" si="65"/>
        <v>1</v>
      </c>
      <c r="P368" s="297"/>
      <c r="Q368" s="288">
        <f t="shared" si="66"/>
        <v>1</v>
      </c>
      <c r="R368" s="348">
        <f t="shared" si="67"/>
        <v>0</v>
      </c>
      <c r="S368" s="287">
        <f t="shared" si="58"/>
        <v>0</v>
      </c>
    </row>
    <row r="369" spans="1:19">
      <c r="A369" s="295"/>
      <c r="B369" s="296"/>
      <c r="C369" s="288">
        <f t="shared" si="59"/>
        <v>1</v>
      </c>
      <c r="D369" s="297"/>
      <c r="E369" s="288">
        <f t="shared" si="60"/>
        <v>1</v>
      </c>
      <c r="F369" s="297"/>
      <c r="G369" s="288">
        <f t="shared" si="61"/>
        <v>1</v>
      </c>
      <c r="H369" s="297"/>
      <c r="I369" s="288">
        <f t="shared" si="62"/>
        <v>1</v>
      </c>
      <c r="J369" s="297"/>
      <c r="K369" s="288">
        <f t="shared" si="63"/>
        <v>1</v>
      </c>
      <c r="L369" s="297"/>
      <c r="M369" s="288">
        <f t="shared" si="64"/>
        <v>1</v>
      </c>
      <c r="N369" s="297"/>
      <c r="O369" s="288">
        <f t="shared" si="65"/>
        <v>1</v>
      </c>
      <c r="P369" s="297"/>
      <c r="Q369" s="288">
        <f t="shared" si="66"/>
        <v>1</v>
      </c>
      <c r="R369" s="348">
        <f t="shared" si="67"/>
        <v>0</v>
      </c>
      <c r="S369" s="287">
        <f t="shared" si="58"/>
        <v>0</v>
      </c>
    </row>
    <row r="370" spans="1:19">
      <c r="A370" s="295"/>
      <c r="B370" s="296"/>
      <c r="C370" s="288">
        <f t="shared" si="59"/>
        <v>1</v>
      </c>
      <c r="D370" s="297"/>
      <c r="E370" s="288">
        <f t="shared" si="60"/>
        <v>1</v>
      </c>
      <c r="F370" s="297"/>
      <c r="G370" s="288">
        <f t="shared" si="61"/>
        <v>1</v>
      </c>
      <c r="H370" s="297"/>
      <c r="I370" s="288">
        <f t="shared" si="62"/>
        <v>1</v>
      </c>
      <c r="J370" s="297"/>
      <c r="K370" s="288">
        <f t="shared" si="63"/>
        <v>1</v>
      </c>
      <c r="L370" s="297"/>
      <c r="M370" s="288">
        <f t="shared" si="64"/>
        <v>1</v>
      </c>
      <c r="N370" s="297"/>
      <c r="O370" s="288">
        <f t="shared" si="65"/>
        <v>1</v>
      </c>
      <c r="P370" s="297"/>
      <c r="Q370" s="288">
        <f t="shared" si="66"/>
        <v>1</v>
      </c>
      <c r="R370" s="348">
        <f t="shared" si="67"/>
        <v>0</v>
      </c>
      <c r="S370" s="287">
        <f t="shared" si="58"/>
        <v>0</v>
      </c>
    </row>
    <row r="371" spans="1:19">
      <c r="A371" s="295"/>
      <c r="B371" s="296"/>
      <c r="C371" s="288">
        <f t="shared" si="59"/>
        <v>1</v>
      </c>
      <c r="D371" s="297"/>
      <c r="E371" s="288">
        <f t="shared" si="60"/>
        <v>1</v>
      </c>
      <c r="F371" s="297"/>
      <c r="G371" s="288">
        <f t="shared" si="61"/>
        <v>1</v>
      </c>
      <c r="H371" s="297"/>
      <c r="I371" s="288">
        <f t="shared" si="62"/>
        <v>1</v>
      </c>
      <c r="J371" s="297"/>
      <c r="K371" s="288">
        <f t="shared" si="63"/>
        <v>1</v>
      </c>
      <c r="L371" s="297"/>
      <c r="M371" s="288">
        <f t="shared" si="64"/>
        <v>1</v>
      </c>
      <c r="N371" s="297"/>
      <c r="O371" s="288">
        <f t="shared" si="65"/>
        <v>1</v>
      </c>
      <c r="P371" s="297"/>
      <c r="Q371" s="288">
        <f t="shared" si="66"/>
        <v>1</v>
      </c>
      <c r="R371" s="348">
        <f t="shared" si="67"/>
        <v>0</v>
      </c>
      <c r="S371" s="287">
        <f t="shared" si="58"/>
        <v>0</v>
      </c>
    </row>
    <row r="372" spans="1:19">
      <c r="A372" s="295"/>
      <c r="B372" s="296"/>
      <c r="C372" s="288">
        <f t="shared" si="59"/>
        <v>1</v>
      </c>
      <c r="D372" s="297"/>
      <c r="E372" s="288">
        <f t="shared" si="60"/>
        <v>1</v>
      </c>
      <c r="F372" s="297"/>
      <c r="G372" s="288">
        <f t="shared" si="61"/>
        <v>1</v>
      </c>
      <c r="H372" s="297"/>
      <c r="I372" s="288">
        <f t="shared" si="62"/>
        <v>1</v>
      </c>
      <c r="J372" s="297"/>
      <c r="K372" s="288">
        <f t="shared" si="63"/>
        <v>1</v>
      </c>
      <c r="L372" s="297"/>
      <c r="M372" s="288">
        <f t="shared" si="64"/>
        <v>1</v>
      </c>
      <c r="N372" s="297"/>
      <c r="O372" s="288">
        <f t="shared" si="65"/>
        <v>1</v>
      </c>
      <c r="P372" s="297"/>
      <c r="Q372" s="288">
        <f t="shared" si="66"/>
        <v>1</v>
      </c>
      <c r="R372" s="348">
        <f t="shared" si="67"/>
        <v>0</v>
      </c>
      <c r="S372" s="287">
        <f t="shared" si="58"/>
        <v>0</v>
      </c>
    </row>
    <row r="373" spans="1:19">
      <c r="A373" s="295"/>
      <c r="B373" s="296"/>
      <c r="C373" s="288">
        <f t="shared" si="59"/>
        <v>1</v>
      </c>
      <c r="D373" s="297"/>
      <c r="E373" s="288">
        <f t="shared" si="60"/>
        <v>1</v>
      </c>
      <c r="F373" s="297"/>
      <c r="G373" s="288">
        <f t="shared" si="61"/>
        <v>1</v>
      </c>
      <c r="H373" s="297"/>
      <c r="I373" s="288">
        <f t="shared" si="62"/>
        <v>1</v>
      </c>
      <c r="J373" s="297"/>
      <c r="K373" s="288">
        <f t="shared" si="63"/>
        <v>1</v>
      </c>
      <c r="L373" s="297"/>
      <c r="M373" s="288">
        <f t="shared" si="64"/>
        <v>1</v>
      </c>
      <c r="N373" s="297"/>
      <c r="O373" s="288">
        <f t="shared" si="65"/>
        <v>1</v>
      </c>
      <c r="P373" s="297"/>
      <c r="Q373" s="288">
        <f t="shared" si="66"/>
        <v>1</v>
      </c>
      <c r="R373" s="348">
        <f t="shared" si="67"/>
        <v>0</v>
      </c>
      <c r="S373" s="287">
        <f t="shared" si="58"/>
        <v>0</v>
      </c>
    </row>
    <row r="374" spans="1:19">
      <c r="A374" s="295"/>
      <c r="B374" s="296"/>
      <c r="C374" s="288">
        <f t="shared" si="59"/>
        <v>1</v>
      </c>
      <c r="D374" s="297"/>
      <c r="E374" s="288">
        <f t="shared" si="60"/>
        <v>1</v>
      </c>
      <c r="F374" s="297"/>
      <c r="G374" s="288">
        <f t="shared" si="61"/>
        <v>1</v>
      </c>
      <c r="H374" s="297"/>
      <c r="I374" s="288">
        <f t="shared" si="62"/>
        <v>1</v>
      </c>
      <c r="J374" s="297"/>
      <c r="K374" s="288">
        <f t="shared" si="63"/>
        <v>1</v>
      </c>
      <c r="L374" s="297"/>
      <c r="M374" s="288">
        <f t="shared" si="64"/>
        <v>1</v>
      </c>
      <c r="N374" s="297"/>
      <c r="O374" s="288">
        <f t="shared" si="65"/>
        <v>1</v>
      </c>
      <c r="P374" s="297"/>
      <c r="Q374" s="288">
        <f t="shared" si="66"/>
        <v>1</v>
      </c>
      <c r="R374" s="348">
        <f t="shared" si="67"/>
        <v>0</v>
      </c>
      <c r="S374" s="287">
        <f t="shared" si="58"/>
        <v>0</v>
      </c>
    </row>
    <row r="375" spans="1:19">
      <c r="A375" s="295"/>
      <c r="B375" s="296"/>
      <c r="C375" s="288">
        <f t="shared" si="59"/>
        <v>1</v>
      </c>
      <c r="D375" s="297"/>
      <c r="E375" s="288">
        <f t="shared" si="60"/>
        <v>1</v>
      </c>
      <c r="F375" s="297"/>
      <c r="G375" s="288">
        <f t="shared" si="61"/>
        <v>1</v>
      </c>
      <c r="H375" s="297"/>
      <c r="I375" s="288">
        <f t="shared" si="62"/>
        <v>1</v>
      </c>
      <c r="J375" s="297"/>
      <c r="K375" s="288">
        <f t="shared" si="63"/>
        <v>1</v>
      </c>
      <c r="L375" s="297"/>
      <c r="M375" s="288">
        <f t="shared" si="64"/>
        <v>1</v>
      </c>
      <c r="N375" s="297"/>
      <c r="O375" s="288">
        <f t="shared" si="65"/>
        <v>1</v>
      </c>
      <c r="P375" s="297"/>
      <c r="Q375" s="288">
        <f t="shared" si="66"/>
        <v>1</v>
      </c>
      <c r="R375" s="348">
        <f t="shared" si="67"/>
        <v>0</v>
      </c>
      <c r="S375" s="287">
        <f t="shared" si="58"/>
        <v>0</v>
      </c>
    </row>
    <row r="376" spans="1:19">
      <c r="A376" s="295"/>
      <c r="B376" s="296"/>
      <c r="C376" s="288">
        <f t="shared" si="59"/>
        <v>1</v>
      </c>
      <c r="D376" s="297"/>
      <c r="E376" s="288">
        <f t="shared" si="60"/>
        <v>1</v>
      </c>
      <c r="F376" s="297"/>
      <c r="G376" s="288">
        <f t="shared" si="61"/>
        <v>1</v>
      </c>
      <c r="H376" s="297"/>
      <c r="I376" s="288">
        <f t="shared" si="62"/>
        <v>1</v>
      </c>
      <c r="J376" s="297"/>
      <c r="K376" s="288">
        <f t="shared" si="63"/>
        <v>1</v>
      </c>
      <c r="L376" s="297"/>
      <c r="M376" s="288">
        <f t="shared" si="64"/>
        <v>1</v>
      </c>
      <c r="N376" s="297"/>
      <c r="O376" s="288">
        <f t="shared" si="65"/>
        <v>1</v>
      </c>
      <c r="P376" s="297"/>
      <c r="Q376" s="288">
        <f t="shared" si="66"/>
        <v>1</v>
      </c>
      <c r="R376" s="348">
        <f t="shared" si="67"/>
        <v>0</v>
      </c>
      <c r="S376" s="287">
        <f t="shared" si="58"/>
        <v>0</v>
      </c>
    </row>
    <row r="377" spans="1:19">
      <c r="A377" s="295"/>
      <c r="B377" s="296"/>
      <c r="C377" s="288">
        <f t="shared" si="59"/>
        <v>1</v>
      </c>
      <c r="D377" s="297"/>
      <c r="E377" s="288">
        <f t="shared" si="60"/>
        <v>1</v>
      </c>
      <c r="F377" s="297"/>
      <c r="G377" s="288">
        <f t="shared" si="61"/>
        <v>1</v>
      </c>
      <c r="H377" s="297"/>
      <c r="I377" s="288">
        <f t="shared" si="62"/>
        <v>1</v>
      </c>
      <c r="J377" s="297"/>
      <c r="K377" s="288">
        <f t="shared" si="63"/>
        <v>1</v>
      </c>
      <c r="L377" s="297"/>
      <c r="M377" s="288">
        <f t="shared" si="64"/>
        <v>1</v>
      </c>
      <c r="N377" s="297"/>
      <c r="O377" s="288">
        <f t="shared" si="65"/>
        <v>1</v>
      </c>
      <c r="P377" s="297"/>
      <c r="Q377" s="288">
        <f t="shared" si="66"/>
        <v>1</v>
      </c>
      <c r="R377" s="348">
        <f t="shared" si="67"/>
        <v>0</v>
      </c>
      <c r="S377" s="287">
        <f t="shared" si="58"/>
        <v>0</v>
      </c>
    </row>
    <row r="378" spans="1:19">
      <c r="A378" s="295"/>
      <c r="B378" s="296"/>
      <c r="C378" s="288">
        <f t="shared" si="59"/>
        <v>1</v>
      </c>
      <c r="D378" s="297"/>
      <c r="E378" s="288">
        <f t="shared" si="60"/>
        <v>1</v>
      </c>
      <c r="F378" s="297"/>
      <c r="G378" s="288">
        <f t="shared" si="61"/>
        <v>1</v>
      </c>
      <c r="H378" s="297"/>
      <c r="I378" s="288">
        <f t="shared" si="62"/>
        <v>1</v>
      </c>
      <c r="J378" s="297"/>
      <c r="K378" s="288">
        <f t="shared" si="63"/>
        <v>1</v>
      </c>
      <c r="L378" s="297"/>
      <c r="M378" s="288">
        <f t="shared" si="64"/>
        <v>1</v>
      </c>
      <c r="N378" s="297"/>
      <c r="O378" s="288">
        <f t="shared" si="65"/>
        <v>1</v>
      </c>
      <c r="P378" s="297"/>
      <c r="Q378" s="288">
        <f t="shared" si="66"/>
        <v>1</v>
      </c>
      <c r="R378" s="348">
        <f t="shared" si="67"/>
        <v>0</v>
      </c>
      <c r="S378" s="287">
        <f t="shared" si="58"/>
        <v>0</v>
      </c>
    </row>
    <row r="379" spans="1:19">
      <c r="A379" s="295"/>
      <c r="B379" s="296"/>
      <c r="C379" s="288">
        <f t="shared" si="59"/>
        <v>1</v>
      </c>
      <c r="D379" s="297"/>
      <c r="E379" s="288">
        <f t="shared" si="60"/>
        <v>1</v>
      </c>
      <c r="F379" s="297"/>
      <c r="G379" s="288">
        <f t="shared" si="61"/>
        <v>1</v>
      </c>
      <c r="H379" s="297"/>
      <c r="I379" s="288">
        <f t="shared" si="62"/>
        <v>1</v>
      </c>
      <c r="J379" s="297"/>
      <c r="K379" s="288">
        <f t="shared" si="63"/>
        <v>1</v>
      </c>
      <c r="L379" s="297"/>
      <c r="M379" s="288">
        <f t="shared" si="64"/>
        <v>1</v>
      </c>
      <c r="N379" s="297"/>
      <c r="O379" s="288">
        <f t="shared" si="65"/>
        <v>1</v>
      </c>
      <c r="P379" s="297"/>
      <c r="Q379" s="288">
        <f t="shared" si="66"/>
        <v>1</v>
      </c>
      <c r="R379" s="348">
        <f t="shared" si="67"/>
        <v>0</v>
      </c>
      <c r="S379" s="287">
        <f t="shared" si="58"/>
        <v>0</v>
      </c>
    </row>
    <row r="380" spans="1:19">
      <c r="A380" s="295"/>
      <c r="B380" s="296"/>
      <c r="C380" s="288">
        <f t="shared" si="59"/>
        <v>1</v>
      </c>
      <c r="D380" s="297"/>
      <c r="E380" s="288">
        <f t="shared" si="60"/>
        <v>1</v>
      </c>
      <c r="F380" s="297"/>
      <c r="G380" s="288">
        <f t="shared" si="61"/>
        <v>1</v>
      </c>
      <c r="H380" s="297"/>
      <c r="I380" s="288">
        <f t="shared" si="62"/>
        <v>1</v>
      </c>
      <c r="J380" s="297"/>
      <c r="K380" s="288">
        <f t="shared" si="63"/>
        <v>1</v>
      </c>
      <c r="L380" s="297"/>
      <c r="M380" s="288">
        <f t="shared" si="64"/>
        <v>1</v>
      </c>
      <c r="N380" s="297"/>
      <c r="O380" s="288">
        <f t="shared" si="65"/>
        <v>1</v>
      </c>
      <c r="P380" s="297"/>
      <c r="Q380" s="288">
        <f t="shared" si="66"/>
        <v>1</v>
      </c>
      <c r="R380" s="348">
        <f t="shared" si="67"/>
        <v>0</v>
      </c>
      <c r="S380" s="287">
        <f t="shared" si="58"/>
        <v>0</v>
      </c>
    </row>
    <row r="381" spans="1:19">
      <c r="A381" s="295"/>
      <c r="B381" s="296"/>
      <c r="C381" s="288">
        <f t="shared" si="59"/>
        <v>1</v>
      </c>
      <c r="D381" s="297"/>
      <c r="E381" s="288">
        <f t="shared" si="60"/>
        <v>1</v>
      </c>
      <c r="F381" s="297"/>
      <c r="G381" s="288">
        <f t="shared" si="61"/>
        <v>1</v>
      </c>
      <c r="H381" s="297"/>
      <c r="I381" s="288">
        <f t="shared" si="62"/>
        <v>1</v>
      </c>
      <c r="J381" s="297"/>
      <c r="K381" s="288">
        <f t="shared" si="63"/>
        <v>1</v>
      </c>
      <c r="L381" s="297"/>
      <c r="M381" s="288">
        <f t="shared" si="64"/>
        <v>1</v>
      </c>
      <c r="N381" s="297"/>
      <c r="O381" s="288">
        <f t="shared" si="65"/>
        <v>1</v>
      </c>
      <c r="P381" s="297"/>
      <c r="Q381" s="288">
        <f t="shared" si="66"/>
        <v>1</v>
      </c>
      <c r="R381" s="348">
        <f t="shared" si="67"/>
        <v>0</v>
      </c>
      <c r="S381" s="287">
        <f t="shared" si="58"/>
        <v>0</v>
      </c>
    </row>
    <row r="382" spans="1:19">
      <c r="A382" s="295"/>
      <c r="B382" s="296"/>
      <c r="C382" s="288">
        <f t="shared" si="59"/>
        <v>1</v>
      </c>
      <c r="D382" s="297"/>
      <c r="E382" s="288">
        <f t="shared" si="60"/>
        <v>1</v>
      </c>
      <c r="F382" s="297"/>
      <c r="G382" s="288">
        <f t="shared" si="61"/>
        <v>1</v>
      </c>
      <c r="H382" s="297"/>
      <c r="I382" s="288">
        <f t="shared" si="62"/>
        <v>1</v>
      </c>
      <c r="J382" s="297"/>
      <c r="K382" s="288">
        <f t="shared" si="63"/>
        <v>1</v>
      </c>
      <c r="L382" s="297"/>
      <c r="M382" s="288">
        <f t="shared" si="64"/>
        <v>1</v>
      </c>
      <c r="N382" s="297"/>
      <c r="O382" s="288">
        <f t="shared" si="65"/>
        <v>1</v>
      </c>
      <c r="P382" s="297"/>
      <c r="Q382" s="288">
        <f t="shared" si="66"/>
        <v>1</v>
      </c>
      <c r="R382" s="348">
        <f t="shared" si="67"/>
        <v>0</v>
      </c>
      <c r="S382" s="287">
        <f t="shared" si="58"/>
        <v>0</v>
      </c>
    </row>
    <row r="383" spans="1:19">
      <c r="A383" s="295"/>
      <c r="B383" s="296"/>
      <c r="C383" s="288">
        <f t="shared" si="59"/>
        <v>1</v>
      </c>
      <c r="D383" s="297"/>
      <c r="E383" s="288">
        <f t="shared" si="60"/>
        <v>1</v>
      </c>
      <c r="F383" s="297"/>
      <c r="G383" s="288">
        <f t="shared" si="61"/>
        <v>1</v>
      </c>
      <c r="H383" s="297"/>
      <c r="I383" s="288">
        <f t="shared" si="62"/>
        <v>1</v>
      </c>
      <c r="J383" s="297"/>
      <c r="K383" s="288">
        <f t="shared" si="63"/>
        <v>1</v>
      </c>
      <c r="L383" s="297"/>
      <c r="M383" s="288">
        <f t="shared" si="64"/>
        <v>1</v>
      </c>
      <c r="N383" s="297"/>
      <c r="O383" s="288">
        <f t="shared" si="65"/>
        <v>1</v>
      </c>
      <c r="P383" s="297"/>
      <c r="Q383" s="288">
        <f t="shared" si="66"/>
        <v>1</v>
      </c>
      <c r="R383" s="348">
        <f t="shared" si="67"/>
        <v>0</v>
      </c>
      <c r="S383" s="287">
        <f t="shared" si="58"/>
        <v>0</v>
      </c>
    </row>
    <row r="384" spans="1:19">
      <c r="A384" s="295"/>
      <c r="B384" s="296"/>
      <c r="C384" s="288">
        <f t="shared" si="59"/>
        <v>1</v>
      </c>
      <c r="D384" s="297"/>
      <c r="E384" s="288">
        <f t="shared" si="60"/>
        <v>1</v>
      </c>
      <c r="F384" s="297"/>
      <c r="G384" s="288">
        <f t="shared" si="61"/>
        <v>1</v>
      </c>
      <c r="H384" s="297"/>
      <c r="I384" s="288">
        <f t="shared" si="62"/>
        <v>1</v>
      </c>
      <c r="J384" s="297"/>
      <c r="K384" s="288">
        <f t="shared" si="63"/>
        <v>1</v>
      </c>
      <c r="L384" s="297"/>
      <c r="M384" s="288">
        <f t="shared" si="64"/>
        <v>1</v>
      </c>
      <c r="N384" s="297"/>
      <c r="O384" s="288">
        <f t="shared" si="65"/>
        <v>1</v>
      </c>
      <c r="P384" s="297"/>
      <c r="Q384" s="288">
        <f t="shared" si="66"/>
        <v>1</v>
      </c>
      <c r="R384" s="348">
        <f t="shared" si="67"/>
        <v>0</v>
      </c>
      <c r="S384" s="287">
        <f t="shared" si="58"/>
        <v>0</v>
      </c>
    </row>
    <row r="385" spans="1:19">
      <c r="A385" s="295"/>
      <c r="B385" s="296"/>
      <c r="C385" s="288">
        <f t="shared" si="59"/>
        <v>1</v>
      </c>
      <c r="D385" s="297"/>
      <c r="E385" s="288">
        <f t="shared" si="60"/>
        <v>1</v>
      </c>
      <c r="F385" s="297"/>
      <c r="G385" s="288">
        <f t="shared" si="61"/>
        <v>1</v>
      </c>
      <c r="H385" s="297"/>
      <c r="I385" s="288">
        <f t="shared" si="62"/>
        <v>1</v>
      </c>
      <c r="J385" s="297"/>
      <c r="K385" s="288">
        <f t="shared" si="63"/>
        <v>1</v>
      </c>
      <c r="L385" s="297"/>
      <c r="M385" s="288">
        <f t="shared" si="64"/>
        <v>1</v>
      </c>
      <c r="N385" s="297"/>
      <c r="O385" s="288">
        <f t="shared" si="65"/>
        <v>1</v>
      </c>
      <c r="P385" s="297"/>
      <c r="Q385" s="288">
        <f t="shared" si="66"/>
        <v>1</v>
      </c>
      <c r="R385" s="348">
        <f t="shared" si="67"/>
        <v>0</v>
      </c>
      <c r="S385" s="287">
        <f t="shared" ref="S385:S422" si="68">ROUND(R385*B385/10000,0)</f>
        <v>0</v>
      </c>
    </row>
    <row r="386" spans="1:19">
      <c r="A386" s="295"/>
      <c r="B386" s="296"/>
      <c r="C386" s="288">
        <f t="shared" si="59"/>
        <v>1</v>
      </c>
      <c r="D386" s="297"/>
      <c r="E386" s="288">
        <f t="shared" si="60"/>
        <v>1</v>
      </c>
      <c r="F386" s="297"/>
      <c r="G386" s="288">
        <f t="shared" si="61"/>
        <v>1</v>
      </c>
      <c r="H386" s="297"/>
      <c r="I386" s="288">
        <f t="shared" si="62"/>
        <v>1</v>
      </c>
      <c r="J386" s="297"/>
      <c r="K386" s="288">
        <f t="shared" si="63"/>
        <v>1</v>
      </c>
      <c r="L386" s="297"/>
      <c r="M386" s="288">
        <f t="shared" si="64"/>
        <v>1</v>
      </c>
      <c r="N386" s="297"/>
      <c r="O386" s="288">
        <f t="shared" si="65"/>
        <v>1</v>
      </c>
      <c r="P386" s="297"/>
      <c r="Q386" s="288">
        <f t="shared" si="66"/>
        <v>1</v>
      </c>
      <c r="R386" s="348">
        <f t="shared" si="67"/>
        <v>0</v>
      </c>
      <c r="S386" s="287">
        <f t="shared" si="68"/>
        <v>0</v>
      </c>
    </row>
    <row r="387" spans="1:19">
      <c r="A387" s="295"/>
      <c r="B387" s="296"/>
      <c r="C387" s="288">
        <f t="shared" si="59"/>
        <v>1</v>
      </c>
      <c r="D387" s="297"/>
      <c r="E387" s="288">
        <f t="shared" si="60"/>
        <v>1</v>
      </c>
      <c r="F387" s="297"/>
      <c r="G387" s="288">
        <f t="shared" si="61"/>
        <v>1</v>
      </c>
      <c r="H387" s="297"/>
      <c r="I387" s="288">
        <f t="shared" si="62"/>
        <v>1</v>
      </c>
      <c r="J387" s="297"/>
      <c r="K387" s="288">
        <f t="shared" si="63"/>
        <v>1</v>
      </c>
      <c r="L387" s="297"/>
      <c r="M387" s="288">
        <f t="shared" si="64"/>
        <v>1</v>
      </c>
      <c r="N387" s="297"/>
      <c r="O387" s="288">
        <f t="shared" si="65"/>
        <v>1</v>
      </c>
      <c r="P387" s="297"/>
      <c r="Q387" s="288">
        <f t="shared" si="66"/>
        <v>1</v>
      </c>
      <c r="R387" s="348">
        <f t="shared" si="67"/>
        <v>0</v>
      </c>
      <c r="S387" s="287">
        <f t="shared" si="68"/>
        <v>0</v>
      </c>
    </row>
    <row r="388" spans="1:19">
      <c r="A388" s="295"/>
      <c r="B388" s="296"/>
      <c r="C388" s="288">
        <f t="shared" si="59"/>
        <v>1</v>
      </c>
      <c r="D388" s="297"/>
      <c r="E388" s="288">
        <f t="shared" si="60"/>
        <v>1</v>
      </c>
      <c r="F388" s="297"/>
      <c r="G388" s="288">
        <f t="shared" si="61"/>
        <v>1</v>
      </c>
      <c r="H388" s="297"/>
      <c r="I388" s="288">
        <f t="shared" si="62"/>
        <v>1</v>
      </c>
      <c r="J388" s="297"/>
      <c r="K388" s="288">
        <f t="shared" si="63"/>
        <v>1</v>
      </c>
      <c r="L388" s="297"/>
      <c r="M388" s="288">
        <f t="shared" si="64"/>
        <v>1</v>
      </c>
      <c r="N388" s="297"/>
      <c r="O388" s="288">
        <f t="shared" si="65"/>
        <v>1</v>
      </c>
      <c r="P388" s="297"/>
      <c r="Q388" s="288">
        <f t="shared" si="66"/>
        <v>1</v>
      </c>
      <c r="R388" s="348">
        <f t="shared" si="67"/>
        <v>0</v>
      </c>
      <c r="S388" s="287">
        <f t="shared" si="68"/>
        <v>0</v>
      </c>
    </row>
    <row r="389" spans="1:19">
      <c r="A389" s="295"/>
      <c r="B389" s="296"/>
      <c r="C389" s="288">
        <f t="shared" si="59"/>
        <v>1</v>
      </c>
      <c r="D389" s="297"/>
      <c r="E389" s="288">
        <f t="shared" si="60"/>
        <v>1</v>
      </c>
      <c r="F389" s="297"/>
      <c r="G389" s="288">
        <f t="shared" si="61"/>
        <v>1</v>
      </c>
      <c r="H389" s="297"/>
      <c r="I389" s="288">
        <f t="shared" si="62"/>
        <v>1</v>
      </c>
      <c r="J389" s="297"/>
      <c r="K389" s="288">
        <f t="shared" si="63"/>
        <v>1</v>
      </c>
      <c r="L389" s="297"/>
      <c r="M389" s="288">
        <f t="shared" si="64"/>
        <v>1</v>
      </c>
      <c r="N389" s="297"/>
      <c r="O389" s="288">
        <f t="shared" si="65"/>
        <v>1</v>
      </c>
      <c r="P389" s="297"/>
      <c r="Q389" s="288">
        <f t="shared" si="66"/>
        <v>1</v>
      </c>
      <c r="R389" s="348">
        <f t="shared" si="67"/>
        <v>0</v>
      </c>
      <c r="S389" s="287">
        <f t="shared" si="68"/>
        <v>0</v>
      </c>
    </row>
    <row r="390" spans="1:19">
      <c r="A390" s="295"/>
      <c r="B390" s="296"/>
      <c r="C390" s="288">
        <f t="shared" si="59"/>
        <v>1</v>
      </c>
      <c r="D390" s="297"/>
      <c r="E390" s="288">
        <f t="shared" si="60"/>
        <v>1</v>
      </c>
      <c r="F390" s="297"/>
      <c r="G390" s="288">
        <f t="shared" si="61"/>
        <v>1</v>
      </c>
      <c r="H390" s="297"/>
      <c r="I390" s="288">
        <f t="shared" si="62"/>
        <v>1</v>
      </c>
      <c r="J390" s="297"/>
      <c r="K390" s="288">
        <f t="shared" si="63"/>
        <v>1</v>
      </c>
      <c r="L390" s="297"/>
      <c r="M390" s="288">
        <f t="shared" si="64"/>
        <v>1</v>
      </c>
      <c r="N390" s="297"/>
      <c r="O390" s="288">
        <f t="shared" si="65"/>
        <v>1</v>
      </c>
      <c r="P390" s="297"/>
      <c r="Q390" s="288">
        <f t="shared" si="66"/>
        <v>1</v>
      </c>
      <c r="R390" s="348">
        <f t="shared" si="67"/>
        <v>0</v>
      </c>
      <c r="S390" s="287">
        <f t="shared" si="68"/>
        <v>0</v>
      </c>
    </row>
    <row r="391" spans="1:19">
      <c r="A391" s="295"/>
      <c r="B391" s="296"/>
      <c r="C391" s="288">
        <f t="shared" si="59"/>
        <v>1</v>
      </c>
      <c r="D391" s="297"/>
      <c r="E391" s="288">
        <f t="shared" si="60"/>
        <v>1</v>
      </c>
      <c r="F391" s="297"/>
      <c r="G391" s="288">
        <f t="shared" si="61"/>
        <v>1</v>
      </c>
      <c r="H391" s="297"/>
      <c r="I391" s="288">
        <f t="shared" si="62"/>
        <v>1</v>
      </c>
      <c r="J391" s="297"/>
      <c r="K391" s="288">
        <f t="shared" si="63"/>
        <v>1</v>
      </c>
      <c r="L391" s="297"/>
      <c r="M391" s="288">
        <f t="shared" si="64"/>
        <v>1</v>
      </c>
      <c r="N391" s="297"/>
      <c r="O391" s="288">
        <f t="shared" si="65"/>
        <v>1</v>
      </c>
      <c r="P391" s="297"/>
      <c r="Q391" s="288">
        <f t="shared" si="66"/>
        <v>1</v>
      </c>
      <c r="R391" s="348">
        <f t="shared" si="67"/>
        <v>0</v>
      </c>
      <c r="S391" s="287">
        <f t="shared" si="68"/>
        <v>0</v>
      </c>
    </row>
    <row r="392" spans="1:19">
      <c r="A392" s="295"/>
      <c r="B392" s="296"/>
      <c r="C392" s="288">
        <f t="shared" si="59"/>
        <v>1</v>
      </c>
      <c r="D392" s="297"/>
      <c r="E392" s="288">
        <f t="shared" si="60"/>
        <v>1</v>
      </c>
      <c r="F392" s="297"/>
      <c r="G392" s="288">
        <f t="shared" si="61"/>
        <v>1</v>
      </c>
      <c r="H392" s="297"/>
      <c r="I392" s="288">
        <f t="shared" si="62"/>
        <v>1</v>
      </c>
      <c r="J392" s="297"/>
      <c r="K392" s="288">
        <f t="shared" si="63"/>
        <v>1</v>
      </c>
      <c r="L392" s="297"/>
      <c r="M392" s="288">
        <f t="shared" si="64"/>
        <v>1</v>
      </c>
      <c r="N392" s="297"/>
      <c r="O392" s="288">
        <f t="shared" si="65"/>
        <v>1</v>
      </c>
      <c r="P392" s="297"/>
      <c r="Q392" s="288">
        <f t="shared" si="66"/>
        <v>1</v>
      </c>
      <c r="R392" s="348">
        <f t="shared" si="67"/>
        <v>0</v>
      </c>
      <c r="S392" s="287">
        <f t="shared" si="68"/>
        <v>0</v>
      </c>
    </row>
    <row r="393" spans="1:19">
      <c r="A393" s="295"/>
      <c r="B393" s="296"/>
      <c r="C393" s="288">
        <f t="shared" si="59"/>
        <v>1</v>
      </c>
      <c r="D393" s="297"/>
      <c r="E393" s="288">
        <f t="shared" si="60"/>
        <v>1</v>
      </c>
      <c r="F393" s="297"/>
      <c r="G393" s="288">
        <f t="shared" si="61"/>
        <v>1</v>
      </c>
      <c r="H393" s="297"/>
      <c r="I393" s="288">
        <f t="shared" si="62"/>
        <v>1</v>
      </c>
      <c r="J393" s="297"/>
      <c r="K393" s="288">
        <f t="shared" si="63"/>
        <v>1</v>
      </c>
      <c r="L393" s="297"/>
      <c r="M393" s="288">
        <f t="shared" si="64"/>
        <v>1</v>
      </c>
      <c r="N393" s="297"/>
      <c r="O393" s="288">
        <f t="shared" si="65"/>
        <v>1</v>
      </c>
      <c r="P393" s="297"/>
      <c r="Q393" s="288">
        <f t="shared" si="66"/>
        <v>1</v>
      </c>
      <c r="R393" s="348">
        <f t="shared" si="67"/>
        <v>0</v>
      </c>
      <c r="S393" s="287">
        <f t="shared" si="68"/>
        <v>0</v>
      </c>
    </row>
    <row r="394" spans="1:19">
      <c r="A394" s="295"/>
      <c r="B394" s="296"/>
      <c r="C394" s="288">
        <f t="shared" si="59"/>
        <v>1</v>
      </c>
      <c r="D394" s="297"/>
      <c r="E394" s="288">
        <f t="shared" si="60"/>
        <v>1</v>
      </c>
      <c r="F394" s="297"/>
      <c r="G394" s="288">
        <f t="shared" si="61"/>
        <v>1</v>
      </c>
      <c r="H394" s="297"/>
      <c r="I394" s="288">
        <f t="shared" si="62"/>
        <v>1</v>
      </c>
      <c r="J394" s="297"/>
      <c r="K394" s="288">
        <f t="shared" si="63"/>
        <v>1</v>
      </c>
      <c r="L394" s="297"/>
      <c r="M394" s="288">
        <f t="shared" si="64"/>
        <v>1</v>
      </c>
      <c r="N394" s="297"/>
      <c r="O394" s="288">
        <f t="shared" si="65"/>
        <v>1</v>
      </c>
      <c r="P394" s="297"/>
      <c r="Q394" s="288">
        <f t="shared" si="66"/>
        <v>1</v>
      </c>
      <c r="R394" s="348">
        <f t="shared" si="67"/>
        <v>0</v>
      </c>
      <c r="S394" s="287">
        <f t="shared" si="68"/>
        <v>0</v>
      </c>
    </row>
    <row r="395" spans="1:19">
      <c r="A395" s="295"/>
      <c r="B395" s="296"/>
      <c r="C395" s="288">
        <f t="shared" si="59"/>
        <v>1</v>
      </c>
      <c r="D395" s="297"/>
      <c r="E395" s="288">
        <f t="shared" si="60"/>
        <v>1</v>
      </c>
      <c r="F395" s="297"/>
      <c r="G395" s="288">
        <f t="shared" si="61"/>
        <v>1</v>
      </c>
      <c r="H395" s="297"/>
      <c r="I395" s="288">
        <f t="shared" si="62"/>
        <v>1</v>
      </c>
      <c r="J395" s="297"/>
      <c r="K395" s="288">
        <f t="shared" si="63"/>
        <v>1</v>
      </c>
      <c r="L395" s="297"/>
      <c r="M395" s="288">
        <f t="shared" si="64"/>
        <v>1</v>
      </c>
      <c r="N395" s="297"/>
      <c r="O395" s="288">
        <f t="shared" si="65"/>
        <v>1</v>
      </c>
      <c r="P395" s="297"/>
      <c r="Q395" s="288">
        <f t="shared" si="66"/>
        <v>1</v>
      </c>
      <c r="R395" s="348">
        <f t="shared" si="67"/>
        <v>0</v>
      </c>
      <c r="S395" s="287">
        <f t="shared" si="68"/>
        <v>0</v>
      </c>
    </row>
    <row r="396" spans="1:19">
      <c r="A396" s="295"/>
      <c r="B396" s="296"/>
      <c r="C396" s="288">
        <f t="shared" si="59"/>
        <v>1</v>
      </c>
      <c r="D396" s="297"/>
      <c r="E396" s="288">
        <f t="shared" si="60"/>
        <v>1</v>
      </c>
      <c r="F396" s="297"/>
      <c r="G396" s="288">
        <f t="shared" si="61"/>
        <v>1</v>
      </c>
      <c r="H396" s="297"/>
      <c r="I396" s="288">
        <f t="shared" si="62"/>
        <v>1</v>
      </c>
      <c r="J396" s="297"/>
      <c r="K396" s="288">
        <f t="shared" si="63"/>
        <v>1</v>
      </c>
      <c r="L396" s="297"/>
      <c r="M396" s="288">
        <f t="shared" si="64"/>
        <v>1</v>
      </c>
      <c r="N396" s="297"/>
      <c r="O396" s="288">
        <f t="shared" si="65"/>
        <v>1</v>
      </c>
      <c r="P396" s="297"/>
      <c r="Q396" s="288">
        <f t="shared" si="66"/>
        <v>1</v>
      </c>
      <c r="R396" s="348">
        <f t="shared" si="67"/>
        <v>0</v>
      </c>
      <c r="S396" s="287">
        <f t="shared" si="68"/>
        <v>0</v>
      </c>
    </row>
    <row r="397" spans="1:19">
      <c r="A397" s="295"/>
      <c r="B397" s="296"/>
      <c r="C397" s="288">
        <f t="shared" si="59"/>
        <v>1</v>
      </c>
      <c r="D397" s="297"/>
      <c r="E397" s="288">
        <f t="shared" si="60"/>
        <v>1</v>
      </c>
      <c r="F397" s="297"/>
      <c r="G397" s="288">
        <f t="shared" si="61"/>
        <v>1</v>
      </c>
      <c r="H397" s="297"/>
      <c r="I397" s="288">
        <f t="shared" si="62"/>
        <v>1</v>
      </c>
      <c r="J397" s="297"/>
      <c r="K397" s="288">
        <f t="shared" si="63"/>
        <v>1</v>
      </c>
      <c r="L397" s="297"/>
      <c r="M397" s="288">
        <f t="shared" si="64"/>
        <v>1</v>
      </c>
      <c r="N397" s="297"/>
      <c r="O397" s="288">
        <f t="shared" si="65"/>
        <v>1</v>
      </c>
      <c r="P397" s="297"/>
      <c r="Q397" s="288">
        <f t="shared" si="66"/>
        <v>1</v>
      </c>
      <c r="R397" s="348">
        <f t="shared" si="67"/>
        <v>0</v>
      </c>
      <c r="S397" s="287">
        <f t="shared" si="68"/>
        <v>0</v>
      </c>
    </row>
    <row r="398" spans="1:19">
      <c r="A398" s="295"/>
      <c r="B398" s="296"/>
      <c r="C398" s="288">
        <f t="shared" si="59"/>
        <v>1</v>
      </c>
      <c r="D398" s="297"/>
      <c r="E398" s="288">
        <f t="shared" si="60"/>
        <v>1</v>
      </c>
      <c r="F398" s="297"/>
      <c r="G398" s="288">
        <f t="shared" si="61"/>
        <v>1</v>
      </c>
      <c r="H398" s="297"/>
      <c r="I398" s="288">
        <f t="shared" si="62"/>
        <v>1</v>
      </c>
      <c r="J398" s="297"/>
      <c r="K398" s="288">
        <f t="shared" si="63"/>
        <v>1</v>
      </c>
      <c r="L398" s="297"/>
      <c r="M398" s="288">
        <f t="shared" si="64"/>
        <v>1</v>
      </c>
      <c r="N398" s="297"/>
      <c r="O398" s="288">
        <f t="shared" si="65"/>
        <v>1</v>
      </c>
      <c r="P398" s="297"/>
      <c r="Q398" s="288">
        <f t="shared" si="66"/>
        <v>1</v>
      </c>
      <c r="R398" s="348">
        <f t="shared" si="67"/>
        <v>0</v>
      </c>
      <c r="S398" s="287">
        <f t="shared" si="68"/>
        <v>0</v>
      </c>
    </row>
    <row r="399" spans="1:19">
      <c r="A399" s="295"/>
      <c r="B399" s="296"/>
      <c r="C399" s="288">
        <f t="shared" si="59"/>
        <v>1</v>
      </c>
      <c r="D399" s="297"/>
      <c r="E399" s="288">
        <f t="shared" si="60"/>
        <v>1</v>
      </c>
      <c r="F399" s="297"/>
      <c r="G399" s="288">
        <f t="shared" si="61"/>
        <v>1</v>
      </c>
      <c r="H399" s="297"/>
      <c r="I399" s="288">
        <f t="shared" si="62"/>
        <v>1</v>
      </c>
      <c r="J399" s="297"/>
      <c r="K399" s="288">
        <f t="shared" si="63"/>
        <v>1</v>
      </c>
      <c r="L399" s="297"/>
      <c r="M399" s="288">
        <f t="shared" si="64"/>
        <v>1</v>
      </c>
      <c r="N399" s="297"/>
      <c r="O399" s="288">
        <f t="shared" si="65"/>
        <v>1</v>
      </c>
      <c r="P399" s="297"/>
      <c r="Q399" s="288">
        <f t="shared" si="66"/>
        <v>1</v>
      </c>
      <c r="R399" s="348">
        <f t="shared" si="67"/>
        <v>0</v>
      </c>
      <c r="S399" s="287">
        <f t="shared" si="68"/>
        <v>0</v>
      </c>
    </row>
    <row r="400" spans="1:19">
      <c r="A400" s="295"/>
      <c r="B400" s="296"/>
      <c r="C400" s="288">
        <f t="shared" si="59"/>
        <v>1</v>
      </c>
      <c r="D400" s="297"/>
      <c r="E400" s="288">
        <f t="shared" si="60"/>
        <v>1</v>
      </c>
      <c r="F400" s="297"/>
      <c r="G400" s="288">
        <f t="shared" si="61"/>
        <v>1</v>
      </c>
      <c r="H400" s="297"/>
      <c r="I400" s="288">
        <f t="shared" si="62"/>
        <v>1</v>
      </c>
      <c r="J400" s="297"/>
      <c r="K400" s="288">
        <f t="shared" si="63"/>
        <v>1</v>
      </c>
      <c r="L400" s="297"/>
      <c r="M400" s="288">
        <f t="shared" si="64"/>
        <v>1</v>
      </c>
      <c r="N400" s="297"/>
      <c r="O400" s="288">
        <f t="shared" si="65"/>
        <v>1</v>
      </c>
      <c r="P400" s="297"/>
      <c r="Q400" s="288">
        <f t="shared" si="66"/>
        <v>1</v>
      </c>
      <c r="R400" s="348">
        <f t="shared" si="67"/>
        <v>0</v>
      </c>
      <c r="S400" s="287">
        <f t="shared" si="68"/>
        <v>0</v>
      </c>
    </row>
    <row r="401" spans="1:19">
      <c r="A401" s="295"/>
      <c r="B401" s="296"/>
      <c r="C401" s="288">
        <f t="shared" si="59"/>
        <v>1</v>
      </c>
      <c r="D401" s="297"/>
      <c r="E401" s="288">
        <f t="shared" si="60"/>
        <v>1</v>
      </c>
      <c r="F401" s="297"/>
      <c r="G401" s="288">
        <f t="shared" si="61"/>
        <v>1</v>
      </c>
      <c r="H401" s="297"/>
      <c r="I401" s="288">
        <f t="shared" si="62"/>
        <v>1</v>
      </c>
      <c r="J401" s="297"/>
      <c r="K401" s="288">
        <f t="shared" si="63"/>
        <v>1</v>
      </c>
      <c r="L401" s="297"/>
      <c r="M401" s="288">
        <f t="shared" si="64"/>
        <v>1</v>
      </c>
      <c r="N401" s="297"/>
      <c r="O401" s="288">
        <f t="shared" si="65"/>
        <v>1</v>
      </c>
      <c r="P401" s="297"/>
      <c r="Q401" s="288">
        <f t="shared" si="66"/>
        <v>1</v>
      </c>
      <c r="R401" s="348">
        <f t="shared" si="67"/>
        <v>0</v>
      </c>
      <c r="S401" s="287">
        <f t="shared" si="68"/>
        <v>0</v>
      </c>
    </row>
    <row r="402" spans="1:19">
      <c r="A402" s="295"/>
      <c r="B402" s="296"/>
      <c r="C402" s="288">
        <f t="shared" si="59"/>
        <v>1</v>
      </c>
      <c r="D402" s="297"/>
      <c r="E402" s="288">
        <f t="shared" si="60"/>
        <v>1</v>
      </c>
      <c r="F402" s="297"/>
      <c r="G402" s="288">
        <f t="shared" si="61"/>
        <v>1</v>
      </c>
      <c r="H402" s="297"/>
      <c r="I402" s="288">
        <f t="shared" si="62"/>
        <v>1</v>
      </c>
      <c r="J402" s="297"/>
      <c r="K402" s="288">
        <f t="shared" si="63"/>
        <v>1</v>
      </c>
      <c r="L402" s="297"/>
      <c r="M402" s="288">
        <f t="shared" si="64"/>
        <v>1</v>
      </c>
      <c r="N402" s="297"/>
      <c r="O402" s="288">
        <f t="shared" si="65"/>
        <v>1</v>
      </c>
      <c r="P402" s="297"/>
      <c r="Q402" s="288">
        <f t="shared" si="66"/>
        <v>1</v>
      </c>
      <c r="R402" s="348">
        <f t="shared" si="67"/>
        <v>0</v>
      </c>
      <c r="S402" s="287">
        <f t="shared" si="68"/>
        <v>0</v>
      </c>
    </row>
    <row r="403" spans="1:19">
      <c r="A403" s="295"/>
      <c r="B403" s="296"/>
      <c r="C403" s="288">
        <f t="shared" si="59"/>
        <v>1</v>
      </c>
      <c r="D403" s="297"/>
      <c r="E403" s="288">
        <f t="shared" si="60"/>
        <v>1</v>
      </c>
      <c r="F403" s="297"/>
      <c r="G403" s="288">
        <f t="shared" si="61"/>
        <v>1</v>
      </c>
      <c r="H403" s="297"/>
      <c r="I403" s="288">
        <f t="shared" si="62"/>
        <v>1</v>
      </c>
      <c r="J403" s="297"/>
      <c r="K403" s="288">
        <f t="shared" si="63"/>
        <v>1</v>
      </c>
      <c r="L403" s="297"/>
      <c r="M403" s="288">
        <f t="shared" si="64"/>
        <v>1</v>
      </c>
      <c r="N403" s="297"/>
      <c r="O403" s="288">
        <f t="shared" si="65"/>
        <v>1</v>
      </c>
      <c r="P403" s="297"/>
      <c r="Q403" s="288">
        <f t="shared" si="66"/>
        <v>1</v>
      </c>
      <c r="R403" s="348">
        <f t="shared" si="67"/>
        <v>0</v>
      </c>
      <c r="S403" s="287">
        <f t="shared" si="68"/>
        <v>0</v>
      </c>
    </row>
    <row r="404" spans="1:19">
      <c r="A404" s="295"/>
      <c r="B404" s="296"/>
      <c r="C404" s="288">
        <f t="shared" si="59"/>
        <v>1</v>
      </c>
      <c r="D404" s="297"/>
      <c r="E404" s="288">
        <f t="shared" si="60"/>
        <v>1</v>
      </c>
      <c r="F404" s="297"/>
      <c r="G404" s="288">
        <f t="shared" si="61"/>
        <v>1</v>
      </c>
      <c r="H404" s="297"/>
      <c r="I404" s="288">
        <f t="shared" si="62"/>
        <v>1</v>
      </c>
      <c r="J404" s="297"/>
      <c r="K404" s="288">
        <f t="shared" si="63"/>
        <v>1</v>
      </c>
      <c r="L404" s="297"/>
      <c r="M404" s="288">
        <f t="shared" si="64"/>
        <v>1</v>
      </c>
      <c r="N404" s="297"/>
      <c r="O404" s="288">
        <f t="shared" si="65"/>
        <v>1</v>
      </c>
      <c r="P404" s="297"/>
      <c r="Q404" s="288">
        <f t="shared" si="66"/>
        <v>1</v>
      </c>
      <c r="R404" s="348">
        <f t="shared" si="67"/>
        <v>0</v>
      </c>
      <c r="S404" s="287">
        <f t="shared" si="68"/>
        <v>0</v>
      </c>
    </row>
    <row r="405" spans="1:19">
      <c r="A405" s="295"/>
      <c r="B405" s="296"/>
      <c r="C405" s="288">
        <f t="shared" si="59"/>
        <v>1</v>
      </c>
      <c r="D405" s="297"/>
      <c r="E405" s="288">
        <f t="shared" si="60"/>
        <v>1</v>
      </c>
      <c r="F405" s="297"/>
      <c r="G405" s="288">
        <f t="shared" si="61"/>
        <v>1</v>
      </c>
      <c r="H405" s="297"/>
      <c r="I405" s="288">
        <f t="shared" si="62"/>
        <v>1</v>
      </c>
      <c r="J405" s="297"/>
      <c r="K405" s="288">
        <f t="shared" si="63"/>
        <v>1</v>
      </c>
      <c r="L405" s="297"/>
      <c r="M405" s="288">
        <f t="shared" si="64"/>
        <v>1</v>
      </c>
      <c r="N405" s="297"/>
      <c r="O405" s="288">
        <f t="shared" si="65"/>
        <v>1</v>
      </c>
      <c r="P405" s="297"/>
      <c r="Q405" s="288">
        <f t="shared" si="66"/>
        <v>1</v>
      </c>
      <c r="R405" s="348">
        <f t="shared" si="67"/>
        <v>0</v>
      </c>
      <c r="S405" s="287">
        <f t="shared" si="68"/>
        <v>0</v>
      </c>
    </row>
    <row r="406" spans="1:19">
      <c r="A406" s="295"/>
      <c r="B406" s="296"/>
      <c r="C406" s="288">
        <f t="shared" si="59"/>
        <v>1</v>
      </c>
      <c r="D406" s="297"/>
      <c r="E406" s="288">
        <f t="shared" si="60"/>
        <v>1</v>
      </c>
      <c r="F406" s="297"/>
      <c r="G406" s="288">
        <f t="shared" si="61"/>
        <v>1</v>
      </c>
      <c r="H406" s="297"/>
      <c r="I406" s="288">
        <f t="shared" si="62"/>
        <v>1</v>
      </c>
      <c r="J406" s="297"/>
      <c r="K406" s="288">
        <f t="shared" si="63"/>
        <v>1</v>
      </c>
      <c r="L406" s="297"/>
      <c r="M406" s="288">
        <f t="shared" si="64"/>
        <v>1</v>
      </c>
      <c r="N406" s="297"/>
      <c r="O406" s="288">
        <f t="shared" si="65"/>
        <v>1</v>
      </c>
      <c r="P406" s="297"/>
      <c r="Q406" s="288">
        <f t="shared" si="66"/>
        <v>1</v>
      </c>
      <c r="R406" s="348">
        <f t="shared" si="67"/>
        <v>0</v>
      </c>
      <c r="S406" s="287">
        <f t="shared" si="68"/>
        <v>0</v>
      </c>
    </row>
    <row r="407" spans="1:19">
      <c r="A407" s="295"/>
      <c r="B407" s="296"/>
      <c r="C407" s="288">
        <f t="shared" si="59"/>
        <v>1</v>
      </c>
      <c r="D407" s="297"/>
      <c r="E407" s="288">
        <f t="shared" si="60"/>
        <v>1</v>
      </c>
      <c r="F407" s="297"/>
      <c r="G407" s="288">
        <f t="shared" si="61"/>
        <v>1</v>
      </c>
      <c r="H407" s="297"/>
      <c r="I407" s="288">
        <f t="shared" si="62"/>
        <v>1</v>
      </c>
      <c r="J407" s="297"/>
      <c r="K407" s="288">
        <f t="shared" si="63"/>
        <v>1</v>
      </c>
      <c r="L407" s="297"/>
      <c r="M407" s="288">
        <f t="shared" si="64"/>
        <v>1</v>
      </c>
      <c r="N407" s="297"/>
      <c r="O407" s="288">
        <f t="shared" si="65"/>
        <v>1</v>
      </c>
      <c r="P407" s="297"/>
      <c r="Q407" s="288">
        <f t="shared" si="66"/>
        <v>1</v>
      </c>
      <c r="R407" s="348">
        <f t="shared" si="67"/>
        <v>0</v>
      </c>
      <c r="S407" s="287">
        <f t="shared" si="68"/>
        <v>0</v>
      </c>
    </row>
    <row r="408" spans="1:19">
      <c r="A408" s="295"/>
      <c r="B408" s="296"/>
      <c r="C408" s="288">
        <f t="shared" si="59"/>
        <v>1</v>
      </c>
      <c r="D408" s="297"/>
      <c r="E408" s="288">
        <f t="shared" si="60"/>
        <v>1</v>
      </c>
      <c r="F408" s="297"/>
      <c r="G408" s="288">
        <f t="shared" si="61"/>
        <v>1</v>
      </c>
      <c r="H408" s="297"/>
      <c r="I408" s="288">
        <f t="shared" si="62"/>
        <v>1</v>
      </c>
      <c r="J408" s="297"/>
      <c r="K408" s="288">
        <f t="shared" si="63"/>
        <v>1</v>
      </c>
      <c r="L408" s="297"/>
      <c r="M408" s="288">
        <f t="shared" si="64"/>
        <v>1</v>
      </c>
      <c r="N408" s="297"/>
      <c r="O408" s="288">
        <f t="shared" si="65"/>
        <v>1</v>
      </c>
      <c r="P408" s="297"/>
      <c r="Q408" s="288">
        <f t="shared" si="66"/>
        <v>1</v>
      </c>
      <c r="R408" s="348">
        <f t="shared" si="67"/>
        <v>0</v>
      </c>
      <c r="S408" s="287">
        <f t="shared" si="68"/>
        <v>0</v>
      </c>
    </row>
    <row r="409" spans="1:19">
      <c r="A409" s="295"/>
      <c r="B409" s="296"/>
      <c r="C409" s="288">
        <f t="shared" si="59"/>
        <v>1</v>
      </c>
      <c r="D409" s="297"/>
      <c r="E409" s="288">
        <f t="shared" si="60"/>
        <v>1</v>
      </c>
      <c r="F409" s="297"/>
      <c r="G409" s="288">
        <f t="shared" si="61"/>
        <v>1</v>
      </c>
      <c r="H409" s="297"/>
      <c r="I409" s="288">
        <f t="shared" si="62"/>
        <v>1</v>
      </c>
      <c r="J409" s="297"/>
      <c r="K409" s="288">
        <f t="shared" si="63"/>
        <v>1</v>
      </c>
      <c r="L409" s="297"/>
      <c r="M409" s="288">
        <f t="shared" si="64"/>
        <v>1</v>
      </c>
      <c r="N409" s="297"/>
      <c r="O409" s="288">
        <f t="shared" si="65"/>
        <v>1</v>
      </c>
      <c r="P409" s="297"/>
      <c r="Q409" s="288">
        <f t="shared" si="66"/>
        <v>1</v>
      </c>
      <c r="R409" s="348">
        <f t="shared" si="67"/>
        <v>0</v>
      </c>
      <c r="S409" s="287">
        <f t="shared" si="68"/>
        <v>0</v>
      </c>
    </row>
    <row r="410" spans="1:19">
      <c r="A410" s="295"/>
      <c r="B410" s="296"/>
      <c r="C410" s="288">
        <f t="shared" ref="C410:C473" si="69">IF(B410="",1,(LOOKUP(B410,$3:$3,$4:$4)-LOOKUP($B$24,$3:$3,$4:$4)+100)/100)</f>
        <v>1</v>
      </c>
      <c r="D410" s="297"/>
      <c r="E410" s="288">
        <f t="shared" ref="E410:E473" si="70">(SUMIF($5:$5,D410,$6:$6)-SUMIF($5:$5,$D$24,$6:$6)+100)/100</f>
        <v>1</v>
      </c>
      <c r="F410" s="297"/>
      <c r="G410" s="288">
        <f t="shared" ref="G410:G473" si="71">(SUMIF($7:$7,F410,$8:$8)-SUMIF($7:$7,$F$24,$8:$8)+100)/100</f>
        <v>1</v>
      </c>
      <c r="H410" s="297"/>
      <c r="I410" s="288">
        <f t="shared" ref="I410:I473" si="72">(SUMIF($9:$9,H410,$10:$10)-SUMIF($9:$9,$H$24,$10:$10)+100)/100</f>
        <v>1</v>
      </c>
      <c r="J410" s="297"/>
      <c r="K410" s="288">
        <f t="shared" ref="K410:K473" si="73">(SUMIF($11:$11,J410,$12:$12)-SUMIF($11:$11,$J$24,$12:$12)+100)/100</f>
        <v>1</v>
      </c>
      <c r="L410" s="297"/>
      <c r="M410" s="288">
        <f t="shared" ref="M410:M473" si="74">(SUMIF($13:$13,L410,$14:$14)-SUMIF($13:$13,$L$24,$14:$14)+100)/100</f>
        <v>1</v>
      </c>
      <c r="N410" s="297"/>
      <c r="O410" s="288">
        <f t="shared" ref="O410:O473" si="75">(SUMIF($15:$15,N410,$16:$16)-SUMIF($15:$15,$N$24,$16:$16)+100)/100</f>
        <v>1</v>
      </c>
      <c r="P410" s="297"/>
      <c r="Q410" s="288">
        <f t="shared" ref="Q410:Q473" si="76">(SUMIF($17:$17,P410,$18:$18)-SUMIF($17:$17,$P$24,$18:$18)+100)/100</f>
        <v>1</v>
      </c>
      <c r="R410" s="348">
        <f t="shared" ref="R410:R473" si="77">IF(B410="",0,ROUND($R$24*C410*E410*G410*I410*K410*M410*O410*Q410,0))</f>
        <v>0</v>
      </c>
      <c r="S410" s="287">
        <f t="shared" si="68"/>
        <v>0</v>
      </c>
    </row>
    <row r="411" spans="1:19">
      <c r="A411" s="295"/>
      <c r="B411" s="296"/>
      <c r="C411" s="288">
        <f t="shared" si="69"/>
        <v>1</v>
      </c>
      <c r="D411" s="297"/>
      <c r="E411" s="288">
        <f t="shared" si="70"/>
        <v>1</v>
      </c>
      <c r="F411" s="297"/>
      <c r="G411" s="288">
        <f t="shared" si="71"/>
        <v>1</v>
      </c>
      <c r="H411" s="297"/>
      <c r="I411" s="288">
        <f t="shared" si="72"/>
        <v>1</v>
      </c>
      <c r="J411" s="297"/>
      <c r="K411" s="288">
        <f t="shared" si="73"/>
        <v>1</v>
      </c>
      <c r="L411" s="297"/>
      <c r="M411" s="288">
        <f t="shared" si="74"/>
        <v>1</v>
      </c>
      <c r="N411" s="297"/>
      <c r="O411" s="288">
        <f t="shared" si="75"/>
        <v>1</v>
      </c>
      <c r="P411" s="297"/>
      <c r="Q411" s="288">
        <f t="shared" si="76"/>
        <v>1</v>
      </c>
      <c r="R411" s="348">
        <f t="shared" si="77"/>
        <v>0</v>
      </c>
      <c r="S411" s="287">
        <f t="shared" si="68"/>
        <v>0</v>
      </c>
    </row>
    <row r="412" spans="1:19">
      <c r="A412" s="295"/>
      <c r="B412" s="296"/>
      <c r="C412" s="288">
        <f t="shared" si="69"/>
        <v>1</v>
      </c>
      <c r="D412" s="297"/>
      <c r="E412" s="288">
        <f t="shared" si="70"/>
        <v>1</v>
      </c>
      <c r="F412" s="297"/>
      <c r="G412" s="288">
        <f t="shared" si="71"/>
        <v>1</v>
      </c>
      <c r="H412" s="297"/>
      <c r="I412" s="288">
        <f t="shared" si="72"/>
        <v>1</v>
      </c>
      <c r="J412" s="297"/>
      <c r="K412" s="288">
        <f t="shared" si="73"/>
        <v>1</v>
      </c>
      <c r="L412" s="297"/>
      <c r="M412" s="288">
        <f t="shared" si="74"/>
        <v>1</v>
      </c>
      <c r="N412" s="297"/>
      <c r="O412" s="288">
        <f t="shared" si="75"/>
        <v>1</v>
      </c>
      <c r="P412" s="297"/>
      <c r="Q412" s="288">
        <f t="shared" si="76"/>
        <v>1</v>
      </c>
      <c r="R412" s="348">
        <f t="shared" si="77"/>
        <v>0</v>
      </c>
      <c r="S412" s="287">
        <f t="shared" si="68"/>
        <v>0</v>
      </c>
    </row>
    <row r="413" spans="1:19">
      <c r="A413" s="295"/>
      <c r="B413" s="296"/>
      <c r="C413" s="288">
        <f t="shared" si="69"/>
        <v>1</v>
      </c>
      <c r="D413" s="297"/>
      <c r="E413" s="288">
        <f t="shared" si="70"/>
        <v>1</v>
      </c>
      <c r="F413" s="297"/>
      <c r="G413" s="288">
        <f t="shared" si="71"/>
        <v>1</v>
      </c>
      <c r="H413" s="297"/>
      <c r="I413" s="288">
        <f t="shared" si="72"/>
        <v>1</v>
      </c>
      <c r="J413" s="297"/>
      <c r="K413" s="288">
        <f t="shared" si="73"/>
        <v>1</v>
      </c>
      <c r="L413" s="297"/>
      <c r="M413" s="288">
        <f t="shared" si="74"/>
        <v>1</v>
      </c>
      <c r="N413" s="297"/>
      <c r="O413" s="288">
        <f t="shared" si="75"/>
        <v>1</v>
      </c>
      <c r="P413" s="297"/>
      <c r="Q413" s="288">
        <f t="shared" si="76"/>
        <v>1</v>
      </c>
      <c r="R413" s="348">
        <f t="shared" si="77"/>
        <v>0</v>
      </c>
      <c r="S413" s="287">
        <f t="shared" si="68"/>
        <v>0</v>
      </c>
    </row>
    <row r="414" spans="1:19">
      <c r="A414" s="295"/>
      <c r="B414" s="296"/>
      <c r="C414" s="288">
        <f t="shared" si="69"/>
        <v>1</v>
      </c>
      <c r="D414" s="297"/>
      <c r="E414" s="288">
        <f t="shared" si="70"/>
        <v>1</v>
      </c>
      <c r="F414" s="297"/>
      <c r="G414" s="288">
        <f t="shared" si="71"/>
        <v>1</v>
      </c>
      <c r="H414" s="297"/>
      <c r="I414" s="288">
        <f t="shared" si="72"/>
        <v>1</v>
      </c>
      <c r="J414" s="297"/>
      <c r="K414" s="288">
        <f t="shared" si="73"/>
        <v>1</v>
      </c>
      <c r="L414" s="297"/>
      <c r="M414" s="288">
        <f t="shared" si="74"/>
        <v>1</v>
      </c>
      <c r="N414" s="297"/>
      <c r="O414" s="288">
        <f t="shared" si="75"/>
        <v>1</v>
      </c>
      <c r="P414" s="297"/>
      <c r="Q414" s="288">
        <f t="shared" si="76"/>
        <v>1</v>
      </c>
      <c r="R414" s="348">
        <f t="shared" si="77"/>
        <v>0</v>
      </c>
      <c r="S414" s="287">
        <f t="shared" si="68"/>
        <v>0</v>
      </c>
    </row>
    <row r="415" spans="1:19">
      <c r="A415" s="295"/>
      <c r="B415" s="296"/>
      <c r="C415" s="288">
        <f t="shared" si="69"/>
        <v>1</v>
      </c>
      <c r="D415" s="297"/>
      <c r="E415" s="288">
        <f t="shared" si="70"/>
        <v>1</v>
      </c>
      <c r="F415" s="297"/>
      <c r="G415" s="288">
        <f t="shared" si="71"/>
        <v>1</v>
      </c>
      <c r="H415" s="297"/>
      <c r="I415" s="288">
        <f t="shared" si="72"/>
        <v>1</v>
      </c>
      <c r="J415" s="297"/>
      <c r="K415" s="288">
        <f t="shared" si="73"/>
        <v>1</v>
      </c>
      <c r="L415" s="297"/>
      <c r="M415" s="288">
        <f t="shared" si="74"/>
        <v>1</v>
      </c>
      <c r="N415" s="297"/>
      <c r="O415" s="288">
        <f t="shared" si="75"/>
        <v>1</v>
      </c>
      <c r="P415" s="297"/>
      <c r="Q415" s="288">
        <f t="shared" si="76"/>
        <v>1</v>
      </c>
      <c r="R415" s="348">
        <f t="shared" si="77"/>
        <v>0</v>
      </c>
      <c r="S415" s="287">
        <f t="shared" si="68"/>
        <v>0</v>
      </c>
    </row>
    <row r="416" spans="1:19">
      <c r="A416" s="295"/>
      <c r="B416" s="296"/>
      <c r="C416" s="288">
        <f t="shared" si="69"/>
        <v>1</v>
      </c>
      <c r="D416" s="297"/>
      <c r="E416" s="288">
        <f t="shared" si="70"/>
        <v>1</v>
      </c>
      <c r="F416" s="297"/>
      <c r="G416" s="288">
        <f t="shared" si="71"/>
        <v>1</v>
      </c>
      <c r="H416" s="297"/>
      <c r="I416" s="288">
        <f t="shared" si="72"/>
        <v>1</v>
      </c>
      <c r="J416" s="297"/>
      <c r="K416" s="288">
        <f t="shared" si="73"/>
        <v>1</v>
      </c>
      <c r="L416" s="297"/>
      <c r="M416" s="288">
        <f t="shared" si="74"/>
        <v>1</v>
      </c>
      <c r="N416" s="297"/>
      <c r="O416" s="288">
        <f t="shared" si="75"/>
        <v>1</v>
      </c>
      <c r="P416" s="297"/>
      <c r="Q416" s="288">
        <f t="shared" si="76"/>
        <v>1</v>
      </c>
      <c r="R416" s="348">
        <f t="shared" si="77"/>
        <v>0</v>
      </c>
      <c r="S416" s="287">
        <f t="shared" si="68"/>
        <v>0</v>
      </c>
    </row>
    <row r="417" spans="1:19">
      <c r="A417" s="295"/>
      <c r="B417" s="296"/>
      <c r="C417" s="288">
        <f t="shared" si="69"/>
        <v>1</v>
      </c>
      <c r="D417" s="297"/>
      <c r="E417" s="288">
        <f t="shared" si="70"/>
        <v>1</v>
      </c>
      <c r="F417" s="297"/>
      <c r="G417" s="288">
        <f t="shared" si="71"/>
        <v>1</v>
      </c>
      <c r="H417" s="297"/>
      <c r="I417" s="288">
        <f t="shared" si="72"/>
        <v>1</v>
      </c>
      <c r="J417" s="297"/>
      <c r="K417" s="288">
        <f t="shared" si="73"/>
        <v>1</v>
      </c>
      <c r="L417" s="297"/>
      <c r="M417" s="288">
        <f t="shared" si="74"/>
        <v>1</v>
      </c>
      <c r="N417" s="297"/>
      <c r="O417" s="288">
        <f t="shared" si="75"/>
        <v>1</v>
      </c>
      <c r="P417" s="297"/>
      <c r="Q417" s="288">
        <f t="shared" si="76"/>
        <v>1</v>
      </c>
      <c r="R417" s="348">
        <f t="shared" si="77"/>
        <v>0</v>
      </c>
      <c r="S417" s="287">
        <f t="shared" si="68"/>
        <v>0</v>
      </c>
    </row>
    <row r="418" spans="1:19">
      <c r="A418" s="295"/>
      <c r="B418" s="296"/>
      <c r="C418" s="288">
        <f t="shared" si="69"/>
        <v>1</v>
      </c>
      <c r="D418" s="297"/>
      <c r="E418" s="288">
        <f t="shared" si="70"/>
        <v>1</v>
      </c>
      <c r="F418" s="297"/>
      <c r="G418" s="288">
        <f t="shared" si="71"/>
        <v>1</v>
      </c>
      <c r="H418" s="297"/>
      <c r="I418" s="288">
        <f t="shared" si="72"/>
        <v>1</v>
      </c>
      <c r="J418" s="297"/>
      <c r="K418" s="288">
        <f t="shared" si="73"/>
        <v>1</v>
      </c>
      <c r="L418" s="297"/>
      <c r="M418" s="288">
        <f t="shared" si="74"/>
        <v>1</v>
      </c>
      <c r="N418" s="297"/>
      <c r="O418" s="288">
        <f t="shared" si="75"/>
        <v>1</v>
      </c>
      <c r="P418" s="297"/>
      <c r="Q418" s="288">
        <f t="shared" si="76"/>
        <v>1</v>
      </c>
      <c r="R418" s="348">
        <f t="shared" si="77"/>
        <v>0</v>
      </c>
      <c r="S418" s="287">
        <f t="shared" si="68"/>
        <v>0</v>
      </c>
    </row>
    <row r="419" spans="1:19">
      <c r="A419" s="295"/>
      <c r="B419" s="296"/>
      <c r="C419" s="288">
        <f t="shared" si="69"/>
        <v>1</v>
      </c>
      <c r="D419" s="297"/>
      <c r="E419" s="288">
        <f t="shared" si="70"/>
        <v>1</v>
      </c>
      <c r="F419" s="297"/>
      <c r="G419" s="288">
        <f t="shared" si="71"/>
        <v>1</v>
      </c>
      <c r="H419" s="297"/>
      <c r="I419" s="288">
        <f t="shared" si="72"/>
        <v>1</v>
      </c>
      <c r="J419" s="297"/>
      <c r="K419" s="288">
        <f t="shared" si="73"/>
        <v>1</v>
      </c>
      <c r="L419" s="297"/>
      <c r="M419" s="288">
        <f t="shared" si="74"/>
        <v>1</v>
      </c>
      <c r="N419" s="297"/>
      <c r="O419" s="288">
        <f t="shared" si="75"/>
        <v>1</v>
      </c>
      <c r="P419" s="297"/>
      <c r="Q419" s="288">
        <f t="shared" si="76"/>
        <v>1</v>
      </c>
      <c r="R419" s="348">
        <f t="shared" si="77"/>
        <v>0</v>
      </c>
      <c r="S419" s="287">
        <f t="shared" si="68"/>
        <v>0</v>
      </c>
    </row>
    <row r="420" spans="1:19">
      <c r="A420" s="295"/>
      <c r="B420" s="296"/>
      <c r="C420" s="288">
        <f t="shared" si="69"/>
        <v>1</v>
      </c>
      <c r="D420" s="297"/>
      <c r="E420" s="288">
        <f t="shared" si="70"/>
        <v>1</v>
      </c>
      <c r="F420" s="297"/>
      <c r="G420" s="288">
        <f t="shared" si="71"/>
        <v>1</v>
      </c>
      <c r="H420" s="297"/>
      <c r="I420" s="288">
        <f t="shared" si="72"/>
        <v>1</v>
      </c>
      <c r="J420" s="297"/>
      <c r="K420" s="288">
        <f t="shared" si="73"/>
        <v>1</v>
      </c>
      <c r="L420" s="297"/>
      <c r="M420" s="288">
        <f t="shared" si="74"/>
        <v>1</v>
      </c>
      <c r="N420" s="297"/>
      <c r="O420" s="288">
        <f t="shared" si="75"/>
        <v>1</v>
      </c>
      <c r="P420" s="297"/>
      <c r="Q420" s="288">
        <f t="shared" si="76"/>
        <v>1</v>
      </c>
      <c r="R420" s="348">
        <f t="shared" si="77"/>
        <v>0</v>
      </c>
      <c r="S420" s="287">
        <f t="shared" si="68"/>
        <v>0</v>
      </c>
    </row>
    <row r="421" spans="1:19">
      <c r="A421" s="295"/>
      <c r="B421" s="296"/>
      <c r="C421" s="288">
        <f t="shared" si="69"/>
        <v>1</v>
      </c>
      <c r="D421" s="297"/>
      <c r="E421" s="288">
        <f t="shared" si="70"/>
        <v>1</v>
      </c>
      <c r="F421" s="297"/>
      <c r="G421" s="288">
        <f t="shared" si="71"/>
        <v>1</v>
      </c>
      <c r="H421" s="297"/>
      <c r="I421" s="288">
        <f t="shared" si="72"/>
        <v>1</v>
      </c>
      <c r="J421" s="297"/>
      <c r="K421" s="288">
        <f t="shared" si="73"/>
        <v>1</v>
      </c>
      <c r="L421" s="297"/>
      <c r="M421" s="288">
        <f t="shared" si="74"/>
        <v>1</v>
      </c>
      <c r="N421" s="297"/>
      <c r="O421" s="288">
        <f t="shared" si="75"/>
        <v>1</v>
      </c>
      <c r="P421" s="297"/>
      <c r="Q421" s="288">
        <f t="shared" si="76"/>
        <v>1</v>
      </c>
      <c r="R421" s="348">
        <f t="shared" si="77"/>
        <v>0</v>
      </c>
      <c r="S421" s="287">
        <f t="shared" si="68"/>
        <v>0</v>
      </c>
    </row>
    <row r="422" spans="1:19">
      <c r="A422" s="295"/>
      <c r="B422" s="296"/>
      <c r="C422" s="288">
        <f t="shared" si="69"/>
        <v>1</v>
      </c>
      <c r="D422" s="297"/>
      <c r="E422" s="288">
        <f t="shared" si="70"/>
        <v>1</v>
      </c>
      <c r="F422" s="297"/>
      <c r="G422" s="288">
        <f t="shared" si="71"/>
        <v>1</v>
      </c>
      <c r="H422" s="297"/>
      <c r="I422" s="288">
        <f t="shared" si="72"/>
        <v>1</v>
      </c>
      <c r="J422" s="297"/>
      <c r="K422" s="288">
        <f t="shared" si="73"/>
        <v>1</v>
      </c>
      <c r="L422" s="297"/>
      <c r="M422" s="288">
        <f t="shared" si="74"/>
        <v>1</v>
      </c>
      <c r="N422" s="297"/>
      <c r="O422" s="288">
        <f t="shared" si="75"/>
        <v>1</v>
      </c>
      <c r="P422" s="297"/>
      <c r="Q422" s="288">
        <f t="shared" si="76"/>
        <v>1</v>
      </c>
      <c r="R422" s="348">
        <f t="shared" si="77"/>
        <v>0</v>
      </c>
      <c r="S422" s="287">
        <f t="shared" si="68"/>
        <v>0</v>
      </c>
    </row>
    <row r="423" spans="1:19">
      <c r="A423" s="295"/>
      <c r="B423" s="296"/>
      <c r="C423" s="288">
        <f t="shared" si="69"/>
        <v>1</v>
      </c>
      <c r="D423" s="297"/>
      <c r="E423" s="288">
        <f t="shared" si="70"/>
        <v>1</v>
      </c>
      <c r="F423" s="297"/>
      <c r="G423" s="288">
        <f t="shared" si="71"/>
        <v>1</v>
      </c>
      <c r="H423" s="297"/>
      <c r="I423" s="288">
        <f t="shared" si="72"/>
        <v>1</v>
      </c>
      <c r="J423" s="297"/>
      <c r="K423" s="288">
        <f t="shared" si="73"/>
        <v>1</v>
      </c>
      <c r="L423" s="297"/>
      <c r="M423" s="288">
        <f t="shared" si="74"/>
        <v>1</v>
      </c>
      <c r="N423" s="297"/>
      <c r="O423" s="288">
        <f t="shared" si="75"/>
        <v>1</v>
      </c>
      <c r="P423" s="297"/>
      <c r="Q423" s="288">
        <f t="shared" si="76"/>
        <v>1</v>
      </c>
      <c r="R423" s="348">
        <f t="shared" si="77"/>
        <v>0</v>
      </c>
      <c r="S423" s="287">
        <f t="shared" ref="S423:S467" si="78">ROUND(R423*B423/10000,0)</f>
        <v>0</v>
      </c>
    </row>
    <row r="424" spans="1:19">
      <c r="A424" s="295"/>
      <c r="B424" s="296"/>
      <c r="C424" s="288">
        <f t="shared" si="69"/>
        <v>1</v>
      </c>
      <c r="D424" s="297"/>
      <c r="E424" s="288">
        <f t="shared" si="70"/>
        <v>1</v>
      </c>
      <c r="F424" s="297"/>
      <c r="G424" s="288">
        <f t="shared" si="71"/>
        <v>1</v>
      </c>
      <c r="H424" s="297"/>
      <c r="I424" s="288">
        <f t="shared" si="72"/>
        <v>1</v>
      </c>
      <c r="J424" s="297"/>
      <c r="K424" s="288">
        <f t="shared" si="73"/>
        <v>1</v>
      </c>
      <c r="L424" s="297"/>
      <c r="M424" s="288">
        <f t="shared" si="74"/>
        <v>1</v>
      </c>
      <c r="N424" s="297"/>
      <c r="O424" s="288">
        <f t="shared" si="75"/>
        <v>1</v>
      </c>
      <c r="P424" s="297"/>
      <c r="Q424" s="288">
        <f t="shared" si="76"/>
        <v>1</v>
      </c>
      <c r="R424" s="348">
        <f t="shared" si="77"/>
        <v>0</v>
      </c>
      <c r="S424" s="287">
        <f t="shared" si="78"/>
        <v>0</v>
      </c>
    </row>
    <row r="425" spans="1:19">
      <c r="A425" s="295"/>
      <c r="B425" s="296"/>
      <c r="C425" s="288">
        <f t="shared" si="69"/>
        <v>1</v>
      </c>
      <c r="D425" s="297"/>
      <c r="E425" s="288">
        <f t="shared" si="70"/>
        <v>1</v>
      </c>
      <c r="F425" s="297"/>
      <c r="G425" s="288">
        <f t="shared" si="71"/>
        <v>1</v>
      </c>
      <c r="H425" s="297"/>
      <c r="I425" s="288">
        <f t="shared" si="72"/>
        <v>1</v>
      </c>
      <c r="J425" s="297"/>
      <c r="K425" s="288">
        <f t="shared" si="73"/>
        <v>1</v>
      </c>
      <c r="L425" s="297"/>
      <c r="M425" s="288">
        <f t="shared" si="74"/>
        <v>1</v>
      </c>
      <c r="N425" s="297"/>
      <c r="O425" s="288">
        <f t="shared" si="75"/>
        <v>1</v>
      </c>
      <c r="P425" s="297"/>
      <c r="Q425" s="288">
        <f t="shared" si="76"/>
        <v>1</v>
      </c>
      <c r="R425" s="348">
        <f t="shared" si="77"/>
        <v>0</v>
      </c>
      <c r="S425" s="287">
        <f t="shared" si="78"/>
        <v>0</v>
      </c>
    </row>
    <row r="426" spans="1:19">
      <c r="A426" s="295"/>
      <c r="B426" s="296"/>
      <c r="C426" s="288">
        <f t="shared" si="69"/>
        <v>1</v>
      </c>
      <c r="D426" s="297"/>
      <c r="E426" s="288">
        <f t="shared" si="70"/>
        <v>1</v>
      </c>
      <c r="F426" s="297"/>
      <c r="G426" s="288">
        <f t="shared" si="71"/>
        <v>1</v>
      </c>
      <c r="H426" s="297"/>
      <c r="I426" s="288">
        <f t="shared" si="72"/>
        <v>1</v>
      </c>
      <c r="J426" s="297"/>
      <c r="K426" s="288">
        <f t="shared" si="73"/>
        <v>1</v>
      </c>
      <c r="L426" s="297"/>
      <c r="M426" s="288">
        <f t="shared" si="74"/>
        <v>1</v>
      </c>
      <c r="N426" s="297"/>
      <c r="O426" s="288">
        <f t="shared" si="75"/>
        <v>1</v>
      </c>
      <c r="P426" s="297"/>
      <c r="Q426" s="288">
        <f t="shared" si="76"/>
        <v>1</v>
      </c>
      <c r="R426" s="348">
        <f t="shared" si="77"/>
        <v>0</v>
      </c>
      <c r="S426" s="287">
        <f t="shared" si="78"/>
        <v>0</v>
      </c>
    </row>
    <row r="427" spans="1:19">
      <c r="A427" s="295"/>
      <c r="B427" s="296"/>
      <c r="C427" s="288">
        <f t="shared" si="69"/>
        <v>1</v>
      </c>
      <c r="D427" s="297"/>
      <c r="E427" s="288">
        <f t="shared" si="70"/>
        <v>1</v>
      </c>
      <c r="F427" s="297"/>
      <c r="G427" s="288">
        <f t="shared" si="71"/>
        <v>1</v>
      </c>
      <c r="H427" s="297"/>
      <c r="I427" s="288">
        <f t="shared" si="72"/>
        <v>1</v>
      </c>
      <c r="J427" s="297"/>
      <c r="K427" s="288">
        <f t="shared" si="73"/>
        <v>1</v>
      </c>
      <c r="L427" s="297"/>
      <c r="M427" s="288">
        <f t="shared" si="74"/>
        <v>1</v>
      </c>
      <c r="N427" s="297"/>
      <c r="O427" s="288">
        <f t="shared" si="75"/>
        <v>1</v>
      </c>
      <c r="P427" s="297"/>
      <c r="Q427" s="288">
        <f t="shared" si="76"/>
        <v>1</v>
      </c>
      <c r="R427" s="348">
        <f t="shared" si="77"/>
        <v>0</v>
      </c>
      <c r="S427" s="287">
        <f t="shared" si="78"/>
        <v>0</v>
      </c>
    </row>
    <row r="428" spans="1:19">
      <c r="A428" s="295"/>
      <c r="B428" s="296"/>
      <c r="C428" s="288">
        <f t="shared" si="69"/>
        <v>1</v>
      </c>
      <c r="D428" s="297"/>
      <c r="E428" s="288">
        <f t="shared" si="70"/>
        <v>1</v>
      </c>
      <c r="F428" s="297"/>
      <c r="G428" s="288">
        <f t="shared" si="71"/>
        <v>1</v>
      </c>
      <c r="H428" s="297"/>
      <c r="I428" s="288">
        <f t="shared" si="72"/>
        <v>1</v>
      </c>
      <c r="J428" s="297"/>
      <c r="K428" s="288">
        <f t="shared" si="73"/>
        <v>1</v>
      </c>
      <c r="L428" s="297"/>
      <c r="M428" s="288">
        <f t="shared" si="74"/>
        <v>1</v>
      </c>
      <c r="N428" s="297"/>
      <c r="O428" s="288">
        <f t="shared" si="75"/>
        <v>1</v>
      </c>
      <c r="P428" s="297"/>
      <c r="Q428" s="288">
        <f t="shared" si="76"/>
        <v>1</v>
      </c>
      <c r="R428" s="348">
        <f t="shared" si="77"/>
        <v>0</v>
      </c>
      <c r="S428" s="287">
        <f t="shared" si="78"/>
        <v>0</v>
      </c>
    </row>
    <row r="429" spans="1:19">
      <c r="A429" s="295"/>
      <c r="B429" s="296"/>
      <c r="C429" s="288">
        <f t="shared" si="69"/>
        <v>1</v>
      </c>
      <c r="D429" s="297"/>
      <c r="E429" s="288">
        <f t="shared" si="70"/>
        <v>1</v>
      </c>
      <c r="F429" s="297"/>
      <c r="G429" s="288">
        <f t="shared" si="71"/>
        <v>1</v>
      </c>
      <c r="H429" s="297"/>
      <c r="I429" s="288">
        <f t="shared" si="72"/>
        <v>1</v>
      </c>
      <c r="J429" s="297"/>
      <c r="K429" s="288">
        <f t="shared" si="73"/>
        <v>1</v>
      </c>
      <c r="L429" s="297"/>
      <c r="M429" s="288">
        <f t="shared" si="74"/>
        <v>1</v>
      </c>
      <c r="N429" s="297"/>
      <c r="O429" s="288">
        <f t="shared" si="75"/>
        <v>1</v>
      </c>
      <c r="P429" s="297"/>
      <c r="Q429" s="288">
        <f t="shared" si="76"/>
        <v>1</v>
      </c>
      <c r="R429" s="348">
        <f t="shared" si="77"/>
        <v>0</v>
      </c>
      <c r="S429" s="287">
        <f t="shared" si="78"/>
        <v>0</v>
      </c>
    </row>
    <row r="430" spans="1:19">
      <c r="A430" s="295"/>
      <c r="B430" s="296"/>
      <c r="C430" s="288">
        <f t="shared" si="69"/>
        <v>1</v>
      </c>
      <c r="D430" s="297"/>
      <c r="E430" s="288">
        <f t="shared" si="70"/>
        <v>1</v>
      </c>
      <c r="F430" s="297"/>
      <c r="G430" s="288">
        <f t="shared" si="71"/>
        <v>1</v>
      </c>
      <c r="H430" s="297"/>
      <c r="I430" s="288">
        <f t="shared" si="72"/>
        <v>1</v>
      </c>
      <c r="J430" s="297"/>
      <c r="K430" s="288">
        <f t="shared" si="73"/>
        <v>1</v>
      </c>
      <c r="L430" s="297"/>
      <c r="M430" s="288">
        <f t="shared" si="74"/>
        <v>1</v>
      </c>
      <c r="N430" s="297"/>
      <c r="O430" s="288">
        <f t="shared" si="75"/>
        <v>1</v>
      </c>
      <c r="P430" s="297"/>
      <c r="Q430" s="288">
        <f t="shared" si="76"/>
        <v>1</v>
      </c>
      <c r="R430" s="348">
        <f t="shared" si="77"/>
        <v>0</v>
      </c>
      <c r="S430" s="287">
        <f t="shared" si="78"/>
        <v>0</v>
      </c>
    </row>
    <row r="431" spans="1:19">
      <c r="A431" s="295"/>
      <c r="B431" s="296"/>
      <c r="C431" s="288">
        <f t="shared" si="69"/>
        <v>1</v>
      </c>
      <c r="D431" s="297"/>
      <c r="E431" s="288">
        <f t="shared" si="70"/>
        <v>1</v>
      </c>
      <c r="F431" s="297"/>
      <c r="G431" s="288">
        <f t="shared" si="71"/>
        <v>1</v>
      </c>
      <c r="H431" s="297"/>
      <c r="I431" s="288">
        <f t="shared" si="72"/>
        <v>1</v>
      </c>
      <c r="J431" s="297"/>
      <c r="K431" s="288">
        <f t="shared" si="73"/>
        <v>1</v>
      </c>
      <c r="L431" s="297"/>
      <c r="M431" s="288">
        <f t="shared" si="74"/>
        <v>1</v>
      </c>
      <c r="N431" s="297"/>
      <c r="O431" s="288">
        <f t="shared" si="75"/>
        <v>1</v>
      </c>
      <c r="P431" s="297"/>
      <c r="Q431" s="288">
        <f t="shared" si="76"/>
        <v>1</v>
      </c>
      <c r="R431" s="348">
        <f t="shared" si="77"/>
        <v>0</v>
      </c>
      <c r="S431" s="287">
        <f t="shared" si="78"/>
        <v>0</v>
      </c>
    </row>
    <row r="432" spans="1:19">
      <c r="A432" s="295"/>
      <c r="B432" s="296"/>
      <c r="C432" s="288">
        <f t="shared" si="69"/>
        <v>1</v>
      </c>
      <c r="D432" s="297"/>
      <c r="E432" s="288">
        <f t="shared" si="70"/>
        <v>1</v>
      </c>
      <c r="F432" s="297"/>
      <c r="G432" s="288">
        <f t="shared" si="71"/>
        <v>1</v>
      </c>
      <c r="H432" s="297"/>
      <c r="I432" s="288">
        <f t="shared" si="72"/>
        <v>1</v>
      </c>
      <c r="J432" s="297"/>
      <c r="K432" s="288">
        <f t="shared" si="73"/>
        <v>1</v>
      </c>
      <c r="L432" s="297"/>
      <c r="M432" s="288">
        <f t="shared" si="74"/>
        <v>1</v>
      </c>
      <c r="N432" s="297"/>
      <c r="O432" s="288">
        <f t="shared" si="75"/>
        <v>1</v>
      </c>
      <c r="P432" s="297"/>
      <c r="Q432" s="288">
        <f t="shared" si="76"/>
        <v>1</v>
      </c>
      <c r="R432" s="348">
        <f t="shared" si="77"/>
        <v>0</v>
      </c>
      <c r="S432" s="287">
        <f t="shared" si="78"/>
        <v>0</v>
      </c>
    </row>
    <row r="433" spans="1:19">
      <c r="A433" s="295"/>
      <c r="B433" s="296"/>
      <c r="C433" s="288">
        <f t="shared" si="69"/>
        <v>1</v>
      </c>
      <c r="D433" s="297"/>
      <c r="E433" s="288">
        <f t="shared" si="70"/>
        <v>1</v>
      </c>
      <c r="F433" s="297"/>
      <c r="G433" s="288">
        <f t="shared" si="71"/>
        <v>1</v>
      </c>
      <c r="H433" s="297"/>
      <c r="I433" s="288">
        <f t="shared" si="72"/>
        <v>1</v>
      </c>
      <c r="J433" s="297"/>
      <c r="K433" s="288">
        <f t="shared" si="73"/>
        <v>1</v>
      </c>
      <c r="L433" s="297"/>
      <c r="M433" s="288">
        <f t="shared" si="74"/>
        <v>1</v>
      </c>
      <c r="N433" s="297"/>
      <c r="O433" s="288">
        <f t="shared" si="75"/>
        <v>1</v>
      </c>
      <c r="P433" s="297"/>
      <c r="Q433" s="288">
        <f t="shared" si="76"/>
        <v>1</v>
      </c>
      <c r="R433" s="348">
        <f t="shared" si="77"/>
        <v>0</v>
      </c>
      <c r="S433" s="287">
        <f t="shared" si="78"/>
        <v>0</v>
      </c>
    </row>
    <row r="434" spans="1:19">
      <c r="A434" s="295"/>
      <c r="B434" s="296"/>
      <c r="C434" s="288">
        <f t="shared" si="69"/>
        <v>1</v>
      </c>
      <c r="D434" s="297"/>
      <c r="E434" s="288">
        <f t="shared" si="70"/>
        <v>1</v>
      </c>
      <c r="F434" s="297"/>
      <c r="G434" s="288">
        <f t="shared" si="71"/>
        <v>1</v>
      </c>
      <c r="H434" s="297"/>
      <c r="I434" s="288">
        <f t="shared" si="72"/>
        <v>1</v>
      </c>
      <c r="J434" s="297"/>
      <c r="K434" s="288">
        <f t="shared" si="73"/>
        <v>1</v>
      </c>
      <c r="L434" s="297"/>
      <c r="M434" s="288">
        <f t="shared" si="74"/>
        <v>1</v>
      </c>
      <c r="N434" s="297"/>
      <c r="O434" s="288">
        <f t="shared" si="75"/>
        <v>1</v>
      </c>
      <c r="P434" s="297"/>
      <c r="Q434" s="288">
        <f t="shared" si="76"/>
        <v>1</v>
      </c>
      <c r="R434" s="348">
        <f t="shared" si="77"/>
        <v>0</v>
      </c>
      <c r="S434" s="287">
        <f t="shared" si="78"/>
        <v>0</v>
      </c>
    </row>
    <row r="435" spans="1:19">
      <c r="A435" s="295"/>
      <c r="B435" s="296"/>
      <c r="C435" s="288">
        <f t="shared" si="69"/>
        <v>1</v>
      </c>
      <c r="D435" s="297"/>
      <c r="E435" s="288">
        <f t="shared" si="70"/>
        <v>1</v>
      </c>
      <c r="F435" s="297"/>
      <c r="G435" s="288">
        <f t="shared" si="71"/>
        <v>1</v>
      </c>
      <c r="H435" s="297"/>
      <c r="I435" s="288">
        <f t="shared" si="72"/>
        <v>1</v>
      </c>
      <c r="J435" s="297"/>
      <c r="K435" s="288">
        <f t="shared" si="73"/>
        <v>1</v>
      </c>
      <c r="L435" s="297"/>
      <c r="M435" s="288">
        <f t="shared" si="74"/>
        <v>1</v>
      </c>
      <c r="N435" s="297"/>
      <c r="O435" s="288">
        <f t="shared" si="75"/>
        <v>1</v>
      </c>
      <c r="P435" s="297"/>
      <c r="Q435" s="288">
        <f t="shared" si="76"/>
        <v>1</v>
      </c>
      <c r="R435" s="348">
        <f t="shared" si="77"/>
        <v>0</v>
      </c>
      <c r="S435" s="287">
        <f t="shared" si="78"/>
        <v>0</v>
      </c>
    </row>
    <row r="436" spans="1:19">
      <c r="A436" s="295"/>
      <c r="B436" s="296"/>
      <c r="C436" s="288">
        <f t="shared" si="69"/>
        <v>1</v>
      </c>
      <c r="D436" s="297"/>
      <c r="E436" s="288">
        <f t="shared" si="70"/>
        <v>1</v>
      </c>
      <c r="F436" s="297"/>
      <c r="G436" s="288">
        <f t="shared" si="71"/>
        <v>1</v>
      </c>
      <c r="H436" s="297"/>
      <c r="I436" s="288">
        <f t="shared" si="72"/>
        <v>1</v>
      </c>
      <c r="J436" s="297"/>
      <c r="K436" s="288">
        <f t="shared" si="73"/>
        <v>1</v>
      </c>
      <c r="L436" s="297"/>
      <c r="M436" s="288">
        <f t="shared" si="74"/>
        <v>1</v>
      </c>
      <c r="N436" s="297"/>
      <c r="O436" s="288">
        <f t="shared" si="75"/>
        <v>1</v>
      </c>
      <c r="P436" s="297"/>
      <c r="Q436" s="288">
        <f t="shared" si="76"/>
        <v>1</v>
      </c>
      <c r="R436" s="348">
        <f t="shared" si="77"/>
        <v>0</v>
      </c>
      <c r="S436" s="287">
        <f t="shared" si="78"/>
        <v>0</v>
      </c>
    </row>
    <row r="437" spans="1:19">
      <c r="A437" s="295"/>
      <c r="B437" s="296"/>
      <c r="C437" s="288">
        <f t="shared" si="69"/>
        <v>1</v>
      </c>
      <c r="D437" s="297"/>
      <c r="E437" s="288">
        <f t="shared" si="70"/>
        <v>1</v>
      </c>
      <c r="F437" s="297"/>
      <c r="G437" s="288">
        <f t="shared" si="71"/>
        <v>1</v>
      </c>
      <c r="H437" s="297"/>
      <c r="I437" s="288">
        <f t="shared" si="72"/>
        <v>1</v>
      </c>
      <c r="J437" s="297"/>
      <c r="K437" s="288">
        <f t="shared" si="73"/>
        <v>1</v>
      </c>
      <c r="L437" s="297"/>
      <c r="M437" s="288">
        <f t="shared" si="74"/>
        <v>1</v>
      </c>
      <c r="N437" s="297"/>
      <c r="O437" s="288">
        <f t="shared" si="75"/>
        <v>1</v>
      </c>
      <c r="P437" s="297"/>
      <c r="Q437" s="288">
        <f t="shared" si="76"/>
        <v>1</v>
      </c>
      <c r="R437" s="348">
        <f t="shared" si="77"/>
        <v>0</v>
      </c>
      <c r="S437" s="287">
        <f t="shared" si="78"/>
        <v>0</v>
      </c>
    </row>
    <row r="438" spans="1:19">
      <c r="A438" s="295"/>
      <c r="B438" s="296"/>
      <c r="C438" s="288">
        <f t="shared" si="69"/>
        <v>1</v>
      </c>
      <c r="D438" s="297"/>
      <c r="E438" s="288">
        <f t="shared" si="70"/>
        <v>1</v>
      </c>
      <c r="F438" s="297"/>
      <c r="G438" s="288">
        <f t="shared" si="71"/>
        <v>1</v>
      </c>
      <c r="H438" s="297"/>
      <c r="I438" s="288">
        <f t="shared" si="72"/>
        <v>1</v>
      </c>
      <c r="J438" s="297"/>
      <c r="K438" s="288">
        <f t="shared" si="73"/>
        <v>1</v>
      </c>
      <c r="L438" s="297"/>
      <c r="M438" s="288">
        <f t="shared" si="74"/>
        <v>1</v>
      </c>
      <c r="N438" s="297"/>
      <c r="O438" s="288">
        <f t="shared" si="75"/>
        <v>1</v>
      </c>
      <c r="P438" s="297"/>
      <c r="Q438" s="288">
        <f t="shared" si="76"/>
        <v>1</v>
      </c>
      <c r="R438" s="348">
        <f t="shared" si="77"/>
        <v>0</v>
      </c>
      <c r="S438" s="287">
        <f t="shared" si="78"/>
        <v>0</v>
      </c>
    </row>
    <row r="439" spans="1:19">
      <c r="A439" s="295"/>
      <c r="B439" s="296"/>
      <c r="C439" s="288">
        <f t="shared" si="69"/>
        <v>1</v>
      </c>
      <c r="D439" s="297"/>
      <c r="E439" s="288">
        <f t="shared" si="70"/>
        <v>1</v>
      </c>
      <c r="F439" s="297"/>
      <c r="G439" s="288">
        <f t="shared" si="71"/>
        <v>1</v>
      </c>
      <c r="H439" s="297"/>
      <c r="I439" s="288">
        <f t="shared" si="72"/>
        <v>1</v>
      </c>
      <c r="J439" s="297"/>
      <c r="K439" s="288">
        <f t="shared" si="73"/>
        <v>1</v>
      </c>
      <c r="L439" s="297"/>
      <c r="M439" s="288">
        <f t="shared" si="74"/>
        <v>1</v>
      </c>
      <c r="N439" s="297"/>
      <c r="O439" s="288">
        <f t="shared" si="75"/>
        <v>1</v>
      </c>
      <c r="P439" s="297"/>
      <c r="Q439" s="288">
        <f t="shared" si="76"/>
        <v>1</v>
      </c>
      <c r="R439" s="348">
        <f t="shared" si="77"/>
        <v>0</v>
      </c>
      <c r="S439" s="287">
        <f t="shared" si="78"/>
        <v>0</v>
      </c>
    </row>
    <row r="440" spans="1:19">
      <c r="A440" s="295"/>
      <c r="B440" s="296"/>
      <c r="C440" s="288">
        <f t="shared" si="69"/>
        <v>1</v>
      </c>
      <c r="D440" s="297"/>
      <c r="E440" s="288">
        <f t="shared" si="70"/>
        <v>1</v>
      </c>
      <c r="F440" s="297"/>
      <c r="G440" s="288">
        <f t="shared" si="71"/>
        <v>1</v>
      </c>
      <c r="H440" s="297"/>
      <c r="I440" s="288">
        <f t="shared" si="72"/>
        <v>1</v>
      </c>
      <c r="J440" s="297"/>
      <c r="K440" s="288">
        <f t="shared" si="73"/>
        <v>1</v>
      </c>
      <c r="L440" s="297"/>
      <c r="M440" s="288">
        <f t="shared" si="74"/>
        <v>1</v>
      </c>
      <c r="N440" s="297"/>
      <c r="O440" s="288">
        <f t="shared" si="75"/>
        <v>1</v>
      </c>
      <c r="P440" s="297"/>
      <c r="Q440" s="288">
        <f t="shared" si="76"/>
        <v>1</v>
      </c>
      <c r="R440" s="348">
        <f t="shared" si="77"/>
        <v>0</v>
      </c>
      <c r="S440" s="287">
        <f t="shared" si="78"/>
        <v>0</v>
      </c>
    </row>
    <row r="441" spans="1:19">
      <c r="A441" s="295"/>
      <c r="B441" s="296"/>
      <c r="C441" s="288">
        <f t="shared" si="69"/>
        <v>1</v>
      </c>
      <c r="D441" s="297"/>
      <c r="E441" s="288">
        <f t="shared" si="70"/>
        <v>1</v>
      </c>
      <c r="F441" s="297"/>
      <c r="G441" s="288">
        <f t="shared" si="71"/>
        <v>1</v>
      </c>
      <c r="H441" s="297"/>
      <c r="I441" s="288">
        <f t="shared" si="72"/>
        <v>1</v>
      </c>
      <c r="J441" s="297"/>
      <c r="K441" s="288">
        <f t="shared" si="73"/>
        <v>1</v>
      </c>
      <c r="L441" s="297"/>
      <c r="M441" s="288">
        <f t="shared" si="74"/>
        <v>1</v>
      </c>
      <c r="N441" s="297"/>
      <c r="O441" s="288">
        <f t="shared" si="75"/>
        <v>1</v>
      </c>
      <c r="P441" s="297"/>
      <c r="Q441" s="288">
        <f t="shared" si="76"/>
        <v>1</v>
      </c>
      <c r="R441" s="348">
        <f t="shared" si="77"/>
        <v>0</v>
      </c>
      <c r="S441" s="287">
        <f t="shared" si="78"/>
        <v>0</v>
      </c>
    </row>
    <row r="442" spans="1:19">
      <c r="A442" s="295"/>
      <c r="B442" s="296"/>
      <c r="C442" s="288">
        <f t="shared" si="69"/>
        <v>1</v>
      </c>
      <c r="D442" s="297"/>
      <c r="E442" s="288">
        <f t="shared" si="70"/>
        <v>1</v>
      </c>
      <c r="F442" s="297"/>
      <c r="G442" s="288">
        <f t="shared" si="71"/>
        <v>1</v>
      </c>
      <c r="H442" s="297"/>
      <c r="I442" s="288">
        <f t="shared" si="72"/>
        <v>1</v>
      </c>
      <c r="J442" s="297"/>
      <c r="K442" s="288">
        <f t="shared" si="73"/>
        <v>1</v>
      </c>
      <c r="L442" s="297"/>
      <c r="M442" s="288">
        <f t="shared" si="74"/>
        <v>1</v>
      </c>
      <c r="N442" s="297"/>
      <c r="O442" s="288">
        <f t="shared" si="75"/>
        <v>1</v>
      </c>
      <c r="P442" s="297"/>
      <c r="Q442" s="288">
        <f t="shared" si="76"/>
        <v>1</v>
      </c>
      <c r="R442" s="348">
        <f t="shared" si="77"/>
        <v>0</v>
      </c>
      <c r="S442" s="287">
        <f t="shared" si="78"/>
        <v>0</v>
      </c>
    </row>
    <row r="443" spans="1:19">
      <c r="A443" s="295"/>
      <c r="B443" s="296"/>
      <c r="C443" s="288">
        <f t="shared" si="69"/>
        <v>1</v>
      </c>
      <c r="D443" s="297"/>
      <c r="E443" s="288">
        <f t="shared" si="70"/>
        <v>1</v>
      </c>
      <c r="F443" s="297"/>
      <c r="G443" s="288">
        <f t="shared" si="71"/>
        <v>1</v>
      </c>
      <c r="H443" s="297"/>
      <c r="I443" s="288">
        <f t="shared" si="72"/>
        <v>1</v>
      </c>
      <c r="J443" s="297"/>
      <c r="K443" s="288">
        <f t="shared" si="73"/>
        <v>1</v>
      </c>
      <c r="L443" s="297"/>
      <c r="M443" s="288">
        <f t="shared" si="74"/>
        <v>1</v>
      </c>
      <c r="N443" s="297"/>
      <c r="O443" s="288">
        <f t="shared" si="75"/>
        <v>1</v>
      </c>
      <c r="P443" s="297"/>
      <c r="Q443" s="288">
        <f t="shared" si="76"/>
        <v>1</v>
      </c>
      <c r="R443" s="348">
        <f t="shared" si="77"/>
        <v>0</v>
      </c>
      <c r="S443" s="287">
        <f t="shared" si="78"/>
        <v>0</v>
      </c>
    </row>
    <row r="444" spans="1:19">
      <c r="A444" s="295"/>
      <c r="B444" s="296"/>
      <c r="C444" s="288">
        <f t="shared" si="69"/>
        <v>1</v>
      </c>
      <c r="D444" s="297"/>
      <c r="E444" s="288">
        <f t="shared" si="70"/>
        <v>1</v>
      </c>
      <c r="F444" s="297"/>
      <c r="G444" s="288">
        <f t="shared" si="71"/>
        <v>1</v>
      </c>
      <c r="H444" s="297"/>
      <c r="I444" s="288">
        <f t="shared" si="72"/>
        <v>1</v>
      </c>
      <c r="J444" s="297"/>
      <c r="K444" s="288">
        <f t="shared" si="73"/>
        <v>1</v>
      </c>
      <c r="L444" s="297"/>
      <c r="M444" s="288">
        <f t="shared" si="74"/>
        <v>1</v>
      </c>
      <c r="N444" s="297"/>
      <c r="O444" s="288">
        <f t="shared" si="75"/>
        <v>1</v>
      </c>
      <c r="P444" s="297"/>
      <c r="Q444" s="288">
        <f t="shared" si="76"/>
        <v>1</v>
      </c>
      <c r="R444" s="348">
        <f t="shared" si="77"/>
        <v>0</v>
      </c>
      <c r="S444" s="287">
        <f t="shared" si="78"/>
        <v>0</v>
      </c>
    </row>
    <row r="445" spans="1:19">
      <c r="A445" s="295"/>
      <c r="B445" s="296"/>
      <c r="C445" s="288">
        <f t="shared" si="69"/>
        <v>1</v>
      </c>
      <c r="D445" s="297"/>
      <c r="E445" s="288">
        <f t="shared" si="70"/>
        <v>1</v>
      </c>
      <c r="F445" s="297"/>
      <c r="G445" s="288">
        <f t="shared" si="71"/>
        <v>1</v>
      </c>
      <c r="H445" s="297"/>
      <c r="I445" s="288">
        <f t="shared" si="72"/>
        <v>1</v>
      </c>
      <c r="J445" s="297"/>
      <c r="K445" s="288">
        <f t="shared" si="73"/>
        <v>1</v>
      </c>
      <c r="L445" s="297"/>
      <c r="M445" s="288">
        <f t="shared" si="74"/>
        <v>1</v>
      </c>
      <c r="N445" s="297"/>
      <c r="O445" s="288">
        <f t="shared" si="75"/>
        <v>1</v>
      </c>
      <c r="P445" s="297"/>
      <c r="Q445" s="288">
        <f t="shared" si="76"/>
        <v>1</v>
      </c>
      <c r="R445" s="348">
        <f t="shared" si="77"/>
        <v>0</v>
      </c>
      <c r="S445" s="287">
        <f t="shared" si="78"/>
        <v>0</v>
      </c>
    </row>
    <row r="446" spans="1:19">
      <c r="A446" s="295"/>
      <c r="B446" s="296"/>
      <c r="C446" s="288">
        <f t="shared" si="69"/>
        <v>1</v>
      </c>
      <c r="D446" s="297"/>
      <c r="E446" s="288">
        <f t="shared" si="70"/>
        <v>1</v>
      </c>
      <c r="F446" s="297"/>
      <c r="G446" s="288">
        <f t="shared" si="71"/>
        <v>1</v>
      </c>
      <c r="H446" s="297"/>
      <c r="I446" s="288">
        <f t="shared" si="72"/>
        <v>1</v>
      </c>
      <c r="J446" s="297"/>
      <c r="K446" s="288">
        <f t="shared" si="73"/>
        <v>1</v>
      </c>
      <c r="L446" s="297"/>
      <c r="M446" s="288">
        <f t="shared" si="74"/>
        <v>1</v>
      </c>
      <c r="N446" s="297"/>
      <c r="O446" s="288">
        <f t="shared" si="75"/>
        <v>1</v>
      </c>
      <c r="P446" s="297"/>
      <c r="Q446" s="288">
        <f t="shared" si="76"/>
        <v>1</v>
      </c>
      <c r="R446" s="348">
        <f t="shared" si="77"/>
        <v>0</v>
      </c>
      <c r="S446" s="287">
        <f t="shared" si="78"/>
        <v>0</v>
      </c>
    </row>
    <row r="447" spans="1:19">
      <c r="A447" s="295"/>
      <c r="B447" s="296"/>
      <c r="C447" s="288">
        <f t="shared" si="69"/>
        <v>1</v>
      </c>
      <c r="D447" s="297"/>
      <c r="E447" s="288">
        <f t="shared" si="70"/>
        <v>1</v>
      </c>
      <c r="F447" s="297"/>
      <c r="G447" s="288">
        <f t="shared" si="71"/>
        <v>1</v>
      </c>
      <c r="H447" s="297"/>
      <c r="I447" s="288">
        <f t="shared" si="72"/>
        <v>1</v>
      </c>
      <c r="J447" s="297"/>
      <c r="K447" s="288">
        <f t="shared" si="73"/>
        <v>1</v>
      </c>
      <c r="L447" s="297"/>
      <c r="M447" s="288">
        <f t="shared" si="74"/>
        <v>1</v>
      </c>
      <c r="N447" s="297"/>
      <c r="O447" s="288">
        <f t="shared" si="75"/>
        <v>1</v>
      </c>
      <c r="P447" s="297"/>
      <c r="Q447" s="288">
        <f t="shared" si="76"/>
        <v>1</v>
      </c>
      <c r="R447" s="348">
        <f t="shared" si="77"/>
        <v>0</v>
      </c>
      <c r="S447" s="287">
        <f t="shared" si="78"/>
        <v>0</v>
      </c>
    </row>
    <row r="448" spans="1:19">
      <c r="A448" s="295"/>
      <c r="B448" s="296"/>
      <c r="C448" s="288">
        <f t="shared" si="69"/>
        <v>1</v>
      </c>
      <c r="D448" s="297"/>
      <c r="E448" s="288">
        <f t="shared" si="70"/>
        <v>1</v>
      </c>
      <c r="F448" s="297"/>
      <c r="G448" s="288">
        <f t="shared" si="71"/>
        <v>1</v>
      </c>
      <c r="H448" s="297"/>
      <c r="I448" s="288">
        <f t="shared" si="72"/>
        <v>1</v>
      </c>
      <c r="J448" s="297"/>
      <c r="K448" s="288">
        <f t="shared" si="73"/>
        <v>1</v>
      </c>
      <c r="L448" s="297"/>
      <c r="M448" s="288">
        <f t="shared" si="74"/>
        <v>1</v>
      </c>
      <c r="N448" s="297"/>
      <c r="O448" s="288">
        <f t="shared" si="75"/>
        <v>1</v>
      </c>
      <c r="P448" s="297"/>
      <c r="Q448" s="288">
        <f t="shared" si="76"/>
        <v>1</v>
      </c>
      <c r="R448" s="348">
        <f t="shared" si="77"/>
        <v>0</v>
      </c>
      <c r="S448" s="287">
        <f t="shared" si="78"/>
        <v>0</v>
      </c>
    </row>
    <row r="449" spans="1:19">
      <c r="A449" s="295"/>
      <c r="B449" s="296"/>
      <c r="C449" s="288">
        <f t="shared" si="69"/>
        <v>1</v>
      </c>
      <c r="D449" s="297"/>
      <c r="E449" s="288">
        <f t="shared" si="70"/>
        <v>1</v>
      </c>
      <c r="F449" s="297"/>
      <c r="G449" s="288">
        <f t="shared" si="71"/>
        <v>1</v>
      </c>
      <c r="H449" s="297"/>
      <c r="I449" s="288">
        <f t="shared" si="72"/>
        <v>1</v>
      </c>
      <c r="J449" s="297"/>
      <c r="K449" s="288">
        <f t="shared" si="73"/>
        <v>1</v>
      </c>
      <c r="L449" s="297"/>
      <c r="M449" s="288">
        <f t="shared" si="74"/>
        <v>1</v>
      </c>
      <c r="N449" s="297"/>
      <c r="O449" s="288">
        <f t="shared" si="75"/>
        <v>1</v>
      </c>
      <c r="P449" s="297"/>
      <c r="Q449" s="288">
        <f t="shared" si="76"/>
        <v>1</v>
      </c>
      <c r="R449" s="348">
        <f t="shared" si="77"/>
        <v>0</v>
      </c>
      <c r="S449" s="287">
        <f t="shared" si="78"/>
        <v>0</v>
      </c>
    </row>
    <row r="450" spans="1:19">
      <c r="A450" s="295"/>
      <c r="B450" s="296"/>
      <c r="C450" s="288">
        <f t="shared" si="69"/>
        <v>1</v>
      </c>
      <c r="D450" s="297"/>
      <c r="E450" s="288">
        <f t="shared" si="70"/>
        <v>1</v>
      </c>
      <c r="F450" s="297"/>
      <c r="G450" s="288">
        <f t="shared" si="71"/>
        <v>1</v>
      </c>
      <c r="H450" s="297"/>
      <c r="I450" s="288">
        <f t="shared" si="72"/>
        <v>1</v>
      </c>
      <c r="J450" s="297"/>
      <c r="K450" s="288">
        <f t="shared" si="73"/>
        <v>1</v>
      </c>
      <c r="L450" s="297"/>
      <c r="M450" s="288">
        <f t="shared" si="74"/>
        <v>1</v>
      </c>
      <c r="N450" s="297"/>
      <c r="O450" s="288">
        <f t="shared" si="75"/>
        <v>1</v>
      </c>
      <c r="P450" s="297"/>
      <c r="Q450" s="288">
        <f t="shared" si="76"/>
        <v>1</v>
      </c>
      <c r="R450" s="348">
        <f t="shared" si="77"/>
        <v>0</v>
      </c>
      <c r="S450" s="287">
        <f t="shared" si="78"/>
        <v>0</v>
      </c>
    </row>
    <row r="451" spans="1:19">
      <c r="A451" s="295"/>
      <c r="B451" s="296"/>
      <c r="C451" s="288">
        <f t="shared" si="69"/>
        <v>1</v>
      </c>
      <c r="D451" s="297"/>
      <c r="E451" s="288">
        <f t="shared" si="70"/>
        <v>1</v>
      </c>
      <c r="F451" s="297"/>
      <c r="G451" s="288">
        <f t="shared" si="71"/>
        <v>1</v>
      </c>
      <c r="H451" s="297"/>
      <c r="I451" s="288">
        <f t="shared" si="72"/>
        <v>1</v>
      </c>
      <c r="J451" s="297"/>
      <c r="K451" s="288">
        <f t="shared" si="73"/>
        <v>1</v>
      </c>
      <c r="L451" s="297"/>
      <c r="M451" s="288">
        <f t="shared" si="74"/>
        <v>1</v>
      </c>
      <c r="N451" s="297"/>
      <c r="O451" s="288">
        <f t="shared" si="75"/>
        <v>1</v>
      </c>
      <c r="P451" s="297"/>
      <c r="Q451" s="288">
        <f t="shared" si="76"/>
        <v>1</v>
      </c>
      <c r="R451" s="348">
        <f t="shared" si="77"/>
        <v>0</v>
      </c>
      <c r="S451" s="287">
        <f t="shared" si="78"/>
        <v>0</v>
      </c>
    </row>
    <row r="452" spans="1:19">
      <c r="A452" s="295"/>
      <c r="B452" s="296"/>
      <c r="C452" s="288">
        <f t="shared" si="69"/>
        <v>1</v>
      </c>
      <c r="D452" s="297"/>
      <c r="E452" s="288">
        <f t="shared" si="70"/>
        <v>1</v>
      </c>
      <c r="F452" s="297"/>
      <c r="G452" s="288">
        <f t="shared" si="71"/>
        <v>1</v>
      </c>
      <c r="H452" s="297"/>
      <c r="I452" s="288">
        <f t="shared" si="72"/>
        <v>1</v>
      </c>
      <c r="J452" s="297"/>
      <c r="K452" s="288">
        <f t="shared" si="73"/>
        <v>1</v>
      </c>
      <c r="L452" s="297"/>
      <c r="M452" s="288">
        <f t="shared" si="74"/>
        <v>1</v>
      </c>
      <c r="N452" s="297"/>
      <c r="O452" s="288">
        <f t="shared" si="75"/>
        <v>1</v>
      </c>
      <c r="P452" s="297"/>
      <c r="Q452" s="288">
        <f t="shared" si="76"/>
        <v>1</v>
      </c>
      <c r="R452" s="348">
        <f t="shared" si="77"/>
        <v>0</v>
      </c>
      <c r="S452" s="287">
        <f t="shared" si="78"/>
        <v>0</v>
      </c>
    </row>
    <row r="453" spans="1:19">
      <c r="A453" s="295"/>
      <c r="B453" s="296"/>
      <c r="C453" s="288">
        <f t="shared" si="69"/>
        <v>1</v>
      </c>
      <c r="D453" s="297"/>
      <c r="E453" s="288">
        <f t="shared" si="70"/>
        <v>1</v>
      </c>
      <c r="F453" s="297"/>
      <c r="G453" s="288">
        <f t="shared" si="71"/>
        <v>1</v>
      </c>
      <c r="H453" s="297"/>
      <c r="I453" s="288">
        <f t="shared" si="72"/>
        <v>1</v>
      </c>
      <c r="J453" s="297"/>
      <c r="K453" s="288">
        <f t="shared" si="73"/>
        <v>1</v>
      </c>
      <c r="L453" s="297"/>
      <c r="M453" s="288">
        <f t="shared" si="74"/>
        <v>1</v>
      </c>
      <c r="N453" s="297"/>
      <c r="O453" s="288">
        <f t="shared" si="75"/>
        <v>1</v>
      </c>
      <c r="P453" s="297"/>
      <c r="Q453" s="288">
        <f t="shared" si="76"/>
        <v>1</v>
      </c>
      <c r="R453" s="348">
        <f t="shared" si="77"/>
        <v>0</v>
      </c>
      <c r="S453" s="287">
        <f t="shared" si="78"/>
        <v>0</v>
      </c>
    </row>
    <row r="454" spans="1:19">
      <c r="A454" s="295"/>
      <c r="B454" s="296"/>
      <c r="C454" s="288">
        <f t="shared" si="69"/>
        <v>1</v>
      </c>
      <c r="D454" s="297"/>
      <c r="E454" s="288">
        <f t="shared" si="70"/>
        <v>1</v>
      </c>
      <c r="F454" s="297"/>
      <c r="G454" s="288">
        <f t="shared" si="71"/>
        <v>1</v>
      </c>
      <c r="H454" s="297"/>
      <c r="I454" s="288">
        <f t="shared" si="72"/>
        <v>1</v>
      </c>
      <c r="J454" s="297"/>
      <c r="K454" s="288">
        <f t="shared" si="73"/>
        <v>1</v>
      </c>
      <c r="L454" s="297"/>
      <c r="M454" s="288">
        <f t="shared" si="74"/>
        <v>1</v>
      </c>
      <c r="N454" s="297"/>
      <c r="O454" s="288">
        <f t="shared" si="75"/>
        <v>1</v>
      </c>
      <c r="P454" s="297"/>
      <c r="Q454" s="288">
        <f t="shared" si="76"/>
        <v>1</v>
      </c>
      <c r="R454" s="348">
        <f t="shared" si="77"/>
        <v>0</v>
      </c>
      <c r="S454" s="287">
        <f t="shared" si="78"/>
        <v>0</v>
      </c>
    </row>
    <row r="455" spans="1:19">
      <c r="A455" s="295"/>
      <c r="B455" s="296"/>
      <c r="C455" s="288">
        <f t="shared" si="69"/>
        <v>1</v>
      </c>
      <c r="D455" s="297"/>
      <c r="E455" s="288">
        <f t="shared" si="70"/>
        <v>1</v>
      </c>
      <c r="F455" s="297"/>
      <c r="G455" s="288">
        <f t="shared" si="71"/>
        <v>1</v>
      </c>
      <c r="H455" s="297"/>
      <c r="I455" s="288">
        <f t="shared" si="72"/>
        <v>1</v>
      </c>
      <c r="J455" s="297"/>
      <c r="K455" s="288">
        <f t="shared" si="73"/>
        <v>1</v>
      </c>
      <c r="L455" s="297"/>
      <c r="M455" s="288">
        <f t="shared" si="74"/>
        <v>1</v>
      </c>
      <c r="N455" s="297"/>
      <c r="O455" s="288">
        <f t="shared" si="75"/>
        <v>1</v>
      </c>
      <c r="P455" s="297"/>
      <c r="Q455" s="288">
        <f t="shared" si="76"/>
        <v>1</v>
      </c>
      <c r="R455" s="348">
        <f t="shared" si="77"/>
        <v>0</v>
      </c>
      <c r="S455" s="287">
        <f t="shared" si="78"/>
        <v>0</v>
      </c>
    </row>
    <row r="456" spans="1:19">
      <c r="A456" s="295"/>
      <c r="B456" s="296"/>
      <c r="C456" s="288">
        <f t="shared" si="69"/>
        <v>1</v>
      </c>
      <c r="D456" s="297"/>
      <c r="E456" s="288">
        <f t="shared" si="70"/>
        <v>1</v>
      </c>
      <c r="F456" s="297"/>
      <c r="G456" s="288">
        <f t="shared" si="71"/>
        <v>1</v>
      </c>
      <c r="H456" s="297"/>
      <c r="I456" s="288">
        <f t="shared" si="72"/>
        <v>1</v>
      </c>
      <c r="J456" s="297"/>
      <c r="K456" s="288">
        <f t="shared" si="73"/>
        <v>1</v>
      </c>
      <c r="L456" s="297"/>
      <c r="M456" s="288">
        <f t="shared" si="74"/>
        <v>1</v>
      </c>
      <c r="N456" s="297"/>
      <c r="O456" s="288">
        <f t="shared" si="75"/>
        <v>1</v>
      </c>
      <c r="P456" s="297"/>
      <c r="Q456" s="288">
        <f t="shared" si="76"/>
        <v>1</v>
      </c>
      <c r="R456" s="348">
        <f t="shared" si="77"/>
        <v>0</v>
      </c>
      <c r="S456" s="287">
        <f t="shared" si="78"/>
        <v>0</v>
      </c>
    </row>
    <row r="457" spans="1:19">
      <c r="A457" s="295"/>
      <c r="B457" s="296"/>
      <c r="C457" s="288">
        <f t="shared" si="69"/>
        <v>1</v>
      </c>
      <c r="D457" s="297"/>
      <c r="E457" s="288">
        <f t="shared" si="70"/>
        <v>1</v>
      </c>
      <c r="F457" s="297"/>
      <c r="G457" s="288">
        <f t="shared" si="71"/>
        <v>1</v>
      </c>
      <c r="H457" s="297"/>
      <c r="I457" s="288">
        <f t="shared" si="72"/>
        <v>1</v>
      </c>
      <c r="J457" s="297"/>
      <c r="K457" s="288">
        <f t="shared" si="73"/>
        <v>1</v>
      </c>
      <c r="L457" s="297"/>
      <c r="M457" s="288">
        <f t="shared" si="74"/>
        <v>1</v>
      </c>
      <c r="N457" s="297"/>
      <c r="O457" s="288">
        <f t="shared" si="75"/>
        <v>1</v>
      </c>
      <c r="P457" s="297"/>
      <c r="Q457" s="288">
        <f t="shared" si="76"/>
        <v>1</v>
      </c>
      <c r="R457" s="348">
        <f t="shared" si="77"/>
        <v>0</v>
      </c>
      <c r="S457" s="287">
        <f t="shared" si="78"/>
        <v>0</v>
      </c>
    </row>
    <row r="458" spans="1:19">
      <c r="A458" s="295"/>
      <c r="B458" s="296"/>
      <c r="C458" s="288">
        <f t="shared" si="69"/>
        <v>1</v>
      </c>
      <c r="D458" s="297"/>
      <c r="E458" s="288">
        <f t="shared" si="70"/>
        <v>1</v>
      </c>
      <c r="F458" s="297"/>
      <c r="G458" s="288">
        <f t="shared" si="71"/>
        <v>1</v>
      </c>
      <c r="H458" s="297"/>
      <c r="I458" s="288">
        <f t="shared" si="72"/>
        <v>1</v>
      </c>
      <c r="J458" s="297"/>
      <c r="K458" s="288">
        <f t="shared" si="73"/>
        <v>1</v>
      </c>
      <c r="L458" s="297"/>
      <c r="M458" s="288">
        <f t="shared" si="74"/>
        <v>1</v>
      </c>
      <c r="N458" s="297"/>
      <c r="O458" s="288">
        <f t="shared" si="75"/>
        <v>1</v>
      </c>
      <c r="P458" s="297"/>
      <c r="Q458" s="288">
        <f t="shared" si="76"/>
        <v>1</v>
      </c>
      <c r="R458" s="348">
        <f t="shared" si="77"/>
        <v>0</v>
      </c>
      <c r="S458" s="287">
        <f t="shared" si="78"/>
        <v>0</v>
      </c>
    </row>
    <row r="459" spans="1:19">
      <c r="A459" s="295"/>
      <c r="B459" s="296"/>
      <c r="C459" s="288">
        <f t="shared" si="69"/>
        <v>1</v>
      </c>
      <c r="D459" s="297"/>
      <c r="E459" s="288">
        <f t="shared" si="70"/>
        <v>1</v>
      </c>
      <c r="F459" s="297"/>
      <c r="G459" s="288">
        <f t="shared" si="71"/>
        <v>1</v>
      </c>
      <c r="H459" s="297"/>
      <c r="I459" s="288">
        <f t="shared" si="72"/>
        <v>1</v>
      </c>
      <c r="J459" s="297"/>
      <c r="K459" s="288">
        <f t="shared" si="73"/>
        <v>1</v>
      </c>
      <c r="L459" s="297"/>
      <c r="M459" s="288">
        <f t="shared" si="74"/>
        <v>1</v>
      </c>
      <c r="N459" s="297"/>
      <c r="O459" s="288">
        <f t="shared" si="75"/>
        <v>1</v>
      </c>
      <c r="P459" s="297"/>
      <c r="Q459" s="288">
        <f t="shared" si="76"/>
        <v>1</v>
      </c>
      <c r="R459" s="348">
        <f t="shared" si="77"/>
        <v>0</v>
      </c>
      <c r="S459" s="287">
        <f t="shared" si="78"/>
        <v>0</v>
      </c>
    </row>
    <row r="460" spans="1:19">
      <c r="A460" s="295"/>
      <c r="B460" s="296"/>
      <c r="C460" s="288">
        <f t="shared" si="69"/>
        <v>1</v>
      </c>
      <c r="D460" s="297"/>
      <c r="E460" s="288">
        <f t="shared" si="70"/>
        <v>1</v>
      </c>
      <c r="F460" s="297"/>
      <c r="G460" s="288">
        <f t="shared" si="71"/>
        <v>1</v>
      </c>
      <c r="H460" s="297"/>
      <c r="I460" s="288">
        <f t="shared" si="72"/>
        <v>1</v>
      </c>
      <c r="J460" s="297"/>
      <c r="K460" s="288">
        <f t="shared" si="73"/>
        <v>1</v>
      </c>
      <c r="L460" s="297"/>
      <c r="M460" s="288">
        <f t="shared" si="74"/>
        <v>1</v>
      </c>
      <c r="N460" s="297"/>
      <c r="O460" s="288">
        <f t="shared" si="75"/>
        <v>1</v>
      </c>
      <c r="P460" s="297"/>
      <c r="Q460" s="288">
        <f t="shared" si="76"/>
        <v>1</v>
      </c>
      <c r="R460" s="348">
        <f t="shared" si="77"/>
        <v>0</v>
      </c>
      <c r="S460" s="287">
        <f t="shared" si="78"/>
        <v>0</v>
      </c>
    </row>
    <row r="461" spans="1:19">
      <c r="A461" s="295"/>
      <c r="B461" s="296"/>
      <c r="C461" s="288">
        <f t="shared" si="69"/>
        <v>1</v>
      </c>
      <c r="D461" s="297"/>
      <c r="E461" s="288">
        <f t="shared" si="70"/>
        <v>1</v>
      </c>
      <c r="F461" s="297"/>
      <c r="G461" s="288">
        <f t="shared" si="71"/>
        <v>1</v>
      </c>
      <c r="H461" s="297"/>
      <c r="I461" s="288">
        <f t="shared" si="72"/>
        <v>1</v>
      </c>
      <c r="J461" s="297"/>
      <c r="K461" s="288">
        <f t="shared" si="73"/>
        <v>1</v>
      </c>
      <c r="L461" s="297"/>
      <c r="M461" s="288">
        <f t="shared" si="74"/>
        <v>1</v>
      </c>
      <c r="N461" s="297"/>
      <c r="O461" s="288">
        <f t="shared" si="75"/>
        <v>1</v>
      </c>
      <c r="P461" s="297"/>
      <c r="Q461" s="288">
        <f t="shared" si="76"/>
        <v>1</v>
      </c>
      <c r="R461" s="348">
        <f t="shared" si="77"/>
        <v>0</v>
      </c>
      <c r="S461" s="287">
        <f t="shared" si="78"/>
        <v>0</v>
      </c>
    </row>
    <row r="462" spans="1:19">
      <c r="A462" s="295"/>
      <c r="B462" s="296"/>
      <c r="C462" s="288">
        <f t="shared" si="69"/>
        <v>1</v>
      </c>
      <c r="D462" s="297"/>
      <c r="E462" s="288">
        <f t="shared" si="70"/>
        <v>1</v>
      </c>
      <c r="F462" s="297"/>
      <c r="G462" s="288">
        <f t="shared" si="71"/>
        <v>1</v>
      </c>
      <c r="H462" s="297"/>
      <c r="I462" s="288">
        <f t="shared" si="72"/>
        <v>1</v>
      </c>
      <c r="J462" s="297"/>
      <c r="K462" s="288">
        <f t="shared" si="73"/>
        <v>1</v>
      </c>
      <c r="L462" s="297"/>
      <c r="M462" s="288">
        <f t="shared" si="74"/>
        <v>1</v>
      </c>
      <c r="N462" s="297"/>
      <c r="O462" s="288">
        <f t="shared" si="75"/>
        <v>1</v>
      </c>
      <c r="P462" s="297"/>
      <c r="Q462" s="288">
        <f t="shared" si="76"/>
        <v>1</v>
      </c>
      <c r="R462" s="348">
        <f t="shared" si="77"/>
        <v>0</v>
      </c>
      <c r="S462" s="287">
        <f t="shared" si="78"/>
        <v>0</v>
      </c>
    </row>
    <row r="463" spans="1:19">
      <c r="A463" s="295"/>
      <c r="B463" s="296"/>
      <c r="C463" s="288">
        <f t="shared" si="69"/>
        <v>1</v>
      </c>
      <c r="D463" s="297"/>
      <c r="E463" s="288">
        <f t="shared" si="70"/>
        <v>1</v>
      </c>
      <c r="F463" s="297"/>
      <c r="G463" s="288">
        <f t="shared" si="71"/>
        <v>1</v>
      </c>
      <c r="H463" s="297"/>
      <c r="I463" s="288">
        <f t="shared" si="72"/>
        <v>1</v>
      </c>
      <c r="J463" s="297"/>
      <c r="K463" s="288">
        <f t="shared" si="73"/>
        <v>1</v>
      </c>
      <c r="L463" s="297"/>
      <c r="M463" s="288">
        <f t="shared" si="74"/>
        <v>1</v>
      </c>
      <c r="N463" s="297"/>
      <c r="O463" s="288">
        <f t="shared" si="75"/>
        <v>1</v>
      </c>
      <c r="P463" s="297"/>
      <c r="Q463" s="288">
        <f t="shared" si="76"/>
        <v>1</v>
      </c>
      <c r="R463" s="348">
        <f t="shared" si="77"/>
        <v>0</v>
      </c>
      <c r="S463" s="287">
        <f t="shared" si="78"/>
        <v>0</v>
      </c>
    </row>
    <row r="464" spans="1:19">
      <c r="A464" s="295"/>
      <c r="B464" s="296"/>
      <c r="C464" s="288">
        <f t="shared" si="69"/>
        <v>1</v>
      </c>
      <c r="D464" s="297"/>
      <c r="E464" s="288">
        <f t="shared" si="70"/>
        <v>1</v>
      </c>
      <c r="F464" s="297"/>
      <c r="G464" s="288">
        <f t="shared" si="71"/>
        <v>1</v>
      </c>
      <c r="H464" s="297"/>
      <c r="I464" s="288">
        <f t="shared" si="72"/>
        <v>1</v>
      </c>
      <c r="J464" s="297"/>
      <c r="K464" s="288">
        <f t="shared" si="73"/>
        <v>1</v>
      </c>
      <c r="L464" s="297"/>
      <c r="M464" s="288">
        <f t="shared" si="74"/>
        <v>1</v>
      </c>
      <c r="N464" s="297"/>
      <c r="O464" s="288">
        <f t="shared" si="75"/>
        <v>1</v>
      </c>
      <c r="P464" s="297"/>
      <c r="Q464" s="288">
        <f t="shared" si="76"/>
        <v>1</v>
      </c>
      <c r="R464" s="348">
        <f t="shared" si="77"/>
        <v>0</v>
      </c>
      <c r="S464" s="287">
        <f t="shared" si="78"/>
        <v>0</v>
      </c>
    </row>
    <row r="465" spans="1:19">
      <c r="A465" s="295"/>
      <c r="B465" s="296"/>
      <c r="C465" s="288">
        <f t="shared" si="69"/>
        <v>1</v>
      </c>
      <c r="D465" s="297"/>
      <c r="E465" s="288">
        <f t="shared" si="70"/>
        <v>1</v>
      </c>
      <c r="F465" s="297"/>
      <c r="G465" s="288">
        <f t="shared" si="71"/>
        <v>1</v>
      </c>
      <c r="H465" s="297"/>
      <c r="I465" s="288">
        <f t="shared" si="72"/>
        <v>1</v>
      </c>
      <c r="J465" s="297"/>
      <c r="K465" s="288">
        <f t="shared" si="73"/>
        <v>1</v>
      </c>
      <c r="L465" s="297"/>
      <c r="M465" s="288">
        <f t="shared" si="74"/>
        <v>1</v>
      </c>
      <c r="N465" s="297"/>
      <c r="O465" s="288">
        <f t="shared" si="75"/>
        <v>1</v>
      </c>
      <c r="P465" s="297"/>
      <c r="Q465" s="288">
        <f t="shared" si="76"/>
        <v>1</v>
      </c>
      <c r="R465" s="348">
        <f t="shared" si="77"/>
        <v>0</v>
      </c>
      <c r="S465" s="287">
        <f t="shared" si="78"/>
        <v>0</v>
      </c>
    </row>
    <row r="466" spans="1:19">
      <c r="A466" s="295"/>
      <c r="B466" s="296"/>
      <c r="C466" s="288">
        <f t="shared" si="69"/>
        <v>1</v>
      </c>
      <c r="D466" s="297"/>
      <c r="E466" s="288">
        <f t="shared" si="70"/>
        <v>1</v>
      </c>
      <c r="F466" s="297"/>
      <c r="G466" s="288">
        <f t="shared" si="71"/>
        <v>1</v>
      </c>
      <c r="H466" s="297"/>
      <c r="I466" s="288">
        <f t="shared" si="72"/>
        <v>1</v>
      </c>
      <c r="J466" s="297"/>
      <c r="K466" s="288">
        <f t="shared" si="73"/>
        <v>1</v>
      </c>
      <c r="L466" s="297"/>
      <c r="M466" s="288">
        <f t="shared" si="74"/>
        <v>1</v>
      </c>
      <c r="N466" s="297"/>
      <c r="O466" s="288">
        <f t="shared" si="75"/>
        <v>1</v>
      </c>
      <c r="P466" s="297"/>
      <c r="Q466" s="288">
        <f t="shared" si="76"/>
        <v>1</v>
      </c>
      <c r="R466" s="348">
        <f t="shared" si="77"/>
        <v>0</v>
      </c>
      <c r="S466" s="287">
        <f t="shared" si="78"/>
        <v>0</v>
      </c>
    </row>
    <row r="467" spans="1:19">
      <c r="A467" s="295"/>
      <c r="B467" s="296"/>
      <c r="C467" s="288">
        <f t="shared" si="69"/>
        <v>1</v>
      </c>
      <c r="D467" s="297"/>
      <c r="E467" s="288">
        <f t="shared" si="70"/>
        <v>1</v>
      </c>
      <c r="F467" s="297"/>
      <c r="G467" s="288">
        <f t="shared" si="71"/>
        <v>1</v>
      </c>
      <c r="H467" s="297"/>
      <c r="I467" s="288">
        <f t="shared" si="72"/>
        <v>1</v>
      </c>
      <c r="J467" s="297"/>
      <c r="K467" s="288">
        <f t="shared" si="73"/>
        <v>1</v>
      </c>
      <c r="L467" s="297"/>
      <c r="M467" s="288">
        <f t="shared" si="74"/>
        <v>1</v>
      </c>
      <c r="N467" s="297"/>
      <c r="O467" s="288">
        <f t="shared" si="75"/>
        <v>1</v>
      </c>
      <c r="P467" s="297"/>
      <c r="Q467" s="288">
        <f t="shared" si="76"/>
        <v>1</v>
      </c>
      <c r="R467" s="348">
        <f t="shared" si="77"/>
        <v>0</v>
      </c>
      <c r="S467" s="287">
        <f t="shared" si="78"/>
        <v>0</v>
      </c>
    </row>
    <row r="468" spans="1:19">
      <c r="A468" s="295"/>
      <c r="B468" s="296"/>
      <c r="C468" s="288">
        <f t="shared" si="69"/>
        <v>1</v>
      </c>
      <c r="D468" s="297"/>
      <c r="E468" s="288">
        <f t="shared" si="70"/>
        <v>1</v>
      </c>
      <c r="F468" s="297"/>
      <c r="G468" s="288">
        <f t="shared" si="71"/>
        <v>1</v>
      </c>
      <c r="H468" s="297"/>
      <c r="I468" s="288">
        <f t="shared" si="72"/>
        <v>1</v>
      </c>
      <c r="J468" s="297"/>
      <c r="K468" s="288">
        <f t="shared" si="73"/>
        <v>1</v>
      </c>
      <c r="L468" s="297"/>
      <c r="M468" s="288">
        <f t="shared" si="74"/>
        <v>1</v>
      </c>
      <c r="N468" s="297"/>
      <c r="O468" s="288">
        <f t="shared" si="75"/>
        <v>1</v>
      </c>
      <c r="P468" s="297"/>
      <c r="Q468" s="288">
        <f t="shared" si="76"/>
        <v>1</v>
      </c>
      <c r="R468" s="348">
        <f t="shared" si="77"/>
        <v>0</v>
      </c>
      <c r="S468" s="287">
        <f t="shared" ref="S468:S497" si="79">ROUND(R468*B468/10000,0)</f>
        <v>0</v>
      </c>
    </row>
    <row r="469" spans="1:19">
      <c r="A469" s="295"/>
      <c r="B469" s="296"/>
      <c r="C469" s="288">
        <f t="shared" si="69"/>
        <v>1</v>
      </c>
      <c r="D469" s="297"/>
      <c r="E469" s="288">
        <f t="shared" si="70"/>
        <v>1</v>
      </c>
      <c r="F469" s="297"/>
      <c r="G469" s="288">
        <f t="shared" si="71"/>
        <v>1</v>
      </c>
      <c r="H469" s="297"/>
      <c r="I469" s="288">
        <f t="shared" si="72"/>
        <v>1</v>
      </c>
      <c r="J469" s="297"/>
      <c r="K469" s="288">
        <f t="shared" si="73"/>
        <v>1</v>
      </c>
      <c r="L469" s="297"/>
      <c r="M469" s="288">
        <f t="shared" si="74"/>
        <v>1</v>
      </c>
      <c r="N469" s="297"/>
      <c r="O469" s="288">
        <f t="shared" si="75"/>
        <v>1</v>
      </c>
      <c r="P469" s="297"/>
      <c r="Q469" s="288">
        <f t="shared" si="76"/>
        <v>1</v>
      </c>
      <c r="R469" s="348">
        <f t="shared" si="77"/>
        <v>0</v>
      </c>
      <c r="S469" s="287">
        <f t="shared" si="79"/>
        <v>0</v>
      </c>
    </row>
    <row r="470" spans="1:19">
      <c r="A470" s="295"/>
      <c r="B470" s="296"/>
      <c r="C470" s="288">
        <f t="shared" si="69"/>
        <v>1</v>
      </c>
      <c r="D470" s="297"/>
      <c r="E470" s="288">
        <f t="shared" si="70"/>
        <v>1</v>
      </c>
      <c r="F470" s="297"/>
      <c r="G470" s="288">
        <f t="shared" si="71"/>
        <v>1</v>
      </c>
      <c r="H470" s="297"/>
      <c r="I470" s="288">
        <f t="shared" si="72"/>
        <v>1</v>
      </c>
      <c r="J470" s="297"/>
      <c r="K470" s="288">
        <f t="shared" si="73"/>
        <v>1</v>
      </c>
      <c r="L470" s="297"/>
      <c r="M470" s="288">
        <f t="shared" si="74"/>
        <v>1</v>
      </c>
      <c r="N470" s="297"/>
      <c r="O470" s="288">
        <f t="shared" si="75"/>
        <v>1</v>
      </c>
      <c r="P470" s="297"/>
      <c r="Q470" s="288">
        <f t="shared" si="76"/>
        <v>1</v>
      </c>
      <c r="R470" s="348">
        <f t="shared" si="77"/>
        <v>0</v>
      </c>
      <c r="S470" s="287">
        <f t="shared" si="79"/>
        <v>0</v>
      </c>
    </row>
    <row r="471" spans="1:19">
      <c r="A471" s="295"/>
      <c r="B471" s="296"/>
      <c r="C471" s="288">
        <f t="shared" si="69"/>
        <v>1</v>
      </c>
      <c r="D471" s="297"/>
      <c r="E471" s="288">
        <f t="shared" si="70"/>
        <v>1</v>
      </c>
      <c r="F471" s="297"/>
      <c r="G471" s="288">
        <f t="shared" si="71"/>
        <v>1</v>
      </c>
      <c r="H471" s="297"/>
      <c r="I471" s="288">
        <f t="shared" si="72"/>
        <v>1</v>
      </c>
      <c r="J471" s="297"/>
      <c r="K471" s="288">
        <f t="shared" si="73"/>
        <v>1</v>
      </c>
      <c r="L471" s="297"/>
      <c r="M471" s="288">
        <f t="shared" si="74"/>
        <v>1</v>
      </c>
      <c r="N471" s="297"/>
      <c r="O471" s="288">
        <f t="shared" si="75"/>
        <v>1</v>
      </c>
      <c r="P471" s="297"/>
      <c r="Q471" s="288">
        <f t="shared" si="76"/>
        <v>1</v>
      </c>
      <c r="R471" s="348">
        <f t="shared" si="77"/>
        <v>0</v>
      </c>
      <c r="S471" s="287">
        <f t="shared" si="79"/>
        <v>0</v>
      </c>
    </row>
    <row r="472" spans="1:19">
      <c r="A472" s="295"/>
      <c r="B472" s="296"/>
      <c r="C472" s="288">
        <f t="shared" si="69"/>
        <v>1</v>
      </c>
      <c r="D472" s="297"/>
      <c r="E472" s="288">
        <f t="shared" si="70"/>
        <v>1</v>
      </c>
      <c r="F472" s="297"/>
      <c r="G472" s="288">
        <f t="shared" si="71"/>
        <v>1</v>
      </c>
      <c r="H472" s="297"/>
      <c r="I472" s="288">
        <f t="shared" si="72"/>
        <v>1</v>
      </c>
      <c r="J472" s="297"/>
      <c r="K472" s="288">
        <f t="shared" si="73"/>
        <v>1</v>
      </c>
      <c r="L472" s="297"/>
      <c r="M472" s="288">
        <f t="shared" si="74"/>
        <v>1</v>
      </c>
      <c r="N472" s="297"/>
      <c r="O472" s="288">
        <f t="shared" si="75"/>
        <v>1</v>
      </c>
      <c r="P472" s="297"/>
      <c r="Q472" s="288">
        <f t="shared" si="76"/>
        <v>1</v>
      </c>
      <c r="R472" s="348">
        <f t="shared" si="77"/>
        <v>0</v>
      </c>
      <c r="S472" s="287">
        <f t="shared" si="79"/>
        <v>0</v>
      </c>
    </row>
    <row r="473" spans="1:19">
      <c r="A473" s="295"/>
      <c r="B473" s="296"/>
      <c r="C473" s="288">
        <f t="shared" si="69"/>
        <v>1</v>
      </c>
      <c r="D473" s="297"/>
      <c r="E473" s="288">
        <f t="shared" si="70"/>
        <v>1</v>
      </c>
      <c r="F473" s="297"/>
      <c r="G473" s="288">
        <f t="shared" si="71"/>
        <v>1</v>
      </c>
      <c r="H473" s="297"/>
      <c r="I473" s="288">
        <f t="shared" si="72"/>
        <v>1</v>
      </c>
      <c r="J473" s="297"/>
      <c r="K473" s="288">
        <f t="shared" si="73"/>
        <v>1</v>
      </c>
      <c r="L473" s="297"/>
      <c r="M473" s="288">
        <f t="shared" si="74"/>
        <v>1</v>
      </c>
      <c r="N473" s="297"/>
      <c r="O473" s="288">
        <f t="shared" si="75"/>
        <v>1</v>
      </c>
      <c r="P473" s="297"/>
      <c r="Q473" s="288">
        <f t="shared" si="76"/>
        <v>1</v>
      </c>
      <c r="R473" s="348">
        <f t="shared" si="77"/>
        <v>0</v>
      </c>
      <c r="S473" s="287">
        <f t="shared" si="79"/>
        <v>0</v>
      </c>
    </row>
    <row r="474" spans="1:19">
      <c r="A474" s="295"/>
      <c r="B474" s="296"/>
      <c r="C474" s="288">
        <f t="shared" ref="C474:C524" si="80">IF(B474="",1,(LOOKUP(B474,$3:$3,$4:$4)-LOOKUP($B$24,$3:$3,$4:$4)+100)/100)</f>
        <v>1</v>
      </c>
      <c r="D474" s="297"/>
      <c r="E474" s="288">
        <f t="shared" ref="E474:E524" si="81">(SUMIF($5:$5,D474,$6:$6)-SUMIF($5:$5,$D$24,$6:$6)+100)/100</f>
        <v>1</v>
      </c>
      <c r="F474" s="297"/>
      <c r="G474" s="288">
        <f t="shared" ref="G474:G524" si="82">(SUMIF($7:$7,F474,$8:$8)-SUMIF($7:$7,$F$24,$8:$8)+100)/100</f>
        <v>1</v>
      </c>
      <c r="H474" s="297"/>
      <c r="I474" s="288">
        <f t="shared" ref="I474:I524" si="83">(SUMIF($9:$9,H474,$10:$10)-SUMIF($9:$9,$H$24,$10:$10)+100)/100</f>
        <v>1</v>
      </c>
      <c r="J474" s="297"/>
      <c r="K474" s="288">
        <f t="shared" ref="K474:K524" si="84">(SUMIF($11:$11,J474,$12:$12)-SUMIF($11:$11,$J$24,$12:$12)+100)/100</f>
        <v>1</v>
      </c>
      <c r="L474" s="297"/>
      <c r="M474" s="288">
        <f t="shared" ref="M474:M524" si="85">(SUMIF($13:$13,L474,$14:$14)-SUMIF($13:$13,$L$24,$14:$14)+100)/100</f>
        <v>1</v>
      </c>
      <c r="N474" s="297"/>
      <c r="O474" s="288">
        <f t="shared" ref="O474:O524" si="86">(SUMIF($15:$15,N474,$16:$16)-SUMIF($15:$15,$N$24,$16:$16)+100)/100</f>
        <v>1</v>
      </c>
      <c r="P474" s="297"/>
      <c r="Q474" s="288">
        <f t="shared" ref="Q474:Q524" si="87">(SUMIF($17:$17,P474,$18:$18)-SUMIF($17:$17,$P$24,$18:$18)+100)/100</f>
        <v>1</v>
      </c>
      <c r="R474" s="348">
        <f t="shared" ref="R474:R524" si="88">IF(B474="",0,ROUND($R$24*C474*E474*G474*I474*K474*M474*O474*Q474,0))</f>
        <v>0</v>
      </c>
      <c r="S474" s="287">
        <f t="shared" si="79"/>
        <v>0</v>
      </c>
    </row>
    <row r="475" spans="1:19">
      <c r="A475" s="295"/>
      <c r="B475" s="296"/>
      <c r="C475" s="288">
        <f t="shared" si="80"/>
        <v>1</v>
      </c>
      <c r="D475" s="297"/>
      <c r="E475" s="288">
        <f t="shared" si="81"/>
        <v>1</v>
      </c>
      <c r="F475" s="297"/>
      <c r="G475" s="288">
        <f t="shared" si="82"/>
        <v>1</v>
      </c>
      <c r="H475" s="297"/>
      <c r="I475" s="288">
        <f t="shared" si="83"/>
        <v>1</v>
      </c>
      <c r="J475" s="297"/>
      <c r="K475" s="288">
        <f t="shared" si="84"/>
        <v>1</v>
      </c>
      <c r="L475" s="297"/>
      <c r="M475" s="288">
        <f t="shared" si="85"/>
        <v>1</v>
      </c>
      <c r="N475" s="297"/>
      <c r="O475" s="288">
        <f t="shared" si="86"/>
        <v>1</v>
      </c>
      <c r="P475" s="297"/>
      <c r="Q475" s="288">
        <f t="shared" si="87"/>
        <v>1</v>
      </c>
      <c r="R475" s="348">
        <f t="shared" si="88"/>
        <v>0</v>
      </c>
      <c r="S475" s="287">
        <f t="shared" si="79"/>
        <v>0</v>
      </c>
    </row>
    <row r="476" spans="1:19">
      <c r="A476" s="295"/>
      <c r="B476" s="296"/>
      <c r="C476" s="288">
        <f t="shared" si="80"/>
        <v>1</v>
      </c>
      <c r="D476" s="297"/>
      <c r="E476" s="288">
        <f t="shared" si="81"/>
        <v>1</v>
      </c>
      <c r="F476" s="297"/>
      <c r="G476" s="288">
        <f t="shared" si="82"/>
        <v>1</v>
      </c>
      <c r="H476" s="297"/>
      <c r="I476" s="288">
        <f t="shared" si="83"/>
        <v>1</v>
      </c>
      <c r="J476" s="297"/>
      <c r="K476" s="288">
        <f t="shared" si="84"/>
        <v>1</v>
      </c>
      <c r="L476" s="297"/>
      <c r="M476" s="288">
        <f t="shared" si="85"/>
        <v>1</v>
      </c>
      <c r="N476" s="297"/>
      <c r="O476" s="288">
        <f t="shared" si="86"/>
        <v>1</v>
      </c>
      <c r="P476" s="297"/>
      <c r="Q476" s="288">
        <f t="shared" si="87"/>
        <v>1</v>
      </c>
      <c r="R476" s="348">
        <f t="shared" si="88"/>
        <v>0</v>
      </c>
      <c r="S476" s="287">
        <f t="shared" si="79"/>
        <v>0</v>
      </c>
    </row>
    <row r="477" spans="1:19">
      <c r="A477" s="295"/>
      <c r="B477" s="296"/>
      <c r="C477" s="288">
        <f t="shared" si="80"/>
        <v>1</v>
      </c>
      <c r="D477" s="297"/>
      <c r="E477" s="288">
        <f t="shared" si="81"/>
        <v>1</v>
      </c>
      <c r="F477" s="297"/>
      <c r="G477" s="288">
        <f t="shared" si="82"/>
        <v>1</v>
      </c>
      <c r="H477" s="297"/>
      <c r="I477" s="288">
        <f t="shared" si="83"/>
        <v>1</v>
      </c>
      <c r="J477" s="297"/>
      <c r="K477" s="288">
        <f t="shared" si="84"/>
        <v>1</v>
      </c>
      <c r="L477" s="297"/>
      <c r="M477" s="288">
        <f t="shared" si="85"/>
        <v>1</v>
      </c>
      <c r="N477" s="297"/>
      <c r="O477" s="288">
        <f t="shared" si="86"/>
        <v>1</v>
      </c>
      <c r="P477" s="297"/>
      <c r="Q477" s="288">
        <f t="shared" si="87"/>
        <v>1</v>
      </c>
      <c r="R477" s="348">
        <f t="shared" si="88"/>
        <v>0</v>
      </c>
      <c r="S477" s="287">
        <f t="shared" si="79"/>
        <v>0</v>
      </c>
    </row>
    <row r="478" spans="1:19">
      <c r="A478" s="295"/>
      <c r="B478" s="296"/>
      <c r="C478" s="288">
        <f t="shared" si="80"/>
        <v>1</v>
      </c>
      <c r="D478" s="297"/>
      <c r="E478" s="288">
        <f t="shared" si="81"/>
        <v>1</v>
      </c>
      <c r="F478" s="297"/>
      <c r="G478" s="288">
        <f t="shared" si="82"/>
        <v>1</v>
      </c>
      <c r="H478" s="297"/>
      <c r="I478" s="288">
        <f t="shared" si="83"/>
        <v>1</v>
      </c>
      <c r="J478" s="297"/>
      <c r="K478" s="288">
        <f t="shared" si="84"/>
        <v>1</v>
      </c>
      <c r="L478" s="297"/>
      <c r="M478" s="288">
        <f t="shared" si="85"/>
        <v>1</v>
      </c>
      <c r="N478" s="297"/>
      <c r="O478" s="288">
        <f t="shared" si="86"/>
        <v>1</v>
      </c>
      <c r="P478" s="297"/>
      <c r="Q478" s="288">
        <f t="shared" si="87"/>
        <v>1</v>
      </c>
      <c r="R478" s="348">
        <f t="shared" si="88"/>
        <v>0</v>
      </c>
      <c r="S478" s="287">
        <f t="shared" si="79"/>
        <v>0</v>
      </c>
    </row>
    <row r="479" spans="1:19">
      <c r="A479" s="295"/>
      <c r="B479" s="296"/>
      <c r="C479" s="288">
        <f t="shared" si="80"/>
        <v>1</v>
      </c>
      <c r="D479" s="297"/>
      <c r="E479" s="288">
        <f t="shared" si="81"/>
        <v>1</v>
      </c>
      <c r="F479" s="297"/>
      <c r="G479" s="288">
        <f t="shared" si="82"/>
        <v>1</v>
      </c>
      <c r="H479" s="297"/>
      <c r="I479" s="288">
        <f t="shared" si="83"/>
        <v>1</v>
      </c>
      <c r="J479" s="297"/>
      <c r="K479" s="288">
        <f t="shared" si="84"/>
        <v>1</v>
      </c>
      <c r="L479" s="297"/>
      <c r="M479" s="288">
        <f t="shared" si="85"/>
        <v>1</v>
      </c>
      <c r="N479" s="297"/>
      <c r="O479" s="288">
        <f t="shared" si="86"/>
        <v>1</v>
      </c>
      <c r="P479" s="297"/>
      <c r="Q479" s="288">
        <f t="shared" si="87"/>
        <v>1</v>
      </c>
      <c r="R479" s="348">
        <f t="shared" si="88"/>
        <v>0</v>
      </c>
      <c r="S479" s="287">
        <f t="shared" si="79"/>
        <v>0</v>
      </c>
    </row>
    <row r="480" spans="1:19">
      <c r="A480" s="295"/>
      <c r="B480" s="296"/>
      <c r="C480" s="288">
        <f t="shared" si="80"/>
        <v>1</v>
      </c>
      <c r="D480" s="297"/>
      <c r="E480" s="288">
        <f t="shared" si="81"/>
        <v>1</v>
      </c>
      <c r="F480" s="297"/>
      <c r="G480" s="288">
        <f t="shared" si="82"/>
        <v>1</v>
      </c>
      <c r="H480" s="297"/>
      <c r="I480" s="288">
        <f t="shared" si="83"/>
        <v>1</v>
      </c>
      <c r="J480" s="297"/>
      <c r="K480" s="288">
        <f t="shared" si="84"/>
        <v>1</v>
      </c>
      <c r="L480" s="297"/>
      <c r="M480" s="288">
        <f t="shared" si="85"/>
        <v>1</v>
      </c>
      <c r="N480" s="297"/>
      <c r="O480" s="288">
        <f t="shared" si="86"/>
        <v>1</v>
      </c>
      <c r="P480" s="297"/>
      <c r="Q480" s="288">
        <f t="shared" si="87"/>
        <v>1</v>
      </c>
      <c r="R480" s="348">
        <f t="shared" si="88"/>
        <v>0</v>
      </c>
      <c r="S480" s="287">
        <f t="shared" si="79"/>
        <v>0</v>
      </c>
    </row>
    <row r="481" spans="1:19">
      <c r="A481" s="295"/>
      <c r="B481" s="296"/>
      <c r="C481" s="288">
        <f t="shared" si="80"/>
        <v>1</v>
      </c>
      <c r="D481" s="297"/>
      <c r="E481" s="288">
        <f t="shared" si="81"/>
        <v>1</v>
      </c>
      <c r="F481" s="297"/>
      <c r="G481" s="288">
        <f t="shared" si="82"/>
        <v>1</v>
      </c>
      <c r="H481" s="297"/>
      <c r="I481" s="288">
        <f t="shared" si="83"/>
        <v>1</v>
      </c>
      <c r="J481" s="297"/>
      <c r="K481" s="288">
        <f t="shared" si="84"/>
        <v>1</v>
      </c>
      <c r="L481" s="297"/>
      <c r="M481" s="288">
        <f t="shared" si="85"/>
        <v>1</v>
      </c>
      <c r="N481" s="297"/>
      <c r="O481" s="288">
        <f t="shared" si="86"/>
        <v>1</v>
      </c>
      <c r="P481" s="297"/>
      <c r="Q481" s="288">
        <f t="shared" si="87"/>
        <v>1</v>
      </c>
      <c r="R481" s="348">
        <f t="shared" si="88"/>
        <v>0</v>
      </c>
      <c r="S481" s="287">
        <f t="shared" si="79"/>
        <v>0</v>
      </c>
    </row>
    <row r="482" spans="1:19">
      <c r="A482" s="295"/>
      <c r="B482" s="296"/>
      <c r="C482" s="288">
        <f t="shared" si="80"/>
        <v>1</v>
      </c>
      <c r="D482" s="297"/>
      <c r="E482" s="288">
        <f t="shared" si="81"/>
        <v>1</v>
      </c>
      <c r="F482" s="297"/>
      <c r="G482" s="288">
        <f t="shared" si="82"/>
        <v>1</v>
      </c>
      <c r="H482" s="297"/>
      <c r="I482" s="288">
        <f t="shared" si="83"/>
        <v>1</v>
      </c>
      <c r="J482" s="297"/>
      <c r="K482" s="288">
        <f t="shared" si="84"/>
        <v>1</v>
      </c>
      <c r="L482" s="297"/>
      <c r="M482" s="288">
        <f t="shared" si="85"/>
        <v>1</v>
      </c>
      <c r="N482" s="297"/>
      <c r="O482" s="288">
        <f t="shared" si="86"/>
        <v>1</v>
      </c>
      <c r="P482" s="297"/>
      <c r="Q482" s="288">
        <f t="shared" si="87"/>
        <v>1</v>
      </c>
      <c r="R482" s="348">
        <f t="shared" si="88"/>
        <v>0</v>
      </c>
      <c r="S482" s="287">
        <f t="shared" si="79"/>
        <v>0</v>
      </c>
    </row>
    <row r="483" spans="1:19">
      <c r="A483" s="295"/>
      <c r="B483" s="296"/>
      <c r="C483" s="288">
        <f t="shared" si="80"/>
        <v>1</v>
      </c>
      <c r="D483" s="297"/>
      <c r="E483" s="288">
        <f t="shared" si="81"/>
        <v>1</v>
      </c>
      <c r="F483" s="297"/>
      <c r="G483" s="288">
        <f t="shared" si="82"/>
        <v>1</v>
      </c>
      <c r="H483" s="297"/>
      <c r="I483" s="288">
        <f t="shared" si="83"/>
        <v>1</v>
      </c>
      <c r="J483" s="297"/>
      <c r="K483" s="288">
        <f t="shared" si="84"/>
        <v>1</v>
      </c>
      <c r="L483" s="297"/>
      <c r="M483" s="288">
        <f t="shared" si="85"/>
        <v>1</v>
      </c>
      <c r="N483" s="297"/>
      <c r="O483" s="288">
        <f t="shared" si="86"/>
        <v>1</v>
      </c>
      <c r="P483" s="297"/>
      <c r="Q483" s="288">
        <f t="shared" si="87"/>
        <v>1</v>
      </c>
      <c r="R483" s="348">
        <f t="shared" si="88"/>
        <v>0</v>
      </c>
      <c r="S483" s="287">
        <f t="shared" si="79"/>
        <v>0</v>
      </c>
    </row>
    <row r="484" spans="1:19">
      <c r="A484" s="295"/>
      <c r="B484" s="296"/>
      <c r="C484" s="288">
        <f t="shared" si="80"/>
        <v>1</v>
      </c>
      <c r="D484" s="297"/>
      <c r="E484" s="288">
        <f t="shared" si="81"/>
        <v>1</v>
      </c>
      <c r="F484" s="297"/>
      <c r="G484" s="288">
        <f t="shared" si="82"/>
        <v>1</v>
      </c>
      <c r="H484" s="297"/>
      <c r="I484" s="288">
        <f t="shared" si="83"/>
        <v>1</v>
      </c>
      <c r="J484" s="297"/>
      <c r="K484" s="288">
        <f t="shared" si="84"/>
        <v>1</v>
      </c>
      <c r="L484" s="297"/>
      <c r="M484" s="288">
        <f t="shared" si="85"/>
        <v>1</v>
      </c>
      <c r="N484" s="297"/>
      <c r="O484" s="288">
        <f t="shared" si="86"/>
        <v>1</v>
      </c>
      <c r="P484" s="297"/>
      <c r="Q484" s="288">
        <f t="shared" si="87"/>
        <v>1</v>
      </c>
      <c r="R484" s="348">
        <f t="shared" si="88"/>
        <v>0</v>
      </c>
      <c r="S484" s="287">
        <f t="shared" si="79"/>
        <v>0</v>
      </c>
    </row>
    <row r="485" spans="1:19">
      <c r="A485" s="295"/>
      <c r="B485" s="296"/>
      <c r="C485" s="288">
        <f t="shared" si="80"/>
        <v>1</v>
      </c>
      <c r="D485" s="297"/>
      <c r="E485" s="288">
        <f t="shared" si="81"/>
        <v>1</v>
      </c>
      <c r="F485" s="297"/>
      <c r="G485" s="288">
        <f t="shared" si="82"/>
        <v>1</v>
      </c>
      <c r="H485" s="297"/>
      <c r="I485" s="288">
        <f t="shared" si="83"/>
        <v>1</v>
      </c>
      <c r="J485" s="297"/>
      <c r="K485" s="288">
        <f t="shared" si="84"/>
        <v>1</v>
      </c>
      <c r="L485" s="297"/>
      <c r="M485" s="288">
        <f t="shared" si="85"/>
        <v>1</v>
      </c>
      <c r="N485" s="297"/>
      <c r="O485" s="288">
        <f t="shared" si="86"/>
        <v>1</v>
      </c>
      <c r="P485" s="297"/>
      <c r="Q485" s="288">
        <f t="shared" si="87"/>
        <v>1</v>
      </c>
      <c r="R485" s="348">
        <f t="shared" si="88"/>
        <v>0</v>
      </c>
      <c r="S485" s="287">
        <f t="shared" si="79"/>
        <v>0</v>
      </c>
    </row>
    <row r="486" spans="1:19">
      <c r="A486" s="295"/>
      <c r="B486" s="296"/>
      <c r="C486" s="288">
        <f t="shared" si="80"/>
        <v>1</v>
      </c>
      <c r="D486" s="297"/>
      <c r="E486" s="288">
        <f t="shared" si="81"/>
        <v>1</v>
      </c>
      <c r="F486" s="297"/>
      <c r="G486" s="288">
        <f t="shared" si="82"/>
        <v>1</v>
      </c>
      <c r="H486" s="297"/>
      <c r="I486" s="288">
        <f t="shared" si="83"/>
        <v>1</v>
      </c>
      <c r="J486" s="297"/>
      <c r="K486" s="288">
        <f t="shared" si="84"/>
        <v>1</v>
      </c>
      <c r="L486" s="297"/>
      <c r="M486" s="288">
        <f t="shared" si="85"/>
        <v>1</v>
      </c>
      <c r="N486" s="297"/>
      <c r="O486" s="288">
        <f t="shared" si="86"/>
        <v>1</v>
      </c>
      <c r="P486" s="297"/>
      <c r="Q486" s="288">
        <f t="shared" si="87"/>
        <v>1</v>
      </c>
      <c r="R486" s="348">
        <f t="shared" si="88"/>
        <v>0</v>
      </c>
      <c r="S486" s="287">
        <f t="shared" si="79"/>
        <v>0</v>
      </c>
    </row>
    <row r="487" spans="1:19">
      <c r="A487" s="295"/>
      <c r="B487" s="296"/>
      <c r="C487" s="288">
        <f t="shared" si="80"/>
        <v>1</v>
      </c>
      <c r="D487" s="297"/>
      <c r="E487" s="288">
        <f t="shared" si="81"/>
        <v>1</v>
      </c>
      <c r="F487" s="297"/>
      <c r="G487" s="288">
        <f t="shared" si="82"/>
        <v>1</v>
      </c>
      <c r="H487" s="297"/>
      <c r="I487" s="288">
        <f t="shared" si="83"/>
        <v>1</v>
      </c>
      <c r="J487" s="297"/>
      <c r="K487" s="288">
        <f t="shared" si="84"/>
        <v>1</v>
      </c>
      <c r="L487" s="297"/>
      <c r="M487" s="288">
        <f t="shared" si="85"/>
        <v>1</v>
      </c>
      <c r="N487" s="297"/>
      <c r="O487" s="288">
        <f t="shared" si="86"/>
        <v>1</v>
      </c>
      <c r="P487" s="297"/>
      <c r="Q487" s="288">
        <f t="shared" si="87"/>
        <v>1</v>
      </c>
      <c r="R487" s="348">
        <f t="shared" si="88"/>
        <v>0</v>
      </c>
      <c r="S487" s="287">
        <f t="shared" si="79"/>
        <v>0</v>
      </c>
    </row>
    <row r="488" spans="1:19">
      <c r="A488" s="295"/>
      <c r="B488" s="296"/>
      <c r="C488" s="288">
        <f t="shared" si="80"/>
        <v>1</v>
      </c>
      <c r="D488" s="297"/>
      <c r="E488" s="288">
        <f t="shared" si="81"/>
        <v>1</v>
      </c>
      <c r="F488" s="297"/>
      <c r="G488" s="288">
        <f t="shared" si="82"/>
        <v>1</v>
      </c>
      <c r="H488" s="297"/>
      <c r="I488" s="288">
        <f t="shared" si="83"/>
        <v>1</v>
      </c>
      <c r="J488" s="297"/>
      <c r="K488" s="288">
        <f t="shared" si="84"/>
        <v>1</v>
      </c>
      <c r="L488" s="297"/>
      <c r="M488" s="288">
        <f t="shared" si="85"/>
        <v>1</v>
      </c>
      <c r="N488" s="297"/>
      <c r="O488" s="288">
        <f t="shared" si="86"/>
        <v>1</v>
      </c>
      <c r="P488" s="297"/>
      <c r="Q488" s="288">
        <f t="shared" si="87"/>
        <v>1</v>
      </c>
      <c r="R488" s="348">
        <f t="shared" si="88"/>
        <v>0</v>
      </c>
      <c r="S488" s="287">
        <f t="shared" si="79"/>
        <v>0</v>
      </c>
    </row>
    <row r="489" spans="1:19">
      <c r="A489" s="295"/>
      <c r="B489" s="296"/>
      <c r="C489" s="288">
        <f t="shared" si="80"/>
        <v>1</v>
      </c>
      <c r="D489" s="297"/>
      <c r="E489" s="288">
        <f t="shared" si="81"/>
        <v>1</v>
      </c>
      <c r="F489" s="297"/>
      <c r="G489" s="288">
        <f t="shared" si="82"/>
        <v>1</v>
      </c>
      <c r="H489" s="297"/>
      <c r="I489" s="288">
        <f t="shared" si="83"/>
        <v>1</v>
      </c>
      <c r="J489" s="297"/>
      <c r="K489" s="288">
        <f t="shared" si="84"/>
        <v>1</v>
      </c>
      <c r="L489" s="297"/>
      <c r="M489" s="288">
        <f t="shared" si="85"/>
        <v>1</v>
      </c>
      <c r="N489" s="297"/>
      <c r="O489" s="288">
        <f t="shared" si="86"/>
        <v>1</v>
      </c>
      <c r="P489" s="297"/>
      <c r="Q489" s="288">
        <f t="shared" si="87"/>
        <v>1</v>
      </c>
      <c r="R489" s="348">
        <f t="shared" si="88"/>
        <v>0</v>
      </c>
      <c r="S489" s="287">
        <f t="shared" si="79"/>
        <v>0</v>
      </c>
    </row>
    <row r="490" spans="1:19">
      <c r="A490" s="295"/>
      <c r="B490" s="296"/>
      <c r="C490" s="288">
        <f t="shared" si="80"/>
        <v>1</v>
      </c>
      <c r="D490" s="297"/>
      <c r="E490" s="288">
        <f t="shared" si="81"/>
        <v>1</v>
      </c>
      <c r="F490" s="297"/>
      <c r="G490" s="288">
        <f t="shared" si="82"/>
        <v>1</v>
      </c>
      <c r="H490" s="297"/>
      <c r="I490" s="288">
        <f t="shared" si="83"/>
        <v>1</v>
      </c>
      <c r="J490" s="297"/>
      <c r="K490" s="288">
        <f t="shared" si="84"/>
        <v>1</v>
      </c>
      <c r="L490" s="297"/>
      <c r="M490" s="288">
        <f t="shared" si="85"/>
        <v>1</v>
      </c>
      <c r="N490" s="297"/>
      <c r="O490" s="288">
        <f t="shared" si="86"/>
        <v>1</v>
      </c>
      <c r="P490" s="297"/>
      <c r="Q490" s="288">
        <f t="shared" si="87"/>
        <v>1</v>
      </c>
      <c r="R490" s="348">
        <f t="shared" si="88"/>
        <v>0</v>
      </c>
      <c r="S490" s="287">
        <f t="shared" si="79"/>
        <v>0</v>
      </c>
    </row>
    <row r="491" spans="1:19">
      <c r="A491" s="295"/>
      <c r="B491" s="296"/>
      <c r="C491" s="288">
        <f t="shared" si="80"/>
        <v>1</v>
      </c>
      <c r="D491" s="297"/>
      <c r="E491" s="288">
        <f t="shared" si="81"/>
        <v>1</v>
      </c>
      <c r="F491" s="297"/>
      <c r="G491" s="288">
        <f t="shared" si="82"/>
        <v>1</v>
      </c>
      <c r="H491" s="297"/>
      <c r="I491" s="288">
        <f t="shared" si="83"/>
        <v>1</v>
      </c>
      <c r="J491" s="297"/>
      <c r="K491" s="288">
        <f t="shared" si="84"/>
        <v>1</v>
      </c>
      <c r="L491" s="297"/>
      <c r="M491" s="288">
        <f t="shared" si="85"/>
        <v>1</v>
      </c>
      <c r="N491" s="297"/>
      <c r="O491" s="288">
        <f t="shared" si="86"/>
        <v>1</v>
      </c>
      <c r="P491" s="297"/>
      <c r="Q491" s="288">
        <f t="shared" si="87"/>
        <v>1</v>
      </c>
      <c r="R491" s="348">
        <f t="shared" si="88"/>
        <v>0</v>
      </c>
      <c r="S491" s="287">
        <f t="shared" si="79"/>
        <v>0</v>
      </c>
    </row>
    <row r="492" spans="1:19">
      <c r="A492" s="295"/>
      <c r="B492" s="296"/>
      <c r="C492" s="288">
        <f t="shared" si="80"/>
        <v>1</v>
      </c>
      <c r="D492" s="297"/>
      <c r="E492" s="288">
        <f t="shared" si="81"/>
        <v>1</v>
      </c>
      <c r="F492" s="297"/>
      <c r="G492" s="288">
        <f t="shared" si="82"/>
        <v>1</v>
      </c>
      <c r="H492" s="297"/>
      <c r="I492" s="288">
        <f t="shared" si="83"/>
        <v>1</v>
      </c>
      <c r="J492" s="297"/>
      <c r="K492" s="288">
        <f t="shared" si="84"/>
        <v>1</v>
      </c>
      <c r="L492" s="297"/>
      <c r="M492" s="288">
        <f t="shared" si="85"/>
        <v>1</v>
      </c>
      <c r="N492" s="297"/>
      <c r="O492" s="288">
        <f t="shared" si="86"/>
        <v>1</v>
      </c>
      <c r="P492" s="297"/>
      <c r="Q492" s="288">
        <f t="shared" si="87"/>
        <v>1</v>
      </c>
      <c r="R492" s="348">
        <f t="shared" si="88"/>
        <v>0</v>
      </c>
      <c r="S492" s="287">
        <f t="shared" si="79"/>
        <v>0</v>
      </c>
    </row>
    <row r="493" spans="1:19">
      <c r="A493" s="295"/>
      <c r="B493" s="296"/>
      <c r="C493" s="288">
        <f t="shared" si="80"/>
        <v>1</v>
      </c>
      <c r="D493" s="297"/>
      <c r="E493" s="288">
        <f t="shared" si="81"/>
        <v>1</v>
      </c>
      <c r="F493" s="297"/>
      <c r="G493" s="288">
        <f t="shared" si="82"/>
        <v>1</v>
      </c>
      <c r="H493" s="297"/>
      <c r="I493" s="288">
        <f t="shared" si="83"/>
        <v>1</v>
      </c>
      <c r="J493" s="297"/>
      <c r="K493" s="288">
        <f t="shared" si="84"/>
        <v>1</v>
      </c>
      <c r="L493" s="297"/>
      <c r="M493" s="288">
        <f t="shared" si="85"/>
        <v>1</v>
      </c>
      <c r="N493" s="297"/>
      <c r="O493" s="288">
        <f t="shared" si="86"/>
        <v>1</v>
      </c>
      <c r="P493" s="297"/>
      <c r="Q493" s="288">
        <f t="shared" si="87"/>
        <v>1</v>
      </c>
      <c r="R493" s="348">
        <f t="shared" si="88"/>
        <v>0</v>
      </c>
      <c r="S493" s="287">
        <f t="shared" si="79"/>
        <v>0</v>
      </c>
    </row>
    <row r="494" spans="1:19">
      <c r="A494" s="295"/>
      <c r="B494" s="296"/>
      <c r="C494" s="288">
        <f t="shared" si="80"/>
        <v>1</v>
      </c>
      <c r="D494" s="297"/>
      <c r="E494" s="288">
        <f t="shared" si="81"/>
        <v>1</v>
      </c>
      <c r="F494" s="297"/>
      <c r="G494" s="288">
        <f t="shared" si="82"/>
        <v>1</v>
      </c>
      <c r="H494" s="297"/>
      <c r="I494" s="288">
        <f t="shared" si="83"/>
        <v>1</v>
      </c>
      <c r="J494" s="297"/>
      <c r="K494" s="288">
        <f t="shared" si="84"/>
        <v>1</v>
      </c>
      <c r="L494" s="297"/>
      <c r="M494" s="288">
        <f t="shared" si="85"/>
        <v>1</v>
      </c>
      <c r="N494" s="297"/>
      <c r="O494" s="288">
        <f t="shared" si="86"/>
        <v>1</v>
      </c>
      <c r="P494" s="297"/>
      <c r="Q494" s="288">
        <f t="shared" si="87"/>
        <v>1</v>
      </c>
      <c r="R494" s="348">
        <f t="shared" si="88"/>
        <v>0</v>
      </c>
      <c r="S494" s="287">
        <f t="shared" si="79"/>
        <v>0</v>
      </c>
    </row>
    <row r="495" spans="1:19">
      <c r="A495" s="295"/>
      <c r="B495" s="296"/>
      <c r="C495" s="288">
        <f t="shared" si="80"/>
        <v>1</v>
      </c>
      <c r="D495" s="297"/>
      <c r="E495" s="288">
        <f t="shared" si="81"/>
        <v>1</v>
      </c>
      <c r="F495" s="297"/>
      <c r="G495" s="288">
        <f t="shared" si="82"/>
        <v>1</v>
      </c>
      <c r="H495" s="297"/>
      <c r="I495" s="288">
        <f t="shared" si="83"/>
        <v>1</v>
      </c>
      <c r="J495" s="297"/>
      <c r="K495" s="288">
        <f t="shared" si="84"/>
        <v>1</v>
      </c>
      <c r="L495" s="297"/>
      <c r="M495" s="288">
        <f t="shared" si="85"/>
        <v>1</v>
      </c>
      <c r="N495" s="297"/>
      <c r="O495" s="288">
        <f t="shared" si="86"/>
        <v>1</v>
      </c>
      <c r="P495" s="297"/>
      <c r="Q495" s="288">
        <f t="shared" si="87"/>
        <v>1</v>
      </c>
      <c r="R495" s="348">
        <f t="shared" si="88"/>
        <v>0</v>
      </c>
      <c r="S495" s="287">
        <f t="shared" si="79"/>
        <v>0</v>
      </c>
    </row>
    <row r="496" spans="1:19">
      <c r="A496" s="295"/>
      <c r="B496" s="296"/>
      <c r="C496" s="288">
        <f t="shared" si="80"/>
        <v>1</v>
      </c>
      <c r="D496" s="297"/>
      <c r="E496" s="288">
        <f t="shared" si="81"/>
        <v>1</v>
      </c>
      <c r="F496" s="297"/>
      <c r="G496" s="288">
        <f t="shared" si="82"/>
        <v>1</v>
      </c>
      <c r="H496" s="297"/>
      <c r="I496" s="288">
        <f t="shared" si="83"/>
        <v>1</v>
      </c>
      <c r="J496" s="297"/>
      <c r="K496" s="288">
        <f t="shared" si="84"/>
        <v>1</v>
      </c>
      <c r="L496" s="297"/>
      <c r="M496" s="288">
        <f t="shared" si="85"/>
        <v>1</v>
      </c>
      <c r="N496" s="297"/>
      <c r="O496" s="288">
        <f t="shared" si="86"/>
        <v>1</v>
      </c>
      <c r="P496" s="297"/>
      <c r="Q496" s="288">
        <f t="shared" si="87"/>
        <v>1</v>
      </c>
      <c r="R496" s="348">
        <f t="shared" si="88"/>
        <v>0</v>
      </c>
      <c r="S496" s="287">
        <f t="shared" si="79"/>
        <v>0</v>
      </c>
    </row>
    <row r="497" spans="1:19">
      <c r="A497" s="295"/>
      <c r="B497" s="296"/>
      <c r="C497" s="288">
        <f t="shared" si="80"/>
        <v>1</v>
      </c>
      <c r="D497" s="297"/>
      <c r="E497" s="288">
        <f t="shared" si="81"/>
        <v>1</v>
      </c>
      <c r="F497" s="297"/>
      <c r="G497" s="288">
        <f t="shared" si="82"/>
        <v>1</v>
      </c>
      <c r="H497" s="297"/>
      <c r="I497" s="288">
        <f t="shared" si="83"/>
        <v>1</v>
      </c>
      <c r="J497" s="297"/>
      <c r="K497" s="288">
        <f t="shared" si="84"/>
        <v>1</v>
      </c>
      <c r="L497" s="297"/>
      <c r="M497" s="288">
        <f t="shared" si="85"/>
        <v>1</v>
      </c>
      <c r="N497" s="297"/>
      <c r="O497" s="288">
        <f t="shared" si="86"/>
        <v>1</v>
      </c>
      <c r="P497" s="297"/>
      <c r="Q497" s="288">
        <f t="shared" si="87"/>
        <v>1</v>
      </c>
      <c r="R497" s="348">
        <f t="shared" si="88"/>
        <v>0</v>
      </c>
      <c r="S497" s="287">
        <f t="shared" si="79"/>
        <v>0</v>
      </c>
    </row>
    <row r="498" spans="1:19">
      <c r="A498" s="295"/>
      <c r="B498" s="296"/>
      <c r="C498" s="288">
        <f t="shared" si="80"/>
        <v>1</v>
      </c>
      <c r="D498" s="297"/>
      <c r="E498" s="288">
        <f t="shared" si="81"/>
        <v>1</v>
      </c>
      <c r="F498" s="297"/>
      <c r="G498" s="288">
        <f t="shared" si="82"/>
        <v>1</v>
      </c>
      <c r="H498" s="297"/>
      <c r="I498" s="288">
        <f t="shared" si="83"/>
        <v>1</v>
      </c>
      <c r="J498" s="297"/>
      <c r="K498" s="288">
        <f t="shared" si="84"/>
        <v>1</v>
      </c>
      <c r="L498" s="297"/>
      <c r="M498" s="288">
        <f t="shared" si="85"/>
        <v>1</v>
      </c>
      <c r="N498" s="297"/>
      <c r="O498" s="288">
        <f t="shared" si="86"/>
        <v>1</v>
      </c>
      <c r="P498" s="297"/>
      <c r="Q498" s="288">
        <f t="shared" si="87"/>
        <v>1</v>
      </c>
      <c r="R498" s="348">
        <f t="shared" si="88"/>
        <v>0</v>
      </c>
      <c r="S498" s="287">
        <f t="shared" ref="S498:S524" si="89">ROUND(R498*B498/10000,0)</f>
        <v>0</v>
      </c>
    </row>
    <row r="499" spans="1:19">
      <c r="A499" s="295"/>
      <c r="B499" s="296"/>
      <c r="C499" s="288">
        <f t="shared" si="80"/>
        <v>1</v>
      </c>
      <c r="D499" s="297"/>
      <c r="E499" s="288">
        <f t="shared" si="81"/>
        <v>1</v>
      </c>
      <c r="F499" s="297"/>
      <c r="G499" s="288">
        <f t="shared" si="82"/>
        <v>1</v>
      </c>
      <c r="H499" s="297"/>
      <c r="I499" s="288">
        <f t="shared" si="83"/>
        <v>1</v>
      </c>
      <c r="J499" s="297"/>
      <c r="K499" s="288">
        <f t="shared" si="84"/>
        <v>1</v>
      </c>
      <c r="L499" s="297"/>
      <c r="M499" s="288">
        <f t="shared" si="85"/>
        <v>1</v>
      </c>
      <c r="N499" s="297"/>
      <c r="O499" s="288">
        <f t="shared" si="86"/>
        <v>1</v>
      </c>
      <c r="P499" s="297"/>
      <c r="Q499" s="288">
        <f t="shared" si="87"/>
        <v>1</v>
      </c>
      <c r="R499" s="348">
        <f t="shared" si="88"/>
        <v>0</v>
      </c>
      <c r="S499" s="287">
        <f t="shared" si="89"/>
        <v>0</v>
      </c>
    </row>
    <row r="500" spans="1:19">
      <c r="A500" s="295"/>
      <c r="B500" s="296"/>
      <c r="C500" s="288">
        <f t="shared" si="80"/>
        <v>1</v>
      </c>
      <c r="D500" s="297"/>
      <c r="E500" s="288">
        <f t="shared" si="81"/>
        <v>1</v>
      </c>
      <c r="F500" s="297"/>
      <c r="G500" s="288">
        <f t="shared" si="82"/>
        <v>1</v>
      </c>
      <c r="H500" s="297"/>
      <c r="I500" s="288">
        <f t="shared" si="83"/>
        <v>1</v>
      </c>
      <c r="J500" s="297"/>
      <c r="K500" s="288">
        <f t="shared" si="84"/>
        <v>1</v>
      </c>
      <c r="L500" s="297"/>
      <c r="M500" s="288">
        <f t="shared" si="85"/>
        <v>1</v>
      </c>
      <c r="N500" s="297"/>
      <c r="O500" s="288">
        <f t="shared" si="86"/>
        <v>1</v>
      </c>
      <c r="P500" s="297"/>
      <c r="Q500" s="288">
        <f t="shared" si="87"/>
        <v>1</v>
      </c>
      <c r="R500" s="348">
        <f t="shared" si="88"/>
        <v>0</v>
      </c>
      <c r="S500" s="287">
        <f t="shared" si="89"/>
        <v>0</v>
      </c>
    </row>
    <row r="501" spans="1:19">
      <c r="A501" s="295"/>
      <c r="B501" s="296"/>
      <c r="C501" s="288">
        <f t="shared" si="80"/>
        <v>1</v>
      </c>
      <c r="D501" s="297"/>
      <c r="E501" s="288">
        <f t="shared" si="81"/>
        <v>1</v>
      </c>
      <c r="F501" s="297"/>
      <c r="G501" s="288">
        <f t="shared" si="82"/>
        <v>1</v>
      </c>
      <c r="H501" s="297"/>
      <c r="I501" s="288">
        <f t="shared" si="83"/>
        <v>1</v>
      </c>
      <c r="J501" s="297"/>
      <c r="K501" s="288">
        <f t="shared" si="84"/>
        <v>1</v>
      </c>
      <c r="L501" s="297"/>
      <c r="M501" s="288">
        <f t="shared" si="85"/>
        <v>1</v>
      </c>
      <c r="N501" s="297"/>
      <c r="O501" s="288">
        <f t="shared" si="86"/>
        <v>1</v>
      </c>
      <c r="P501" s="297"/>
      <c r="Q501" s="288">
        <f t="shared" si="87"/>
        <v>1</v>
      </c>
      <c r="R501" s="348">
        <f t="shared" si="88"/>
        <v>0</v>
      </c>
      <c r="S501" s="287">
        <f t="shared" si="89"/>
        <v>0</v>
      </c>
    </row>
    <row r="502" spans="1:19">
      <c r="A502" s="295"/>
      <c r="B502" s="296"/>
      <c r="C502" s="288">
        <f t="shared" si="80"/>
        <v>1</v>
      </c>
      <c r="D502" s="297"/>
      <c r="E502" s="288">
        <f t="shared" si="81"/>
        <v>1</v>
      </c>
      <c r="F502" s="297"/>
      <c r="G502" s="288">
        <f t="shared" si="82"/>
        <v>1</v>
      </c>
      <c r="H502" s="297"/>
      <c r="I502" s="288">
        <f t="shared" si="83"/>
        <v>1</v>
      </c>
      <c r="J502" s="297"/>
      <c r="K502" s="288">
        <f t="shared" si="84"/>
        <v>1</v>
      </c>
      <c r="L502" s="297"/>
      <c r="M502" s="288">
        <f t="shared" si="85"/>
        <v>1</v>
      </c>
      <c r="N502" s="297"/>
      <c r="O502" s="288">
        <f t="shared" si="86"/>
        <v>1</v>
      </c>
      <c r="P502" s="297"/>
      <c r="Q502" s="288">
        <f t="shared" si="87"/>
        <v>1</v>
      </c>
      <c r="R502" s="348">
        <f t="shared" si="88"/>
        <v>0</v>
      </c>
      <c r="S502" s="287">
        <f t="shared" si="89"/>
        <v>0</v>
      </c>
    </row>
    <row r="503" spans="1:19">
      <c r="A503" s="295"/>
      <c r="B503" s="296"/>
      <c r="C503" s="288">
        <f t="shared" si="80"/>
        <v>1</v>
      </c>
      <c r="D503" s="297"/>
      <c r="E503" s="288">
        <f t="shared" si="81"/>
        <v>1</v>
      </c>
      <c r="F503" s="297"/>
      <c r="G503" s="288">
        <f t="shared" si="82"/>
        <v>1</v>
      </c>
      <c r="H503" s="297"/>
      <c r="I503" s="288">
        <f t="shared" si="83"/>
        <v>1</v>
      </c>
      <c r="J503" s="297"/>
      <c r="K503" s="288">
        <f t="shared" si="84"/>
        <v>1</v>
      </c>
      <c r="L503" s="297"/>
      <c r="M503" s="288">
        <f t="shared" si="85"/>
        <v>1</v>
      </c>
      <c r="N503" s="297"/>
      <c r="O503" s="288">
        <f t="shared" si="86"/>
        <v>1</v>
      </c>
      <c r="P503" s="297"/>
      <c r="Q503" s="288">
        <f t="shared" si="87"/>
        <v>1</v>
      </c>
      <c r="R503" s="348">
        <f t="shared" si="88"/>
        <v>0</v>
      </c>
      <c r="S503" s="287">
        <f t="shared" si="89"/>
        <v>0</v>
      </c>
    </row>
    <row r="504" spans="1:19">
      <c r="A504" s="295"/>
      <c r="B504" s="296"/>
      <c r="C504" s="288">
        <f t="shared" si="80"/>
        <v>1</v>
      </c>
      <c r="D504" s="297"/>
      <c r="E504" s="288">
        <f t="shared" si="81"/>
        <v>1</v>
      </c>
      <c r="F504" s="297"/>
      <c r="G504" s="288">
        <f t="shared" si="82"/>
        <v>1</v>
      </c>
      <c r="H504" s="297"/>
      <c r="I504" s="288">
        <f t="shared" si="83"/>
        <v>1</v>
      </c>
      <c r="J504" s="297"/>
      <c r="K504" s="288">
        <f t="shared" si="84"/>
        <v>1</v>
      </c>
      <c r="L504" s="297"/>
      <c r="M504" s="288">
        <f t="shared" si="85"/>
        <v>1</v>
      </c>
      <c r="N504" s="297"/>
      <c r="O504" s="288">
        <f t="shared" si="86"/>
        <v>1</v>
      </c>
      <c r="P504" s="297"/>
      <c r="Q504" s="288">
        <f t="shared" si="87"/>
        <v>1</v>
      </c>
      <c r="R504" s="348">
        <f t="shared" si="88"/>
        <v>0</v>
      </c>
      <c r="S504" s="287">
        <f t="shared" si="89"/>
        <v>0</v>
      </c>
    </row>
    <row r="505" spans="1:19">
      <c r="A505" s="295"/>
      <c r="B505" s="296"/>
      <c r="C505" s="288">
        <f t="shared" si="80"/>
        <v>1</v>
      </c>
      <c r="D505" s="297"/>
      <c r="E505" s="288">
        <f t="shared" si="81"/>
        <v>1</v>
      </c>
      <c r="F505" s="297"/>
      <c r="G505" s="288">
        <f t="shared" si="82"/>
        <v>1</v>
      </c>
      <c r="H505" s="297"/>
      <c r="I505" s="288">
        <f t="shared" si="83"/>
        <v>1</v>
      </c>
      <c r="J505" s="297"/>
      <c r="K505" s="288">
        <f t="shared" si="84"/>
        <v>1</v>
      </c>
      <c r="L505" s="297"/>
      <c r="M505" s="288">
        <f t="shared" si="85"/>
        <v>1</v>
      </c>
      <c r="N505" s="297"/>
      <c r="O505" s="288">
        <f t="shared" si="86"/>
        <v>1</v>
      </c>
      <c r="P505" s="297"/>
      <c r="Q505" s="288">
        <f t="shared" si="87"/>
        <v>1</v>
      </c>
      <c r="R505" s="348">
        <f t="shared" si="88"/>
        <v>0</v>
      </c>
      <c r="S505" s="287">
        <f t="shared" si="89"/>
        <v>0</v>
      </c>
    </row>
    <row r="506" spans="1:19">
      <c r="A506" s="295"/>
      <c r="B506" s="296"/>
      <c r="C506" s="288">
        <f t="shared" si="80"/>
        <v>1</v>
      </c>
      <c r="D506" s="297"/>
      <c r="E506" s="288">
        <f t="shared" si="81"/>
        <v>1</v>
      </c>
      <c r="F506" s="297"/>
      <c r="G506" s="288">
        <f t="shared" si="82"/>
        <v>1</v>
      </c>
      <c r="H506" s="297"/>
      <c r="I506" s="288">
        <f t="shared" si="83"/>
        <v>1</v>
      </c>
      <c r="J506" s="297"/>
      <c r="K506" s="288">
        <f t="shared" si="84"/>
        <v>1</v>
      </c>
      <c r="L506" s="297"/>
      <c r="M506" s="288">
        <f t="shared" si="85"/>
        <v>1</v>
      </c>
      <c r="N506" s="297"/>
      <c r="O506" s="288">
        <f t="shared" si="86"/>
        <v>1</v>
      </c>
      <c r="P506" s="297"/>
      <c r="Q506" s="288">
        <f t="shared" si="87"/>
        <v>1</v>
      </c>
      <c r="R506" s="348">
        <f t="shared" si="88"/>
        <v>0</v>
      </c>
      <c r="S506" s="287">
        <f t="shared" si="89"/>
        <v>0</v>
      </c>
    </row>
    <row r="507" spans="1:19">
      <c r="A507" s="295"/>
      <c r="B507" s="296"/>
      <c r="C507" s="288">
        <f t="shared" si="80"/>
        <v>1</v>
      </c>
      <c r="D507" s="297"/>
      <c r="E507" s="288">
        <f t="shared" si="81"/>
        <v>1</v>
      </c>
      <c r="F507" s="297"/>
      <c r="G507" s="288">
        <f t="shared" si="82"/>
        <v>1</v>
      </c>
      <c r="H507" s="297"/>
      <c r="I507" s="288">
        <f t="shared" si="83"/>
        <v>1</v>
      </c>
      <c r="J507" s="297"/>
      <c r="K507" s="288">
        <f t="shared" si="84"/>
        <v>1</v>
      </c>
      <c r="L507" s="297"/>
      <c r="M507" s="288">
        <f t="shared" si="85"/>
        <v>1</v>
      </c>
      <c r="N507" s="297"/>
      <c r="O507" s="288">
        <f t="shared" si="86"/>
        <v>1</v>
      </c>
      <c r="P507" s="297"/>
      <c r="Q507" s="288">
        <f t="shared" si="87"/>
        <v>1</v>
      </c>
      <c r="R507" s="348">
        <f t="shared" si="88"/>
        <v>0</v>
      </c>
      <c r="S507" s="287">
        <f t="shared" si="89"/>
        <v>0</v>
      </c>
    </row>
    <row r="508" spans="1:19">
      <c r="A508" s="295"/>
      <c r="B508" s="296"/>
      <c r="C508" s="288">
        <f t="shared" si="80"/>
        <v>1</v>
      </c>
      <c r="D508" s="297"/>
      <c r="E508" s="288">
        <f t="shared" si="81"/>
        <v>1</v>
      </c>
      <c r="F508" s="297"/>
      <c r="G508" s="288">
        <f t="shared" si="82"/>
        <v>1</v>
      </c>
      <c r="H508" s="297"/>
      <c r="I508" s="288">
        <f t="shared" si="83"/>
        <v>1</v>
      </c>
      <c r="J508" s="297"/>
      <c r="K508" s="288">
        <f t="shared" si="84"/>
        <v>1</v>
      </c>
      <c r="L508" s="297"/>
      <c r="M508" s="288">
        <f t="shared" si="85"/>
        <v>1</v>
      </c>
      <c r="N508" s="297"/>
      <c r="O508" s="288">
        <f t="shared" si="86"/>
        <v>1</v>
      </c>
      <c r="P508" s="297"/>
      <c r="Q508" s="288">
        <f t="shared" si="87"/>
        <v>1</v>
      </c>
      <c r="R508" s="348">
        <f t="shared" si="88"/>
        <v>0</v>
      </c>
      <c r="S508" s="287">
        <f t="shared" si="89"/>
        <v>0</v>
      </c>
    </row>
    <row r="509" spans="1:19">
      <c r="A509" s="295"/>
      <c r="B509" s="296"/>
      <c r="C509" s="288">
        <f t="shared" si="80"/>
        <v>1</v>
      </c>
      <c r="D509" s="297"/>
      <c r="E509" s="288">
        <f t="shared" si="81"/>
        <v>1</v>
      </c>
      <c r="F509" s="297"/>
      <c r="G509" s="288">
        <f t="shared" si="82"/>
        <v>1</v>
      </c>
      <c r="H509" s="297"/>
      <c r="I509" s="288">
        <f t="shared" si="83"/>
        <v>1</v>
      </c>
      <c r="J509" s="297"/>
      <c r="K509" s="288">
        <f t="shared" si="84"/>
        <v>1</v>
      </c>
      <c r="L509" s="297"/>
      <c r="M509" s="288">
        <f t="shared" si="85"/>
        <v>1</v>
      </c>
      <c r="N509" s="297"/>
      <c r="O509" s="288">
        <f t="shared" si="86"/>
        <v>1</v>
      </c>
      <c r="P509" s="297"/>
      <c r="Q509" s="288">
        <f t="shared" si="87"/>
        <v>1</v>
      </c>
      <c r="R509" s="348">
        <f t="shared" si="88"/>
        <v>0</v>
      </c>
      <c r="S509" s="287">
        <f t="shared" si="89"/>
        <v>0</v>
      </c>
    </row>
    <row r="510" spans="1:19">
      <c r="A510" s="295"/>
      <c r="B510" s="296"/>
      <c r="C510" s="288">
        <f t="shared" si="80"/>
        <v>1</v>
      </c>
      <c r="D510" s="297"/>
      <c r="E510" s="288">
        <f t="shared" si="81"/>
        <v>1</v>
      </c>
      <c r="F510" s="297"/>
      <c r="G510" s="288">
        <f t="shared" si="82"/>
        <v>1</v>
      </c>
      <c r="H510" s="297"/>
      <c r="I510" s="288">
        <f t="shared" si="83"/>
        <v>1</v>
      </c>
      <c r="J510" s="297"/>
      <c r="K510" s="288">
        <f t="shared" si="84"/>
        <v>1</v>
      </c>
      <c r="L510" s="297"/>
      <c r="M510" s="288">
        <f t="shared" si="85"/>
        <v>1</v>
      </c>
      <c r="N510" s="297"/>
      <c r="O510" s="288">
        <f t="shared" si="86"/>
        <v>1</v>
      </c>
      <c r="P510" s="297"/>
      <c r="Q510" s="288">
        <f t="shared" si="87"/>
        <v>1</v>
      </c>
      <c r="R510" s="348">
        <f t="shared" si="88"/>
        <v>0</v>
      </c>
      <c r="S510" s="287">
        <f t="shared" si="89"/>
        <v>0</v>
      </c>
    </row>
    <row r="511" spans="1:19">
      <c r="A511" s="295"/>
      <c r="B511" s="296"/>
      <c r="C511" s="288">
        <f t="shared" si="80"/>
        <v>1</v>
      </c>
      <c r="D511" s="297"/>
      <c r="E511" s="288">
        <f t="shared" si="81"/>
        <v>1</v>
      </c>
      <c r="F511" s="297"/>
      <c r="G511" s="288">
        <f t="shared" si="82"/>
        <v>1</v>
      </c>
      <c r="H511" s="297"/>
      <c r="I511" s="288">
        <f t="shared" si="83"/>
        <v>1</v>
      </c>
      <c r="J511" s="297"/>
      <c r="K511" s="288">
        <f t="shared" si="84"/>
        <v>1</v>
      </c>
      <c r="L511" s="297"/>
      <c r="M511" s="288">
        <f t="shared" si="85"/>
        <v>1</v>
      </c>
      <c r="N511" s="297"/>
      <c r="O511" s="288">
        <f t="shared" si="86"/>
        <v>1</v>
      </c>
      <c r="P511" s="297"/>
      <c r="Q511" s="288">
        <f t="shared" si="87"/>
        <v>1</v>
      </c>
      <c r="R511" s="348">
        <f t="shared" si="88"/>
        <v>0</v>
      </c>
      <c r="S511" s="287">
        <f t="shared" si="89"/>
        <v>0</v>
      </c>
    </row>
    <row r="512" spans="1:19">
      <c r="A512" s="295"/>
      <c r="B512" s="296"/>
      <c r="C512" s="288">
        <f t="shared" si="80"/>
        <v>1</v>
      </c>
      <c r="D512" s="297"/>
      <c r="E512" s="288">
        <f t="shared" si="81"/>
        <v>1</v>
      </c>
      <c r="F512" s="297"/>
      <c r="G512" s="288">
        <f t="shared" si="82"/>
        <v>1</v>
      </c>
      <c r="H512" s="297"/>
      <c r="I512" s="288">
        <f t="shared" si="83"/>
        <v>1</v>
      </c>
      <c r="J512" s="297"/>
      <c r="K512" s="288">
        <f t="shared" si="84"/>
        <v>1</v>
      </c>
      <c r="L512" s="297"/>
      <c r="M512" s="288">
        <f t="shared" si="85"/>
        <v>1</v>
      </c>
      <c r="N512" s="297"/>
      <c r="O512" s="288">
        <f t="shared" si="86"/>
        <v>1</v>
      </c>
      <c r="P512" s="297"/>
      <c r="Q512" s="288">
        <f t="shared" si="87"/>
        <v>1</v>
      </c>
      <c r="R512" s="348">
        <f t="shared" si="88"/>
        <v>0</v>
      </c>
      <c r="S512" s="287">
        <f t="shared" si="89"/>
        <v>0</v>
      </c>
    </row>
    <row r="513" spans="1:19">
      <c r="A513" s="295"/>
      <c r="B513" s="296"/>
      <c r="C513" s="288">
        <f t="shared" si="80"/>
        <v>1</v>
      </c>
      <c r="D513" s="297"/>
      <c r="E513" s="288">
        <f t="shared" si="81"/>
        <v>1</v>
      </c>
      <c r="F513" s="297"/>
      <c r="G513" s="288">
        <f t="shared" si="82"/>
        <v>1</v>
      </c>
      <c r="H513" s="297"/>
      <c r="I513" s="288">
        <f t="shared" si="83"/>
        <v>1</v>
      </c>
      <c r="J513" s="297"/>
      <c r="K513" s="288">
        <f t="shared" si="84"/>
        <v>1</v>
      </c>
      <c r="L513" s="297"/>
      <c r="M513" s="288">
        <f t="shared" si="85"/>
        <v>1</v>
      </c>
      <c r="N513" s="297"/>
      <c r="O513" s="288">
        <f t="shared" si="86"/>
        <v>1</v>
      </c>
      <c r="P513" s="297"/>
      <c r="Q513" s="288">
        <f t="shared" si="87"/>
        <v>1</v>
      </c>
      <c r="R513" s="348">
        <f t="shared" si="88"/>
        <v>0</v>
      </c>
      <c r="S513" s="287">
        <f t="shared" si="89"/>
        <v>0</v>
      </c>
    </row>
    <row r="514" spans="1:19">
      <c r="A514" s="295"/>
      <c r="B514" s="296"/>
      <c r="C514" s="288">
        <f t="shared" si="80"/>
        <v>1</v>
      </c>
      <c r="D514" s="297"/>
      <c r="E514" s="288">
        <f t="shared" si="81"/>
        <v>1</v>
      </c>
      <c r="F514" s="297"/>
      <c r="G514" s="288">
        <f t="shared" si="82"/>
        <v>1</v>
      </c>
      <c r="H514" s="297"/>
      <c r="I514" s="288">
        <f t="shared" si="83"/>
        <v>1</v>
      </c>
      <c r="J514" s="297"/>
      <c r="K514" s="288">
        <f t="shared" si="84"/>
        <v>1</v>
      </c>
      <c r="L514" s="297"/>
      <c r="M514" s="288">
        <f t="shared" si="85"/>
        <v>1</v>
      </c>
      <c r="N514" s="297"/>
      <c r="O514" s="288">
        <f t="shared" si="86"/>
        <v>1</v>
      </c>
      <c r="P514" s="297"/>
      <c r="Q514" s="288">
        <f t="shared" si="87"/>
        <v>1</v>
      </c>
      <c r="R514" s="348">
        <f t="shared" si="88"/>
        <v>0</v>
      </c>
      <c r="S514" s="287">
        <f t="shared" si="89"/>
        <v>0</v>
      </c>
    </row>
    <row r="515" spans="1:19">
      <c r="A515" s="295"/>
      <c r="B515" s="296"/>
      <c r="C515" s="288">
        <f t="shared" si="80"/>
        <v>1</v>
      </c>
      <c r="D515" s="297"/>
      <c r="E515" s="288">
        <f t="shared" si="81"/>
        <v>1</v>
      </c>
      <c r="F515" s="297"/>
      <c r="G515" s="288">
        <f t="shared" si="82"/>
        <v>1</v>
      </c>
      <c r="H515" s="297"/>
      <c r="I515" s="288">
        <f t="shared" si="83"/>
        <v>1</v>
      </c>
      <c r="J515" s="297"/>
      <c r="K515" s="288">
        <f t="shared" si="84"/>
        <v>1</v>
      </c>
      <c r="L515" s="297"/>
      <c r="M515" s="288">
        <f t="shared" si="85"/>
        <v>1</v>
      </c>
      <c r="N515" s="297"/>
      <c r="O515" s="288">
        <f t="shared" si="86"/>
        <v>1</v>
      </c>
      <c r="P515" s="297"/>
      <c r="Q515" s="288">
        <f t="shared" si="87"/>
        <v>1</v>
      </c>
      <c r="R515" s="348">
        <f t="shared" si="88"/>
        <v>0</v>
      </c>
      <c r="S515" s="287">
        <f t="shared" si="89"/>
        <v>0</v>
      </c>
    </row>
    <row r="516" spans="1:19">
      <c r="A516" s="295"/>
      <c r="B516" s="296"/>
      <c r="C516" s="288">
        <f t="shared" si="80"/>
        <v>1</v>
      </c>
      <c r="D516" s="297"/>
      <c r="E516" s="288">
        <f t="shared" si="81"/>
        <v>1</v>
      </c>
      <c r="F516" s="297"/>
      <c r="G516" s="288">
        <f t="shared" si="82"/>
        <v>1</v>
      </c>
      <c r="H516" s="297"/>
      <c r="I516" s="288">
        <f t="shared" si="83"/>
        <v>1</v>
      </c>
      <c r="J516" s="297"/>
      <c r="K516" s="288">
        <f t="shared" si="84"/>
        <v>1</v>
      </c>
      <c r="L516" s="297"/>
      <c r="M516" s="288">
        <f t="shared" si="85"/>
        <v>1</v>
      </c>
      <c r="N516" s="297"/>
      <c r="O516" s="288">
        <f t="shared" si="86"/>
        <v>1</v>
      </c>
      <c r="P516" s="297"/>
      <c r="Q516" s="288">
        <f t="shared" si="87"/>
        <v>1</v>
      </c>
      <c r="R516" s="348">
        <f t="shared" si="88"/>
        <v>0</v>
      </c>
      <c r="S516" s="287">
        <f t="shared" si="89"/>
        <v>0</v>
      </c>
    </row>
    <row r="517" spans="1:19">
      <c r="A517" s="295"/>
      <c r="B517" s="296"/>
      <c r="C517" s="288">
        <f t="shared" si="80"/>
        <v>1</v>
      </c>
      <c r="D517" s="297"/>
      <c r="E517" s="288">
        <f t="shared" si="81"/>
        <v>1</v>
      </c>
      <c r="F517" s="297"/>
      <c r="G517" s="288">
        <f t="shared" si="82"/>
        <v>1</v>
      </c>
      <c r="H517" s="297"/>
      <c r="I517" s="288">
        <f t="shared" si="83"/>
        <v>1</v>
      </c>
      <c r="J517" s="297"/>
      <c r="K517" s="288">
        <f t="shared" si="84"/>
        <v>1</v>
      </c>
      <c r="L517" s="297"/>
      <c r="M517" s="288">
        <f t="shared" si="85"/>
        <v>1</v>
      </c>
      <c r="N517" s="297"/>
      <c r="O517" s="288">
        <f t="shared" si="86"/>
        <v>1</v>
      </c>
      <c r="P517" s="297"/>
      <c r="Q517" s="288">
        <f t="shared" si="87"/>
        <v>1</v>
      </c>
      <c r="R517" s="348">
        <f t="shared" si="88"/>
        <v>0</v>
      </c>
      <c r="S517" s="287">
        <f t="shared" si="89"/>
        <v>0</v>
      </c>
    </row>
    <row r="518" spans="1:19">
      <c r="A518" s="295"/>
      <c r="B518" s="296"/>
      <c r="C518" s="288">
        <f t="shared" si="80"/>
        <v>1</v>
      </c>
      <c r="D518" s="297"/>
      <c r="E518" s="288">
        <f t="shared" si="81"/>
        <v>1</v>
      </c>
      <c r="F518" s="297"/>
      <c r="G518" s="288">
        <f t="shared" si="82"/>
        <v>1</v>
      </c>
      <c r="H518" s="297"/>
      <c r="I518" s="288">
        <f t="shared" si="83"/>
        <v>1</v>
      </c>
      <c r="J518" s="297"/>
      <c r="K518" s="288">
        <f t="shared" si="84"/>
        <v>1</v>
      </c>
      <c r="L518" s="297"/>
      <c r="M518" s="288">
        <f t="shared" si="85"/>
        <v>1</v>
      </c>
      <c r="N518" s="297"/>
      <c r="O518" s="288">
        <f t="shared" si="86"/>
        <v>1</v>
      </c>
      <c r="P518" s="297"/>
      <c r="Q518" s="288">
        <f t="shared" si="87"/>
        <v>1</v>
      </c>
      <c r="R518" s="348">
        <f t="shared" si="88"/>
        <v>0</v>
      </c>
      <c r="S518" s="287">
        <f t="shared" si="89"/>
        <v>0</v>
      </c>
    </row>
    <row r="519" spans="1:19">
      <c r="A519" s="295"/>
      <c r="B519" s="296"/>
      <c r="C519" s="288">
        <f t="shared" si="80"/>
        <v>1</v>
      </c>
      <c r="D519" s="297"/>
      <c r="E519" s="288">
        <f t="shared" si="81"/>
        <v>1</v>
      </c>
      <c r="F519" s="297"/>
      <c r="G519" s="288">
        <f t="shared" si="82"/>
        <v>1</v>
      </c>
      <c r="H519" s="297"/>
      <c r="I519" s="288">
        <f t="shared" si="83"/>
        <v>1</v>
      </c>
      <c r="J519" s="297"/>
      <c r="K519" s="288">
        <f t="shared" si="84"/>
        <v>1</v>
      </c>
      <c r="L519" s="297"/>
      <c r="M519" s="288">
        <f t="shared" si="85"/>
        <v>1</v>
      </c>
      <c r="N519" s="297"/>
      <c r="O519" s="288">
        <f t="shared" si="86"/>
        <v>1</v>
      </c>
      <c r="P519" s="297"/>
      <c r="Q519" s="288">
        <f t="shared" si="87"/>
        <v>1</v>
      </c>
      <c r="R519" s="348">
        <f t="shared" si="88"/>
        <v>0</v>
      </c>
      <c r="S519" s="287">
        <f t="shared" si="89"/>
        <v>0</v>
      </c>
    </row>
    <row r="520" spans="1:19">
      <c r="A520" s="295"/>
      <c r="B520" s="296"/>
      <c r="C520" s="288">
        <f t="shared" si="80"/>
        <v>1</v>
      </c>
      <c r="D520" s="297"/>
      <c r="E520" s="288">
        <f t="shared" si="81"/>
        <v>1</v>
      </c>
      <c r="F520" s="297"/>
      <c r="G520" s="288">
        <f t="shared" si="82"/>
        <v>1</v>
      </c>
      <c r="H520" s="297"/>
      <c r="I520" s="288">
        <f t="shared" si="83"/>
        <v>1</v>
      </c>
      <c r="J520" s="297"/>
      <c r="K520" s="288">
        <f t="shared" si="84"/>
        <v>1</v>
      </c>
      <c r="L520" s="297"/>
      <c r="M520" s="288">
        <f t="shared" si="85"/>
        <v>1</v>
      </c>
      <c r="N520" s="297"/>
      <c r="O520" s="288">
        <f t="shared" si="86"/>
        <v>1</v>
      </c>
      <c r="P520" s="297"/>
      <c r="Q520" s="288">
        <f t="shared" si="87"/>
        <v>1</v>
      </c>
      <c r="R520" s="348">
        <f t="shared" si="88"/>
        <v>0</v>
      </c>
      <c r="S520" s="287">
        <f t="shared" si="89"/>
        <v>0</v>
      </c>
    </row>
    <row r="521" spans="1:19">
      <c r="A521" s="295"/>
      <c r="B521" s="296"/>
      <c r="C521" s="288">
        <f t="shared" si="80"/>
        <v>1</v>
      </c>
      <c r="D521" s="297"/>
      <c r="E521" s="288">
        <f t="shared" si="81"/>
        <v>1</v>
      </c>
      <c r="F521" s="297"/>
      <c r="G521" s="288">
        <f t="shared" si="82"/>
        <v>1</v>
      </c>
      <c r="H521" s="297"/>
      <c r="I521" s="288">
        <f t="shared" si="83"/>
        <v>1</v>
      </c>
      <c r="J521" s="297"/>
      <c r="K521" s="288">
        <f t="shared" si="84"/>
        <v>1</v>
      </c>
      <c r="L521" s="297"/>
      <c r="M521" s="288">
        <f t="shared" si="85"/>
        <v>1</v>
      </c>
      <c r="N521" s="297"/>
      <c r="O521" s="288">
        <f t="shared" si="86"/>
        <v>1</v>
      </c>
      <c r="P521" s="297"/>
      <c r="Q521" s="288">
        <f t="shared" si="87"/>
        <v>1</v>
      </c>
      <c r="R521" s="348">
        <f t="shared" si="88"/>
        <v>0</v>
      </c>
      <c r="S521" s="287">
        <f t="shared" si="89"/>
        <v>0</v>
      </c>
    </row>
    <row r="522" spans="1:19">
      <c r="A522" s="295"/>
      <c r="B522" s="296"/>
      <c r="C522" s="288">
        <f t="shared" si="80"/>
        <v>1</v>
      </c>
      <c r="D522" s="297"/>
      <c r="E522" s="288">
        <f t="shared" si="81"/>
        <v>1</v>
      </c>
      <c r="F522" s="297"/>
      <c r="G522" s="288">
        <f t="shared" si="82"/>
        <v>1</v>
      </c>
      <c r="H522" s="297"/>
      <c r="I522" s="288">
        <f t="shared" si="83"/>
        <v>1</v>
      </c>
      <c r="J522" s="297"/>
      <c r="K522" s="288">
        <f t="shared" si="84"/>
        <v>1</v>
      </c>
      <c r="L522" s="297"/>
      <c r="M522" s="288">
        <f t="shared" si="85"/>
        <v>1</v>
      </c>
      <c r="N522" s="297"/>
      <c r="O522" s="288">
        <f t="shared" si="86"/>
        <v>1</v>
      </c>
      <c r="P522" s="297"/>
      <c r="Q522" s="288">
        <f t="shared" si="87"/>
        <v>1</v>
      </c>
      <c r="R522" s="348">
        <f t="shared" si="88"/>
        <v>0</v>
      </c>
      <c r="S522" s="287">
        <f t="shared" si="89"/>
        <v>0</v>
      </c>
    </row>
    <row r="523" spans="1:19">
      <c r="A523" s="295"/>
      <c r="B523" s="296"/>
      <c r="C523" s="288">
        <f t="shared" si="80"/>
        <v>1</v>
      </c>
      <c r="D523" s="297"/>
      <c r="E523" s="288">
        <f t="shared" si="81"/>
        <v>1</v>
      </c>
      <c r="F523" s="297"/>
      <c r="G523" s="288">
        <f t="shared" si="82"/>
        <v>1</v>
      </c>
      <c r="H523" s="297"/>
      <c r="I523" s="288">
        <f t="shared" si="83"/>
        <v>1</v>
      </c>
      <c r="J523" s="297"/>
      <c r="K523" s="288">
        <f t="shared" si="84"/>
        <v>1</v>
      </c>
      <c r="L523" s="297"/>
      <c r="M523" s="288">
        <f t="shared" si="85"/>
        <v>1</v>
      </c>
      <c r="N523" s="297"/>
      <c r="O523" s="288">
        <f t="shared" si="86"/>
        <v>1</v>
      </c>
      <c r="P523" s="297"/>
      <c r="Q523" s="288">
        <f t="shared" si="87"/>
        <v>1</v>
      </c>
      <c r="R523" s="348">
        <f t="shared" si="88"/>
        <v>0</v>
      </c>
      <c r="S523" s="287">
        <f t="shared" si="89"/>
        <v>0</v>
      </c>
    </row>
    <row r="524" spans="1:19">
      <c r="A524" s="295"/>
      <c r="B524" s="296"/>
      <c r="C524" s="288">
        <f t="shared" si="80"/>
        <v>1</v>
      </c>
      <c r="D524" s="297"/>
      <c r="E524" s="288">
        <f t="shared" si="81"/>
        <v>1</v>
      </c>
      <c r="F524" s="297"/>
      <c r="G524" s="288">
        <f t="shared" si="82"/>
        <v>1</v>
      </c>
      <c r="H524" s="297"/>
      <c r="I524" s="288">
        <f t="shared" si="83"/>
        <v>1</v>
      </c>
      <c r="J524" s="297"/>
      <c r="K524" s="288">
        <f t="shared" si="84"/>
        <v>1</v>
      </c>
      <c r="L524" s="297"/>
      <c r="M524" s="288">
        <f t="shared" si="85"/>
        <v>1</v>
      </c>
      <c r="N524" s="297"/>
      <c r="O524" s="288">
        <f t="shared" si="86"/>
        <v>1</v>
      </c>
      <c r="P524" s="297"/>
      <c r="Q524" s="288">
        <f t="shared" si="87"/>
        <v>1</v>
      </c>
      <c r="R524" s="348">
        <f t="shared" si="88"/>
        <v>0</v>
      </c>
      <c r="S524" s="287">
        <f t="shared" si="89"/>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D20" xr:uid="{00000000-0002-0000-2900-000001000000}">
      <formula1>"需扣减承租人权益,——"</formula1>
    </dataValidation>
    <dataValidation type="list" allowBlank="1" showInputMessage="1" showErrorMessage="1" sqref="H20" xr:uid="{00000000-0002-0000-2900-000002000000}">
      <formula1>估价方法</formula1>
    </dataValidation>
    <dataValidation type="list" allowBlank="1" showInputMessage="1" showErrorMessage="1" sqref="H24:H524" xr:uid="{00000000-0002-0000-2900-000003000000}">
      <formula1>一修多修正项4</formula1>
    </dataValidation>
    <dataValidation type="list" allowBlank="1" showInputMessage="1" showErrorMessage="1" sqref="F24:F524" xr:uid="{00000000-0002-0000-2900-000004000000}">
      <formula1>一修多修正项3</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7" s="133" customFormat="1" ht="20.25">
      <c r="A1" s="141" t="s">
        <v>2297</v>
      </c>
      <c r="B1" s="142"/>
      <c r="C1" s="143"/>
      <c r="D1" s="143"/>
      <c r="E1" s="143"/>
      <c r="F1" s="143"/>
      <c r="G1" s="144"/>
    </row>
    <row r="2" spans="1:7" s="133" customFormat="1" ht="18" customHeight="1">
      <c r="A2" s="145" t="s">
        <v>2298</v>
      </c>
      <c r="B2" s="146">
        <f ca="1">C52</f>
        <v>38899</v>
      </c>
      <c r="C2" s="147" t="s">
        <v>2299</v>
      </c>
      <c r="D2" s="144"/>
      <c r="E2" s="144"/>
      <c r="F2" s="144"/>
      <c r="G2" s="144"/>
    </row>
    <row r="3" spans="1:7" s="133" customFormat="1" ht="18" customHeight="1">
      <c r="A3" s="148" t="s">
        <v>2300</v>
      </c>
      <c r="B3" s="149">
        <f ca="1">ROUND(B2*10000/'数据-汇总表'!E3,0)</f>
        <v>9917</v>
      </c>
      <c r="C3" s="147" t="s">
        <v>2301</v>
      </c>
      <c r="D3" s="144"/>
      <c r="E3" s="144"/>
      <c r="F3" s="144"/>
      <c r="G3" s="144"/>
    </row>
    <row r="4" spans="1:7" s="134" customFormat="1" ht="15.75">
      <c r="A4" s="150" t="s">
        <v>2302</v>
      </c>
      <c r="B4" s="151"/>
      <c r="C4" s="151"/>
      <c r="D4" s="151"/>
      <c r="E4" s="151"/>
      <c r="F4" s="151"/>
      <c r="G4" s="152"/>
    </row>
    <row r="5" spans="1:7" s="135" customFormat="1" ht="13.5" customHeight="1">
      <c r="A5" s="153" t="s">
        <v>931</v>
      </c>
      <c r="B5" s="154" t="s">
        <v>2303</v>
      </c>
      <c r="C5" s="155">
        <f>C6+C7+C8</f>
        <v>20610</v>
      </c>
      <c r="D5" s="155" t="s">
        <v>2304</v>
      </c>
      <c r="E5" s="156" t="s">
        <v>2305</v>
      </c>
      <c r="F5" s="156" t="s">
        <v>2306</v>
      </c>
      <c r="G5" s="157"/>
    </row>
    <row r="6" spans="1:7" s="135" customFormat="1" ht="13.5" customHeight="1">
      <c r="A6" s="158" t="s">
        <v>935</v>
      </c>
      <c r="B6" s="159" t="s">
        <v>2307</v>
      </c>
      <c r="C6" s="160">
        <v>20000</v>
      </c>
      <c r="D6" s="161"/>
      <c r="E6" s="162"/>
      <c r="F6" s="162"/>
      <c r="G6" s="163"/>
    </row>
    <row r="7" spans="1:7" s="135" customFormat="1" ht="13.5" customHeight="1">
      <c r="A7" s="158" t="s">
        <v>937</v>
      </c>
      <c r="B7" s="159" t="s">
        <v>2308</v>
      </c>
      <c r="C7" s="164">
        <f>ROUND(C6*F7,0)</f>
        <v>610</v>
      </c>
      <c r="D7" s="164"/>
      <c r="E7" s="162"/>
      <c r="F7" s="165">
        <f>'数据-取费表'!B48+'数据-取费表'!B49</f>
        <v>3.0499999999999999E-2</v>
      </c>
      <c r="G7" s="163"/>
    </row>
    <row r="8" spans="1:7" s="136" customFormat="1">
      <c r="A8" s="158" t="s">
        <v>939</v>
      </c>
      <c r="B8" s="159" t="s">
        <v>2309</v>
      </c>
      <c r="C8" s="164" t="str">
        <f>IF(G8="已包含在土地购买价格中","0",'数据-取费表'!B29)</f>
        <v>0</v>
      </c>
      <c r="D8" s="166"/>
      <c r="E8" s="164"/>
      <c r="F8" s="165"/>
      <c r="G8" s="167" t="s">
        <v>2310</v>
      </c>
    </row>
    <row r="9" spans="1:7" s="135" customFormat="1" ht="13.5" customHeight="1">
      <c r="A9" s="168" t="s">
        <v>942</v>
      </c>
      <c r="B9" s="169" t="s">
        <v>2311</v>
      </c>
      <c r="C9" s="170">
        <f>ROUND(D9*E9/10000,0)</f>
        <v>587</v>
      </c>
      <c r="D9" s="171">
        <f>'数据-汇总表'!E5</f>
        <v>36663.219999999994</v>
      </c>
      <c r="E9" s="170">
        <f>'数据-取费表'!B27</f>
        <v>160</v>
      </c>
      <c r="F9" s="165"/>
      <c r="G9" s="172"/>
    </row>
    <row r="10" spans="1:7" s="135" customFormat="1" ht="13.5" customHeight="1">
      <c r="A10" s="168" t="s">
        <v>945</v>
      </c>
      <c r="B10" s="169" t="s">
        <v>2312</v>
      </c>
      <c r="C10" s="170">
        <f>ROUND(D10*E10/10000,0)</f>
        <v>51</v>
      </c>
      <c r="D10" s="171">
        <f>'数据-汇总表'!E6</f>
        <v>2559.510000000002</v>
      </c>
      <c r="E10" s="170">
        <f>'数据-取费表'!B28</f>
        <v>200</v>
      </c>
      <c r="F10" s="165"/>
      <c r="G10" s="172"/>
    </row>
    <row r="11" spans="1:7" s="135" customFormat="1" ht="13.5" hidden="1" customHeight="1">
      <c r="A11" s="173" t="s">
        <v>947</v>
      </c>
      <c r="B11" s="159" t="s">
        <v>2313</v>
      </c>
      <c r="C11" s="155"/>
      <c r="D11" s="174"/>
      <c r="E11" s="162"/>
      <c r="F11" s="162"/>
      <c r="G11" s="163"/>
    </row>
    <row r="12" spans="1:7" s="135" customFormat="1" ht="13.5" hidden="1" customHeight="1">
      <c r="A12" s="173" t="s">
        <v>949</v>
      </c>
      <c r="B12" s="159" t="s">
        <v>2314</v>
      </c>
      <c r="C12" s="155">
        <v>0</v>
      </c>
      <c r="D12" s="174"/>
      <c r="E12" s="175"/>
      <c r="F12" s="165">
        <v>3.0499999999999999E-2</v>
      </c>
      <c r="G12" s="163"/>
    </row>
    <row r="13" spans="1:7" s="135" customFormat="1" ht="13.5" hidden="1" customHeight="1">
      <c r="A13" s="173" t="s">
        <v>950</v>
      </c>
      <c r="B13" s="159" t="s">
        <v>2315</v>
      </c>
      <c r="C13" s="155"/>
      <c r="D13" s="174"/>
      <c r="E13" s="162"/>
      <c r="F13" s="162"/>
      <c r="G13" s="163"/>
    </row>
    <row r="14" spans="1:7" s="135" customFormat="1" ht="13.5" hidden="1" customHeight="1">
      <c r="A14" s="173" t="s">
        <v>952</v>
      </c>
      <c r="B14" s="159" t="s">
        <v>2309</v>
      </c>
      <c r="C14" s="155"/>
      <c r="D14" s="174"/>
      <c r="E14" s="162"/>
      <c r="F14" s="162"/>
      <c r="G14" s="163" t="s">
        <v>2316</v>
      </c>
    </row>
    <row r="15" spans="1:7" s="135" customFormat="1" ht="13.5" hidden="1" customHeight="1">
      <c r="A15" s="173" t="s">
        <v>954</v>
      </c>
      <c r="B15" s="159" t="s">
        <v>2317</v>
      </c>
      <c r="C15" s="164"/>
      <c r="D15" s="174"/>
      <c r="E15" s="162"/>
      <c r="F15" s="162"/>
      <c r="G15" s="163" t="s">
        <v>2318</v>
      </c>
    </row>
    <row r="16" spans="1:7" s="135" customFormat="1" ht="13.5" hidden="1" customHeight="1">
      <c r="A16" s="173" t="s">
        <v>957</v>
      </c>
      <c r="B16" s="159" t="s">
        <v>2309</v>
      </c>
      <c r="C16" s="164"/>
      <c r="D16" s="174"/>
      <c r="E16" s="162"/>
      <c r="F16" s="162"/>
      <c r="G16" s="163"/>
    </row>
    <row r="17" spans="1:7" s="135" customFormat="1" ht="13.5" hidden="1" customHeight="1">
      <c r="A17" s="173" t="s">
        <v>958</v>
      </c>
      <c r="B17" s="159" t="s">
        <v>2319</v>
      </c>
      <c r="C17" s="176"/>
      <c r="D17" s="177"/>
      <c r="E17" s="176"/>
      <c r="F17" s="176"/>
      <c r="G17" s="163" t="s">
        <v>2318</v>
      </c>
    </row>
    <row r="18" spans="1:7" s="135" customFormat="1" ht="13.5" hidden="1" customHeight="1">
      <c r="A18" s="173" t="s">
        <v>960</v>
      </c>
      <c r="B18" s="159" t="s">
        <v>2320</v>
      </c>
      <c r="C18" s="164">
        <v>0</v>
      </c>
      <c r="D18" s="174"/>
      <c r="E18" s="162"/>
      <c r="F18" s="165">
        <v>3.0499999999999999E-2</v>
      </c>
      <c r="G18" s="163" t="s">
        <v>2321</v>
      </c>
    </row>
    <row r="19" spans="1:7" s="136" customFormat="1" ht="13.5" customHeight="1">
      <c r="A19" s="178" t="s">
        <v>1332</v>
      </c>
      <c r="B19" s="154" t="s">
        <v>2322</v>
      </c>
      <c r="C19" s="155">
        <f>IF(G19="已包含在土地取得成本中","0",ROUND(D19*E19/10000,0))</f>
        <v>784</v>
      </c>
      <c r="D19" s="179">
        <f>'数据-汇总表'!E3</f>
        <v>39222.729999999996</v>
      </c>
      <c r="E19" s="155">
        <f>'数据-取费表'!B31</f>
        <v>200</v>
      </c>
      <c r="F19" s="180"/>
      <c r="G19" s="167" t="s">
        <v>2323</v>
      </c>
    </row>
    <row r="20" spans="1:7" s="135" customFormat="1" ht="13.5" customHeight="1">
      <c r="A20" s="178" t="s">
        <v>2324</v>
      </c>
      <c r="B20" s="154" t="s">
        <v>2325</v>
      </c>
      <c r="C20" s="181">
        <f>ROUND((C5+C19)*F20,0)</f>
        <v>642</v>
      </c>
      <c r="D20" s="181"/>
      <c r="E20" s="181"/>
      <c r="F20" s="182">
        <f>'数据-取费表'!B37</f>
        <v>0.03</v>
      </c>
      <c r="G20" s="183" t="s">
        <v>2326</v>
      </c>
    </row>
    <row r="21" spans="1:7" s="135" customFormat="1" ht="13.5" customHeight="1">
      <c r="A21" s="178" t="s">
        <v>2327</v>
      </c>
      <c r="B21" s="154" t="s">
        <v>2328</v>
      </c>
      <c r="C21" s="184">
        <f>F21</f>
        <v>0.02</v>
      </c>
      <c r="D21" s="185" t="s">
        <v>2329</v>
      </c>
      <c r="E21" s="181"/>
      <c r="F21" s="182">
        <f>'数据-取费表'!B38</f>
        <v>0.02</v>
      </c>
      <c r="G21" s="186" t="s">
        <v>2330</v>
      </c>
    </row>
    <row r="22" spans="1:7" s="135" customFormat="1" ht="13.5" customHeight="1">
      <c r="A22" s="178" t="s">
        <v>2331</v>
      </c>
      <c r="B22" s="154" t="s">
        <v>2332</v>
      </c>
      <c r="C22" s="187">
        <f ca="1">ROUND(SUM(C23:C25),0)</f>
        <v>561</v>
      </c>
      <c r="D22" s="184">
        <f ca="1">C26</f>
        <v>2.9999999999999997E-4</v>
      </c>
      <c r="E22" s="185" t="s">
        <v>2329</v>
      </c>
      <c r="F22" s="188">
        <f ca="1">'数据-取费表'!B40</f>
        <v>4.3499999999999997E-2</v>
      </c>
      <c r="G22" s="183" t="str">
        <f>IF('数据-取费表'!B22&lt;=1,"单利计息","复利计息")</f>
        <v>复利计息</v>
      </c>
    </row>
    <row r="23" spans="1:7" s="135" customFormat="1" ht="13.5" customHeight="1">
      <c r="A23" s="189" t="s">
        <v>935</v>
      </c>
      <c r="B23" s="159" t="s">
        <v>2333</v>
      </c>
      <c r="C23" s="190">
        <f ca="1">ROUND(IF('数据-取费表'!B22&lt;=1,C5*F22*'数据-取费表'!B23,C5*(POWER((1+F22),'数据-取费表'!B23)-1)),0)</f>
        <v>533</v>
      </c>
      <c r="D23" s="191"/>
      <c r="E23" s="191"/>
      <c r="F23" s="192"/>
      <c r="G23" s="193" t="s">
        <v>2334</v>
      </c>
    </row>
    <row r="24" spans="1:7" s="135" customFormat="1" ht="13.5" customHeight="1">
      <c r="A24" s="189" t="s">
        <v>937</v>
      </c>
      <c r="B24" s="159" t="s">
        <v>2335</v>
      </c>
      <c r="C24" s="190">
        <f ca="1">ROUND(IF('数据-取费表'!B22&lt;=1,C19*F22*('数据-取费表'!B19/2+'数据-取费表'!B21),C19*(POWER((1+F22),('数据-取费表'!B19/2+'数据-取费表'!B21))-1)),0)</f>
        <v>20</v>
      </c>
      <c r="D24" s="191"/>
      <c r="E24" s="191"/>
      <c r="F24" s="192"/>
      <c r="G24" s="193" t="s">
        <v>2336</v>
      </c>
    </row>
    <row r="25" spans="1:7" s="135" customFormat="1" ht="24">
      <c r="A25" s="189" t="s">
        <v>939</v>
      </c>
      <c r="B25" s="159" t="s">
        <v>2337</v>
      </c>
      <c r="C25" s="190">
        <f ca="1">ROUND(IF('数据-取费表'!B22&lt;=1,C20*F22*'数据-取费表'!B23/2,C20*(POWER((1+F22),'数据-取费表'!B23/2)-1)),0)</f>
        <v>8</v>
      </c>
      <c r="D25" s="191"/>
      <c r="E25" s="194"/>
      <c r="F25" s="192"/>
      <c r="G25" s="195" t="s">
        <v>2338</v>
      </c>
    </row>
    <row r="26" spans="1:7" s="135" customFormat="1">
      <c r="A26" s="189" t="s">
        <v>981</v>
      </c>
      <c r="B26" s="159" t="s">
        <v>2339</v>
      </c>
      <c r="C26" s="191">
        <f ca="1">ROUND(IF('数据-取费表'!B22&lt;=1,F21*F22*'数据-取费表'!B23/2,F21*(POWER((1+F22),'数据-取费表'!B23/2)-1)),4)</f>
        <v>2.9999999999999997E-4</v>
      </c>
      <c r="D26" s="191"/>
      <c r="E26" s="194"/>
      <c r="F26" s="192"/>
      <c r="G26" s="196"/>
    </row>
    <row r="27" spans="1:7" s="135" customFormat="1" ht="24.75">
      <c r="A27" s="178" t="s">
        <v>2340</v>
      </c>
      <c r="B27" s="197" t="s">
        <v>2341</v>
      </c>
      <c r="C27" s="198">
        <f>C28</f>
        <v>1322</v>
      </c>
      <c r="D27" s="184">
        <f>C29</f>
        <v>1.1999999999999999E-3</v>
      </c>
      <c r="E27" s="185" t="s">
        <v>2329</v>
      </c>
      <c r="F27" s="199">
        <f>'数据-取费表'!Q16</f>
        <v>0.2</v>
      </c>
      <c r="G27" s="200" t="s">
        <v>2342</v>
      </c>
    </row>
    <row r="28" spans="1:7" s="135" customFormat="1" ht="13.5" customHeight="1">
      <c r="A28" s="189" t="s">
        <v>935</v>
      </c>
      <c r="B28" s="201" t="s">
        <v>2343</v>
      </c>
      <c r="C28" s="202">
        <f>ROUND((C5+C19+C20)*F27*'数据-取费表'!B21/'数据-取费表'!B20,0)</f>
        <v>1322</v>
      </c>
      <c r="D28" s="184"/>
      <c r="E28" s="185"/>
      <c r="F28" s="199"/>
      <c r="G28" s="200"/>
    </row>
    <row r="29" spans="1:7" s="135" customFormat="1" ht="13.5" customHeight="1">
      <c r="A29" s="189" t="s">
        <v>937</v>
      </c>
      <c r="B29" s="201" t="s">
        <v>2344</v>
      </c>
      <c r="C29" s="191">
        <f>ROUND(C21*F27*'数据-取费表'!B21/'数据-取费表'!B20,4)</f>
        <v>1.1999999999999999E-3</v>
      </c>
      <c r="D29" s="184"/>
      <c r="E29" s="185"/>
      <c r="F29" s="199"/>
      <c r="G29" s="200"/>
    </row>
    <row r="30" spans="1:7" s="135" customFormat="1" ht="13.5" customHeight="1">
      <c r="A30" s="178" t="s">
        <v>2345</v>
      </c>
      <c r="B30" s="154" t="s">
        <v>2346</v>
      </c>
      <c r="C30" s="184">
        <f>F30</f>
        <v>5.6000000000000001E-2</v>
      </c>
      <c r="D30" s="185" t="s">
        <v>2347</v>
      </c>
      <c r="E30" s="194"/>
      <c r="F30" s="188">
        <f>'数据-取费表'!B41</f>
        <v>5.6000000000000001E-2</v>
      </c>
      <c r="G30" s="186" t="s">
        <v>2348</v>
      </c>
    </row>
    <row r="31" spans="1:7" ht="16.5" customHeight="1">
      <c r="A31" s="203">
        <v>1</v>
      </c>
      <c r="B31" s="154" t="s">
        <v>2349</v>
      </c>
      <c r="C31" s="155">
        <f ca="1">ROUND((C5+C19+C20+C22+C27)/(1-C21-D22-D27-C30/(1+'数据-取费表'!B42)),0)</f>
        <v>25854</v>
      </c>
      <c r="D31" s="204"/>
      <c r="E31" s="155"/>
      <c r="F31" s="205"/>
      <c r="G31" s="186" t="s">
        <v>2350</v>
      </c>
    </row>
    <row r="32" spans="1:7" s="134" customFormat="1" ht="15.75">
      <c r="A32" s="206" t="s">
        <v>2351</v>
      </c>
      <c r="B32" s="207"/>
      <c r="C32" s="207"/>
      <c r="D32" s="207"/>
      <c r="E32" s="207"/>
      <c r="F32" s="207"/>
      <c r="G32" s="208"/>
    </row>
    <row r="33" spans="1:7" s="135" customFormat="1" ht="13.5" customHeight="1">
      <c r="A33" s="153" t="s">
        <v>931</v>
      </c>
      <c r="B33" s="154" t="s">
        <v>2352</v>
      </c>
      <c r="C33" s="209">
        <f>SUM(C34:C38)</f>
        <v>9631</v>
      </c>
      <c r="D33" s="181"/>
      <c r="E33" s="156"/>
      <c r="F33" s="194"/>
      <c r="G33" s="186"/>
    </row>
    <row r="34" spans="1:7" s="137" customFormat="1" ht="13.5" customHeight="1">
      <c r="A34" s="189" t="s">
        <v>935</v>
      </c>
      <c r="B34" s="159" t="s">
        <v>2353</v>
      </c>
      <c r="C34" s="164">
        <f>IF(F34=100%,'数据-取费表'!M16-SUMIF('数据-取费表'!C:C,"公共配套",'数据-取费表'!M:M),'数据-取费表'!O16-SUMIF('数据-取费表'!C:C,"公共配套",'数据-取费表'!O:O))</f>
        <v>8472</v>
      </c>
      <c r="D34" s="161"/>
      <c r="E34" s="164"/>
      <c r="F34" s="210">
        <f>IF('数据-取费表'!B24=0,1,'数据-取费表'!N16)</f>
        <v>0.27</v>
      </c>
      <c r="G34" s="163" t="s">
        <v>2354</v>
      </c>
    </row>
    <row r="35" spans="1:7" ht="13.5" customHeight="1">
      <c r="A35" s="189" t="s">
        <v>937</v>
      </c>
      <c r="B35" s="159" t="s">
        <v>2355</v>
      </c>
      <c r="C35" s="164">
        <f>ROUND(C34*F35,0)</f>
        <v>424</v>
      </c>
      <c r="D35" s="164"/>
      <c r="E35" s="164"/>
      <c r="F35" s="211">
        <f>'数据-取费表'!B33</f>
        <v>0.05</v>
      </c>
      <c r="G35" s="163" t="s">
        <v>2356</v>
      </c>
    </row>
    <row r="36" spans="1:7" ht="24">
      <c r="A36" s="189" t="s">
        <v>939</v>
      </c>
      <c r="B36" s="159" t="s">
        <v>2357</v>
      </c>
      <c r="C36" s="164">
        <f>ROUND(IF(SUMIF('数据-取费表'!C:C,"住宅",IF(F34=100%,'数据-取费表'!M:M,'数据-取费表'!O:O))=0,0,IF(F36=0,SUMIF('数据-取费表'!C:C,"公共配套",IF(F34=100%,'数据-取费表'!M:M,'数据-取费表'!O:O)),SUMIF('数据-取费表'!C:C,"住宅",IF(F34=100%,'数据-取费表'!M:M,'数据-取费表'!O:O))*F36)),0)</f>
        <v>396</v>
      </c>
      <c r="D36" s="164"/>
      <c r="E36" s="164"/>
      <c r="F36" s="211">
        <f>'数据-取费表'!B34</f>
        <v>0.05</v>
      </c>
      <c r="G36" s="212" t="s">
        <v>2358</v>
      </c>
    </row>
    <row r="37" spans="1:7" s="137" customFormat="1" ht="13.5" customHeight="1">
      <c r="A37" s="189" t="s">
        <v>981</v>
      </c>
      <c r="B37" s="159" t="s">
        <v>2359</v>
      </c>
      <c r="C37" s="202">
        <f>ROUND(E37*D37*F34/10000,0)</f>
        <v>212</v>
      </c>
      <c r="D37" s="161">
        <f>'数据-汇总表'!E3</f>
        <v>39222.729999999996</v>
      </c>
      <c r="E37" s="202">
        <f>'数据-取费表'!B35</f>
        <v>200</v>
      </c>
      <c r="F37" s="211"/>
      <c r="G37" s="213" t="s">
        <v>2360</v>
      </c>
    </row>
    <row r="38" spans="1:7" ht="13.5" customHeight="1">
      <c r="A38" s="189" t="s">
        <v>1003</v>
      </c>
      <c r="B38" s="159" t="s">
        <v>2314</v>
      </c>
      <c r="C38" s="164">
        <f>ROUND(C34*F38,0)</f>
        <v>127</v>
      </c>
      <c r="D38" s="164"/>
      <c r="E38" s="164"/>
      <c r="F38" s="211">
        <f>'数据-取费表'!B36</f>
        <v>1.4999999999999999E-2</v>
      </c>
      <c r="G38" s="163" t="s">
        <v>2356</v>
      </c>
    </row>
    <row r="39" spans="1:7" s="135" customFormat="1" ht="13.5" customHeight="1">
      <c r="A39" s="178" t="s">
        <v>1332</v>
      </c>
      <c r="B39" s="154" t="s">
        <v>2325</v>
      </c>
      <c r="C39" s="181">
        <f>ROUND(C33*F20,0)</f>
        <v>289</v>
      </c>
      <c r="D39" s="181"/>
      <c r="E39" s="181"/>
      <c r="F39" s="182"/>
      <c r="G39" s="183" t="s">
        <v>2361</v>
      </c>
    </row>
    <row r="40" spans="1:7" s="135" customFormat="1" ht="13.5" customHeight="1">
      <c r="A40" s="178" t="s">
        <v>2324</v>
      </c>
      <c r="B40" s="154" t="s">
        <v>2328</v>
      </c>
      <c r="C40" s="214">
        <f>F21</f>
        <v>0.02</v>
      </c>
      <c r="D40" s="185" t="s">
        <v>2362</v>
      </c>
      <c r="E40" s="181"/>
      <c r="F40" s="182"/>
      <c r="G40" s="186" t="s">
        <v>2363</v>
      </c>
    </row>
    <row r="41" spans="1:7" s="135" customFormat="1" ht="13.5" customHeight="1">
      <c r="A41" s="178" t="s">
        <v>2327</v>
      </c>
      <c r="B41" s="154" t="s">
        <v>2332</v>
      </c>
      <c r="C41" s="181">
        <f ca="1">ROUND(SUM(C42:C43),0)</f>
        <v>128</v>
      </c>
      <c r="D41" s="184">
        <f ca="1">C44</f>
        <v>2.9999999999999997E-4</v>
      </c>
      <c r="E41" s="185" t="s">
        <v>2362</v>
      </c>
      <c r="F41" s="188"/>
      <c r="G41" s="183" t="str">
        <f>IF('数据-取费表'!B22&lt;=1,"单利计息","复利计息")</f>
        <v>复利计息</v>
      </c>
    </row>
    <row r="42" spans="1:7" ht="13.5" customHeight="1">
      <c r="A42" s="189" t="s">
        <v>935</v>
      </c>
      <c r="B42" s="159" t="s">
        <v>2333</v>
      </c>
      <c r="C42" s="191">
        <f ca="1">ROUND(IF('数据-取费表'!B22&lt;=1,C33*F22*'数据-取费表'!B21/2,C33*(POWER((1+F22),'数据-取费表'!B21/2)-1)),0)</f>
        <v>124</v>
      </c>
      <c r="D42" s="191"/>
      <c r="E42" s="191"/>
      <c r="F42" s="192"/>
      <c r="G42" s="3267" t="s">
        <v>2364</v>
      </c>
    </row>
    <row r="43" spans="1:7" ht="13.5" customHeight="1">
      <c r="A43" s="189" t="s">
        <v>937</v>
      </c>
      <c r="B43" s="159" t="s">
        <v>2335</v>
      </c>
      <c r="C43" s="191">
        <f ca="1">ROUND(IF('数据-取费表'!B22&lt;=1,C39*F22*'数据-取费表'!B21/2,C39*(POWER((1+F22),'数据-取费表'!B21/2)-1)),0)</f>
        <v>4</v>
      </c>
      <c r="D43" s="191"/>
      <c r="E43" s="191"/>
      <c r="F43" s="192"/>
      <c r="G43" s="3268"/>
    </row>
    <row r="44" spans="1:7" ht="13.5" customHeight="1">
      <c r="A44" s="189" t="s">
        <v>939</v>
      </c>
      <c r="B44" s="159" t="s">
        <v>2337</v>
      </c>
      <c r="C44" s="191">
        <f ca="1">ROUND(IF('数据-取费表'!B22&lt;=1,C40*F22*'数据-取费表'!B21/2,C40*(POWER((1+F22),'数据-取费表'!B21/2)-1)),4)</f>
        <v>2.9999999999999997E-4</v>
      </c>
      <c r="D44" s="191"/>
      <c r="E44" s="191"/>
      <c r="F44" s="192"/>
      <c r="G44" s="3269"/>
    </row>
    <row r="45" spans="1:7" s="135" customFormat="1" ht="13.5" customHeight="1">
      <c r="A45" s="178" t="s">
        <v>2331</v>
      </c>
      <c r="B45" s="197" t="s">
        <v>2341</v>
      </c>
      <c r="C45" s="198">
        <f>C46</f>
        <v>1984</v>
      </c>
      <c r="D45" s="184">
        <f>C47</f>
        <v>4.0000000000000001E-3</v>
      </c>
      <c r="E45" s="185" t="s">
        <v>2362</v>
      </c>
      <c r="F45" s="199"/>
      <c r="G45" s="200" t="s">
        <v>2365</v>
      </c>
    </row>
    <row r="46" spans="1:7" s="135" customFormat="1" ht="13.5" customHeight="1">
      <c r="A46" s="189" t="s">
        <v>935</v>
      </c>
      <c r="B46" s="201" t="s">
        <v>2366</v>
      </c>
      <c r="C46" s="202">
        <f>ROUND((C33+C39)*F27,0)</f>
        <v>1984</v>
      </c>
      <c r="D46" s="215"/>
      <c r="E46" s="185"/>
      <c r="F46" s="199"/>
      <c r="G46" s="200"/>
    </row>
    <row r="47" spans="1:7" s="135" customFormat="1" ht="13.5" customHeight="1">
      <c r="A47" s="189" t="s">
        <v>937</v>
      </c>
      <c r="B47" s="201" t="s">
        <v>2367</v>
      </c>
      <c r="C47" s="191">
        <f>ROUND(C40*F27,4)</f>
        <v>4.0000000000000001E-3</v>
      </c>
      <c r="D47" s="215"/>
      <c r="E47" s="185"/>
      <c r="F47" s="199"/>
      <c r="G47" s="200"/>
    </row>
    <row r="48" spans="1:7" s="135" customFormat="1" ht="13.5" customHeight="1">
      <c r="A48" s="178" t="s">
        <v>2340</v>
      </c>
      <c r="B48" s="154" t="s">
        <v>2346</v>
      </c>
      <c r="C48" s="214">
        <f>F30</f>
        <v>5.6000000000000001E-2</v>
      </c>
      <c r="D48" s="185" t="s">
        <v>2368</v>
      </c>
      <c r="E48" s="181"/>
      <c r="F48" s="188"/>
      <c r="G48" s="186" t="s">
        <v>2369</v>
      </c>
    </row>
    <row r="49" spans="1:7" ht="16.5" customHeight="1">
      <c r="A49" s="178" t="s">
        <v>2345</v>
      </c>
      <c r="B49" s="154" t="s">
        <v>2370</v>
      </c>
      <c r="C49" s="181">
        <f ca="1">ROUND((C33+C39+C41+C45)/(1-C40-D41-D45-C48/(1+'数据-取费表'!B42)),0)</f>
        <v>13045</v>
      </c>
      <c r="D49" s="181"/>
      <c r="E49" s="181"/>
      <c r="F49" s="216"/>
      <c r="G49" s="186" t="s">
        <v>2371</v>
      </c>
    </row>
    <row r="50" spans="1:7" s="137" customFormat="1" ht="24">
      <c r="A50" s="178" t="s">
        <v>2372</v>
      </c>
      <c r="B50" s="154" t="s">
        <v>2373</v>
      </c>
      <c r="C50" s="181"/>
      <c r="D50" s="181"/>
      <c r="E50" s="181"/>
      <c r="F50" s="216">
        <f>IF('数据-取费表'!B24=0,'数据-取费表'!N16,1)</f>
        <v>1</v>
      </c>
      <c r="G50" s="200" t="s">
        <v>2374</v>
      </c>
    </row>
    <row r="51" spans="1:7" ht="16.5" customHeight="1">
      <c r="A51" s="178" t="s">
        <v>2375</v>
      </c>
      <c r="B51" s="154" t="s">
        <v>2376</v>
      </c>
      <c r="C51" s="181">
        <f ca="1">ROUND(C49*F50,0)</f>
        <v>13045</v>
      </c>
      <c r="D51" s="181"/>
      <c r="E51" s="181"/>
      <c r="F51" s="216"/>
      <c r="G51" s="186" t="s">
        <v>2377</v>
      </c>
    </row>
    <row r="52" spans="1:7" s="134" customFormat="1" ht="15.75">
      <c r="A52" s="217" t="s">
        <v>2378</v>
      </c>
      <c r="B52" s="218"/>
      <c r="C52" s="219">
        <f ca="1">C31+C51</f>
        <v>38899</v>
      </c>
      <c r="D52" s="218"/>
      <c r="E52" s="218"/>
      <c r="F52" s="218"/>
      <c r="G52" s="220"/>
    </row>
    <row r="55" spans="1:7" ht="15">
      <c r="B55" s="221" t="s">
        <v>2379</v>
      </c>
      <c r="C55" s="222"/>
    </row>
    <row r="56" spans="1:7">
      <c r="B56" s="223" t="s">
        <v>2380</v>
      </c>
      <c r="C56" s="224">
        <f ca="1">ROUND(C51/C52,3)</f>
        <v>0.33500000000000002</v>
      </c>
    </row>
    <row r="57" spans="1:7">
      <c r="B57" s="223" t="s">
        <v>2381</v>
      </c>
      <c r="C57" s="225">
        <f ca="1">1-C56</f>
        <v>0.66500000000000004</v>
      </c>
    </row>
  </sheetData>
  <mergeCells count="1">
    <mergeCell ref="G42:G44"/>
  </mergeCells>
  <phoneticPr fontId="212"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3414" t="s">
        <v>2382</v>
      </c>
      <c r="B1" s="3414"/>
      <c r="C1" s="3414"/>
      <c r="D1" s="3414"/>
      <c r="E1" s="3414"/>
      <c r="F1" s="3414"/>
      <c r="H1" s="115" t="s">
        <v>232</v>
      </c>
      <c r="I1" s="129" t="s">
        <v>243</v>
      </c>
      <c r="J1" s="129" t="s">
        <v>253</v>
      </c>
      <c r="K1" s="129" t="s">
        <v>261</v>
      </c>
      <c r="L1" s="129" t="s">
        <v>269</v>
      </c>
      <c r="M1" s="129" t="s">
        <v>275</v>
      </c>
      <c r="N1" s="129" t="s">
        <v>280</v>
      </c>
      <c r="O1" s="129" t="s">
        <v>285</v>
      </c>
      <c r="P1" s="129" t="s">
        <v>288</v>
      </c>
      <c r="Q1" s="129" t="s">
        <v>291</v>
      </c>
      <c r="R1" s="129" t="s">
        <v>294</v>
      </c>
      <c r="S1" s="130" t="s">
        <v>297</v>
      </c>
    </row>
    <row r="2" spans="1:19">
      <c r="A2" s="3415" t="s">
        <v>2383</v>
      </c>
      <c r="B2" s="3415"/>
      <c r="C2" s="3415"/>
      <c r="D2" s="3415"/>
      <c r="E2" s="3415"/>
      <c r="F2" s="3415"/>
      <c r="H2" s="116" t="s">
        <v>2384</v>
      </c>
      <c r="I2" s="92" t="s">
        <v>2385</v>
      </c>
      <c r="J2" s="92" t="s">
        <v>2386</v>
      </c>
      <c r="K2" s="92" t="s">
        <v>2387</v>
      </c>
      <c r="L2" s="92" t="s">
        <v>2388</v>
      </c>
      <c r="M2" s="92" t="s">
        <v>2389</v>
      </c>
      <c r="N2" s="92" t="s">
        <v>2390</v>
      </c>
      <c r="O2" s="92" t="s">
        <v>2391</v>
      </c>
      <c r="P2" s="92" t="s">
        <v>2392</v>
      </c>
      <c r="Q2" s="92" t="s">
        <v>2393</v>
      </c>
      <c r="R2" s="92" t="s">
        <v>2394</v>
      </c>
      <c r="S2" s="92" t="s">
        <v>2395</v>
      </c>
    </row>
    <row r="3" spans="1:19" s="113" customFormat="1" ht="19.5" customHeight="1">
      <c r="A3" s="3416" t="s">
        <v>2396</v>
      </c>
      <c r="B3" s="117"/>
      <c r="C3" s="118" t="s">
        <v>465</v>
      </c>
      <c r="D3" s="118" t="s">
        <v>1974</v>
      </c>
      <c r="E3" s="118" t="s">
        <v>464</v>
      </c>
      <c r="F3" s="118" t="s">
        <v>1975</v>
      </c>
      <c r="G3" s="119"/>
      <c r="H3" s="116" t="s">
        <v>2397</v>
      </c>
      <c r="I3" s="92" t="s">
        <v>2398</v>
      </c>
      <c r="J3" s="92" t="s">
        <v>2399</v>
      </c>
      <c r="K3" s="92" t="s">
        <v>2400</v>
      </c>
      <c r="L3" s="92" t="s">
        <v>2401</v>
      </c>
      <c r="M3" s="92" t="s">
        <v>2402</v>
      </c>
      <c r="N3" s="92" t="s">
        <v>2403</v>
      </c>
      <c r="O3" s="92" t="s">
        <v>2404</v>
      </c>
      <c r="P3" s="92" t="s">
        <v>2405</v>
      </c>
      <c r="Q3" s="92" t="s">
        <v>2406</v>
      </c>
      <c r="R3" s="92" t="s">
        <v>2407</v>
      </c>
      <c r="S3" s="92" t="s">
        <v>2408</v>
      </c>
    </row>
    <row r="4" spans="1:19" s="113" customFormat="1" ht="19.5" customHeight="1">
      <c r="A4" s="3417"/>
      <c r="B4" s="120" t="s">
        <v>2409</v>
      </c>
      <c r="C4" s="120" t="s">
        <v>2410</v>
      </c>
      <c r="D4" s="120" t="s">
        <v>2410</v>
      </c>
      <c r="E4" s="120" t="s">
        <v>2410</v>
      </c>
      <c r="F4" s="121" t="s">
        <v>2410</v>
      </c>
      <c r="G4" s="119"/>
      <c r="H4" s="116" t="s">
        <v>2411</v>
      </c>
      <c r="I4" s="92" t="s">
        <v>2412</v>
      </c>
      <c r="J4" s="92" t="s">
        <v>2413</v>
      </c>
      <c r="K4" s="92" t="s">
        <v>2414</v>
      </c>
      <c r="L4" s="92" t="s">
        <v>2415</v>
      </c>
      <c r="M4" s="92" t="s">
        <v>2416</v>
      </c>
      <c r="N4" s="92" t="s">
        <v>2417</v>
      </c>
      <c r="O4" s="92" t="s">
        <v>2418</v>
      </c>
      <c r="P4" s="92" t="s">
        <v>2419</v>
      </c>
      <c r="Q4" s="92" t="s">
        <v>2420</v>
      </c>
      <c r="R4" s="92" t="s">
        <v>2421</v>
      </c>
      <c r="S4" s="92" t="s">
        <v>2422</v>
      </c>
    </row>
    <row r="5" spans="1:19" ht="14.25" customHeight="1">
      <c r="A5" s="88" t="s">
        <v>232</v>
      </c>
      <c r="B5" s="89" t="s">
        <v>2384</v>
      </c>
      <c r="C5" s="89">
        <v>29530</v>
      </c>
      <c r="D5" s="89">
        <v>28130</v>
      </c>
      <c r="E5" s="89">
        <v>27930</v>
      </c>
      <c r="F5" s="122">
        <v>11300</v>
      </c>
      <c r="G5" s="119"/>
      <c r="H5" s="116" t="s">
        <v>2423</v>
      </c>
      <c r="I5" s="92" t="s">
        <v>2424</v>
      </c>
      <c r="J5" s="92" t="s">
        <v>2425</v>
      </c>
      <c r="K5" s="92" t="s">
        <v>2426</v>
      </c>
      <c r="L5" s="92" t="s">
        <v>2427</v>
      </c>
      <c r="M5" s="92" t="s">
        <v>2428</v>
      </c>
      <c r="N5" s="92" t="s">
        <v>2429</v>
      </c>
      <c r="O5" s="92" t="s">
        <v>2430</v>
      </c>
      <c r="P5" s="92" t="s">
        <v>2431</v>
      </c>
      <c r="Q5" s="92" t="s">
        <v>2432</v>
      </c>
      <c r="R5" s="92" t="s">
        <v>2433</v>
      </c>
      <c r="S5" s="92" t="s">
        <v>2434</v>
      </c>
    </row>
    <row r="6" spans="1:19" ht="14.25" customHeight="1">
      <c r="A6" s="88" t="s">
        <v>232</v>
      </c>
      <c r="B6" s="92" t="s">
        <v>2397</v>
      </c>
      <c r="C6" s="92">
        <v>30290</v>
      </c>
      <c r="D6" s="92">
        <v>29210</v>
      </c>
      <c r="E6" s="92">
        <v>28860</v>
      </c>
      <c r="F6" s="123">
        <v>12600</v>
      </c>
      <c r="G6" s="119"/>
      <c r="H6" s="116" t="s">
        <v>2435</v>
      </c>
      <c r="I6" s="92" t="s">
        <v>2436</v>
      </c>
      <c r="J6" s="92" t="s">
        <v>2437</v>
      </c>
      <c r="K6" s="92" t="s">
        <v>2438</v>
      </c>
      <c r="L6" s="92" t="s">
        <v>2439</v>
      </c>
      <c r="M6" s="92" t="s">
        <v>2440</v>
      </c>
      <c r="N6" s="92" t="s">
        <v>2441</v>
      </c>
      <c r="O6" s="92" t="s">
        <v>2442</v>
      </c>
      <c r="P6" s="92" t="s">
        <v>2443</v>
      </c>
      <c r="Q6" s="92" t="s">
        <v>2444</v>
      </c>
      <c r="R6" s="92" t="s">
        <v>2445</v>
      </c>
      <c r="S6" s="92" t="s">
        <v>2446</v>
      </c>
    </row>
    <row r="7" spans="1:19" ht="14.25" customHeight="1">
      <c r="A7" s="88" t="s">
        <v>232</v>
      </c>
      <c r="B7" s="95" t="s">
        <v>2411</v>
      </c>
      <c r="C7" s="92">
        <v>29350</v>
      </c>
      <c r="D7" s="92">
        <v>28410</v>
      </c>
      <c r="E7" s="92">
        <v>27990</v>
      </c>
      <c r="F7" s="123">
        <v>12300</v>
      </c>
      <c r="G7" s="119"/>
      <c r="I7" s="92" t="s">
        <v>2447</v>
      </c>
      <c r="J7" s="92" t="s">
        <v>2448</v>
      </c>
      <c r="K7" s="92" t="s">
        <v>2449</v>
      </c>
      <c r="L7" s="92" t="s">
        <v>2450</v>
      </c>
      <c r="M7" s="92" t="s">
        <v>2451</v>
      </c>
      <c r="N7" s="92" t="s">
        <v>2452</v>
      </c>
      <c r="O7" s="92" t="s">
        <v>2453</v>
      </c>
      <c r="P7" s="92" t="s">
        <v>2454</v>
      </c>
      <c r="Q7" s="92" t="s">
        <v>2455</v>
      </c>
      <c r="R7" s="92" t="s">
        <v>2456</v>
      </c>
      <c r="S7" s="95" t="s">
        <v>2457</v>
      </c>
    </row>
    <row r="8" spans="1:19" ht="14.25" customHeight="1">
      <c r="A8" s="88" t="s">
        <v>232</v>
      </c>
      <c r="B8" s="92" t="s">
        <v>2423</v>
      </c>
      <c r="C8" s="92">
        <v>30890</v>
      </c>
      <c r="D8" s="92">
        <v>29780</v>
      </c>
      <c r="E8" s="92">
        <v>29270</v>
      </c>
      <c r="F8" s="123">
        <v>11600</v>
      </c>
      <c r="G8" s="119"/>
      <c r="I8" s="92" t="s">
        <v>2458</v>
      </c>
      <c r="J8" s="92" t="s">
        <v>2459</v>
      </c>
      <c r="K8" s="92" t="s">
        <v>2460</v>
      </c>
      <c r="L8" s="92" t="s">
        <v>2461</v>
      </c>
      <c r="M8" s="92" t="s">
        <v>2462</v>
      </c>
      <c r="N8" s="92" t="s">
        <v>2463</v>
      </c>
      <c r="O8" s="92" t="s">
        <v>2464</v>
      </c>
      <c r="P8" s="92" t="s">
        <v>2465</v>
      </c>
      <c r="Q8" s="92" t="s">
        <v>2466</v>
      </c>
      <c r="R8" s="92" t="s">
        <v>2467</v>
      </c>
      <c r="S8" s="92" t="s">
        <v>2468</v>
      </c>
    </row>
    <row r="9" spans="1:19" ht="14.25" customHeight="1">
      <c r="A9" s="88" t="s">
        <v>232</v>
      </c>
      <c r="B9" s="97" t="s">
        <v>2435</v>
      </c>
      <c r="C9" s="103">
        <v>28140</v>
      </c>
      <c r="D9" s="103"/>
      <c r="E9" s="103"/>
      <c r="F9" s="124"/>
      <c r="G9" s="119"/>
      <c r="I9" s="92" t="s">
        <v>2469</v>
      </c>
      <c r="J9" s="92" t="s">
        <v>2470</v>
      </c>
      <c r="K9" s="92" t="s">
        <v>2471</v>
      </c>
      <c r="L9" s="92" t="s">
        <v>2472</v>
      </c>
      <c r="M9" s="92" t="s">
        <v>2473</v>
      </c>
      <c r="N9" s="92" t="s">
        <v>2474</v>
      </c>
      <c r="O9" s="92" t="s">
        <v>2475</v>
      </c>
      <c r="P9" s="92" t="s">
        <v>2476</v>
      </c>
      <c r="Q9" s="92" t="s">
        <v>2477</v>
      </c>
      <c r="R9" s="92" t="s">
        <v>2478</v>
      </c>
    </row>
    <row r="10" spans="1:19" ht="14.25" customHeight="1">
      <c r="A10" s="88" t="s">
        <v>243</v>
      </c>
      <c r="B10" s="89" t="s">
        <v>2385</v>
      </c>
      <c r="C10" s="89">
        <v>27450</v>
      </c>
      <c r="D10" s="89">
        <v>26180</v>
      </c>
      <c r="E10" s="89">
        <v>25980</v>
      </c>
      <c r="F10" s="122">
        <v>8910</v>
      </c>
      <c r="G10" s="119"/>
      <c r="I10" s="92" t="s">
        <v>2479</v>
      </c>
      <c r="J10" s="92" t="s">
        <v>2480</v>
      </c>
      <c r="K10" s="92" t="s">
        <v>2481</v>
      </c>
      <c r="L10" s="92" t="s">
        <v>2482</v>
      </c>
      <c r="M10" s="92" t="s">
        <v>2483</v>
      </c>
      <c r="N10" s="92" t="s">
        <v>2484</v>
      </c>
      <c r="O10" s="92" t="s">
        <v>2485</v>
      </c>
      <c r="P10" s="92" t="s">
        <v>2486</v>
      </c>
      <c r="Q10" s="92" t="s">
        <v>2487</v>
      </c>
      <c r="R10" s="92" t="s">
        <v>2488</v>
      </c>
    </row>
    <row r="11" spans="1:19" ht="14.25" customHeight="1">
      <c r="A11" s="88" t="s">
        <v>243</v>
      </c>
      <c r="B11" s="95" t="s">
        <v>2398</v>
      </c>
      <c r="C11" s="92">
        <v>22950</v>
      </c>
      <c r="D11" s="92">
        <v>22630</v>
      </c>
      <c r="E11" s="92">
        <v>22030</v>
      </c>
      <c r="F11" s="125">
        <v>8330</v>
      </c>
      <c r="G11" s="119"/>
      <c r="I11" s="92" t="s">
        <v>2489</v>
      </c>
      <c r="J11" s="92" t="s">
        <v>2490</v>
      </c>
      <c r="K11" s="92" t="s">
        <v>2491</v>
      </c>
      <c r="L11" s="92" t="s">
        <v>2492</v>
      </c>
      <c r="M11" s="92" t="s">
        <v>2493</v>
      </c>
      <c r="N11" s="92" t="s">
        <v>2494</v>
      </c>
      <c r="O11" s="92" t="s">
        <v>2495</v>
      </c>
      <c r="P11" s="92" t="s">
        <v>2496</v>
      </c>
      <c r="Q11" s="92" t="s">
        <v>2497</v>
      </c>
      <c r="R11" s="92" t="s">
        <v>2498</v>
      </c>
    </row>
    <row r="12" spans="1:19" ht="14.25" customHeight="1">
      <c r="A12" s="88" t="s">
        <v>243</v>
      </c>
      <c r="B12" s="95" t="s">
        <v>2412</v>
      </c>
      <c r="C12" s="92">
        <v>24940</v>
      </c>
      <c r="D12" s="92">
        <v>23180</v>
      </c>
      <c r="E12" s="92">
        <v>22910</v>
      </c>
      <c r="F12" s="125">
        <v>7180</v>
      </c>
      <c r="G12" s="119"/>
      <c r="I12" s="92" t="s">
        <v>2499</v>
      </c>
      <c r="J12" s="92" t="s">
        <v>2500</v>
      </c>
      <c r="K12" s="92" t="s">
        <v>2501</v>
      </c>
      <c r="L12" s="92" t="s">
        <v>2502</v>
      </c>
      <c r="M12" s="92" t="s">
        <v>2503</v>
      </c>
      <c r="N12" s="92" t="s">
        <v>2504</v>
      </c>
      <c r="O12" s="92" t="s">
        <v>2505</v>
      </c>
      <c r="P12" s="92" t="s">
        <v>2506</v>
      </c>
      <c r="Q12" s="92" t="s">
        <v>2507</v>
      </c>
      <c r="R12" s="92" t="s">
        <v>2508</v>
      </c>
    </row>
    <row r="13" spans="1:19" ht="14.25" customHeight="1">
      <c r="A13" s="88" t="s">
        <v>243</v>
      </c>
      <c r="B13" s="95" t="s">
        <v>2424</v>
      </c>
      <c r="C13" s="92">
        <v>24140</v>
      </c>
      <c r="D13" s="92">
        <v>22270</v>
      </c>
      <c r="E13" s="92">
        <v>21950</v>
      </c>
      <c r="F13" s="125">
        <v>7600</v>
      </c>
      <c r="G13" s="119"/>
      <c r="I13" s="92" t="s">
        <v>2509</v>
      </c>
      <c r="J13" s="92" t="s">
        <v>2510</v>
      </c>
      <c r="K13" s="92" t="s">
        <v>414</v>
      </c>
      <c r="L13" s="92" t="s">
        <v>2511</v>
      </c>
      <c r="M13" s="92" t="s">
        <v>2512</v>
      </c>
      <c r="N13" s="92" t="s">
        <v>2513</v>
      </c>
      <c r="O13" s="92" t="s">
        <v>2514</v>
      </c>
      <c r="P13" s="92" t="s">
        <v>2515</v>
      </c>
      <c r="Q13" s="92" t="s">
        <v>2516</v>
      </c>
      <c r="R13" s="92" t="s">
        <v>2517</v>
      </c>
    </row>
    <row r="14" spans="1:19" ht="14.25" customHeight="1">
      <c r="A14" s="88" t="s">
        <v>243</v>
      </c>
      <c r="B14" s="95" t="s">
        <v>2436</v>
      </c>
      <c r="C14" s="92">
        <v>25600</v>
      </c>
      <c r="D14" s="92">
        <v>22260</v>
      </c>
      <c r="E14" s="92">
        <v>22110</v>
      </c>
      <c r="F14" s="125">
        <v>7630</v>
      </c>
      <c r="G14" s="119"/>
      <c r="I14" s="92" t="s">
        <v>2518</v>
      </c>
      <c r="J14" s="92" t="s">
        <v>2519</v>
      </c>
      <c r="K14" s="92" t="s">
        <v>2520</v>
      </c>
      <c r="L14" s="92" t="s">
        <v>2521</v>
      </c>
      <c r="M14" s="92" t="s">
        <v>2522</v>
      </c>
      <c r="N14" s="92" t="s">
        <v>2523</v>
      </c>
      <c r="O14" s="92" t="s">
        <v>2524</v>
      </c>
      <c r="P14" s="92" t="s">
        <v>2525</v>
      </c>
      <c r="Q14" s="92" t="s">
        <v>2526</v>
      </c>
      <c r="R14" s="92" t="s">
        <v>2527</v>
      </c>
    </row>
    <row r="15" spans="1:19" ht="14.25" customHeight="1">
      <c r="A15" s="88" t="s">
        <v>243</v>
      </c>
      <c r="B15" s="95" t="s">
        <v>2447</v>
      </c>
      <c r="C15" s="92">
        <v>24760</v>
      </c>
      <c r="D15" s="92">
        <v>24440</v>
      </c>
      <c r="E15" s="92">
        <v>24130</v>
      </c>
      <c r="F15" s="125">
        <v>9480</v>
      </c>
      <c r="G15" s="119"/>
      <c r="I15" s="92" t="s">
        <v>2528</v>
      </c>
      <c r="J15" s="92" t="s">
        <v>2529</v>
      </c>
      <c r="K15" s="92" t="s">
        <v>2530</v>
      </c>
      <c r="L15" s="92" t="s">
        <v>2531</v>
      </c>
      <c r="M15" s="92" t="s">
        <v>2532</v>
      </c>
      <c r="N15" s="92" t="s">
        <v>2533</v>
      </c>
      <c r="O15" s="92" t="s">
        <v>2534</v>
      </c>
      <c r="P15" s="92" t="s">
        <v>2535</v>
      </c>
      <c r="Q15" s="92" t="s">
        <v>2536</v>
      </c>
      <c r="R15" s="92" t="s">
        <v>2537</v>
      </c>
    </row>
    <row r="16" spans="1:19" ht="14.25" customHeight="1">
      <c r="A16" s="88" t="s">
        <v>243</v>
      </c>
      <c r="B16" s="95" t="s">
        <v>2458</v>
      </c>
      <c r="C16" s="92">
        <v>22220</v>
      </c>
      <c r="D16" s="92">
        <v>22310</v>
      </c>
      <c r="E16" s="92">
        <v>22000</v>
      </c>
      <c r="F16" s="125">
        <v>8900</v>
      </c>
      <c r="G16" s="119"/>
      <c r="I16" s="92" t="s">
        <v>2538</v>
      </c>
      <c r="J16" s="92" t="s">
        <v>2539</v>
      </c>
      <c r="K16" s="92" t="s">
        <v>2540</v>
      </c>
      <c r="L16" s="92" t="s">
        <v>2541</v>
      </c>
      <c r="M16" s="92" t="s">
        <v>2542</v>
      </c>
      <c r="N16" s="92" t="s">
        <v>2543</v>
      </c>
      <c r="O16" s="92" t="s">
        <v>2544</v>
      </c>
      <c r="P16" s="92" t="s">
        <v>2545</v>
      </c>
      <c r="Q16" s="92" t="s">
        <v>2546</v>
      </c>
      <c r="R16" s="92" t="s">
        <v>2547</v>
      </c>
    </row>
    <row r="17" spans="1:18" ht="14.25" customHeight="1">
      <c r="A17" s="88" t="s">
        <v>243</v>
      </c>
      <c r="B17" s="95" t="s">
        <v>2469</v>
      </c>
      <c r="C17" s="92">
        <v>24700</v>
      </c>
      <c r="D17" s="92">
        <v>25150</v>
      </c>
      <c r="E17" s="92">
        <v>24700</v>
      </c>
      <c r="F17" s="126"/>
      <c r="G17" s="119"/>
      <c r="I17" s="92" t="s">
        <v>2548</v>
      </c>
      <c r="J17" s="92" t="s">
        <v>2549</v>
      </c>
      <c r="K17" s="92" t="s">
        <v>2550</v>
      </c>
      <c r="L17" s="92" t="s">
        <v>2551</v>
      </c>
      <c r="M17" s="92" t="s">
        <v>2552</v>
      </c>
      <c r="N17" s="92" t="s">
        <v>2553</v>
      </c>
      <c r="O17" s="92" t="s">
        <v>2554</v>
      </c>
      <c r="P17" s="92" t="s">
        <v>2555</v>
      </c>
      <c r="Q17" s="92" t="s">
        <v>2556</v>
      </c>
      <c r="R17" s="92" t="s">
        <v>2557</v>
      </c>
    </row>
    <row r="18" spans="1:18" ht="14.25" customHeight="1">
      <c r="A18" s="88" t="s">
        <v>243</v>
      </c>
      <c r="B18" s="95" t="s">
        <v>2479</v>
      </c>
      <c r="C18" s="92">
        <v>22350</v>
      </c>
      <c r="D18" s="92">
        <v>24340</v>
      </c>
      <c r="E18" s="92">
        <v>24100</v>
      </c>
      <c r="F18" s="126"/>
      <c r="G18" s="119"/>
      <c r="I18" s="92" t="s">
        <v>2558</v>
      </c>
      <c r="J18" s="92" t="s">
        <v>2559</v>
      </c>
      <c r="K18" s="92" t="s">
        <v>2560</v>
      </c>
      <c r="L18" s="92" t="s">
        <v>2561</v>
      </c>
      <c r="M18" s="92" t="s">
        <v>2562</v>
      </c>
      <c r="N18" s="92" t="s">
        <v>2563</v>
      </c>
      <c r="O18" s="92" t="s">
        <v>2564</v>
      </c>
      <c r="P18" s="92" t="s">
        <v>2565</v>
      </c>
      <c r="Q18" s="92" t="s">
        <v>2566</v>
      </c>
      <c r="R18" s="92" t="s">
        <v>2567</v>
      </c>
    </row>
    <row r="19" spans="1:18" ht="14.25" customHeight="1">
      <c r="A19" s="88" t="s">
        <v>243</v>
      </c>
      <c r="B19" s="95" t="s">
        <v>2489</v>
      </c>
      <c r="C19" s="92">
        <v>23430</v>
      </c>
      <c r="D19" s="92">
        <v>21580</v>
      </c>
      <c r="E19" s="92">
        <v>21350</v>
      </c>
      <c r="F19" s="126"/>
      <c r="G19" s="119"/>
      <c r="I19" s="92" t="s">
        <v>2568</v>
      </c>
      <c r="J19" s="92" t="s">
        <v>2569</v>
      </c>
      <c r="K19" s="92" t="s">
        <v>2570</v>
      </c>
      <c r="L19" s="92" t="s">
        <v>2571</v>
      </c>
      <c r="M19" s="92" t="s">
        <v>2572</v>
      </c>
      <c r="N19" s="92" t="s">
        <v>2573</v>
      </c>
      <c r="O19" s="92" t="s">
        <v>2574</v>
      </c>
      <c r="P19" s="92" t="s">
        <v>2575</v>
      </c>
      <c r="Q19" s="92" t="s">
        <v>2576</v>
      </c>
      <c r="R19" s="92" t="s">
        <v>2577</v>
      </c>
    </row>
    <row r="20" spans="1:18" ht="14.25" customHeight="1">
      <c r="A20" s="88" t="s">
        <v>243</v>
      </c>
      <c r="B20" s="95" t="s">
        <v>2499</v>
      </c>
      <c r="C20" s="92">
        <v>27660</v>
      </c>
      <c r="D20" s="92">
        <v>24240</v>
      </c>
      <c r="E20" s="92">
        <v>24020</v>
      </c>
      <c r="F20" s="126"/>
      <c r="I20" s="92" t="s">
        <v>2578</v>
      </c>
      <c r="J20" s="92" t="s">
        <v>2579</v>
      </c>
      <c r="K20" s="92" t="s">
        <v>2580</v>
      </c>
      <c r="L20" s="92" t="s">
        <v>2581</v>
      </c>
      <c r="M20" s="92" t="s">
        <v>2582</v>
      </c>
      <c r="N20" s="92" t="s">
        <v>2583</v>
      </c>
      <c r="O20" s="92" t="s">
        <v>2584</v>
      </c>
      <c r="P20" s="92" t="s">
        <v>2585</v>
      </c>
      <c r="Q20" s="92" t="s">
        <v>2586</v>
      </c>
      <c r="R20" s="92" t="s">
        <v>2587</v>
      </c>
    </row>
    <row r="21" spans="1:18" ht="14.25" customHeight="1">
      <c r="A21" s="88" t="s">
        <v>243</v>
      </c>
      <c r="B21" s="95" t="s">
        <v>2509</v>
      </c>
      <c r="C21" s="92">
        <v>24720</v>
      </c>
      <c r="D21" s="92">
        <v>21670</v>
      </c>
      <c r="E21" s="92">
        <v>21510</v>
      </c>
      <c r="F21" s="126"/>
      <c r="J21" s="92" t="s">
        <v>2588</v>
      </c>
      <c r="K21" s="92" t="s">
        <v>2589</v>
      </c>
      <c r="L21" s="92" t="s">
        <v>2590</v>
      </c>
      <c r="M21" s="92" t="s">
        <v>2591</v>
      </c>
      <c r="N21" s="92" t="s">
        <v>2592</v>
      </c>
      <c r="O21" s="92" t="s">
        <v>2593</v>
      </c>
      <c r="P21" s="92" t="s">
        <v>2594</v>
      </c>
      <c r="Q21" s="92" t="s">
        <v>2595</v>
      </c>
      <c r="R21" s="92" t="s">
        <v>2596</v>
      </c>
    </row>
    <row r="22" spans="1:18" ht="14.25" customHeight="1">
      <c r="A22" s="88" t="s">
        <v>243</v>
      </c>
      <c r="B22" s="95" t="s">
        <v>2518</v>
      </c>
      <c r="C22" s="92">
        <v>26530</v>
      </c>
      <c r="D22" s="92">
        <v>22980</v>
      </c>
      <c r="E22" s="92">
        <v>22650</v>
      </c>
      <c r="F22" s="126"/>
      <c r="K22" s="92" t="s">
        <v>2597</v>
      </c>
      <c r="L22" s="92" t="s">
        <v>2598</v>
      </c>
      <c r="M22" s="92" t="s">
        <v>2599</v>
      </c>
      <c r="N22" s="92" t="s">
        <v>2600</v>
      </c>
      <c r="O22" s="92" t="s">
        <v>2601</v>
      </c>
      <c r="P22" s="92" t="s">
        <v>2602</v>
      </c>
      <c r="Q22" s="92" t="s">
        <v>2603</v>
      </c>
      <c r="R22" s="95" t="s">
        <v>2604</v>
      </c>
    </row>
    <row r="23" spans="1:18" ht="14.25" customHeight="1">
      <c r="A23" s="88" t="s">
        <v>243</v>
      </c>
      <c r="B23" s="95" t="s">
        <v>2528</v>
      </c>
      <c r="C23" s="92">
        <v>24700</v>
      </c>
      <c r="D23" s="92">
        <v>27290</v>
      </c>
      <c r="E23" s="92">
        <v>26710</v>
      </c>
      <c r="F23" s="126"/>
      <c r="K23" s="92" t="s">
        <v>2605</v>
      </c>
      <c r="L23" s="92" t="s">
        <v>2606</v>
      </c>
      <c r="M23" s="92" t="s">
        <v>2607</v>
      </c>
      <c r="N23" s="92" t="s">
        <v>2608</v>
      </c>
      <c r="O23" s="92" t="s">
        <v>2609</v>
      </c>
      <c r="P23" s="92" t="s">
        <v>2610</v>
      </c>
      <c r="Q23" s="92" t="s">
        <v>2611</v>
      </c>
    </row>
    <row r="24" spans="1:18" ht="14.25" customHeight="1">
      <c r="A24" s="88" t="s">
        <v>243</v>
      </c>
      <c r="B24" s="95" t="s">
        <v>2538</v>
      </c>
      <c r="C24" s="92">
        <v>23070</v>
      </c>
      <c r="D24" s="92">
        <v>24130</v>
      </c>
      <c r="E24" s="92">
        <v>23860</v>
      </c>
      <c r="F24" s="126"/>
      <c r="K24" s="92" t="s">
        <v>2612</v>
      </c>
      <c r="L24" s="92" t="s">
        <v>2613</v>
      </c>
      <c r="M24" s="92" t="s">
        <v>2614</v>
      </c>
      <c r="N24" s="92" t="s">
        <v>2615</v>
      </c>
      <c r="O24" s="92" t="s">
        <v>2616</v>
      </c>
      <c r="P24" s="92" t="s">
        <v>2617</v>
      </c>
      <c r="Q24" s="92" t="s">
        <v>2618</v>
      </c>
    </row>
    <row r="25" spans="1:18" ht="14.25" customHeight="1">
      <c r="A25" s="88" t="s">
        <v>243</v>
      </c>
      <c r="B25" s="95" t="s">
        <v>2548</v>
      </c>
      <c r="C25" s="92">
        <v>27550</v>
      </c>
      <c r="D25" s="92">
        <v>25850</v>
      </c>
      <c r="E25" s="92">
        <v>25340</v>
      </c>
      <c r="F25" s="126"/>
      <c r="K25" s="92" t="s">
        <v>2619</v>
      </c>
      <c r="L25" s="92" t="s">
        <v>2620</v>
      </c>
      <c r="M25" s="92" t="s">
        <v>2621</v>
      </c>
      <c r="N25" s="92" t="s">
        <v>2622</v>
      </c>
      <c r="O25" s="92" t="s">
        <v>2623</v>
      </c>
      <c r="P25" s="92" t="s">
        <v>2624</v>
      </c>
      <c r="Q25" s="92" t="s">
        <v>2625</v>
      </c>
    </row>
    <row r="26" spans="1:18" ht="14.25" customHeight="1">
      <c r="A26" s="88" t="s">
        <v>243</v>
      </c>
      <c r="B26" s="95" t="s">
        <v>2558</v>
      </c>
      <c r="C26" s="92"/>
      <c r="D26" s="92">
        <v>23900</v>
      </c>
      <c r="E26" s="92">
        <v>23590</v>
      </c>
      <c r="F26" s="126"/>
      <c r="K26" s="92" t="s">
        <v>2626</v>
      </c>
      <c r="L26" s="92" t="s">
        <v>2627</v>
      </c>
      <c r="M26" s="92" t="s">
        <v>2628</v>
      </c>
      <c r="N26" s="92" t="s">
        <v>2629</v>
      </c>
      <c r="O26" s="92" t="s">
        <v>2630</v>
      </c>
      <c r="P26" s="92" t="s">
        <v>2631</v>
      </c>
      <c r="Q26" s="92" t="s">
        <v>2632</v>
      </c>
    </row>
    <row r="27" spans="1:18" ht="14.25" customHeight="1">
      <c r="A27" s="88" t="s">
        <v>243</v>
      </c>
      <c r="B27" s="95" t="s">
        <v>2568</v>
      </c>
      <c r="C27" s="92"/>
      <c r="D27" s="92">
        <v>22850</v>
      </c>
      <c r="E27" s="92">
        <v>21920</v>
      </c>
      <c r="F27" s="126"/>
      <c r="K27" s="92" t="s">
        <v>2633</v>
      </c>
      <c r="L27" s="92" t="s">
        <v>2634</v>
      </c>
      <c r="M27" s="92" t="s">
        <v>2635</v>
      </c>
      <c r="N27" s="92" t="s">
        <v>2636</v>
      </c>
      <c r="O27" s="92" t="s">
        <v>2637</v>
      </c>
      <c r="P27" s="92" t="s">
        <v>2638</v>
      </c>
      <c r="Q27" s="92" t="s">
        <v>2639</v>
      </c>
    </row>
    <row r="28" spans="1:18" ht="14.25" customHeight="1">
      <c r="A28" s="96" t="s">
        <v>243</v>
      </c>
      <c r="B28" s="97" t="s">
        <v>2578</v>
      </c>
      <c r="C28" s="103"/>
      <c r="D28" s="103">
        <v>26610</v>
      </c>
      <c r="E28" s="103">
        <v>26370</v>
      </c>
      <c r="F28" s="124"/>
      <c r="K28" s="92" t="s">
        <v>2640</v>
      </c>
      <c r="L28" s="92" t="s">
        <v>2641</v>
      </c>
      <c r="M28" s="92" t="s">
        <v>2642</v>
      </c>
      <c r="N28" s="92" t="s">
        <v>2643</v>
      </c>
      <c r="O28" s="92" t="s">
        <v>2644</v>
      </c>
      <c r="P28" s="92" t="s">
        <v>2645</v>
      </c>
    </row>
    <row r="29" spans="1:18" ht="14.25" customHeight="1">
      <c r="A29" s="88" t="s">
        <v>253</v>
      </c>
      <c r="B29" s="89" t="s">
        <v>2386</v>
      </c>
      <c r="C29" s="89">
        <v>22090</v>
      </c>
      <c r="D29" s="89">
        <v>21860</v>
      </c>
      <c r="E29" s="89">
        <v>19380</v>
      </c>
      <c r="F29" s="122">
        <v>6610</v>
      </c>
      <c r="L29" s="92" t="s">
        <v>2646</v>
      </c>
      <c r="M29" s="92" t="s">
        <v>2647</v>
      </c>
      <c r="N29" s="92" t="s">
        <v>2648</v>
      </c>
      <c r="O29" s="92" t="s">
        <v>2649</v>
      </c>
      <c r="P29" s="92" t="s">
        <v>2650</v>
      </c>
    </row>
    <row r="30" spans="1:18" ht="14.25" customHeight="1">
      <c r="A30" s="88" t="s">
        <v>253</v>
      </c>
      <c r="B30" s="95" t="s">
        <v>2399</v>
      </c>
      <c r="C30" s="92">
        <v>21380</v>
      </c>
      <c r="D30" s="92">
        <v>19930</v>
      </c>
      <c r="E30" s="92">
        <v>19860</v>
      </c>
      <c r="F30" s="125">
        <v>6010</v>
      </c>
      <c r="L30" s="92" t="s">
        <v>2651</v>
      </c>
      <c r="M30" s="92" t="s">
        <v>2652</v>
      </c>
      <c r="N30" s="92" t="s">
        <v>2653</v>
      </c>
      <c r="O30" s="92" t="s">
        <v>2654</v>
      </c>
      <c r="P30" s="92" t="s">
        <v>2655</v>
      </c>
    </row>
    <row r="31" spans="1:18" ht="14.25" customHeight="1">
      <c r="A31" s="88" t="s">
        <v>253</v>
      </c>
      <c r="B31" s="95" t="s">
        <v>2413</v>
      </c>
      <c r="C31" s="92">
        <v>21670</v>
      </c>
      <c r="D31" s="92">
        <v>20660</v>
      </c>
      <c r="E31" s="92">
        <v>20290</v>
      </c>
      <c r="F31" s="125">
        <v>5840</v>
      </c>
      <c r="L31" s="92" t="s">
        <v>2656</v>
      </c>
      <c r="M31" s="92" t="s">
        <v>2657</v>
      </c>
      <c r="N31" s="92" t="s">
        <v>2658</v>
      </c>
      <c r="O31" s="92" t="s">
        <v>2659</v>
      </c>
      <c r="P31" s="92" t="s">
        <v>2660</v>
      </c>
    </row>
    <row r="32" spans="1:18" ht="14.25" customHeight="1">
      <c r="A32" s="88" t="s">
        <v>253</v>
      </c>
      <c r="B32" s="95" t="s">
        <v>2425</v>
      </c>
      <c r="C32" s="92">
        <v>22280</v>
      </c>
      <c r="D32" s="92">
        <v>21800</v>
      </c>
      <c r="E32" s="92">
        <v>17650</v>
      </c>
      <c r="F32" s="125">
        <v>4690</v>
      </c>
      <c r="L32" s="92" t="s">
        <v>2661</v>
      </c>
      <c r="M32" s="92" t="s">
        <v>2662</v>
      </c>
      <c r="N32" s="92" t="s">
        <v>2663</v>
      </c>
      <c r="O32" s="92" t="s">
        <v>2664</v>
      </c>
      <c r="P32" s="92" t="s">
        <v>2665</v>
      </c>
    </row>
    <row r="33" spans="1:16" ht="14.25" customHeight="1">
      <c r="A33" s="88" t="s">
        <v>253</v>
      </c>
      <c r="B33" s="95" t="s">
        <v>2437</v>
      </c>
      <c r="C33" s="92">
        <v>22130</v>
      </c>
      <c r="D33" s="92">
        <v>20460</v>
      </c>
      <c r="E33" s="92">
        <v>18500</v>
      </c>
      <c r="F33" s="125">
        <v>5340</v>
      </c>
      <c r="L33" s="92" t="s">
        <v>2666</v>
      </c>
      <c r="M33" s="92" t="s">
        <v>2667</v>
      </c>
      <c r="N33" s="92" t="s">
        <v>2668</v>
      </c>
      <c r="O33" s="92" t="s">
        <v>2669</v>
      </c>
      <c r="P33" s="92" t="s">
        <v>2670</v>
      </c>
    </row>
    <row r="34" spans="1:16" ht="14.25" customHeight="1">
      <c r="A34" s="88" t="s">
        <v>253</v>
      </c>
      <c r="B34" s="95" t="s">
        <v>2448</v>
      </c>
      <c r="C34" s="92">
        <v>22070</v>
      </c>
      <c r="D34" s="92">
        <v>20110</v>
      </c>
      <c r="E34" s="92">
        <v>18830</v>
      </c>
      <c r="F34" s="125">
        <v>5190</v>
      </c>
      <c r="L34" s="92" t="s">
        <v>2671</v>
      </c>
      <c r="M34" s="92" t="s">
        <v>2672</v>
      </c>
      <c r="N34" s="92" t="s">
        <v>2673</v>
      </c>
      <c r="O34" s="92" t="s">
        <v>2674</v>
      </c>
      <c r="P34" s="92" t="s">
        <v>2675</v>
      </c>
    </row>
    <row r="35" spans="1:16" ht="14.25" customHeight="1">
      <c r="A35" s="88" t="s">
        <v>253</v>
      </c>
      <c r="B35" s="95" t="s">
        <v>2459</v>
      </c>
      <c r="C35" s="92">
        <v>22240</v>
      </c>
      <c r="D35" s="92">
        <v>19550</v>
      </c>
      <c r="E35" s="92">
        <v>19220</v>
      </c>
      <c r="F35" s="125">
        <v>5800</v>
      </c>
      <c r="L35" s="92" t="s">
        <v>2676</v>
      </c>
      <c r="M35" s="92" t="s">
        <v>2677</v>
      </c>
      <c r="N35" s="92" t="s">
        <v>2678</v>
      </c>
      <c r="O35" s="92" t="s">
        <v>2679</v>
      </c>
      <c r="P35" s="92" t="s">
        <v>2680</v>
      </c>
    </row>
    <row r="36" spans="1:16" ht="14.25" customHeight="1">
      <c r="A36" s="88" t="s">
        <v>253</v>
      </c>
      <c r="B36" s="95" t="s">
        <v>2470</v>
      </c>
      <c r="C36" s="92">
        <v>19750</v>
      </c>
      <c r="D36" s="92">
        <v>19790</v>
      </c>
      <c r="E36" s="92">
        <v>18510</v>
      </c>
      <c r="F36" s="125">
        <v>6520</v>
      </c>
      <c r="M36" s="92" t="s">
        <v>2681</v>
      </c>
      <c r="N36" s="92" t="s">
        <v>2682</v>
      </c>
      <c r="O36" s="92" t="s">
        <v>2683</v>
      </c>
      <c r="P36" s="92" t="s">
        <v>2684</v>
      </c>
    </row>
    <row r="37" spans="1:16" ht="14.25" customHeight="1">
      <c r="A37" s="88" t="s">
        <v>253</v>
      </c>
      <c r="B37" s="95" t="s">
        <v>2480</v>
      </c>
      <c r="C37" s="92">
        <v>22380</v>
      </c>
      <c r="D37" s="92">
        <v>18530</v>
      </c>
      <c r="E37" s="92">
        <v>17930</v>
      </c>
      <c r="F37" s="125">
        <v>6270</v>
      </c>
      <c r="M37" s="92" t="s">
        <v>2685</v>
      </c>
      <c r="N37" s="92" t="s">
        <v>2686</v>
      </c>
      <c r="O37" s="92" t="s">
        <v>2687</v>
      </c>
      <c r="P37" s="92" t="s">
        <v>2688</v>
      </c>
    </row>
    <row r="38" spans="1:16" ht="14.25" customHeight="1">
      <c r="A38" s="88" t="s">
        <v>253</v>
      </c>
      <c r="B38" s="95" t="s">
        <v>2490</v>
      </c>
      <c r="C38" s="92">
        <v>20200</v>
      </c>
      <c r="D38" s="92">
        <v>20070</v>
      </c>
      <c r="E38" s="92">
        <v>19950</v>
      </c>
      <c r="F38" s="125"/>
      <c r="M38" s="92" t="s">
        <v>2689</v>
      </c>
      <c r="N38" s="92" t="s">
        <v>2690</v>
      </c>
      <c r="O38" s="92" t="s">
        <v>2691</v>
      </c>
      <c r="P38" s="92" t="s">
        <v>2692</v>
      </c>
    </row>
    <row r="39" spans="1:16" ht="14.25" customHeight="1">
      <c r="A39" s="88" t="s">
        <v>253</v>
      </c>
      <c r="B39" s="95" t="s">
        <v>2500</v>
      </c>
      <c r="C39" s="92">
        <v>19300</v>
      </c>
      <c r="D39" s="92">
        <v>20360</v>
      </c>
      <c r="E39" s="92">
        <v>20230</v>
      </c>
      <c r="F39" s="125"/>
      <c r="M39" s="92" t="s">
        <v>2693</v>
      </c>
      <c r="N39" s="92" t="s">
        <v>2694</v>
      </c>
      <c r="O39" s="92" t="s">
        <v>2695</v>
      </c>
      <c r="P39" s="92" t="s">
        <v>2696</v>
      </c>
    </row>
    <row r="40" spans="1:16" ht="14.25" customHeight="1">
      <c r="A40" s="88" t="s">
        <v>253</v>
      </c>
      <c r="B40" s="95" t="s">
        <v>2510</v>
      </c>
      <c r="C40" s="92">
        <v>20210</v>
      </c>
      <c r="D40" s="92">
        <v>19060</v>
      </c>
      <c r="E40" s="92">
        <v>18890</v>
      </c>
      <c r="F40" s="125"/>
      <c r="M40" s="92" t="s">
        <v>2697</v>
      </c>
      <c r="N40" s="92" t="s">
        <v>2698</v>
      </c>
      <c r="O40" s="92" t="s">
        <v>2699</v>
      </c>
      <c r="P40" s="92" t="s">
        <v>2700</v>
      </c>
    </row>
    <row r="41" spans="1:16" ht="14.25" customHeight="1">
      <c r="A41" s="88" t="s">
        <v>253</v>
      </c>
      <c r="B41" s="95" t="s">
        <v>2519</v>
      </c>
      <c r="C41" s="92">
        <v>20560</v>
      </c>
      <c r="D41" s="92">
        <v>21040</v>
      </c>
      <c r="E41" s="92">
        <v>20740</v>
      </c>
      <c r="F41" s="125"/>
      <c r="M41" s="95" t="s">
        <v>2701</v>
      </c>
      <c r="N41" s="95" t="s">
        <v>2702</v>
      </c>
      <c r="P41" s="95" t="s">
        <v>2703</v>
      </c>
    </row>
    <row r="42" spans="1:16" ht="14.25" customHeight="1">
      <c r="A42" s="88" t="s">
        <v>253</v>
      </c>
      <c r="B42" s="95" t="s">
        <v>2529</v>
      </c>
      <c r="C42" s="92">
        <v>19280</v>
      </c>
      <c r="D42" s="92">
        <v>22940</v>
      </c>
      <c r="E42" s="92">
        <v>22500</v>
      </c>
      <c r="F42" s="125"/>
      <c r="M42" s="92" t="s">
        <v>2704</v>
      </c>
      <c r="N42" s="92" t="s">
        <v>2705</v>
      </c>
      <c r="P42" s="92" t="s">
        <v>2706</v>
      </c>
    </row>
    <row r="43" spans="1:16" ht="14.25" customHeight="1">
      <c r="A43" s="88" t="s">
        <v>253</v>
      </c>
      <c r="B43" s="95" t="s">
        <v>2539</v>
      </c>
      <c r="C43" s="92">
        <v>21520</v>
      </c>
      <c r="D43" s="92">
        <v>19230</v>
      </c>
      <c r="E43" s="92">
        <v>18540</v>
      </c>
      <c r="F43" s="125"/>
      <c r="M43" s="92" t="s">
        <v>2707</v>
      </c>
      <c r="N43" s="92" t="s">
        <v>2708</v>
      </c>
      <c r="P43" s="92" t="s">
        <v>2709</v>
      </c>
    </row>
    <row r="44" spans="1:16" ht="14.25" customHeight="1">
      <c r="A44" s="88" t="s">
        <v>253</v>
      </c>
      <c r="B44" s="95" t="s">
        <v>2549</v>
      </c>
      <c r="C44" s="92">
        <v>23260</v>
      </c>
      <c r="D44" s="92">
        <v>21180</v>
      </c>
      <c r="E44" s="92">
        <v>20730</v>
      </c>
      <c r="F44" s="125"/>
      <c r="M44" s="92" t="s">
        <v>2710</v>
      </c>
      <c r="N44" s="92" t="s">
        <v>2711</v>
      </c>
      <c r="P44" s="92" t="s">
        <v>2712</v>
      </c>
    </row>
    <row r="45" spans="1:16" ht="14.25" customHeight="1">
      <c r="A45" s="88" t="s">
        <v>253</v>
      </c>
      <c r="B45" s="95" t="s">
        <v>2559</v>
      </c>
      <c r="C45" s="92">
        <v>19610</v>
      </c>
      <c r="D45" s="92">
        <v>18090</v>
      </c>
      <c r="E45" s="92">
        <v>17970</v>
      </c>
      <c r="F45" s="125"/>
      <c r="M45" s="92" t="s">
        <v>2713</v>
      </c>
      <c r="N45" s="92" t="s">
        <v>2714</v>
      </c>
      <c r="P45" s="92" t="s">
        <v>2715</v>
      </c>
    </row>
    <row r="46" spans="1:16" ht="14.25" customHeight="1">
      <c r="A46" s="88" t="s">
        <v>253</v>
      </c>
      <c r="B46" s="95" t="s">
        <v>2569</v>
      </c>
      <c r="C46" s="92">
        <v>21660</v>
      </c>
      <c r="D46" s="92">
        <v>19190</v>
      </c>
      <c r="E46" s="92">
        <v>19790</v>
      </c>
      <c r="F46" s="125"/>
      <c r="M46" s="92" t="s">
        <v>2716</v>
      </c>
      <c r="N46" s="92" t="s">
        <v>2717</v>
      </c>
      <c r="P46" s="92" t="s">
        <v>2718</v>
      </c>
    </row>
    <row r="47" spans="1:16" ht="14.25" customHeight="1">
      <c r="A47" s="88" t="s">
        <v>253</v>
      </c>
      <c r="B47" s="95" t="s">
        <v>2579</v>
      </c>
      <c r="C47" s="92">
        <v>18220</v>
      </c>
      <c r="D47" s="92"/>
      <c r="E47" s="92">
        <v>17220</v>
      </c>
      <c r="F47" s="125"/>
      <c r="M47" s="92" t="s">
        <v>2719</v>
      </c>
      <c r="N47" s="92" t="s">
        <v>2720</v>
      </c>
    </row>
    <row r="48" spans="1:16" ht="14.25" customHeight="1">
      <c r="A48" s="88" t="s">
        <v>253</v>
      </c>
      <c r="B48" s="97" t="s">
        <v>2588</v>
      </c>
      <c r="C48" s="103">
        <v>19430</v>
      </c>
      <c r="D48" s="103"/>
      <c r="E48" s="103">
        <v>17830</v>
      </c>
      <c r="F48" s="127"/>
      <c r="M48" s="92" t="s">
        <v>2721</v>
      </c>
      <c r="N48" s="92" t="s">
        <v>2722</v>
      </c>
    </row>
    <row r="49" spans="1:14" ht="14.25" customHeight="1">
      <c r="A49" s="88" t="s">
        <v>261</v>
      </c>
      <c r="B49" s="89" t="s">
        <v>2387</v>
      </c>
      <c r="C49" s="89">
        <v>17090</v>
      </c>
      <c r="D49" s="89">
        <v>16950</v>
      </c>
      <c r="E49" s="89">
        <v>16310</v>
      </c>
      <c r="F49" s="122">
        <v>4540</v>
      </c>
      <c r="M49" s="92" t="s">
        <v>2723</v>
      </c>
      <c r="N49" s="92" t="s">
        <v>2724</v>
      </c>
    </row>
    <row r="50" spans="1:14" ht="14.25" customHeight="1">
      <c r="A50" s="88" t="s">
        <v>261</v>
      </c>
      <c r="B50" s="92" t="s">
        <v>2400</v>
      </c>
      <c r="C50" s="92">
        <v>19040</v>
      </c>
      <c r="D50" s="92">
        <v>16960</v>
      </c>
      <c r="E50" s="92">
        <v>14800</v>
      </c>
      <c r="F50" s="125">
        <v>3940</v>
      </c>
    </row>
    <row r="51" spans="1:14" ht="14.25" customHeight="1">
      <c r="A51" s="88" t="s">
        <v>261</v>
      </c>
      <c r="B51" s="92" t="s">
        <v>2414</v>
      </c>
      <c r="C51" s="92">
        <v>17040</v>
      </c>
      <c r="D51" s="92">
        <v>16930</v>
      </c>
      <c r="E51" s="92">
        <v>15030</v>
      </c>
      <c r="F51" s="125">
        <v>4120</v>
      </c>
    </row>
    <row r="52" spans="1:14" ht="14.25" customHeight="1">
      <c r="A52" s="88" t="s">
        <v>261</v>
      </c>
      <c r="B52" s="92" t="s">
        <v>2426</v>
      </c>
      <c r="C52" s="92">
        <v>17110</v>
      </c>
      <c r="D52" s="92">
        <v>17750</v>
      </c>
      <c r="E52" s="92">
        <v>17310</v>
      </c>
      <c r="F52" s="125">
        <v>3220</v>
      </c>
    </row>
    <row r="53" spans="1:14" ht="14.25" customHeight="1">
      <c r="A53" s="88" t="s">
        <v>261</v>
      </c>
      <c r="B53" s="92" t="s">
        <v>2438</v>
      </c>
      <c r="C53" s="92">
        <v>17810</v>
      </c>
      <c r="D53" s="92">
        <v>17260</v>
      </c>
      <c r="E53" s="92">
        <v>17090</v>
      </c>
      <c r="F53" s="125">
        <v>3520</v>
      </c>
    </row>
    <row r="54" spans="1:14" ht="14.25" customHeight="1">
      <c r="A54" s="88" t="s">
        <v>261</v>
      </c>
      <c r="B54" s="92" t="s">
        <v>2449</v>
      </c>
      <c r="C54" s="92">
        <v>17410</v>
      </c>
      <c r="D54" s="92">
        <v>16780</v>
      </c>
      <c r="E54" s="92">
        <v>16370</v>
      </c>
      <c r="F54" s="125">
        <v>3410</v>
      </c>
    </row>
    <row r="55" spans="1:14" ht="14.25" customHeight="1">
      <c r="A55" s="88" t="s">
        <v>261</v>
      </c>
      <c r="B55" s="92" t="s">
        <v>2460</v>
      </c>
      <c r="C55" s="92">
        <v>16930</v>
      </c>
      <c r="D55" s="92">
        <v>14720</v>
      </c>
      <c r="E55" s="92">
        <v>15000</v>
      </c>
      <c r="F55" s="125">
        <v>3710</v>
      </c>
    </row>
    <row r="56" spans="1:14" ht="14.25" customHeight="1">
      <c r="A56" s="88" t="s">
        <v>261</v>
      </c>
      <c r="B56" s="92" t="s">
        <v>2471</v>
      </c>
      <c r="C56" s="92">
        <v>14930</v>
      </c>
      <c r="D56" s="92">
        <v>15850</v>
      </c>
      <c r="E56" s="92">
        <v>14320</v>
      </c>
      <c r="F56" s="125">
        <v>3960</v>
      </c>
    </row>
    <row r="57" spans="1:14" ht="14.25" customHeight="1">
      <c r="A57" s="88" t="s">
        <v>261</v>
      </c>
      <c r="B57" s="92" t="s">
        <v>2481</v>
      </c>
      <c r="C57" s="92">
        <v>16160</v>
      </c>
      <c r="D57" s="92">
        <v>16190</v>
      </c>
      <c r="E57" s="92">
        <v>15650</v>
      </c>
      <c r="F57" s="125">
        <v>4200</v>
      </c>
    </row>
    <row r="58" spans="1:14" ht="14.25" customHeight="1">
      <c r="A58" s="88" t="s">
        <v>261</v>
      </c>
      <c r="B58" s="92" t="s">
        <v>2491</v>
      </c>
      <c r="C58" s="92">
        <v>16360</v>
      </c>
      <c r="D58" s="92">
        <v>14050</v>
      </c>
      <c r="E58" s="92">
        <v>16070</v>
      </c>
      <c r="F58" s="125">
        <v>3990</v>
      </c>
    </row>
    <row r="59" spans="1:14" ht="14.25" customHeight="1">
      <c r="A59" s="88" t="s">
        <v>261</v>
      </c>
      <c r="B59" s="92" t="s">
        <v>2501</v>
      </c>
      <c r="C59" s="92">
        <v>14160</v>
      </c>
      <c r="D59" s="92">
        <v>16620</v>
      </c>
      <c r="E59" s="92">
        <v>13940</v>
      </c>
      <c r="F59" s="125">
        <v>4260</v>
      </c>
    </row>
    <row r="60" spans="1:14" ht="14.25" customHeight="1">
      <c r="A60" s="88" t="s">
        <v>261</v>
      </c>
      <c r="B60" s="92" t="s">
        <v>414</v>
      </c>
      <c r="C60" s="92">
        <v>16750</v>
      </c>
      <c r="D60" s="92">
        <v>13910</v>
      </c>
      <c r="E60" s="92">
        <v>16550</v>
      </c>
      <c r="F60" s="125">
        <v>4550</v>
      </c>
    </row>
    <row r="61" spans="1:14" ht="14.25" customHeight="1">
      <c r="A61" s="88" t="s">
        <v>261</v>
      </c>
      <c r="B61" s="92" t="s">
        <v>2520</v>
      </c>
      <c r="C61" s="92">
        <v>14000</v>
      </c>
      <c r="D61" s="92">
        <v>14550</v>
      </c>
      <c r="E61" s="92">
        <v>13860</v>
      </c>
      <c r="F61" s="128"/>
    </row>
    <row r="62" spans="1:14" ht="14.25" customHeight="1">
      <c r="A62" s="88" t="s">
        <v>261</v>
      </c>
      <c r="B62" s="92" t="s">
        <v>2530</v>
      </c>
      <c r="C62" s="92">
        <v>14660</v>
      </c>
      <c r="D62" s="92">
        <v>17450</v>
      </c>
      <c r="E62" s="92">
        <v>14470</v>
      </c>
      <c r="F62" s="128"/>
    </row>
    <row r="63" spans="1:14" ht="14.25" customHeight="1">
      <c r="A63" s="88" t="s">
        <v>261</v>
      </c>
      <c r="B63" s="92" t="s">
        <v>2540</v>
      </c>
      <c r="C63" s="92">
        <v>17610</v>
      </c>
      <c r="D63" s="92">
        <v>16500</v>
      </c>
      <c r="E63" s="92">
        <v>17330</v>
      </c>
      <c r="F63" s="128"/>
    </row>
    <row r="64" spans="1:14" ht="14.25" customHeight="1">
      <c r="A64" s="88" t="s">
        <v>261</v>
      </c>
      <c r="B64" s="92" t="s">
        <v>2550</v>
      </c>
      <c r="C64" s="92">
        <v>16590</v>
      </c>
      <c r="D64" s="92">
        <v>15130</v>
      </c>
      <c r="E64" s="92">
        <v>16420</v>
      </c>
      <c r="F64" s="128"/>
    </row>
    <row r="65" spans="1:6" s="114" customFormat="1" ht="14.25" customHeight="1">
      <c r="A65" s="88" t="s">
        <v>261</v>
      </c>
      <c r="B65" s="92" t="s">
        <v>2560</v>
      </c>
      <c r="C65" s="92">
        <v>15220</v>
      </c>
      <c r="D65" s="92">
        <v>14660</v>
      </c>
      <c r="E65" s="92">
        <v>15060</v>
      </c>
      <c r="F65" s="125"/>
    </row>
    <row r="66" spans="1:6" s="114" customFormat="1" ht="14.25" customHeight="1">
      <c r="A66" s="88" t="s">
        <v>261</v>
      </c>
      <c r="B66" s="92" t="s">
        <v>2570</v>
      </c>
      <c r="C66" s="92">
        <v>14720</v>
      </c>
      <c r="D66" s="92">
        <v>15970</v>
      </c>
      <c r="E66" s="92">
        <v>14610</v>
      </c>
      <c r="F66" s="125"/>
    </row>
    <row r="67" spans="1:6" s="114" customFormat="1" ht="14.25" customHeight="1">
      <c r="A67" s="88" t="s">
        <v>261</v>
      </c>
      <c r="B67" s="92" t="s">
        <v>2580</v>
      </c>
      <c r="C67" s="92">
        <v>16080</v>
      </c>
      <c r="D67" s="92">
        <v>14840</v>
      </c>
      <c r="E67" s="92">
        <v>15630</v>
      </c>
      <c r="F67" s="125"/>
    </row>
    <row r="68" spans="1:6" s="114" customFormat="1" ht="14.25" customHeight="1">
      <c r="A68" s="88" t="s">
        <v>261</v>
      </c>
      <c r="B68" s="92" t="s">
        <v>2589</v>
      </c>
      <c r="C68" s="92">
        <v>14940</v>
      </c>
      <c r="D68" s="92">
        <v>18000</v>
      </c>
      <c r="E68" s="92">
        <v>14040</v>
      </c>
      <c r="F68" s="125"/>
    </row>
    <row r="69" spans="1:6" s="114" customFormat="1" ht="14.25" customHeight="1">
      <c r="A69" s="88" t="s">
        <v>261</v>
      </c>
      <c r="B69" s="92" t="s">
        <v>2597</v>
      </c>
      <c r="C69" s="92">
        <v>18810</v>
      </c>
      <c r="D69" s="92">
        <v>15100</v>
      </c>
      <c r="E69" s="92">
        <v>14710</v>
      </c>
      <c r="F69" s="125"/>
    </row>
    <row r="70" spans="1:6" s="114" customFormat="1" ht="14.25" customHeight="1">
      <c r="A70" s="88" t="s">
        <v>261</v>
      </c>
      <c r="B70" s="92" t="s">
        <v>2605</v>
      </c>
      <c r="C70" s="92">
        <v>18270</v>
      </c>
      <c r="D70" s="92"/>
      <c r="E70" s="92"/>
      <c r="F70" s="125"/>
    </row>
    <row r="71" spans="1:6" s="114" customFormat="1" ht="14.25" customHeight="1">
      <c r="A71" s="88" t="s">
        <v>261</v>
      </c>
      <c r="B71" s="92" t="s">
        <v>2612</v>
      </c>
      <c r="C71" s="92">
        <v>15230</v>
      </c>
      <c r="D71" s="92"/>
      <c r="E71" s="92"/>
      <c r="F71" s="125"/>
    </row>
    <row r="72" spans="1:6" s="114" customFormat="1" ht="14.25" customHeight="1">
      <c r="A72" s="88" t="s">
        <v>261</v>
      </c>
      <c r="B72" s="92" t="s">
        <v>2619</v>
      </c>
      <c r="C72" s="92"/>
      <c r="D72" s="92"/>
      <c r="E72" s="92"/>
      <c r="F72" s="125">
        <v>4120</v>
      </c>
    </row>
    <row r="73" spans="1:6" s="114" customFormat="1" ht="14.25" customHeight="1">
      <c r="A73" s="88" t="s">
        <v>261</v>
      </c>
      <c r="B73" s="92" t="s">
        <v>2626</v>
      </c>
      <c r="C73" s="92"/>
      <c r="D73" s="92"/>
      <c r="E73" s="92"/>
      <c r="F73" s="125">
        <v>3930</v>
      </c>
    </row>
    <row r="74" spans="1:6" s="114" customFormat="1" ht="14.25" customHeight="1">
      <c r="A74" s="88" t="s">
        <v>261</v>
      </c>
      <c r="B74" s="92" t="s">
        <v>2633</v>
      </c>
      <c r="C74" s="92"/>
      <c r="D74" s="92"/>
      <c r="E74" s="92"/>
      <c r="F74" s="125">
        <v>4060</v>
      </c>
    </row>
    <row r="75" spans="1:6" s="114" customFormat="1" ht="14.25" customHeight="1">
      <c r="A75" s="88" t="s">
        <v>261</v>
      </c>
      <c r="B75" s="103" t="s">
        <v>2640</v>
      </c>
      <c r="C75" s="103"/>
      <c r="D75" s="103"/>
      <c r="E75" s="103"/>
      <c r="F75" s="127">
        <v>3750</v>
      </c>
    </row>
    <row r="76" spans="1:6" s="114" customFormat="1" ht="14.25" customHeight="1">
      <c r="A76" s="88" t="s">
        <v>269</v>
      </c>
      <c r="B76" s="89" t="s">
        <v>2388</v>
      </c>
      <c r="C76" s="89">
        <v>14690</v>
      </c>
      <c r="D76" s="89">
        <v>14640</v>
      </c>
      <c r="E76" s="89">
        <v>14590</v>
      </c>
      <c r="F76" s="122">
        <v>3060</v>
      </c>
    </row>
    <row r="77" spans="1:6" s="114" customFormat="1" ht="14.25" customHeight="1">
      <c r="A77" s="88" t="s">
        <v>269</v>
      </c>
      <c r="B77" s="92" t="s">
        <v>2401</v>
      </c>
      <c r="C77" s="92">
        <v>12550</v>
      </c>
      <c r="D77" s="92">
        <v>12480</v>
      </c>
      <c r="E77" s="92">
        <v>12450</v>
      </c>
      <c r="F77" s="125">
        <v>2590</v>
      </c>
    </row>
    <row r="78" spans="1:6" s="114" customFormat="1" ht="14.25" customHeight="1">
      <c r="A78" s="88" t="s">
        <v>269</v>
      </c>
      <c r="B78" s="92" t="s">
        <v>2415</v>
      </c>
      <c r="C78" s="92">
        <v>14360</v>
      </c>
      <c r="D78" s="92">
        <v>14320</v>
      </c>
      <c r="E78" s="92">
        <v>12510</v>
      </c>
      <c r="F78" s="125">
        <v>2700</v>
      </c>
    </row>
    <row r="79" spans="1:6" s="114" customFormat="1" ht="14.25" customHeight="1">
      <c r="A79" s="88" t="s">
        <v>269</v>
      </c>
      <c r="B79" s="92" t="s">
        <v>2427</v>
      </c>
      <c r="C79" s="92">
        <v>12590</v>
      </c>
      <c r="D79" s="92">
        <v>12540</v>
      </c>
      <c r="E79" s="92">
        <v>12350</v>
      </c>
      <c r="F79" s="125">
        <v>2740</v>
      </c>
    </row>
    <row r="80" spans="1:6" s="114" customFormat="1" ht="14.25" customHeight="1">
      <c r="A80" s="88" t="s">
        <v>269</v>
      </c>
      <c r="B80" s="92" t="s">
        <v>2439</v>
      </c>
      <c r="C80" s="92">
        <v>12450</v>
      </c>
      <c r="D80" s="92">
        <v>12370</v>
      </c>
      <c r="E80" s="92">
        <v>10790</v>
      </c>
      <c r="F80" s="125">
        <v>2290</v>
      </c>
    </row>
    <row r="81" spans="1:6" s="114" customFormat="1" ht="14.25" customHeight="1">
      <c r="A81" s="88" t="s">
        <v>269</v>
      </c>
      <c r="B81" s="92" t="s">
        <v>2450</v>
      </c>
      <c r="C81" s="92">
        <v>14210</v>
      </c>
      <c r="D81" s="92">
        <v>14150</v>
      </c>
      <c r="E81" s="92">
        <v>12730</v>
      </c>
      <c r="F81" s="125">
        <v>2240</v>
      </c>
    </row>
    <row r="82" spans="1:6" s="114" customFormat="1" ht="14.25" customHeight="1">
      <c r="A82" s="88" t="s">
        <v>269</v>
      </c>
      <c r="B82" s="92" t="s">
        <v>2461</v>
      </c>
      <c r="C82" s="92">
        <v>10860</v>
      </c>
      <c r="D82" s="92">
        <v>10820</v>
      </c>
      <c r="E82" s="92">
        <v>14720</v>
      </c>
      <c r="F82" s="125">
        <v>2490</v>
      </c>
    </row>
    <row r="83" spans="1:6" s="114" customFormat="1" ht="14.25" customHeight="1">
      <c r="A83" s="88" t="s">
        <v>269</v>
      </c>
      <c r="B83" s="92" t="s">
        <v>2472</v>
      </c>
      <c r="C83" s="92">
        <v>12810</v>
      </c>
      <c r="D83" s="92">
        <v>12760</v>
      </c>
      <c r="E83" s="92">
        <v>14830</v>
      </c>
      <c r="F83" s="125">
        <v>2450</v>
      </c>
    </row>
    <row r="84" spans="1:6" s="114" customFormat="1" ht="14.25" customHeight="1">
      <c r="A84" s="88" t="s">
        <v>269</v>
      </c>
      <c r="B84" s="92" t="s">
        <v>2482</v>
      </c>
      <c r="C84" s="92">
        <v>14950</v>
      </c>
      <c r="D84" s="92">
        <v>14810</v>
      </c>
      <c r="E84" s="92">
        <v>12590</v>
      </c>
      <c r="F84" s="125">
        <v>2540</v>
      </c>
    </row>
    <row r="85" spans="1:6" s="114" customFormat="1" ht="14.25" customHeight="1">
      <c r="A85" s="88" t="s">
        <v>269</v>
      </c>
      <c r="B85" s="92" t="s">
        <v>2492</v>
      </c>
      <c r="C85" s="92">
        <v>14960</v>
      </c>
      <c r="D85" s="92">
        <v>14890</v>
      </c>
      <c r="E85" s="92">
        <v>12840</v>
      </c>
      <c r="F85" s="125">
        <v>2840</v>
      </c>
    </row>
    <row r="86" spans="1:6" s="114" customFormat="1" ht="14.25" customHeight="1">
      <c r="A86" s="88" t="s">
        <v>269</v>
      </c>
      <c r="B86" s="92" t="s">
        <v>2502</v>
      </c>
      <c r="C86" s="92">
        <v>12730</v>
      </c>
      <c r="D86" s="92">
        <v>12660</v>
      </c>
      <c r="E86" s="92">
        <v>13310</v>
      </c>
      <c r="F86" s="125">
        <v>3140</v>
      </c>
    </row>
    <row r="87" spans="1:6" s="114" customFormat="1" ht="14.25" customHeight="1">
      <c r="A87" s="88" t="s">
        <v>269</v>
      </c>
      <c r="B87" s="92" t="s">
        <v>2511</v>
      </c>
      <c r="C87" s="92">
        <v>12940</v>
      </c>
      <c r="D87" s="92">
        <v>12890</v>
      </c>
      <c r="E87" s="92">
        <v>11580</v>
      </c>
      <c r="F87" s="128"/>
    </row>
    <row r="88" spans="1:6" s="114" customFormat="1" ht="14.25" customHeight="1">
      <c r="A88" s="88" t="s">
        <v>269</v>
      </c>
      <c r="B88" s="92" t="s">
        <v>2521</v>
      </c>
      <c r="C88" s="92">
        <v>13430</v>
      </c>
      <c r="D88" s="92">
        <v>13360</v>
      </c>
      <c r="E88" s="92">
        <v>12790</v>
      </c>
      <c r="F88" s="128"/>
    </row>
    <row r="89" spans="1:6" s="114" customFormat="1" ht="14.25" customHeight="1">
      <c r="A89" s="88" t="s">
        <v>269</v>
      </c>
      <c r="B89" s="92" t="s">
        <v>2531</v>
      </c>
      <c r="C89" s="92">
        <v>11680</v>
      </c>
      <c r="D89" s="92">
        <v>11630</v>
      </c>
      <c r="E89" s="92">
        <v>11320</v>
      </c>
      <c r="F89" s="128"/>
    </row>
    <row r="90" spans="1:6" s="114" customFormat="1" ht="14.25" customHeight="1">
      <c r="A90" s="88" t="s">
        <v>269</v>
      </c>
      <c r="B90" s="92" t="s">
        <v>2541</v>
      </c>
      <c r="C90" s="92">
        <v>12890</v>
      </c>
      <c r="D90" s="92">
        <v>12820</v>
      </c>
      <c r="E90" s="92">
        <v>12710</v>
      </c>
      <c r="F90" s="128"/>
    </row>
    <row r="91" spans="1:6" s="114" customFormat="1" ht="14.25" customHeight="1">
      <c r="A91" s="88" t="s">
        <v>269</v>
      </c>
      <c r="B91" s="92" t="s">
        <v>2551</v>
      </c>
      <c r="C91" s="92">
        <v>11410</v>
      </c>
      <c r="D91" s="92">
        <v>11360</v>
      </c>
      <c r="E91" s="92">
        <v>12670</v>
      </c>
      <c r="F91" s="128"/>
    </row>
    <row r="92" spans="1:6" s="114" customFormat="1" ht="14.25" customHeight="1">
      <c r="A92" s="88" t="s">
        <v>269</v>
      </c>
      <c r="B92" s="92" t="s">
        <v>2561</v>
      </c>
      <c r="C92" s="92">
        <v>12770</v>
      </c>
      <c r="D92" s="92">
        <v>12740</v>
      </c>
      <c r="E92" s="92">
        <v>11970</v>
      </c>
      <c r="F92" s="128"/>
    </row>
    <row r="93" spans="1:6" s="114" customFormat="1" ht="14.25" customHeight="1">
      <c r="A93" s="88" t="s">
        <v>269</v>
      </c>
      <c r="B93" s="92" t="s">
        <v>2571</v>
      </c>
      <c r="C93" s="92">
        <v>12740</v>
      </c>
      <c r="D93" s="92">
        <v>12700</v>
      </c>
      <c r="E93" s="92">
        <v>12540</v>
      </c>
      <c r="F93" s="128"/>
    </row>
    <row r="94" spans="1:6" s="114" customFormat="1" ht="14.25" customHeight="1">
      <c r="A94" s="88" t="s">
        <v>269</v>
      </c>
      <c r="B94" s="92" t="s">
        <v>2581</v>
      </c>
      <c r="C94" s="92">
        <v>12020</v>
      </c>
      <c r="D94" s="92">
        <v>11990</v>
      </c>
      <c r="E94" s="92">
        <v>13110</v>
      </c>
      <c r="F94" s="128"/>
    </row>
    <row r="95" spans="1:6" s="114" customFormat="1" ht="14.25" customHeight="1">
      <c r="A95" s="88" t="s">
        <v>269</v>
      </c>
      <c r="B95" s="92" t="s">
        <v>2590</v>
      </c>
      <c r="C95" s="92">
        <v>12620</v>
      </c>
      <c r="D95" s="92">
        <v>12580</v>
      </c>
      <c r="E95" s="92">
        <v>13160</v>
      </c>
      <c r="F95" s="125"/>
    </row>
    <row r="96" spans="1:6" s="114" customFormat="1" ht="14.25" customHeight="1">
      <c r="A96" s="88" t="s">
        <v>269</v>
      </c>
      <c r="B96" s="92" t="s">
        <v>2598</v>
      </c>
      <c r="C96" s="92">
        <v>13200</v>
      </c>
      <c r="D96" s="92">
        <v>13150</v>
      </c>
      <c r="E96" s="92">
        <v>12900</v>
      </c>
      <c r="F96" s="125"/>
    </row>
    <row r="97" spans="1:6" s="114" customFormat="1" ht="14.25" customHeight="1">
      <c r="A97" s="88" t="s">
        <v>269</v>
      </c>
      <c r="B97" s="92" t="s">
        <v>2606</v>
      </c>
      <c r="C97" s="92">
        <v>13270</v>
      </c>
      <c r="D97" s="92">
        <v>13210</v>
      </c>
      <c r="E97" s="92">
        <v>11080</v>
      </c>
      <c r="F97" s="125"/>
    </row>
    <row r="98" spans="1:6" s="114" customFormat="1" ht="14.25" customHeight="1">
      <c r="A98" s="88" t="s">
        <v>269</v>
      </c>
      <c r="B98" s="92" t="s">
        <v>2613</v>
      </c>
      <c r="C98" s="92">
        <v>13010</v>
      </c>
      <c r="D98" s="92">
        <v>12930</v>
      </c>
      <c r="E98" s="92">
        <v>12840</v>
      </c>
      <c r="F98" s="125"/>
    </row>
    <row r="99" spans="1:6" s="114" customFormat="1" ht="14.25" customHeight="1">
      <c r="A99" s="88" t="s">
        <v>269</v>
      </c>
      <c r="B99" s="92" t="s">
        <v>2620</v>
      </c>
      <c r="C99" s="92">
        <v>11190</v>
      </c>
      <c r="D99" s="92">
        <v>11130</v>
      </c>
      <c r="E99" s="92"/>
      <c r="F99" s="125"/>
    </row>
    <row r="100" spans="1:6" s="114" customFormat="1" ht="14.25" customHeight="1">
      <c r="A100" s="88" t="s">
        <v>269</v>
      </c>
      <c r="B100" s="92" t="s">
        <v>2627</v>
      </c>
      <c r="C100" s="92">
        <v>14280</v>
      </c>
      <c r="D100" s="92">
        <v>14180</v>
      </c>
      <c r="E100" s="92"/>
      <c r="F100" s="125"/>
    </row>
    <row r="101" spans="1:6" s="114" customFormat="1" ht="14.25" customHeight="1">
      <c r="A101" s="88" t="s">
        <v>269</v>
      </c>
      <c r="B101" s="92" t="s">
        <v>2634</v>
      </c>
      <c r="C101" s="92">
        <v>12960</v>
      </c>
      <c r="D101" s="92">
        <v>12890</v>
      </c>
      <c r="E101" s="92"/>
      <c r="F101" s="125"/>
    </row>
    <row r="102" spans="1:6" s="114" customFormat="1" ht="14.25" customHeight="1">
      <c r="A102" s="88" t="s">
        <v>269</v>
      </c>
      <c r="B102" s="92" t="s">
        <v>2641</v>
      </c>
      <c r="C102" s="92"/>
      <c r="D102" s="92"/>
      <c r="E102" s="92"/>
      <c r="F102" s="125">
        <v>3100</v>
      </c>
    </row>
    <row r="103" spans="1:6" s="114" customFormat="1" ht="14.25" customHeight="1">
      <c r="A103" s="88" t="s">
        <v>269</v>
      </c>
      <c r="B103" s="92" t="s">
        <v>2646</v>
      </c>
      <c r="C103" s="92"/>
      <c r="D103" s="92"/>
      <c r="E103" s="92"/>
      <c r="F103" s="125">
        <v>2320</v>
      </c>
    </row>
    <row r="104" spans="1:6" s="114" customFormat="1" ht="14.25" customHeight="1">
      <c r="A104" s="88" t="s">
        <v>269</v>
      </c>
      <c r="B104" s="92" t="s">
        <v>2651</v>
      </c>
      <c r="C104" s="92"/>
      <c r="D104" s="92"/>
      <c r="E104" s="92"/>
      <c r="F104" s="125">
        <v>2320</v>
      </c>
    </row>
    <row r="105" spans="1:6" s="114" customFormat="1" ht="14.25" customHeight="1">
      <c r="A105" s="88" t="s">
        <v>269</v>
      </c>
      <c r="B105" s="92" t="s">
        <v>2656</v>
      </c>
      <c r="C105" s="92"/>
      <c r="D105" s="92"/>
      <c r="E105" s="92"/>
      <c r="F105" s="125">
        <v>2320</v>
      </c>
    </row>
    <row r="106" spans="1:6" s="114" customFormat="1" ht="14.25" customHeight="1">
      <c r="A106" s="88" t="s">
        <v>269</v>
      </c>
      <c r="B106" s="92" t="s">
        <v>2661</v>
      </c>
      <c r="C106" s="92"/>
      <c r="D106" s="92"/>
      <c r="E106" s="92"/>
      <c r="F106" s="125">
        <v>2320</v>
      </c>
    </row>
    <row r="107" spans="1:6" s="114" customFormat="1" ht="14.25" customHeight="1">
      <c r="A107" s="88" t="s">
        <v>269</v>
      </c>
      <c r="B107" s="92" t="s">
        <v>2666</v>
      </c>
      <c r="C107" s="92"/>
      <c r="D107" s="92"/>
      <c r="E107" s="92"/>
      <c r="F107" s="125">
        <v>2280</v>
      </c>
    </row>
    <row r="108" spans="1:6" s="114" customFormat="1" ht="14.25" customHeight="1">
      <c r="A108" s="88" t="s">
        <v>269</v>
      </c>
      <c r="B108" s="92" t="s">
        <v>2671</v>
      </c>
      <c r="C108" s="92"/>
      <c r="D108" s="92"/>
      <c r="E108" s="92"/>
      <c r="F108" s="125">
        <v>2280</v>
      </c>
    </row>
    <row r="109" spans="1:6" s="114" customFormat="1" ht="14.25" customHeight="1">
      <c r="A109" s="88" t="s">
        <v>269</v>
      </c>
      <c r="B109" s="103" t="s">
        <v>2676</v>
      </c>
      <c r="C109" s="103"/>
      <c r="D109" s="103"/>
      <c r="E109" s="103"/>
      <c r="F109" s="127">
        <v>2280</v>
      </c>
    </row>
    <row r="110" spans="1:6" s="114" customFormat="1" ht="14.25" customHeight="1">
      <c r="A110" s="88" t="s">
        <v>275</v>
      </c>
      <c r="B110" s="89" t="s">
        <v>2389</v>
      </c>
      <c r="C110" s="89">
        <v>10520</v>
      </c>
      <c r="D110" s="89">
        <v>10490</v>
      </c>
      <c r="E110" s="89">
        <v>10760</v>
      </c>
      <c r="F110" s="122">
        <v>2160</v>
      </c>
    </row>
    <row r="111" spans="1:6" s="114" customFormat="1" ht="14.25" customHeight="1">
      <c r="A111" s="88" t="s">
        <v>275</v>
      </c>
      <c r="B111" s="92" t="s">
        <v>2402</v>
      </c>
      <c r="C111" s="92">
        <v>10090</v>
      </c>
      <c r="D111" s="92">
        <v>10060</v>
      </c>
      <c r="E111" s="92">
        <v>10300</v>
      </c>
      <c r="F111" s="125">
        <v>2010</v>
      </c>
    </row>
    <row r="112" spans="1:6" s="114" customFormat="1" ht="14.25" customHeight="1">
      <c r="A112" s="88" t="s">
        <v>275</v>
      </c>
      <c r="B112" s="92" t="s">
        <v>2416</v>
      </c>
      <c r="C112" s="92">
        <v>9910</v>
      </c>
      <c r="D112" s="92">
        <v>9850</v>
      </c>
      <c r="E112" s="92">
        <v>9960</v>
      </c>
      <c r="F112" s="125">
        <v>2090</v>
      </c>
    </row>
    <row r="113" spans="1:6" s="114" customFormat="1" ht="14.25" customHeight="1">
      <c r="A113" s="88" t="s">
        <v>275</v>
      </c>
      <c r="B113" s="92" t="s">
        <v>2428</v>
      </c>
      <c r="C113" s="92">
        <v>11430</v>
      </c>
      <c r="D113" s="92">
        <v>11400</v>
      </c>
      <c r="E113" s="92">
        <v>11710</v>
      </c>
      <c r="F113" s="125">
        <v>2050</v>
      </c>
    </row>
    <row r="114" spans="1:6" s="114" customFormat="1" ht="14.25" customHeight="1">
      <c r="A114" s="88" t="s">
        <v>275</v>
      </c>
      <c r="B114" s="92" t="s">
        <v>2440</v>
      </c>
      <c r="C114" s="92">
        <v>11390</v>
      </c>
      <c r="D114" s="92">
        <v>11350</v>
      </c>
      <c r="E114" s="92">
        <v>11640</v>
      </c>
      <c r="F114" s="125">
        <v>1620</v>
      </c>
    </row>
    <row r="115" spans="1:6" s="114" customFormat="1" ht="14.25" customHeight="1">
      <c r="A115" s="88" t="s">
        <v>275</v>
      </c>
      <c r="B115" s="92" t="s">
        <v>2451</v>
      </c>
      <c r="C115" s="92">
        <v>9930</v>
      </c>
      <c r="D115" s="92">
        <v>9900</v>
      </c>
      <c r="E115" s="92">
        <v>10160</v>
      </c>
      <c r="F115" s="125">
        <v>1580</v>
      </c>
    </row>
    <row r="116" spans="1:6" s="114" customFormat="1" ht="14.25" customHeight="1">
      <c r="A116" s="88" t="s">
        <v>275</v>
      </c>
      <c r="B116" s="92" t="s">
        <v>2462</v>
      </c>
      <c r="C116" s="92">
        <v>9150</v>
      </c>
      <c r="D116" s="92">
        <v>9120</v>
      </c>
      <c r="E116" s="92">
        <v>9380</v>
      </c>
      <c r="F116" s="125">
        <v>1750</v>
      </c>
    </row>
    <row r="117" spans="1:6" s="114" customFormat="1" ht="14.25" customHeight="1">
      <c r="A117" s="88" t="s">
        <v>275</v>
      </c>
      <c r="B117" s="92" t="s">
        <v>2473</v>
      </c>
      <c r="C117" s="92">
        <v>10680</v>
      </c>
      <c r="D117" s="92">
        <v>10650</v>
      </c>
      <c r="E117" s="92">
        <v>10970</v>
      </c>
      <c r="F117" s="125">
        <v>1730</v>
      </c>
    </row>
    <row r="118" spans="1:6" s="114" customFormat="1" ht="14.25" customHeight="1">
      <c r="A118" s="88" t="s">
        <v>275</v>
      </c>
      <c r="B118" s="92" t="s">
        <v>2483</v>
      </c>
      <c r="C118" s="92">
        <v>10080</v>
      </c>
      <c r="D118" s="92">
        <v>10050</v>
      </c>
      <c r="E118" s="92">
        <v>10350</v>
      </c>
      <c r="F118" s="125">
        <v>1920</v>
      </c>
    </row>
    <row r="119" spans="1:6" s="114" customFormat="1" ht="14.25" customHeight="1">
      <c r="A119" s="88" t="s">
        <v>275</v>
      </c>
      <c r="B119" s="92" t="s">
        <v>2493</v>
      </c>
      <c r="C119" s="92">
        <v>9450</v>
      </c>
      <c r="D119" s="92">
        <v>9410</v>
      </c>
      <c r="E119" s="92">
        <v>9680</v>
      </c>
      <c r="F119" s="125">
        <v>1880</v>
      </c>
    </row>
    <row r="120" spans="1:6" s="114" customFormat="1" ht="14.25" customHeight="1">
      <c r="A120" s="88" t="s">
        <v>275</v>
      </c>
      <c r="B120" s="92" t="s">
        <v>2503</v>
      </c>
      <c r="C120" s="92">
        <v>8730</v>
      </c>
      <c r="D120" s="92">
        <v>8700</v>
      </c>
      <c r="E120" s="92">
        <v>8950</v>
      </c>
      <c r="F120" s="125">
        <v>1830</v>
      </c>
    </row>
    <row r="121" spans="1:6" s="114" customFormat="1" ht="14.25" customHeight="1">
      <c r="A121" s="88" t="s">
        <v>275</v>
      </c>
      <c r="B121" s="92" t="s">
        <v>2512</v>
      </c>
      <c r="C121" s="92">
        <v>10070</v>
      </c>
      <c r="D121" s="92">
        <v>10040</v>
      </c>
      <c r="E121" s="92">
        <v>10270</v>
      </c>
      <c r="F121" s="125">
        <v>1960</v>
      </c>
    </row>
    <row r="122" spans="1:6" s="114" customFormat="1" ht="14.25" customHeight="1">
      <c r="A122" s="88" t="s">
        <v>275</v>
      </c>
      <c r="B122" s="92" t="s">
        <v>2522</v>
      </c>
      <c r="C122" s="92">
        <v>10500</v>
      </c>
      <c r="D122" s="92">
        <v>10470</v>
      </c>
      <c r="E122" s="92">
        <v>10780</v>
      </c>
      <c r="F122" s="125">
        <v>2180</v>
      </c>
    </row>
    <row r="123" spans="1:6" s="114" customFormat="1" ht="14.25" customHeight="1">
      <c r="A123" s="88" t="s">
        <v>275</v>
      </c>
      <c r="B123" s="92" t="s">
        <v>2532</v>
      </c>
      <c r="C123" s="92">
        <v>10390</v>
      </c>
      <c r="D123" s="92">
        <v>10360</v>
      </c>
      <c r="E123" s="92">
        <v>10660</v>
      </c>
      <c r="F123" s="125">
        <v>2040</v>
      </c>
    </row>
    <row r="124" spans="1:6" s="114" customFormat="1" ht="14.25" customHeight="1">
      <c r="A124" s="88" t="s">
        <v>275</v>
      </c>
      <c r="B124" s="92" t="s">
        <v>2542</v>
      </c>
      <c r="C124" s="92">
        <v>10390</v>
      </c>
      <c r="D124" s="92">
        <v>10360</v>
      </c>
      <c r="E124" s="92">
        <v>10680</v>
      </c>
      <c r="F124" s="128"/>
    </row>
    <row r="125" spans="1:6" s="114" customFormat="1" ht="14.25" customHeight="1">
      <c r="A125" s="88" t="s">
        <v>275</v>
      </c>
      <c r="B125" s="92" t="s">
        <v>2552</v>
      </c>
      <c r="C125" s="92">
        <v>10440</v>
      </c>
      <c r="D125" s="92">
        <v>10410</v>
      </c>
      <c r="E125" s="92">
        <v>10710</v>
      </c>
      <c r="F125" s="128"/>
    </row>
    <row r="126" spans="1:6" s="114" customFormat="1" ht="14.25" customHeight="1">
      <c r="A126" s="88" t="s">
        <v>275</v>
      </c>
      <c r="B126" s="92" t="s">
        <v>2562</v>
      </c>
      <c r="C126" s="92">
        <v>10780</v>
      </c>
      <c r="D126" s="92">
        <v>10750</v>
      </c>
      <c r="E126" s="92">
        <v>11080</v>
      </c>
      <c r="F126" s="128"/>
    </row>
    <row r="127" spans="1:6" s="114" customFormat="1" ht="14.25" customHeight="1">
      <c r="A127" s="88" t="s">
        <v>275</v>
      </c>
      <c r="B127" s="92" t="s">
        <v>2572</v>
      </c>
      <c r="C127" s="92">
        <v>10100</v>
      </c>
      <c r="D127" s="92">
        <v>10070</v>
      </c>
      <c r="E127" s="92">
        <v>10350</v>
      </c>
      <c r="F127" s="128"/>
    </row>
    <row r="128" spans="1:6" s="114" customFormat="1" ht="14.25" customHeight="1">
      <c r="A128" s="88" t="s">
        <v>275</v>
      </c>
      <c r="B128" s="92" t="s">
        <v>2582</v>
      </c>
      <c r="C128" s="92">
        <v>9200</v>
      </c>
      <c r="D128" s="92">
        <v>9160</v>
      </c>
      <c r="E128" s="92">
        <v>9660</v>
      </c>
      <c r="F128" s="128"/>
    </row>
    <row r="129" spans="1:6" s="114" customFormat="1" ht="14.25" customHeight="1">
      <c r="A129" s="88" t="s">
        <v>275</v>
      </c>
      <c r="B129" s="92" t="s">
        <v>2591</v>
      </c>
      <c r="C129" s="92">
        <v>10340</v>
      </c>
      <c r="D129" s="92">
        <v>10310</v>
      </c>
      <c r="E129" s="92">
        <v>10580</v>
      </c>
      <c r="F129" s="128"/>
    </row>
    <row r="130" spans="1:6" s="114" customFormat="1" ht="14.25" customHeight="1">
      <c r="A130" s="88" t="s">
        <v>275</v>
      </c>
      <c r="B130" s="92" t="s">
        <v>2599</v>
      </c>
      <c r="C130" s="92">
        <v>9680</v>
      </c>
      <c r="D130" s="92">
        <v>9660</v>
      </c>
      <c r="E130" s="92">
        <v>9950</v>
      </c>
      <c r="F130" s="128"/>
    </row>
    <row r="131" spans="1:6" s="114" customFormat="1" ht="14.25" customHeight="1">
      <c r="A131" s="88" t="s">
        <v>275</v>
      </c>
      <c r="B131" s="92" t="s">
        <v>2607</v>
      </c>
      <c r="C131" s="92">
        <v>9540</v>
      </c>
      <c r="D131" s="92">
        <v>9510</v>
      </c>
      <c r="E131" s="92">
        <v>9790</v>
      </c>
      <c r="F131" s="128"/>
    </row>
    <row r="132" spans="1:6" s="114" customFormat="1" ht="14.25" customHeight="1">
      <c r="A132" s="88" t="s">
        <v>275</v>
      </c>
      <c r="B132" s="92" t="s">
        <v>2614</v>
      </c>
      <c r="C132" s="92">
        <v>9320</v>
      </c>
      <c r="D132" s="92">
        <v>9290</v>
      </c>
      <c r="E132" s="92">
        <v>9570</v>
      </c>
      <c r="F132" s="128"/>
    </row>
    <row r="133" spans="1:6" s="114" customFormat="1" ht="14.25" customHeight="1">
      <c r="A133" s="88" t="s">
        <v>275</v>
      </c>
      <c r="B133" s="92" t="s">
        <v>2621</v>
      </c>
      <c r="C133" s="92">
        <v>10310</v>
      </c>
      <c r="D133" s="92">
        <v>10280</v>
      </c>
      <c r="E133" s="92">
        <v>10530</v>
      </c>
      <c r="F133" s="128"/>
    </row>
    <row r="134" spans="1:6" s="114" customFormat="1" ht="14.25" customHeight="1">
      <c r="A134" s="88" t="s">
        <v>275</v>
      </c>
      <c r="B134" s="92" t="s">
        <v>2628</v>
      </c>
      <c r="C134" s="92">
        <v>10370</v>
      </c>
      <c r="D134" s="92">
        <v>10310</v>
      </c>
      <c r="E134" s="92">
        <v>10240</v>
      </c>
      <c r="F134" s="125">
        <v>2060</v>
      </c>
    </row>
    <row r="135" spans="1:6" s="114" customFormat="1" ht="14.25" customHeight="1">
      <c r="A135" s="88" t="s">
        <v>275</v>
      </c>
      <c r="B135" s="92" t="s">
        <v>2635</v>
      </c>
      <c r="C135" s="92">
        <v>9300</v>
      </c>
      <c r="D135" s="92">
        <v>9270</v>
      </c>
      <c r="E135" s="92">
        <v>9350</v>
      </c>
      <c r="F135" s="128"/>
    </row>
    <row r="136" spans="1:6" s="114" customFormat="1" ht="14.25" customHeight="1">
      <c r="A136" s="88" t="s">
        <v>275</v>
      </c>
      <c r="B136" s="92" t="s">
        <v>2642</v>
      </c>
      <c r="C136" s="92">
        <v>10160</v>
      </c>
      <c r="D136" s="92">
        <v>10110</v>
      </c>
      <c r="E136" s="92">
        <v>10080</v>
      </c>
      <c r="F136" s="128"/>
    </row>
    <row r="137" spans="1:6" s="114" customFormat="1" ht="14.25" customHeight="1">
      <c r="A137" s="88" t="s">
        <v>275</v>
      </c>
      <c r="B137" s="92" t="s">
        <v>2647</v>
      </c>
      <c r="C137" s="92">
        <v>9200</v>
      </c>
      <c r="D137" s="92">
        <v>9170</v>
      </c>
      <c r="E137" s="92">
        <v>9450</v>
      </c>
      <c r="F137" s="128"/>
    </row>
    <row r="138" spans="1:6" s="114" customFormat="1" ht="14.25" customHeight="1">
      <c r="A138" s="88" t="s">
        <v>275</v>
      </c>
      <c r="B138" s="92" t="s">
        <v>2652</v>
      </c>
      <c r="C138" s="92">
        <v>9690</v>
      </c>
      <c r="D138" s="92">
        <v>9660</v>
      </c>
      <c r="E138" s="92">
        <v>9840</v>
      </c>
      <c r="F138" s="128"/>
    </row>
    <row r="139" spans="1:6" s="114" customFormat="1" ht="14.25" customHeight="1">
      <c r="A139" s="88" t="s">
        <v>275</v>
      </c>
      <c r="B139" s="92" t="s">
        <v>2657</v>
      </c>
      <c r="C139" s="92">
        <v>10290</v>
      </c>
      <c r="D139" s="92">
        <v>10260</v>
      </c>
      <c r="E139" s="92">
        <v>10550</v>
      </c>
      <c r="F139" s="125">
        <v>1700</v>
      </c>
    </row>
    <row r="140" spans="1:6" s="114" customFormat="1" ht="14.25" customHeight="1">
      <c r="A140" s="88" t="s">
        <v>275</v>
      </c>
      <c r="B140" s="92" t="s">
        <v>2662</v>
      </c>
      <c r="C140" s="92">
        <v>9740</v>
      </c>
      <c r="D140" s="92">
        <v>9710</v>
      </c>
      <c r="E140" s="92">
        <v>10000</v>
      </c>
      <c r="F140" s="125">
        <v>2000</v>
      </c>
    </row>
    <row r="141" spans="1:6" s="114" customFormat="1" ht="14.25" customHeight="1">
      <c r="A141" s="88" t="s">
        <v>275</v>
      </c>
      <c r="B141" s="92" t="s">
        <v>2667</v>
      </c>
      <c r="C141" s="92">
        <v>9810</v>
      </c>
      <c r="D141" s="92">
        <v>9770</v>
      </c>
      <c r="E141" s="92">
        <v>10060</v>
      </c>
      <c r="F141" s="128"/>
    </row>
    <row r="142" spans="1:6" s="114" customFormat="1" ht="14.25" customHeight="1">
      <c r="A142" s="88" t="s">
        <v>275</v>
      </c>
      <c r="B142" s="92" t="s">
        <v>2672</v>
      </c>
      <c r="C142" s="92">
        <v>9300</v>
      </c>
      <c r="D142" s="92">
        <v>9270</v>
      </c>
      <c r="E142" s="92">
        <v>9530</v>
      </c>
      <c r="F142" s="128"/>
    </row>
    <row r="143" spans="1:6" s="114" customFormat="1" ht="14.25" customHeight="1">
      <c r="A143" s="88" t="s">
        <v>275</v>
      </c>
      <c r="B143" s="92" t="s">
        <v>2677</v>
      </c>
      <c r="C143" s="92">
        <v>10080</v>
      </c>
      <c r="D143" s="92">
        <v>10050</v>
      </c>
      <c r="E143" s="92">
        <v>10340</v>
      </c>
      <c r="F143" s="128"/>
    </row>
    <row r="144" spans="1:6" s="114" customFormat="1" ht="14.25" customHeight="1">
      <c r="A144" s="88" t="s">
        <v>275</v>
      </c>
      <c r="B144" s="92" t="s">
        <v>2681</v>
      </c>
      <c r="C144" s="92">
        <v>9820</v>
      </c>
      <c r="D144" s="92">
        <v>9750</v>
      </c>
      <c r="E144" s="92">
        <v>9900</v>
      </c>
      <c r="F144" s="128"/>
    </row>
    <row r="145" spans="1:6" s="114" customFormat="1" ht="14.25" customHeight="1">
      <c r="A145" s="88" t="s">
        <v>275</v>
      </c>
      <c r="B145" s="92" t="s">
        <v>2685</v>
      </c>
      <c r="C145" s="92"/>
      <c r="D145" s="92"/>
      <c r="E145" s="92"/>
      <c r="F145" s="125">
        <v>1740</v>
      </c>
    </row>
    <row r="146" spans="1:6" s="114" customFormat="1" ht="14.25" customHeight="1">
      <c r="A146" s="88" t="s">
        <v>275</v>
      </c>
      <c r="B146" s="92" t="s">
        <v>2689</v>
      </c>
      <c r="C146" s="92"/>
      <c r="D146" s="92"/>
      <c r="E146" s="92"/>
      <c r="F146" s="125">
        <v>1740</v>
      </c>
    </row>
    <row r="147" spans="1:6" s="114" customFormat="1" ht="14.25" customHeight="1">
      <c r="A147" s="88" t="s">
        <v>275</v>
      </c>
      <c r="B147" s="92" t="s">
        <v>2693</v>
      </c>
      <c r="C147" s="92"/>
      <c r="D147" s="92"/>
      <c r="E147" s="92"/>
      <c r="F147" s="125">
        <v>1740</v>
      </c>
    </row>
    <row r="148" spans="1:6" s="114" customFormat="1" ht="14.25" customHeight="1">
      <c r="A148" s="88" t="s">
        <v>275</v>
      </c>
      <c r="B148" s="92" t="s">
        <v>2697</v>
      </c>
      <c r="C148" s="92"/>
      <c r="D148" s="92"/>
      <c r="E148" s="92"/>
      <c r="F148" s="125">
        <v>1740</v>
      </c>
    </row>
    <row r="149" spans="1:6" s="114" customFormat="1" ht="14.25" customHeight="1">
      <c r="A149" s="88" t="s">
        <v>275</v>
      </c>
      <c r="B149" s="92" t="s">
        <v>2701</v>
      </c>
      <c r="C149" s="92"/>
      <c r="D149" s="92"/>
      <c r="E149" s="92"/>
      <c r="F149" s="125">
        <v>1740</v>
      </c>
    </row>
    <row r="150" spans="1:6" s="114" customFormat="1" ht="14.25" customHeight="1">
      <c r="A150" s="88" t="s">
        <v>275</v>
      </c>
      <c r="B150" s="92" t="s">
        <v>2704</v>
      </c>
      <c r="C150" s="92"/>
      <c r="D150" s="92"/>
      <c r="E150" s="92"/>
      <c r="F150" s="125">
        <v>1610</v>
      </c>
    </row>
    <row r="151" spans="1:6" s="114" customFormat="1" ht="14.25" customHeight="1">
      <c r="A151" s="88" t="s">
        <v>275</v>
      </c>
      <c r="B151" s="92" t="s">
        <v>2707</v>
      </c>
      <c r="C151" s="92"/>
      <c r="D151" s="92"/>
      <c r="E151" s="92"/>
      <c r="F151" s="125">
        <v>1610</v>
      </c>
    </row>
    <row r="152" spans="1:6" s="114" customFormat="1" ht="14.25" customHeight="1">
      <c r="A152" s="88" t="s">
        <v>275</v>
      </c>
      <c r="B152" s="92" t="s">
        <v>2710</v>
      </c>
      <c r="C152" s="92"/>
      <c r="D152" s="92"/>
      <c r="E152" s="92"/>
      <c r="F152" s="125">
        <v>1610</v>
      </c>
    </row>
    <row r="153" spans="1:6" s="114" customFormat="1" ht="14.25" customHeight="1">
      <c r="A153" s="88" t="s">
        <v>275</v>
      </c>
      <c r="B153" s="92" t="s">
        <v>2713</v>
      </c>
      <c r="C153" s="92"/>
      <c r="D153" s="92"/>
      <c r="E153" s="92"/>
      <c r="F153" s="125">
        <v>1610</v>
      </c>
    </row>
    <row r="154" spans="1:6" s="114" customFormat="1" ht="14.25" customHeight="1">
      <c r="A154" s="88" t="s">
        <v>275</v>
      </c>
      <c r="B154" s="92" t="s">
        <v>2716</v>
      </c>
      <c r="C154" s="92"/>
      <c r="D154" s="92"/>
      <c r="E154" s="92"/>
      <c r="F154" s="125">
        <v>1610</v>
      </c>
    </row>
    <row r="155" spans="1:6" s="114" customFormat="1" ht="14.25" customHeight="1">
      <c r="A155" s="88" t="s">
        <v>275</v>
      </c>
      <c r="B155" s="92" t="s">
        <v>2719</v>
      </c>
      <c r="C155" s="92"/>
      <c r="D155" s="92"/>
      <c r="E155" s="92"/>
      <c r="F155" s="125">
        <v>1800</v>
      </c>
    </row>
    <row r="156" spans="1:6" s="114" customFormat="1" ht="14.25" customHeight="1">
      <c r="A156" s="88" t="s">
        <v>275</v>
      </c>
      <c r="B156" s="92" t="s">
        <v>2721</v>
      </c>
      <c r="C156" s="92"/>
      <c r="D156" s="92"/>
      <c r="E156" s="92"/>
      <c r="F156" s="125">
        <v>1910</v>
      </c>
    </row>
    <row r="157" spans="1:6" s="114" customFormat="1" ht="14.25" customHeight="1">
      <c r="A157" s="88" t="s">
        <v>275</v>
      </c>
      <c r="B157" s="103" t="s">
        <v>2723</v>
      </c>
      <c r="C157" s="103"/>
      <c r="D157" s="103"/>
      <c r="E157" s="103"/>
      <c r="F157" s="127">
        <v>1500</v>
      </c>
    </row>
    <row r="158" spans="1:6" s="114" customFormat="1" ht="14.25" customHeight="1">
      <c r="A158" s="88" t="s">
        <v>280</v>
      </c>
      <c r="B158" s="89" t="s">
        <v>2390</v>
      </c>
      <c r="C158" s="89">
        <v>8170</v>
      </c>
      <c r="D158" s="89">
        <v>8140</v>
      </c>
      <c r="E158" s="89">
        <v>8590</v>
      </c>
      <c r="F158" s="122">
        <v>1450</v>
      </c>
    </row>
    <row r="159" spans="1:6" s="114" customFormat="1" ht="14.25" customHeight="1">
      <c r="A159" s="88" t="s">
        <v>280</v>
      </c>
      <c r="B159" s="92" t="s">
        <v>2403</v>
      </c>
      <c r="C159" s="92">
        <v>7410</v>
      </c>
      <c r="D159" s="92">
        <v>7370</v>
      </c>
      <c r="E159" s="92">
        <v>8030</v>
      </c>
      <c r="F159" s="125">
        <v>1510</v>
      </c>
    </row>
    <row r="160" spans="1:6" s="114" customFormat="1" ht="14.25" customHeight="1">
      <c r="A160" s="88" t="s">
        <v>280</v>
      </c>
      <c r="B160" s="92" t="s">
        <v>2417</v>
      </c>
      <c r="C160" s="92">
        <v>7240</v>
      </c>
      <c r="D160" s="92">
        <v>7210</v>
      </c>
      <c r="E160" s="92">
        <v>7860</v>
      </c>
      <c r="F160" s="125">
        <v>1370</v>
      </c>
    </row>
    <row r="161" spans="1:6" s="114" customFormat="1" ht="14.25" customHeight="1">
      <c r="A161" s="88" t="s">
        <v>280</v>
      </c>
      <c r="B161" s="92" t="s">
        <v>2429</v>
      </c>
      <c r="C161" s="92">
        <v>7720</v>
      </c>
      <c r="D161" s="92">
        <v>7690</v>
      </c>
      <c r="E161" s="92">
        <v>8200</v>
      </c>
      <c r="F161" s="125">
        <v>1190</v>
      </c>
    </row>
    <row r="162" spans="1:6" s="114" customFormat="1" ht="14.25" customHeight="1">
      <c r="A162" s="88" t="s">
        <v>280</v>
      </c>
      <c r="B162" s="92" t="s">
        <v>2441</v>
      </c>
      <c r="C162" s="92">
        <v>6900</v>
      </c>
      <c r="D162" s="92">
        <v>6870</v>
      </c>
      <c r="E162" s="92">
        <v>7500</v>
      </c>
      <c r="F162" s="125">
        <v>1390</v>
      </c>
    </row>
    <row r="163" spans="1:6" s="114" customFormat="1" ht="14.25" customHeight="1">
      <c r="A163" s="88" t="s">
        <v>280</v>
      </c>
      <c r="B163" s="92" t="s">
        <v>2452</v>
      </c>
      <c r="C163" s="92">
        <v>7120</v>
      </c>
      <c r="D163" s="92">
        <v>7090</v>
      </c>
      <c r="E163" s="92">
        <v>7690</v>
      </c>
      <c r="F163" s="125">
        <v>1230</v>
      </c>
    </row>
    <row r="164" spans="1:6" s="114" customFormat="1" ht="14.25" customHeight="1">
      <c r="A164" s="88" t="s">
        <v>280</v>
      </c>
      <c r="B164" s="92" t="s">
        <v>2463</v>
      </c>
      <c r="C164" s="92">
        <v>6560</v>
      </c>
      <c r="D164" s="92">
        <v>6530</v>
      </c>
      <c r="E164" s="92">
        <v>7110</v>
      </c>
      <c r="F164" s="125">
        <v>1340</v>
      </c>
    </row>
    <row r="165" spans="1:6" s="114" customFormat="1" ht="14.25" customHeight="1">
      <c r="A165" s="88" t="s">
        <v>280</v>
      </c>
      <c r="B165" s="92" t="s">
        <v>2474</v>
      </c>
      <c r="C165" s="92">
        <v>7450</v>
      </c>
      <c r="D165" s="92">
        <v>7430</v>
      </c>
      <c r="E165" s="92">
        <v>8110</v>
      </c>
      <c r="F165" s="125">
        <v>1290</v>
      </c>
    </row>
    <row r="166" spans="1:6" s="114" customFormat="1" ht="14.25" customHeight="1">
      <c r="A166" s="88" t="s">
        <v>280</v>
      </c>
      <c r="B166" s="92" t="s">
        <v>2484</v>
      </c>
      <c r="C166" s="92">
        <v>7490</v>
      </c>
      <c r="D166" s="92">
        <v>7460</v>
      </c>
      <c r="E166" s="92">
        <v>8150</v>
      </c>
      <c r="F166" s="125">
        <v>1350</v>
      </c>
    </row>
    <row r="167" spans="1:6" s="114" customFormat="1" ht="14.25" customHeight="1">
      <c r="A167" s="88" t="s">
        <v>280</v>
      </c>
      <c r="B167" s="92" t="s">
        <v>2494</v>
      </c>
      <c r="C167" s="92">
        <v>7540</v>
      </c>
      <c r="D167" s="92">
        <v>7510</v>
      </c>
      <c r="E167" s="92">
        <v>8030</v>
      </c>
      <c r="F167" s="128"/>
    </row>
    <row r="168" spans="1:6" s="114" customFormat="1" ht="14.25" customHeight="1">
      <c r="A168" s="88" t="s">
        <v>280</v>
      </c>
      <c r="B168" s="92" t="s">
        <v>2504</v>
      </c>
      <c r="C168" s="92">
        <v>7210</v>
      </c>
      <c r="D168" s="92">
        <v>7180</v>
      </c>
      <c r="E168" s="92">
        <v>7830</v>
      </c>
      <c r="F168" s="128"/>
    </row>
    <row r="169" spans="1:6" s="114" customFormat="1" ht="14.25" customHeight="1">
      <c r="A169" s="88" t="s">
        <v>280</v>
      </c>
      <c r="B169" s="92" t="s">
        <v>2513</v>
      </c>
      <c r="C169" s="92">
        <v>7040</v>
      </c>
      <c r="D169" s="92">
        <v>7020</v>
      </c>
      <c r="E169" s="92">
        <v>7670</v>
      </c>
      <c r="F169" s="128"/>
    </row>
    <row r="170" spans="1:6" s="114" customFormat="1" ht="14.25" customHeight="1">
      <c r="A170" s="88" t="s">
        <v>280</v>
      </c>
      <c r="B170" s="92" t="s">
        <v>2523</v>
      </c>
      <c r="C170" s="92">
        <v>8040</v>
      </c>
      <c r="D170" s="92">
        <v>7190</v>
      </c>
      <c r="E170" s="92">
        <v>7850</v>
      </c>
      <c r="F170" s="128"/>
    </row>
    <row r="171" spans="1:6" s="114" customFormat="1" ht="14.25" customHeight="1">
      <c r="A171" s="88" t="s">
        <v>280</v>
      </c>
      <c r="B171" s="92" t="s">
        <v>2533</v>
      </c>
      <c r="C171" s="92">
        <v>7860</v>
      </c>
      <c r="D171" s="92">
        <v>7720</v>
      </c>
      <c r="E171" s="92">
        <v>8150</v>
      </c>
      <c r="F171" s="125">
        <v>1110</v>
      </c>
    </row>
    <row r="172" spans="1:6" s="114" customFormat="1" ht="14.25" customHeight="1">
      <c r="A172" s="88" t="s">
        <v>280</v>
      </c>
      <c r="B172" s="92" t="s">
        <v>2543</v>
      </c>
      <c r="C172" s="92">
        <v>7210</v>
      </c>
      <c r="D172" s="92">
        <v>7170</v>
      </c>
      <c r="E172" s="92">
        <v>7320</v>
      </c>
      <c r="F172" s="128"/>
    </row>
    <row r="173" spans="1:6" s="114" customFormat="1" ht="14.25" customHeight="1">
      <c r="A173" s="88" t="s">
        <v>280</v>
      </c>
      <c r="B173" s="92" t="s">
        <v>2553</v>
      </c>
      <c r="C173" s="92">
        <v>6860</v>
      </c>
      <c r="D173" s="92">
        <v>6810</v>
      </c>
      <c r="E173" s="92">
        <v>7440</v>
      </c>
      <c r="F173" s="128"/>
    </row>
    <row r="174" spans="1:6" s="114" customFormat="1" ht="14.25" customHeight="1">
      <c r="A174" s="88" t="s">
        <v>280</v>
      </c>
      <c r="B174" s="92" t="s">
        <v>2563</v>
      </c>
      <c r="C174" s="92">
        <v>7120</v>
      </c>
      <c r="D174" s="92">
        <v>7090</v>
      </c>
      <c r="E174" s="92">
        <v>7500</v>
      </c>
      <c r="F174" s="125">
        <v>1490</v>
      </c>
    </row>
    <row r="175" spans="1:6" s="114" customFormat="1" ht="14.25" customHeight="1">
      <c r="A175" s="88" t="s">
        <v>280</v>
      </c>
      <c r="B175" s="92" t="s">
        <v>2573</v>
      </c>
      <c r="C175" s="92">
        <v>7850</v>
      </c>
      <c r="D175" s="92">
        <v>7820</v>
      </c>
      <c r="E175" s="92">
        <v>8120</v>
      </c>
      <c r="F175" s="125">
        <v>1530</v>
      </c>
    </row>
    <row r="176" spans="1:6" s="114" customFormat="1" ht="14.25" customHeight="1">
      <c r="A176" s="88" t="s">
        <v>280</v>
      </c>
      <c r="B176" s="92" t="s">
        <v>2583</v>
      </c>
      <c r="C176" s="92">
        <v>7620</v>
      </c>
      <c r="D176" s="92">
        <v>7570</v>
      </c>
      <c r="E176" s="92">
        <v>7990</v>
      </c>
      <c r="F176" s="125">
        <v>1480</v>
      </c>
    </row>
    <row r="177" spans="1:6" s="114" customFormat="1" ht="14.25" customHeight="1">
      <c r="A177" s="88" t="s">
        <v>280</v>
      </c>
      <c r="B177" s="92" t="s">
        <v>2592</v>
      </c>
      <c r="C177" s="92">
        <v>8590</v>
      </c>
      <c r="D177" s="92">
        <v>8570</v>
      </c>
      <c r="E177" s="92">
        <v>8740</v>
      </c>
      <c r="F177" s="125">
        <v>1540</v>
      </c>
    </row>
    <row r="178" spans="1:6" s="114" customFormat="1" ht="14.25" customHeight="1">
      <c r="A178" s="88" t="s">
        <v>280</v>
      </c>
      <c r="B178" s="92" t="s">
        <v>2600</v>
      </c>
      <c r="C178" s="92">
        <v>7510</v>
      </c>
      <c r="D178" s="92">
        <v>7470</v>
      </c>
      <c r="E178" s="92">
        <v>8090</v>
      </c>
      <c r="F178" s="125">
        <v>1320</v>
      </c>
    </row>
    <row r="179" spans="1:6" s="114" customFormat="1" ht="14.25" customHeight="1">
      <c r="A179" s="88" t="s">
        <v>280</v>
      </c>
      <c r="B179" s="92" t="s">
        <v>2608</v>
      </c>
      <c r="C179" s="92">
        <v>6380</v>
      </c>
      <c r="D179" s="92">
        <v>6340</v>
      </c>
      <c r="E179" s="92">
        <v>6810</v>
      </c>
      <c r="F179" s="128"/>
    </row>
    <row r="180" spans="1:6" s="114" customFormat="1" ht="14.25" customHeight="1">
      <c r="A180" s="88" t="s">
        <v>280</v>
      </c>
      <c r="B180" s="92" t="s">
        <v>2615</v>
      </c>
      <c r="C180" s="92">
        <v>7830</v>
      </c>
      <c r="D180" s="92">
        <v>7800</v>
      </c>
      <c r="E180" s="92">
        <v>7780</v>
      </c>
      <c r="F180" s="125">
        <v>1440</v>
      </c>
    </row>
    <row r="181" spans="1:6" s="114" customFormat="1" ht="14.25" customHeight="1">
      <c r="A181" s="88" t="s">
        <v>280</v>
      </c>
      <c r="B181" s="92" t="s">
        <v>2622</v>
      </c>
      <c r="C181" s="92">
        <v>7110</v>
      </c>
      <c r="D181" s="92">
        <v>7080</v>
      </c>
      <c r="E181" s="92">
        <v>7730</v>
      </c>
      <c r="F181" s="125">
        <v>1350</v>
      </c>
    </row>
    <row r="182" spans="1:6" s="114" customFormat="1" ht="14.25" customHeight="1">
      <c r="A182" s="88" t="s">
        <v>280</v>
      </c>
      <c r="B182" s="92" t="s">
        <v>2629</v>
      </c>
      <c r="C182" s="92">
        <v>7310</v>
      </c>
      <c r="D182" s="92">
        <v>7280</v>
      </c>
      <c r="E182" s="92">
        <v>7950</v>
      </c>
      <c r="F182" s="125">
        <v>1220</v>
      </c>
    </row>
    <row r="183" spans="1:6" s="114" customFormat="1" ht="14.25" customHeight="1">
      <c r="A183" s="88" t="s">
        <v>280</v>
      </c>
      <c r="B183" s="92" t="s">
        <v>2636</v>
      </c>
      <c r="C183" s="92">
        <v>7470</v>
      </c>
      <c r="D183" s="92">
        <v>7440</v>
      </c>
      <c r="E183" s="92">
        <v>7880</v>
      </c>
      <c r="F183" s="128"/>
    </row>
    <row r="184" spans="1:6" s="114" customFormat="1" ht="14.25" customHeight="1">
      <c r="A184" s="88" t="s">
        <v>280</v>
      </c>
      <c r="B184" s="92" t="s">
        <v>2643</v>
      </c>
      <c r="C184" s="92">
        <v>6960</v>
      </c>
      <c r="D184" s="92">
        <v>6930</v>
      </c>
      <c r="E184" s="92">
        <v>7570</v>
      </c>
      <c r="F184" s="128"/>
    </row>
    <row r="185" spans="1:6" s="114" customFormat="1" ht="14.25" customHeight="1">
      <c r="A185" s="88" t="s">
        <v>280</v>
      </c>
      <c r="B185" s="92" t="s">
        <v>2648</v>
      </c>
      <c r="C185" s="92">
        <v>7260</v>
      </c>
      <c r="D185" s="92">
        <v>7230</v>
      </c>
      <c r="E185" s="92">
        <v>7710</v>
      </c>
      <c r="F185" s="125">
        <v>1360</v>
      </c>
    </row>
    <row r="186" spans="1:6" s="114" customFormat="1" ht="14.25" customHeight="1">
      <c r="A186" s="88" t="s">
        <v>280</v>
      </c>
      <c r="B186" s="92" t="s">
        <v>2653</v>
      </c>
      <c r="C186" s="92"/>
      <c r="D186" s="92"/>
      <c r="E186" s="92"/>
      <c r="F186" s="125">
        <v>1560</v>
      </c>
    </row>
    <row r="187" spans="1:6" s="114" customFormat="1" ht="14.25" customHeight="1">
      <c r="A187" s="88" t="s">
        <v>280</v>
      </c>
      <c r="B187" s="92" t="s">
        <v>2658</v>
      </c>
      <c r="C187" s="92"/>
      <c r="D187" s="92"/>
      <c r="E187" s="92"/>
      <c r="F187" s="125">
        <v>1560</v>
      </c>
    </row>
    <row r="188" spans="1:6" s="114" customFormat="1" ht="14.25" customHeight="1">
      <c r="A188" s="88" t="s">
        <v>280</v>
      </c>
      <c r="B188" s="92" t="s">
        <v>2663</v>
      </c>
      <c r="C188" s="92"/>
      <c r="D188" s="92"/>
      <c r="E188" s="92"/>
      <c r="F188" s="125">
        <v>1560</v>
      </c>
    </row>
    <row r="189" spans="1:6" s="114" customFormat="1" ht="14.25" customHeight="1">
      <c r="A189" s="88" t="s">
        <v>280</v>
      </c>
      <c r="B189" s="92" t="s">
        <v>2668</v>
      </c>
      <c r="C189" s="92"/>
      <c r="D189" s="92"/>
      <c r="E189" s="92"/>
      <c r="F189" s="125">
        <v>1320</v>
      </c>
    </row>
    <row r="190" spans="1:6" s="114" customFormat="1" ht="14.25" customHeight="1">
      <c r="A190" s="88" t="s">
        <v>280</v>
      </c>
      <c r="B190" s="92" t="s">
        <v>2673</v>
      </c>
      <c r="C190" s="92"/>
      <c r="D190" s="92"/>
      <c r="E190" s="92"/>
      <c r="F190" s="125">
        <v>1320</v>
      </c>
    </row>
    <row r="191" spans="1:6" s="114" customFormat="1" ht="14.25" customHeight="1">
      <c r="A191" s="88" t="s">
        <v>280</v>
      </c>
      <c r="B191" s="92" t="s">
        <v>2678</v>
      </c>
      <c r="C191" s="92"/>
      <c r="D191" s="92"/>
      <c r="E191" s="92"/>
      <c r="F191" s="125">
        <v>1320</v>
      </c>
    </row>
    <row r="192" spans="1:6" s="114" customFormat="1" ht="14.25" customHeight="1">
      <c r="A192" s="88" t="s">
        <v>280</v>
      </c>
      <c r="B192" s="92" t="s">
        <v>2682</v>
      </c>
      <c r="C192" s="92"/>
      <c r="D192" s="92"/>
      <c r="E192" s="92"/>
      <c r="F192" s="125">
        <v>1100</v>
      </c>
    </row>
    <row r="193" spans="1:6" s="114" customFormat="1" ht="14.25" customHeight="1">
      <c r="A193" s="88" t="s">
        <v>280</v>
      </c>
      <c r="B193" s="92" t="s">
        <v>2686</v>
      </c>
      <c r="C193" s="92"/>
      <c r="D193" s="92"/>
      <c r="E193" s="92"/>
      <c r="F193" s="125">
        <v>1100</v>
      </c>
    </row>
    <row r="194" spans="1:6" s="114" customFormat="1" ht="14.25" customHeight="1">
      <c r="A194" s="88" t="s">
        <v>280</v>
      </c>
      <c r="B194" s="92" t="s">
        <v>2690</v>
      </c>
      <c r="C194" s="92"/>
      <c r="D194" s="92"/>
      <c r="E194" s="92"/>
      <c r="F194" s="125">
        <v>1080</v>
      </c>
    </row>
    <row r="195" spans="1:6" s="114" customFormat="1" ht="14.25" customHeight="1">
      <c r="A195" s="88" t="s">
        <v>280</v>
      </c>
      <c r="B195" s="92" t="s">
        <v>2694</v>
      </c>
      <c r="C195" s="92"/>
      <c r="D195" s="92"/>
      <c r="E195" s="92"/>
      <c r="F195" s="125">
        <v>1270</v>
      </c>
    </row>
    <row r="196" spans="1:6" s="114" customFormat="1" ht="14.25" customHeight="1">
      <c r="A196" s="88" t="s">
        <v>280</v>
      </c>
      <c r="B196" s="92" t="s">
        <v>2698</v>
      </c>
      <c r="C196" s="92"/>
      <c r="D196" s="92"/>
      <c r="E196" s="92"/>
      <c r="F196" s="125">
        <v>1150</v>
      </c>
    </row>
    <row r="197" spans="1:6" s="114" customFormat="1" ht="14.25" customHeight="1">
      <c r="A197" s="88" t="s">
        <v>280</v>
      </c>
      <c r="B197" s="92" t="s">
        <v>2702</v>
      </c>
      <c r="C197" s="92"/>
      <c r="D197" s="92"/>
      <c r="E197" s="92"/>
      <c r="F197" s="125">
        <v>1330</v>
      </c>
    </row>
    <row r="198" spans="1:6" s="114" customFormat="1" ht="14.25" customHeight="1">
      <c r="A198" s="88" t="s">
        <v>280</v>
      </c>
      <c r="B198" s="92" t="s">
        <v>2705</v>
      </c>
      <c r="C198" s="92"/>
      <c r="D198" s="92"/>
      <c r="E198" s="92"/>
      <c r="F198" s="125">
        <v>1170</v>
      </c>
    </row>
    <row r="199" spans="1:6" s="114" customFormat="1" ht="14.25" customHeight="1">
      <c r="A199" s="88" t="s">
        <v>280</v>
      </c>
      <c r="B199" s="92" t="s">
        <v>2708</v>
      </c>
      <c r="C199" s="92"/>
      <c r="D199" s="92"/>
      <c r="E199" s="92"/>
      <c r="F199" s="125">
        <v>1120</v>
      </c>
    </row>
    <row r="200" spans="1:6" s="114" customFormat="1" ht="14.25" customHeight="1">
      <c r="A200" s="88" t="s">
        <v>280</v>
      </c>
      <c r="B200" s="92" t="s">
        <v>2711</v>
      </c>
      <c r="C200" s="92"/>
      <c r="D200" s="92"/>
      <c r="E200" s="92"/>
      <c r="F200" s="125">
        <v>1120</v>
      </c>
    </row>
    <row r="201" spans="1:6" s="114" customFormat="1" ht="14.25" customHeight="1">
      <c r="A201" s="88" t="s">
        <v>280</v>
      </c>
      <c r="B201" s="92" t="s">
        <v>2714</v>
      </c>
      <c r="C201" s="92"/>
      <c r="D201" s="92"/>
      <c r="E201" s="92"/>
      <c r="F201" s="125">
        <v>1540</v>
      </c>
    </row>
    <row r="202" spans="1:6" s="114" customFormat="1" ht="14.25" customHeight="1">
      <c r="A202" s="88" t="s">
        <v>280</v>
      </c>
      <c r="B202" s="92" t="s">
        <v>2717</v>
      </c>
      <c r="C202" s="92"/>
      <c r="D202" s="92"/>
      <c r="E202" s="92"/>
      <c r="F202" s="125">
        <v>1310</v>
      </c>
    </row>
    <row r="203" spans="1:6" s="114" customFormat="1" ht="14.25" customHeight="1">
      <c r="A203" s="88" t="s">
        <v>280</v>
      </c>
      <c r="B203" s="92" t="s">
        <v>2720</v>
      </c>
      <c r="C203" s="92"/>
      <c r="D203" s="92"/>
      <c r="E203" s="92"/>
      <c r="F203" s="125">
        <v>1310</v>
      </c>
    </row>
    <row r="204" spans="1:6" s="114" customFormat="1" ht="14.25" customHeight="1">
      <c r="A204" s="88" t="s">
        <v>280</v>
      </c>
      <c r="B204" s="92" t="s">
        <v>2722</v>
      </c>
      <c r="C204" s="92"/>
      <c r="D204" s="92"/>
      <c r="E204" s="92"/>
      <c r="F204" s="125">
        <v>1080</v>
      </c>
    </row>
    <row r="205" spans="1:6" s="114" customFormat="1" ht="14.25" customHeight="1">
      <c r="A205" s="88" t="s">
        <v>280</v>
      </c>
      <c r="B205" s="92" t="s">
        <v>2724</v>
      </c>
      <c r="C205" s="92"/>
      <c r="D205" s="92"/>
      <c r="E205" s="92"/>
      <c r="F205" s="125">
        <v>1080</v>
      </c>
    </row>
    <row r="206" spans="1:6" s="114" customFormat="1" ht="14.25" customHeight="1">
      <c r="A206" s="88" t="s">
        <v>285</v>
      </c>
      <c r="B206" s="89" t="s">
        <v>2391</v>
      </c>
      <c r="C206" s="89">
        <v>5450</v>
      </c>
      <c r="D206" s="89">
        <v>5430</v>
      </c>
      <c r="E206" s="89">
        <v>5700</v>
      </c>
      <c r="F206" s="122">
        <v>1020</v>
      </c>
    </row>
    <row r="207" spans="1:6" s="114" customFormat="1" ht="14.25" customHeight="1">
      <c r="A207" s="88" t="s">
        <v>285</v>
      </c>
      <c r="B207" s="92" t="s">
        <v>2404</v>
      </c>
      <c r="C207" s="92">
        <v>5860</v>
      </c>
      <c r="D207" s="92">
        <v>5820</v>
      </c>
      <c r="E207" s="92">
        <v>6050</v>
      </c>
      <c r="F207" s="125">
        <v>1080</v>
      </c>
    </row>
    <row r="208" spans="1:6" s="114" customFormat="1" ht="14.25" customHeight="1">
      <c r="A208" s="88" t="s">
        <v>285</v>
      </c>
      <c r="B208" s="92" t="s">
        <v>2418</v>
      </c>
      <c r="C208" s="92">
        <v>4630</v>
      </c>
      <c r="D208" s="92">
        <v>4600</v>
      </c>
      <c r="E208" s="92">
        <v>4840</v>
      </c>
      <c r="F208" s="125">
        <v>900</v>
      </c>
    </row>
    <row r="209" spans="1:6" s="114" customFormat="1" ht="14.25" customHeight="1">
      <c r="A209" s="88" t="s">
        <v>285</v>
      </c>
      <c r="B209" s="92" t="s">
        <v>2430</v>
      </c>
      <c r="C209" s="92">
        <v>5320</v>
      </c>
      <c r="D209" s="92">
        <v>5270</v>
      </c>
      <c r="E209" s="92">
        <v>5540</v>
      </c>
      <c r="F209" s="125">
        <v>980</v>
      </c>
    </row>
    <row r="210" spans="1:6" s="114" customFormat="1" ht="14.25" customHeight="1">
      <c r="A210" s="88" t="s">
        <v>285</v>
      </c>
      <c r="B210" s="92" t="s">
        <v>2442</v>
      </c>
      <c r="C210" s="92">
        <v>5760</v>
      </c>
      <c r="D210" s="92">
        <v>5710</v>
      </c>
      <c r="E210" s="92">
        <v>6010</v>
      </c>
      <c r="F210" s="125">
        <v>870</v>
      </c>
    </row>
    <row r="211" spans="1:6" s="114" customFormat="1" ht="14.25" customHeight="1">
      <c r="A211" s="88" t="s">
        <v>285</v>
      </c>
      <c r="B211" s="92" t="s">
        <v>2453</v>
      </c>
      <c r="C211" s="92">
        <v>4160</v>
      </c>
      <c r="D211" s="92">
        <v>4100</v>
      </c>
      <c r="E211" s="92">
        <v>4270</v>
      </c>
      <c r="F211" s="125">
        <v>790</v>
      </c>
    </row>
    <row r="212" spans="1:6" s="114" customFormat="1" ht="14.25" customHeight="1">
      <c r="A212" s="88" t="s">
        <v>285</v>
      </c>
      <c r="B212" s="92" t="s">
        <v>2464</v>
      </c>
      <c r="C212" s="92">
        <v>4880</v>
      </c>
      <c r="D212" s="92">
        <v>4850</v>
      </c>
      <c r="E212" s="92">
        <v>5110</v>
      </c>
      <c r="F212" s="125">
        <v>940</v>
      </c>
    </row>
    <row r="213" spans="1:6" s="114" customFormat="1" ht="14.25" customHeight="1">
      <c r="A213" s="88" t="s">
        <v>285</v>
      </c>
      <c r="B213" s="92" t="s">
        <v>2475</v>
      </c>
      <c r="C213" s="92">
        <v>4640</v>
      </c>
      <c r="D213" s="92">
        <v>4590</v>
      </c>
      <c r="E213" s="92">
        <v>4700</v>
      </c>
      <c r="F213" s="125">
        <v>1030</v>
      </c>
    </row>
    <row r="214" spans="1:6" s="114" customFormat="1" ht="14.25" customHeight="1">
      <c r="A214" s="88" t="s">
        <v>285</v>
      </c>
      <c r="B214" s="92" t="s">
        <v>2485</v>
      </c>
      <c r="C214" s="92">
        <v>4540</v>
      </c>
      <c r="D214" s="92">
        <v>4490</v>
      </c>
      <c r="E214" s="92">
        <v>4610</v>
      </c>
      <c r="F214" s="128"/>
    </row>
    <row r="215" spans="1:6" s="114" customFormat="1" ht="14.25" customHeight="1">
      <c r="A215" s="88" t="s">
        <v>285</v>
      </c>
      <c r="B215" s="92" t="s">
        <v>2495</v>
      </c>
      <c r="C215" s="92">
        <v>5280</v>
      </c>
      <c r="D215" s="92">
        <v>5250</v>
      </c>
      <c r="E215" s="92">
        <v>5520</v>
      </c>
      <c r="F215" s="125">
        <v>1000</v>
      </c>
    </row>
    <row r="216" spans="1:6" s="114" customFormat="1" ht="14.25" customHeight="1">
      <c r="A216" s="88" t="s">
        <v>285</v>
      </c>
      <c r="B216" s="92" t="s">
        <v>2505</v>
      </c>
      <c r="C216" s="92">
        <v>5100</v>
      </c>
      <c r="D216" s="92">
        <v>5050</v>
      </c>
      <c r="E216" s="92">
        <v>5300</v>
      </c>
      <c r="F216" s="125">
        <v>950</v>
      </c>
    </row>
    <row r="217" spans="1:6" s="114" customFormat="1" ht="14.25" customHeight="1">
      <c r="A217" s="88" t="s">
        <v>285</v>
      </c>
      <c r="B217" s="92" t="s">
        <v>2514</v>
      </c>
      <c r="C217" s="92">
        <v>5370</v>
      </c>
      <c r="D217" s="92">
        <v>5320</v>
      </c>
      <c r="E217" s="92">
        <v>5410</v>
      </c>
      <c r="F217" s="125">
        <v>950</v>
      </c>
    </row>
    <row r="218" spans="1:6" s="114" customFormat="1" ht="14.25" customHeight="1">
      <c r="A218" s="88" t="s">
        <v>285</v>
      </c>
      <c r="B218" s="92" t="s">
        <v>2524</v>
      </c>
      <c r="C218" s="92">
        <v>5540</v>
      </c>
      <c r="D218" s="92">
        <v>5480</v>
      </c>
      <c r="E218" s="92">
        <v>5740</v>
      </c>
      <c r="F218" s="125">
        <v>1020</v>
      </c>
    </row>
    <row r="219" spans="1:6" s="114" customFormat="1" ht="14.25" customHeight="1">
      <c r="A219" s="88" t="s">
        <v>285</v>
      </c>
      <c r="B219" s="92" t="s">
        <v>2534</v>
      </c>
      <c r="C219" s="92">
        <v>5140</v>
      </c>
      <c r="D219" s="92">
        <v>5100</v>
      </c>
      <c r="E219" s="92">
        <v>5350</v>
      </c>
      <c r="F219" s="125">
        <v>1120</v>
      </c>
    </row>
    <row r="220" spans="1:6" s="114" customFormat="1" ht="14.25" customHeight="1">
      <c r="A220" s="88" t="s">
        <v>285</v>
      </c>
      <c r="B220" s="92" t="s">
        <v>2544</v>
      </c>
      <c r="C220" s="92">
        <v>5040</v>
      </c>
      <c r="D220" s="92">
        <v>5000</v>
      </c>
      <c r="E220" s="92">
        <v>5240</v>
      </c>
      <c r="F220" s="125">
        <v>980</v>
      </c>
    </row>
    <row r="221" spans="1:6" s="114" customFormat="1" ht="14.25" customHeight="1">
      <c r="A221" s="88" t="s">
        <v>285</v>
      </c>
      <c r="B221" s="92" t="s">
        <v>2554</v>
      </c>
      <c r="C221" s="131"/>
      <c r="D221" s="131"/>
      <c r="E221" s="131"/>
      <c r="F221" s="125">
        <v>1070</v>
      </c>
    </row>
    <row r="222" spans="1:6" s="114" customFormat="1" ht="14.25" customHeight="1">
      <c r="A222" s="88" t="s">
        <v>285</v>
      </c>
      <c r="B222" s="92" t="s">
        <v>2564</v>
      </c>
      <c r="C222" s="131"/>
      <c r="D222" s="131"/>
      <c r="E222" s="131"/>
      <c r="F222" s="125">
        <v>870</v>
      </c>
    </row>
    <row r="223" spans="1:6" s="114" customFormat="1" ht="14.25" customHeight="1">
      <c r="A223" s="88" t="s">
        <v>285</v>
      </c>
      <c r="B223" s="92" t="s">
        <v>2574</v>
      </c>
      <c r="C223" s="131"/>
      <c r="D223" s="131"/>
      <c r="E223" s="131"/>
      <c r="F223" s="125">
        <v>940</v>
      </c>
    </row>
    <row r="224" spans="1:6" s="114" customFormat="1" ht="14.25" customHeight="1">
      <c r="A224" s="88" t="s">
        <v>285</v>
      </c>
      <c r="B224" s="92" t="s">
        <v>2584</v>
      </c>
      <c r="C224" s="131"/>
      <c r="D224" s="131"/>
      <c r="E224" s="131"/>
      <c r="F224" s="125">
        <v>990</v>
      </c>
    </row>
    <row r="225" spans="1:6" s="114" customFormat="1" ht="14.25" customHeight="1">
      <c r="A225" s="88" t="s">
        <v>285</v>
      </c>
      <c r="B225" s="92" t="s">
        <v>2593</v>
      </c>
      <c r="C225" s="92">
        <v>5730</v>
      </c>
      <c r="D225" s="92">
        <v>5680</v>
      </c>
      <c r="E225" s="92">
        <v>6020</v>
      </c>
      <c r="F225" s="125">
        <v>1000</v>
      </c>
    </row>
    <row r="226" spans="1:6" s="114" customFormat="1" ht="14.25" customHeight="1">
      <c r="A226" s="88" t="s">
        <v>285</v>
      </c>
      <c r="B226" s="92" t="s">
        <v>2601</v>
      </c>
      <c r="C226" s="92">
        <v>4970</v>
      </c>
      <c r="D226" s="92">
        <v>4940</v>
      </c>
      <c r="E226" s="92">
        <v>5180</v>
      </c>
      <c r="F226" s="125">
        <v>960</v>
      </c>
    </row>
    <row r="227" spans="1:6" s="114" customFormat="1" ht="14.25" customHeight="1">
      <c r="A227" s="88" t="s">
        <v>285</v>
      </c>
      <c r="B227" s="92" t="s">
        <v>2609</v>
      </c>
      <c r="C227" s="92">
        <v>5550</v>
      </c>
      <c r="D227" s="92">
        <v>5500</v>
      </c>
      <c r="E227" s="92">
        <v>5780</v>
      </c>
      <c r="F227" s="125">
        <v>940</v>
      </c>
    </row>
    <row r="228" spans="1:6" s="114" customFormat="1" ht="14.25" customHeight="1">
      <c r="A228" s="88" t="s">
        <v>285</v>
      </c>
      <c r="B228" s="92" t="s">
        <v>2616</v>
      </c>
      <c r="C228" s="92">
        <v>5460</v>
      </c>
      <c r="D228" s="92">
        <v>5420</v>
      </c>
      <c r="E228" s="92">
        <v>5690</v>
      </c>
      <c r="F228" s="125">
        <v>910</v>
      </c>
    </row>
    <row r="229" spans="1:6" s="114" customFormat="1" ht="14.25" customHeight="1">
      <c r="A229" s="88" t="s">
        <v>285</v>
      </c>
      <c r="B229" s="92" t="s">
        <v>2623</v>
      </c>
      <c r="C229" s="92">
        <v>5310</v>
      </c>
      <c r="D229" s="92">
        <v>5270</v>
      </c>
      <c r="E229" s="92">
        <v>5510</v>
      </c>
      <c r="F229" s="128"/>
    </row>
    <row r="230" spans="1:6" s="114" customFormat="1" ht="14.25" customHeight="1">
      <c r="A230" s="88" t="s">
        <v>285</v>
      </c>
      <c r="B230" s="92" t="s">
        <v>2630</v>
      </c>
      <c r="C230" s="92">
        <v>4540</v>
      </c>
      <c r="D230" s="92">
        <v>4500</v>
      </c>
      <c r="E230" s="92">
        <v>4730</v>
      </c>
      <c r="F230" s="128"/>
    </row>
    <row r="231" spans="1:6" s="114" customFormat="1" ht="14.25" customHeight="1">
      <c r="A231" s="88" t="s">
        <v>285</v>
      </c>
      <c r="B231" s="92" t="s">
        <v>2637</v>
      </c>
      <c r="C231" s="92">
        <v>4480</v>
      </c>
      <c r="D231" s="92">
        <v>4410</v>
      </c>
      <c r="E231" s="92">
        <v>4640</v>
      </c>
      <c r="F231" s="128"/>
    </row>
    <row r="232" spans="1:6" s="114" customFormat="1" ht="14.25" customHeight="1">
      <c r="A232" s="88" t="s">
        <v>285</v>
      </c>
      <c r="B232" s="92" t="s">
        <v>2644</v>
      </c>
      <c r="C232" s="92">
        <v>5670</v>
      </c>
      <c r="D232" s="92">
        <v>5600</v>
      </c>
      <c r="E232" s="92">
        <v>5890</v>
      </c>
      <c r="F232" s="125">
        <v>1150</v>
      </c>
    </row>
    <row r="233" spans="1:6" s="114" customFormat="1" ht="14.25" customHeight="1">
      <c r="A233" s="88" t="s">
        <v>285</v>
      </c>
      <c r="B233" s="92" t="s">
        <v>2649</v>
      </c>
      <c r="C233" s="92">
        <v>4590</v>
      </c>
      <c r="D233" s="92">
        <v>4500</v>
      </c>
      <c r="E233" s="92">
        <v>4600</v>
      </c>
      <c r="F233" s="128"/>
    </row>
    <row r="234" spans="1:6" s="114" customFormat="1" ht="14.25" customHeight="1">
      <c r="A234" s="88" t="s">
        <v>285</v>
      </c>
      <c r="B234" s="92" t="s">
        <v>2654</v>
      </c>
      <c r="C234" s="92">
        <v>3990</v>
      </c>
      <c r="D234" s="92">
        <v>3950</v>
      </c>
      <c r="E234" s="92">
        <v>4180</v>
      </c>
      <c r="F234" s="128"/>
    </row>
    <row r="235" spans="1:6" s="114" customFormat="1" ht="14.25" customHeight="1">
      <c r="A235" s="88" t="s">
        <v>285</v>
      </c>
      <c r="B235" s="92" t="s">
        <v>2659</v>
      </c>
      <c r="C235" s="92">
        <v>5590</v>
      </c>
      <c r="D235" s="92">
        <v>5540</v>
      </c>
      <c r="E235" s="92">
        <v>5810</v>
      </c>
      <c r="F235" s="125">
        <v>970</v>
      </c>
    </row>
    <row r="236" spans="1:6" s="114" customFormat="1" ht="14.25" customHeight="1">
      <c r="A236" s="88" t="s">
        <v>285</v>
      </c>
      <c r="B236" s="92" t="s">
        <v>2664</v>
      </c>
      <c r="C236" s="92"/>
      <c r="D236" s="92"/>
      <c r="E236" s="92"/>
      <c r="F236" s="125">
        <v>1020</v>
      </c>
    </row>
    <row r="237" spans="1:6" s="114" customFormat="1" ht="14.25" customHeight="1">
      <c r="A237" s="88" t="s">
        <v>285</v>
      </c>
      <c r="B237" s="92" t="s">
        <v>2669</v>
      </c>
      <c r="C237" s="92"/>
      <c r="D237" s="92"/>
      <c r="E237" s="92"/>
      <c r="F237" s="125">
        <v>960</v>
      </c>
    </row>
    <row r="238" spans="1:6" s="114" customFormat="1" ht="14.25" customHeight="1">
      <c r="A238" s="88" t="s">
        <v>285</v>
      </c>
      <c r="B238" s="92" t="s">
        <v>2674</v>
      </c>
      <c r="C238" s="92"/>
      <c r="D238" s="92"/>
      <c r="E238" s="92"/>
      <c r="F238" s="125">
        <v>960</v>
      </c>
    </row>
    <row r="239" spans="1:6" s="114" customFormat="1" ht="14.25" customHeight="1">
      <c r="A239" s="88" t="s">
        <v>285</v>
      </c>
      <c r="B239" s="92" t="s">
        <v>2679</v>
      </c>
      <c r="C239" s="92"/>
      <c r="D239" s="92"/>
      <c r="E239" s="92"/>
      <c r="F239" s="125">
        <v>960</v>
      </c>
    </row>
    <row r="240" spans="1:6" s="114" customFormat="1" ht="14.25" customHeight="1">
      <c r="A240" s="88" t="s">
        <v>285</v>
      </c>
      <c r="B240" s="92" t="s">
        <v>2683</v>
      </c>
      <c r="C240" s="92"/>
      <c r="D240" s="92"/>
      <c r="E240" s="92"/>
      <c r="F240" s="125">
        <v>990</v>
      </c>
    </row>
    <row r="241" spans="1:6" s="114" customFormat="1" ht="14.25" customHeight="1">
      <c r="A241" s="88" t="s">
        <v>285</v>
      </c>
      <c r="B241" s="92" t="s">
        <v>2687</v>
      </c>
      <c r="C241" s="92"/>
      <c r="D241" s="92"/>
      <c r="E241" s="92"/>
      <c r="F241" s="125">
        <v>1000</v>
      </c>
    </row>
    <row r="242" spans="1:6" s="114" customFormat="1" ht="14.25" customHeight="1">
      <c r="A242" s="88" t="s">
        <v>285</v>
      </c>
      <c r="B242" s="92" t="s">
        <v>2691</v>
      </c>
      <c r="C242" s="92"/>
      <c r="D242" s="92"/>
      <c r="E242" s="92"/>
      <c r="F242" s="125">
        <v>980</v>
      </c>
    </row>
    <row r="243" spans="1:6" s="114" customFormat="1" ht="14.25" customHeight="1">
      <c r="A243" s="88" t="s">
        <v>285</v>
      </c>
      <c r="B243" s="92" t="s">
        <v>2695</v>
      </c>
      <c r="C243" s="92"/>
      <c r="D243" s="92"/>
      <c r="E243" s="92"/>
      <c r="F243" s="125">
        <v>970</v>
      </c>
    </row>
    <row r="244" spans="1:6" s="114" customFormat="1" ht="14.25" customHeight="1">
      <c r="A244" s="88" t="s">
        <v>285</v>
      </c>
      <c r="B244" s="103" t="s">
        <v>2699</v>
      </c>
      <c r="C244" s="103"/>
      <c r="D244" s="103"/>
      <c r="E244" s="103"/>
      <c r="F244" s="127">
        <v>970</v>
      </c>
    </row>
    <row r="245" spans="1:6" s="114" customFormat="1" ht="14.25" customHeight="1">
      <c r="A245" s="88" t="s">
        <v>288</v>
      </c>
      <c r="B245" s="89" t="s">
        <v>2392</v>
      </c>
      <c r="C245" s="89">
        <v>4050</v>
      </c>
      <c r="D245" s="89">
        <v>4020</v>
      </c>
      <c r="E245" s="89">
        <v>4160</v>
      </c>
      <c r="F245" s="122">
        <v>840</v>
      </c>
    </row>
    <row r="246" spans="1:6" s="114" customFormat="1" ht="14.25" customHeight="1">
      <c r="A246" s="88" t="s">
        <v>288</v>
      </c>
      <c r="B246" s="92" t="s">
        <v>2405</v>
      </c>
      <c r="C246" s="92">
        <v>4010</v>
      </c>
      <c r="D246" s="92">
        <v>3960</v>
      </c>
      <c r="E246" s="92">
        <v>4130</v>
      </c>
      <c r="F246" s="125">
        <v>840</v>
      </c>
    </row>
    <row r="247" spans="1:6" s="114" customFormat="1" ht="14.25" customHeight="1">
      <c r="A247" s="88" t="s">
        <v>288</v>
      </c>
      <c r="B247" s="92" t="s">
        <v>2419</v>
      </c>
      <c r="C247" s="92">
        <v>3170</v>
      </c>
      <c r="D247" s="92">
        <v>3140</v>
      </c>
      <c r="E247" s="92">
        <v>3270</v>
      </c>
      <c r="F247" s="125">
        <v>640</v>
      </c>
    </row>
    <row r="248" spans="1:6" s="114" customFormat="1" ht="14.25" customHeight="1">
      <c r="A248" s="88" t="s">
        <v>288</v>
      </c>
      <c r="B248" s="92" t="s">
        <v>2431</v>
      </c>
      <c r="C248" s="92">
        <v>3140</v>
      </c>
      <c r="D248" s="92">
        <v>3120</v>
      </c>
      <c r="E248" s="92">
        <v>3240</v>
      </c>
      <c r="F248" s="125">
        <v>620</v>
      </c>
    </row>
    <row r="249" spans="1:6" s="114" customFormat="1" ht="14.25" customHeight="1">
      <c r="A249" s="88" t="s">
        <v>288</v>
      </c>
      <c r="B249" s="92" t="s">
        <v>2443</v>
      </c>
      <c r="C249" s="92">
        <v>3200</v>
      </c>
      <c r="D249" s="92">
        <v>3100</v>
      </c>
      <c r="E249" s="92">
        <v>3230</v>
      </c>
      <c r="F249" s="125">
        <v>750</v>
      </c>
    </row>
    <row r="250" spans="1:6" s="114" customFormat="1" ht="14.25" customHeight="1">
      <c r="A250" s="88" t="s">
        <v>288</v>
      </c>
      <c r="B250" s="92" t="s">
        <v>2454</v>
      </c>
      <c r="C250" s="92">
        <v>4060</v>
      </c>
      <c r="D250" s="92">
        <v>4000</v>
      </c>
      <c r="E250" s="92">
        <v>4140</v>
      </c>
      <c r="F250" s="125">
        <v>790</v>
      </c>
    </row>
    <row r="251" spans="1:6" s="114" customFormat="1" ht="14.25" customHeight="1">
      <c r="A251" s="88" t="s">
        <v>288</v>
      </c>
      <c r="B251" s="92" t="s">
        <v>2465</v>
      </c>
      <c r="C251" s="92">
        <v>3990</v>
      </c>
      <c r="D251" s="92">
        <v>3970</v>
      </c>
      <c r="E251" s="92">
        <v>4110</v>
      </c>
      <c r="F251" s="125">
        <v>730</v>
      </c>
    </row>
    <row r="252" spans="1:6" s="114" customFormat="1" ht="14.25" customHeight="1">
      <c r="A252" s="88" t="s">
        <v>288</v>
      </c>
      <c r="B252" s="92" t="s">
        <v>2476</v>
      </c>
      <c r="C252" s="92">
        <v>3560</v>
      </c>
      <c r="D252" s="92">
        <v>3530</v>
      </c>
      <c r="E252" s="92">
        <v>3650</v>
      </c>
      <c r="F252" s="125">
        <v>750</v>
      </c>
    </row>
    <row r="253" spans="1:6" s="114" customFormat="1" ht="14.25" customHeight="1">
      <c r="A253" s="88" t="s">
        <v>288</v>
      </c>
      <c r="B253" s="92" t="s">
        <v>2486</v>
      </c>
      <c r="C253" s="92">
        <v>3780</v>
      </c>
      <c r="D253" s="92">
        <v>3750</v>
      </c>
      <c r="E253" s="92">
        <v>3870</v>
      </c>
      <c r="F253" s="125">
        <v>770</v>
      </c>
    </row>
    <row r="254" spans="1:6" s="114" customFormat="1" ht="14.25" customHeight="1">
      <c r="A254" s="88" t="s">
        <v>288</v>
      </c>
      <c r="B254" s="92" t="s">
        <v>2496</v>
      </c>
      <c r="C254" s="131"/>
      <c r="D254" s="131"/>
      <c r="E254" s="131"/>
      <c r="F254" s="125">
        <v>740</v>
      </c>
    </row>
    <row r="255" spans="1:6" s="114" customFormat="1" ht="14.25" customHeight="1">
      <c r="A255" s="88" t="s">
        <v>288</v>
      </c>
      <c r="B255" s="92" t="s">
        <v>2506</v>
      </c>
      <c r="C255" s="131"/>
      <c r="D255" s="131"/>
      <c r="E255" s="131"/>
      <c r="F255" s="125">
        <v>760</v>
      </c>
    </row>
    <row r="256" spans="1:6" s="114" customFormat="1" ht="14.25" customHeight="1">
      <c r="A256" s="88" t="s">
        <v>288</v>
      </c>
      <c r="B256" s="92" t="s">
        <v>2515</v>
      </c>
      <c r="C256" s="92">
        <v>3760</v>
      </c>
      <c r="D256" s="92">
        <v>3730</v>
      </c>
      <c r="E256" s="92">
        <v>3870</v>
      </c>
      <c r="F256" s="125">
        <v>830</v>
      </c>
    </row>
    <row r="257" spans="1:6" s="114" customFormat="1" ht="14.25" customHeight="1">
      <c r="A257" s="88" t="s">
        <v>288</v>
      </c>
      <c r="B257" s="92" t="s">
        <v>2525</v>
      </c>
      <c r="C257" s="92">
        <v>3570</v>
      </c>
      <c r="D257" s="92">
        <v>3540</v>
      </c>
      <c r="E257" s="92">
        <v>3650</v>
      </c>
      <c r="F257" s="125">
        <v>790</v>
      </c>
    </row>
    <row r="258" spans="1:6" s="114" customFormat="1" ht="14.25" customHeight="1">
      <c r="A258" s="88" t="s">
        <v>288</v>
      </c>
      <c r="B258" s="92" t="s">
        <v>2535</v>
      </c>
      <c r="C258" s="92">
        <v>3410</v>
      </c>
      <c r="D258" s="92">
        <v>3380</v>
      </c>
      <c r="E258" s="92">
        <v>3500</v>
      </c>
      <c r="F258" s="125">
        <v>830</v>
      </c>
    </row>
    <row r="259" spans="1:6" s="114" customFormat="1" ht="14.25" customHeight="1">
      <c r="A259" s="88" t="s">
        <v>288</v>
      </c>
      <c r="B259" s="92" t="s">
        <v>2545</v>
      </c>
      <c r="C259" s="92">
        <v>3870</v>
      </c>
      <c r="D259" s="92">
        <v>3840</v>
      </c>
      <c r="E259" s="92">
        <v>3970</v>
      </c>
      <c r="F259" s="125">
        <v>830</v>
      </c>
    </row>
    <row r="260" spans="1:6" s="114" customFormat="1" ht="14.25" customHeight="1">
      <c r="A260" s="88" t="s">
        <v>288</v>
      </c>
      <c r="B260" s="92" t="s">
        <v>2555</v>
      </c>
      <c r="C260" s="92">
        <v>3700</v>
      </c>
      <c r="D260" s="92">
        <v>3660</v>
      </c>
      <c r="E260" s="92">
        <v>3810</v>
      </c>
      <c r="F260" s="125">
        <v>790</v>
      </c>
    </row>
    <row r="261" spans="1:6" s="114" customFormat="1" ht="14.25" customHeight="1">
      <c r="A261" s="88" t="s">
        <v>288</v>
      </c>
      <c r="B261" s="92" t="s">
        <v>2565</v>
      </c>
      <c r="C261" s="92">
        <v>3470</v>
      </c>
      <c r="D261" s="92">
        <v>3430</v>
      </c>
      <c r="E261" s="92">
        <v>3640</v>
      </c>
      <c r="F261" s="125">
        <v>760</v>
      </c>
    </row>
    <row r="262" spans="1:6" s="114" customFormat="1" ht="14.25" customHeight="1">
      <c r="A262" s="88" t="s">
        <v>288</v>
      </c>
      <c r="B262" s="92" t="s">
        <v>2575</v>
      </c>
      <c r="C262" s="92">
        <v>3510</v>
      </c>
      <c r="D262" s="92">
        <v>3470</v>
      </c>
      <c r="E262" s="92">
        <v>3680</v>
      </c>
      <c r="F262" s="128"/>
    </row>
    <row r="263" spans="1:6" s="114" customFormat="1" ht="14.25" customHeight="1">
      <c r="A263" s="88" t="s">
        <v>288</v>
      </c>
      <c r="B263" s="92" t="s">
        <v>2585</v>
      </c>
      <c r="C263" s="92">
        <v>3960</v>
      </c>
      <c r="D263" s="92">
        <v>3930</v>
      </c>
      <c r="E263" s="92">
        <v>4070</v>
      </c>
      <c r="F263" s="125">
        <v>830</v>
      </c>
    </row>
    <row r="264" spans="1:6" s="114" customFormat="1" ht="14.25" customHeight="1">
      <c r="A264" s="88" t="s">
        <v>288</v>
      </c>
      <c r="B264" s="92" t="s">
        <v>2594</v>
      </c>
      <c r="C264" s="92">
        <v>4010</v>
      </c>
      <c r="D264" s="92">
        <v>3980</v>
      </c>
      <c r="E264" s="92">
        <v>4150</v>
      </c>
      <c r="F264" s="125">
        <v>760</v>
      </c>
    </row>
    <row r="265" spans="1:6" s="114" customFormat="1" ht="14.25" customHeight="1">
      <c r="A265" s="88" t="s">
        <v>288</v>
      </c>
      <c r="B265" s="92" t="s">
        <v>2602</v>
      </c>
      <c r="C265" s="92">
        <v>3910</v>
      </c>
      <c r="D265" s="92">
        <v>3890</v>
      </c>
      <c r="E265" s="92">
        <v>4040</v>
      </c>
      <c r="F265" s="125">
        <v>780</v>
      </c>
    </row>
    <row r="266" spans="1:6" s="114" customFormat="1" ht="14.25" customHeight="1">
      <c r="A266" s="88" t="s">
        <v>288</v>
      </c>
      <c r="B266" s="92" t="s">
        <v>2610</v>
      </c>
      <c r="C266" s="92">
        <v>3930</v>
      </c>
      <c r="D266" s="92">
        <v>3900</v>
      </c>
      <c r="E266" s="92">
        <v>4080</v>
      </c>
      <c r="F266" s="125">
        <v>770</v>
      </c>
    </row>
    <row r="267" spans="1:6" s="114" customFormat="1" ht="14.25" customHeight="1">
      <c r="A267" s="88" t="s">
        <v>288</v>
      </c>
      <c r="B267" s="92" t="s">
        <v>2617</v>
      </c>
      <c r="C267" s="92">
        <v>3800</v>
      </c>
      <c r="D267" s="92">
        <v>3780</v>
      </c>
      <c r="E267" s="92">
        <v>3930</v>
      </c>
      <c r="F267" s="128"/>
    </row>
    <row r="268" spans="1:6" s="114" customFormat="1" ht="14.25" customHeight="1">
      <c r="A268" s="88" t="s">
        <v>288</v>
      </c>
      <c r="B268" s="92" t="s">
        <v>2624</v>
      </c>
      <c r="C268" s="92">
        <v>3460</v>
      </c>
      <c r="D268" s="92">
        <v>3430</v>
      </c>
      <c r="E268" s="92">
        <v>3560</v>
      </c>
      <c r="F268" s="125">
        <v>840</v>
      </c>
    </row>
    <row r="269" spans="1:6" s="114" customFormat="1" ht="14.25" customHeight="1">
      <c r="A269" s="88" t="s">
        <v>288</v>
      </c>
      <c r="B269" s="92" t="s">
        <v>2631</v>
      </c>
      <c r="C269" s="92">
        <v>3210</v>
      </c>
      <c r="D269" s="92">
        <v>3190</v>
      </c>
      <c r="E269" s="92">
        <v>3310</v>
      </c>
      <c r="F269" s="125">
        <v>730</v>
      </c>
    </row>
    <row r="270" spans="1:6" s="114" customFormat="1" ht="14.25" customHeight="1">
      <c r="A270" s="88" t="s">
        <v>288</v>
      </c>
      <c r="B270" s="92" t="s">
        <v>2638</v>
      </c>
      <c r="C270" s="92">
        <v>3240</v>
      </c>
      <c r="D270" s="92">
        <v>3210</v>
      </c>
      <c r="E270" s="92">
        <v>3390</v>
      </c>
      <c r="F270" s="125">
        <v>820</v>
      </c>
    </row>
    <row r="271" spans="1:6" s="114" customFormat="1" ht="14.25" customHeight="1">
      <c r="A271" s="88" t="s">
        <v>288</v>
      </c>
      <c r="B271" s="92" t="s">
        <v>2645</v>
      </c>
      <c r="C271" s="92">
        <v>3300</v>
      </c>
      <c r="D271" s="92">
        <v>3270</v>
      </c>
      <c r="E271" s="92">
        <v>3380</v>
      </c>
      <c r="F271" s="125">
        <v>750</v>
      </c>
    </row>
    <row r="272" spans="1:6" s="114" customFormat="1" ht="14.25" customHeight="1">
      <c r="A272" s="88" t="s">
        <v>288</v>
      </c>
      <c r="B272" s="92" t="s">
        <v>2650</v>
      </c>
      <c r="C272" s="131"/>
      <c r="D272" s="131"/>
      <c r="E272" s="131"/>
      <c r="F272" s="125">
        <v>740</v>
      </c>
    </row>
    <row r="273" spans="1:6" s="114" customFormat="1" ht="14.25" customHeight="1">
      <c r="A273" s="88" t="s">
        <v>288</v>
      </c>
      <c r="B273" s="92" t="s">
        <v>2655</v>
      </c>
      <c r="C273" s="92">
        <v>3130</v>
      </c>
      <c r="D273" s="92">
        <v>3100</v>
      </c>
      <c r="E273" s="92">
        <v>3230</v>
      </c>
      <c r="F273" s="125">
        <v>700</v>
      </c>
    </row>
    <row r="274" spans="1:6" s="114" customFormat="1" ht="14.25" customHeight="1">
      <c r="A274" s="88" t="s">
        <v>288</v>
      </c>
      <c r="B274" s="92" t="s">
        <v>2660</v>
      </c>
      <c r="C274" s="92">
        <v>3460</v>
      </c>
      <c r="D274" s="92">
        <v>3430</v>
      </c>
      <c r="E274" s="92">
        <v>3560</v>
      </c>
      <c r="F274" s="125">
        <v>690</v>
      </c>
    </row>
    <row r="275" spans="1:6" s="114" customFormat="1" ht="14.25" customHeight="1">
      <c r="A275" s="88" t="s">
        <v>288</v>
      </c>
      <c r="B275" s="92" t="s">
        <v>2665</v>
      </c>
      <c r="C275" s="92">
        <v>4040</v>
      </c>
      <c r="D275" s="92">
        <v>4020</v>
      </c>
      <c r="E275" s="92">
        <v>4160</v>
      </c>
      <c r="F275" s="125">
        <v>820</v>
      </c>
    </row>
    <row r="276" spans="1:6" s="114" customFormat="1" ht="14.25" customHeight="1">
      <c r="A276" s="88" t="s">
        <v>288</v>
      </c>
      <c r="B276" s="92" t="s">
        <v>2670</v>
      </c>
      <c r="C276" s="92">
        <v>3270</v>
      </c>
      <c r="D276" s="92">
        <v>3240</v>
      </c>
      <c r="E276" s="92">
        <v>3350</v>
      </c>
      <c r="F276" s="125">
        <v>680</v>
      </c>
    </row>
    <row r="277" spans="1:6" s="114" customFormat="1" ht="14.25" customHeight="1">
      <c r="A277" s="88" t="s">
        <v>288</v>
      </c>
      <c r="B277" s="92" t="s">
        <v>2675</v>
      </c>
      <c r="C277" s="92">
        <v>2930</v>
      </c>
      <c r="D277" s="92">
        <v>2900</v>
      </c>
      <c r="E277" s="92">
        <v>3000</v>
      </c>
      <c r="F277" s="125">
        <v>640</v>
      </c>
    </row>
    <row r="278" spans="1:6" s="114" customFormat="1" ht="14.25" customHeight="1">
      <c r="A278" s="88" t="s">
        <v>288</v>
      </c>
      <c r="B278" s="92" t="s">
        <v>2680</v>
      </c>
      <c r="C278" s="92">
        <v>4080</v>
      </c>
      <c r="D278" s="92">
        <v>4030</v>
      </c>
      <c r="E278" s="92">
        <v>4140</v>
      </c>
      <c r="F278" s="125">
        <v>850</v>
      </c>
    </row>
    <row r="279" spans="1:6" s="114" customFormat="1" ht="14.25" customHeight="1">
      <c r="A279" s="88" t="s">
        <v>288</v>
      </c>
      <c r="B279" s="92" t="s">
        <v>2684</v>
      </c>
      <c r="C279" s="92"/>
      <c r="D279" s="92"/>
      <c r="E279" s="92"/>
      <c r="F279" s="125">
        <v>760</v>
      </c>
    </row>
    <row r="280" spans="1:6" s="114" customFormat="1" ht="14.25" customHeight="1">
      <c r="A280" s="88" t="s">
        <v>288</v>
      </c>
      <c r="B280" s="92" t="s">
        <v>2688</v>
      </c>
      <c r="C280" s="92"/>
      <c r="D280" s="92"/>
      <c r="E280" s="92"/>
      <c r="F280" s="125">
        <v>760</v>
      </c>
    </row>
    <row r="281" spans="1:6" s="114" customFormat="1" ht="14.25" customHeight="1">
      <c r="A281" s="88" t="s">
        <v>288</v>
      </c>
      <c r="B281" s="92" t="s">
        <v>2692</v>
      </c>
      <c r="C281" s="92"/>
      <c r="D281" s="92"/>
      <c r="E281" s="92"/>
      <c r="F281" s="125">
        <v>780</v>
      </c>
    </row>
    <row r="282" spans="1:6" s="114" customFormat="1" ht="14.25" customHeight="1">
      <c r="A282" s="88" t="s">
        <v>288</v>
      </c>
      <c r="B282" s="92" t="s">
        <v>2696</v>
      </c>
      <c r="C282" s="92"/>
      <c r="D282" s="92"/>
      <c r="E282" s="92"/>
      <c r="F282" s="125">
        <v>730</v>
      </c>
    </row>
    <row r="283" spans="1:6" s="114" customFormat="1" ht="14.25" customHeight="1">
      <c r="A283" s="88" t="s">
        <v>288</v>
      </c>
      <c r="B283" s="92" t="s">
        <v>2700</v>
      </c>
      <c r="C283" s="92"/>
      <c r="D283" s="92"/>
      <c r="E283" s="92"/>
      <c r="F283" s="125">
        <v>770</v>
      </c>
    </row>
    <row r="284" spans="1:6" s="114" customFormat="1" ht="14.25" customHeight="1">
      <c r="A284" s="88" t="s">
        <v>288</v>
      </c>
      <c r="B284" s="92" t="s">
        <v>2703</v>
      </c>
      <c r="C284" s="92"/>
      <c r="D284" s="92"/>
      <c r="E284" s="92"/>
      <c r="F284" s="125">
        <v>640</v>
      </c>
    </row>
    <row r="285" spans="1:6" s="114" customFormat="1" ht="14.25" customHeight="1">
      <c r="A285" s="88" t="s">
        <v>288</v>
      </c>
      <c r="B285" s="92" t="s">
        <v>2706</v>
      </c>
      <c r="C285" s="92"/>
      <c r="D285" s="92"/>
      <c r="E285" s="92"/>
      <c r="F285" s="125">
        <v>640</v>
      </c>
    </row>
    <row r="286" spans="1:6" s="114" customFormat="1" ht="14.25" customHeight="1">
      <c r="A286" s="88" t="s">
        <v>288</v>
      </c>
      <c r="B286" s="92" t="s">
        <v>2709</v>
      </c>
      <c r="C286" s="92"/>
      <c r="D286" s="92"/>
      <c r="E286" s="92"/>
      <c r="F286" s="125">
        <v>850</v>
      </c>
    </row>
    <row r="287" spans="1:6" s="114" customFormat="1" ht="14.25" customHeight="1">
      <c r="A287" s="88" t="s">
        <v>288</v>
      </c>
      <c r="B287" s="92" t="s">
        <v>2712</v>
      </c>
      <c r="C287" s="92"/>
      <c r="D287" s="92"/>
      <c r="E287" s="92"/>
      <c r="F287" s="125">
        <v>760</v>
      </c>
    </row>
    <row r="288" spans="1:6" s="114" customFormat="1" ht="14.25" customHeight="1">
      <c r="A288" s="88" t="s">
        <v>288</v>
      </c>
      <c r="B288" s="92" t="s">
        <v>2715</v>
      </c>
      <c r="C288" s="92"/>
      <c r="D288" s="92"/>
      <c r="E288" s="92"/>
      <c r="F288" s="125">
        <v>830</v>
      </c>
    </row>
    <row r="289" spans="1:6" s="114" customFormat="1" ht="14.25" customHeight="1">
      <c r="A289" s="88" t="s">
        <v>288</v>
      </c>
      <c r="B289" s="103" t="s">
        <v>2718</v>
      </c>
      <c r="C289" s="103"/>
      <c r="D289" s="103"/>
      <c r="E289" s="103"/>
      <c r="F289" s="127">
        <v>680</v>
      </c>
    </row>
    <row r="290" spans="1:6" s="114" customFormat="1" ht="14.25" customHeight="1">
      <c r="A290" s="88" t="s">
        <v>291</v>
      </c>
      <c r="B290" s="89" t="s">
        <v>2393</v>
      </c>
      <c r="C290" s="89">
        <v>2770</v>
      </c>
      <c r="D290" s="89">
        <v>2740</v>
      </c>
      <c r="E290" s="89">
        <v>2720</v>
      </c>
      <c r="F290" s="132"/>
    </row>
    <row r="291" spans="1:6" s="114" customFormat="1" ht="14.25" customHeight="1">
      <c r="A291" s="88" t="s">
        <v>291</v>
      </c>
      <c r="B291" s="92" t="s">
        <v>2406</v>
      </c>
      <c r="C291" s="92">
        <v>2670</v>
      </c>
      <c r="D291" s="92">
        <v>2640</v>
      </c>
      <c r="E291" s="92">
        <v>2620</v>
      </c>
      <c r="F291" s="128"/>
    </row>
    <row r="292" spans="1:6" s="114" customFormat="1" ht="14.25" customHeight="1">
      <c r="A292" s="88" t="s">
        <v>291</v>
      </c>
      <c r="B292" s="92" t="s">
        <v>2420</v>
      </c>
      <c r="C292" s="92">
        <v>2180</v>
      </c>
      <c r="D292" s="92">
        <v>2140</v>
      </c>
      <c r="E292" s="92">
        <v>2120</v>
      </c>
      <c r="F292" s="125">
        <v>490</v>
      </c>
    </row>
    <row r="293" spans="1:6" s="114" customFormat="1" ht="14.25" customHeight="1">
      <c r="A293" s="88" t="s">
        <v>291</v>
      </c>
      <c r="B293" s="92" t="s">
        <v>2725</v>
      </c>
      <c r="C293" s="92"/>
      <c r="D293" s="92"/>
      <c r="E293" s="92"/>
      <c r="F293" s="125">
        <v>470</v>
      </c>
    </row>
    <row r="294" spans="1:6" s="114" customFormat="1" ht="14.25" customHeight="1">
      <c r="A294" s="88" t="s">
        <v>291</v>
      </c>
      <c r="B294" s="92" t="s">
        <v>2432</v>
      </c>
      <c r="C294" s="92">
        <v>2730</v>
      </c>
      <c r="D294" s="92">
        <v>2700</v>
      </c>
      <c r="E294" s="92">
        <v>2680</v>
      </c>
      <c r="F294" s="125">
        <v>490</v>
      </c>
    </row>
    <row r="295" spans="1:6" s="114" customFormat="1" ht="14.25" customHeight="1">
      <c r="A295" s="88" t="s">
        <v>291</v>
      </c>
      <c r="B295" s="92" t="s">
        <v>2444</v>
      </c>
      <c r="C295" s="92">
        <v>2380</v>
      </c>
      <c r="D295" s="92">
        <v>2350</v>
      </c>
      <c r="E295" s="92">
        <v>2330</v>
      </c>
      <c r="F295" s="125">
        <v>530</v>
      </c>
    </row>
    <row r="296" spans="1:6" s="114" customFormat="1" ht="14.25" customHeight="1">
      <c r="A296" s="88" t="s">
        <v>291</v>
      </c>
      <c r="B296" s="92" t="s">
        <v>2455</v>
      </c>
      <c r="C296" s="92">
        <v>2650</v>
      </c>
      <c r="D296" s="92">
        <v>2620</v>
      </c>
      <c r="E296" s="92">
        <v>2590</v>
      </c>
      <c r="F296" s="125">
        <v>590</v>
      </c>
    </row>
    <row r="297" spans="1:6" s="114" customFormat="1" ht="14.25" customHeight="1">
      <c r="A297" s="88" t="s">
        <v>291</v>
      </c>
      <c r="B297" s="92" t="s">
        <v>2466</v>
      </c>
      <c r="C297" s="92">
        <v>2700</v>
      </c>
      <c r="D297" s="92">
        <v>2670</v>
      </c>
      <c r="E297" s="92">
        <v>2650</v>
      </c>
      <c r="F297" s="125">
        <v>630</v>
      </c>
    </row>
    <row r="298" spans="1:6" s="114" customFormat="1" ht="14.25" customHeight="1">
      <c r="A298" s="88" t="s">
        <v>291</v>
      </c>
      <c r="B298" s="92" t="s">
        <v>2477</v>
      </c>
      <c r="C298" s="92">
        <v>2650</v>
      </c>
      <c r="D298" s="92">
        <v>2620</v>
      </c>
      <c r="E298" s="92">
        <v>2590</v>
      </c>
      <c r="F298" s="125">
        <v>640</v>
      </c>
    </row>
    <row r="299" spans="1:6" s="114" customFormat="1" ht="14.25" customHeight="1">
      <c r="A299" s="88" t="s">
        <v>291</v>
      </c>
      <c r="B299" s="92" t="s">
        <v>2487</v>
      </c>
      <c r="C299" s="92">
        <v>2500</v>
      </c>
      <c r="D299" s="92">
        <v>2480</v>
      </c>
      <c r="E299" s="92">
        <v>2460</v>
      </c>
      <c r="F299" s="128"/>
    </row>
    <row r="300" spans="1:6" s="114" customFormat="1" ht="14.25" customHeight="1">
      <c r="A300" s="88" t="s">
        <v>291</v>
      </c>
      <c r="B300" s="92" t="s">
        <v>2497</v>
      </c>
      <c r="C300" s="92">
        <v>2760</v>
      </c>
      <c r="D300" s="92">
        <v>2730</v>
      </c>
      <c r="E300" s="92">
        <v>2700</v>
      </c>
      <c r="F300" s="125">
        <v>630</v>
      </c>
    </row>
    <row r="301" spans="1:6" s="114" customFormat="1" ht="14.25" customHeight="1">
      <c r="A301" s="88" t="s">
        <v>291</v>
      </c>
      <c r="B301" s="92" t="s">
        <v>2507</v>
      </c>
      <c r="C301" s="92">
        <v>2510</v>
      </c>
      <c r="D301" s="92">
        <v>2480</v>
      </c>
      <c r="E301" s="92">
        <v>2460</v>
      </c>
      <c r="F301" s="128"/>
    </row>
    <row r="302" spans="1:6" s="114" customFormat="1" ht="14.25" customHeight="1">
      <c r="A302" s="88" t="s">
        <v>291</v>
      </c>
      <c r="B302" s="92" t="s">
        <v>2516</v>
      </c>
      <c r="C302" s="92">
        <v>2480</v>
      </c>
      <c r="D302" s="92">
        <v>2450</v>
      </c>
      <c r="E302" s="92">
        <v>2420</v>
      </c>
      <c r="F302" s="125">
        <v>600</v>
      </c>
    </row>
    <row r="303" spans="1:6" s="114" customFormat="1" ht="14.25" customHeight="1">
      <c r="A303" s="88" t="s">
        <v>291</v>
      </c>
      <c r="B303" s="92" t="s">
        <v>2526</v>
      </c>
      <c r="C303" s="92">
        <v>2270</v>
      </c>
      <c r="D303" s="92">
        <v>2240</v>
      </c>
      <c r="E303" s="92">
        <v>2210</v>
      </c>
      <c r="F303" s="125">
        <v>540</v>
      </c>
    </row>
    <row r="304" spans="1:6" s="114" customFormat="1" ht="14.25" customHeight="1">
      <c r="A304" s="88" t="s">
        <v>291</v>
      </c>
      <c r="B304" s="92" t="s">
        <v>2536</v>
      </c>
      <c r="C304" s="92">
        <v>2310</v>
      </c>
      <c r="D304" s="92">
        <v>2290</v>
      </c>
      <c r="E304" s="92">
        <v>2270</v>
      </c>
      <c r="F304" s="128"/>
    </row>
    <row r="305" spans="1:6" s="114" customFormat="1" ht="14.25" customHeight="1">
      <c r="A305" s="88" t="s">
        <v>291</v>
      </c>
      <c r="B305" s="92" t="s">
        <v>2546</v>
      </c>
      <c r="C305" s="92">
        <v>2490</v>
      </c>
      <c r="D305" s="92">
        <v>2470</v>
      </c>
      <c r="E305" s="92">
        <v>2440</v>
      </c>
      <c r="F305" s="125">
        <v>560</v>
      </c>
    </row>
    <row r="306" spans="1:6" s="114" customFormat="1" ht="14.25" customHeight="1">
      <c r="A306" s="88" t="s">
        <v>291</v>
      </c>
      <c r="B306" s="92" t="s">
        <v>2556</v>
      </c>
      <c r="C306" s="92">
        <v>2420</v>
      </c>
      <c r="D306" s="92">
        <v>2400</v>
      </c>
      <c r="E306" s="92">
        <v>2380</v>
      </c>
      <c r="F306" s="128"/>
    </row>
    <row r="307" spans="1:6" s="114" customFormat="1" ht="14.25" customHeight="1">
      <c r="A307" s="88" t="s">
        <v>291</v>
      </c>
      <c r="B307" s="92" t="s">
        <v>2566</v>
      </c>
      <c r="C307" s="92">
        <v>2770</v>
      </c>
      <c r="D307" s="92">
        <v>2740</v>
      </c>
      <c r="E307" s="92">
        <v>2710</v>
      </c>
      <c r="F307" s="125">
        <v>650</v>
      </c>
    </row>
    <row r="308" spans="1:6" s="114" customFormat="1" ht="14.25" customHeight="1">
      <c r="A308" s="88" t="s">
        <v>291</v>
      </c>
      <c r="B308" s="92" t="s">
        <v>2576</v>
      </c>
      <c r="C308" s="92">
        <v>2610</v>
      </c>
      <c r="D308" s="92">
        <v>2580</v>
      </c>
      <c r="E308" s="92">
        <v>2550</v>
      </c>
      <c r="F308" s="125">
        <v>580</v>
      </c>
    </row>
    <row r="309" spans="1:6" s="114" customFormat="1" ht="14.25" customHeight="1">
      <c r="A309" s="88" t="s">
        <v>291</v>
      </c>
      <c r="B309" s="92" t="s">
        <v>2586</v>
      </c>
      <c r="C309" s="92">
        <v>2690</v>
      </c>
      <c r="D309" s="92">
        <v>2670</v>
      </c>
      <c r="E309" s="92">
        <v>2650</v>
      </c>
      <c r="F309" s="128"/>
    </row>
    <row r="310" spans="1:6" s="114" customFormat="1" ht="14.25" customHeight="1">
      <c r="A310" s="88" t="s">
        <v>291</v>
      </c>
      <c r="B310" s="92" t="s">
        <v>2595</v>
      </c>
      <c r="C310" s="92">
        <v>2360</v>
      </c>
      <c r="D310" s="92">
        <v>2330</v>
      </c>
      <c r="E310" s="92">
        <v>2310</v>
      </c>
      <c r="F310" s="125">
        <v>560</v>
      </c>
    </row>
    <row r="311" spans="1:6" s="114" customFormat="1" ht="14.25" customHeight="1">
      <c r="A311" s="88" t="s">
        <v>291</v>
      </c>
      <c r="B311" s="92" t="s">
        <v>2603</v>
      </c>
      <c r="C311" s="92">
        <v>1970</v>
      </c>
      <c r="D311" s="92">
        <v>1950</v>
      </c>
      <c r="E311" s="92">
        <v>1920</v>
      </c>
      <c r="F311" s="125">
        <v>470</v>
      </c>
    </row>
    <row r="312" spans="1:6" s="114" customFormat="1" ht="14.25" customHeight="1">
      <c r="A312" s="88" t="s">
        <v>291</v>
      </c>
      <c r="B312" s="92" t="s">
        <v>2611</v>
      </c>
      <c r="C312" s="92">
        <v>2230</v>
      </c>
      <c r="D312" s="92">
        <v>2200</v>
      </c>
      <c r="E312" s="92">
        <v>2170</v>
      </c>
      <c r="F312" s="125">
        <v>460</v>
      </c>
    </row>
    <row r="313" spans="1:6" s="114" customFormat="1" ht="14.25" customHeight="1">
      <c r="A313" s="88" t="s">
        <v>291</v>
      </c>
      <c r="B313" s="92" t="s">
        <v>2618</v>
      </c>
      <c r="C313" s="92">
        <v>2770</v>
      </c>
      <c r="D313" s="92">
        <v>2740</v>
      </c>
      <c r="E313" s="92">
        <v>2710</v>
      </c>
      <c r="F313" s="125">
        <v>610</v>
      </c>
    </row>
    <row r="314" spans="1:6" s="114" customFormat="1" ht="14.25" customHeight="1">
      <c r="A314" s="88" t="s">
        <v>291</v>
      </c>
      <c r="B314" s="92" t="s">
        <v>2625</v>
      </c>
      <c r="C314" s="92"/>
      <c r="D314" s="92"/>
      <c r="E314" s="92"/>
      <c r="F314" s="125">
        <v>490</v>
      </c>
    </row>
    <row r="315" spans="1:6" s="114" customFormat="1" ht="14.25" customHeight="1">
      <c r="A315" s="88" t="s">
        <v>291</v>
      </c>
      <c r="B315" s="92" t="s">
        <v>2632</v>
      </c>
      <c r="C315" s="92"/>
      <c r="D315" s="92"/>
      <c r="E315" s="92"/>
      <c r="F315" s="125">
        <v>520</v>
      </c>
    </row>
    <row r="316" spans="1:6" s="114" customFormat="1" ht="14.25" customHeight="1">
      <c r="A316" s="88" t="s">
        <v>291</v>
      </c>
      <c r="B316" s="103" t="s">
        <v>2639</v>
      </c>
      <c r="C316" s="103"/>
      <c r="D316" s="103"/>
      <c r="E316" s="103"/>
      <c r="F316" s="127">
        <v>460</v>
      </c>
    </row>
    <row r="317" spans="1:6" s="114" customFormat="1" ht="14.25" customHeight="1">
      <c r="A317" s="88" t="s">
        <v>294</v>
      </c>
      <c r="B317" s="89" t="s">
        <v>2394</v>
      </c>
      <c r="C317" s="89">
        <v>1200</v>
      </c>
      <c r="D317" s="89">
        <v>1180</v>
      </c>
      <c r="E317" s="89">
        <v>1160</v>
      </c>
      <c r="F317" s="122">
        <v>370</v>
      </c>
    </row>
    <row r="318" spans="1:6" s="114" customFormat="1" ht="14.25" customHeight="1">
      <c r="A318" s="88" t="s">
        <v>294</v>
      </c>
      <c r="B318" s="92" t="s">
        <v>2407</v>
      </c>
      <c r="C318" s="92">
        <v>1090</v>
      </c>
      <c r="D318" s="92">
        <v>1060</v>
      </c>
      <c r="E318" s="92">
        <v>1040</v>
      </c>
      <c r="F318" s="128"/>
    </row>
    <row r="319" spans="1:6" s="114" customFormat="1" ht="14.25" customHeight="1">
      <c r="A319" s="88" t="s">
        <v>294</v>
      </c>
      <c r="B319" s="92" t="s">
        <v>2421</v>
      </c>
      <c r="C319" s="92">
        <v>1520</v>
      </c>
      <c r="D319" s="92">
        <v>1470</v>
      </c>
      <c r="E319" s="92">
        <v>1440</v>
      </c>
      <c r="F319" s="125">
        <v>370</v>
      </c>
    </row>
    <row r="320" spans="1:6" s="114" customFormat="1" ht="14.25" customHeight="1">
      <c r="A320" s="88" t="s">
        <v>294</v>
      </c>
      <c r="B320" s="92" t="s">
        <v>2433</v>
      </c>
      <c r="C320" s="92">
        <v>1360</v>
      </c>
      <c r="D320" s="92">
        <v>1300</v>
      </c>
      <c r="E320" s="92">
        <v>1270</v>
      </c>
      <c r="F320" s="128"/>
    </row>
    <row r="321" spans="1:6" s="114" customFormat="1" ht="14.25" customHeight="1">
      <c r="A321" s="88" t="s">
        <v>294</v>
      </c>
      <c r="B321" s="92" t="s">
        <v>2445</v>
      </c>
      <c r="C321" s="92">
        <v>1750</v>
      </c>
      <c r="D321" s="92">
        <v>1690</v>
      </c>
      <c r="E321" s="92">
        <v>1660</v>
      </c>
      <c r="F321" s="128"/>
    </row>
    <row r="322" spans="1:6" s="114" customFormat="1" ht="14.25" customHeight="1">
      <c r="A322" s="88" t="s">
        <v>294</v>
      </c>
      <c r="B322" s="92" t="s">
        <v>2456</v>
      </c>
      <c r="C322" s="92">
        <v>1650</v>
      </c>
      <c r="D322" s="92">
        <v>1610</v>
      </c>
      <c r="E322" s="92">
        <v>1580</v>
      </c>
      <c r="F322" s="125">
        <v>500</v>
      </c>
    </row>
    <row r="323" spans="1:6" s="114" customFormat="1" ht="14.25" customHeight="1">
      <c r="A323" s="88" t="s">
        <v>294</v>
      </c>
      <c r="B323" s="92" t="s">
        <v>2467</v>
      </c>
      <c r="C323" s="92">
        <v>1780</v>
      </c>
      <c r="D323" s="92">
        <v>1740</v>
      </c>
      <c r="E323" s="92">
        <v>1720</v>
      </c>
      <c r="F323" s="128"/>
    </row>
    <row r="324" spans="1:6" s="114" customFormat="1" ht="14.25" customHeight="1">
      <c r="A324" s="88" t="s">
        <v>294</v>
      </c>
      <c r="B324" s="92" t="s">
        <v>2478</v>
      </c>
      <c r="C324" s="92">
        <v>1650</v>
      </c>
      <c r="D324" s="92">
        <v>1610</v>
      </c>
      <c r="E324" s="92">
        <v>1580</v>
      </c>
      <c r="F324" s="128"/>
    </row>
    <row r="325" spans="1:6" s="114" customFormat="1" ht="14.25" customHeight="1">
      <c r="A325" s="88" t="s">
        <v>294</v>
      </c>
      <c r="B325" s="92" t="s">
        <v>2488</v>
      </c>
      <c r="C325" s="92">
        <v>1330</v>
      </c>
      <c r="D325" s="92">
        <v>1270</v>
      </c>
      <c r="E325" s="92">
        <v>1240</v>
      </c>
      <c r="F325" s="125">
        <v>430</v>
      </c>
    </row>
    <row r="326" spans="1:6" s="114" customFormat="1" ht="14.25" customHeight="1">
      <c r="A326" s="88" t="s">
        <v>294</v>
      </c>
      <c r="B326" s="92" t="s">
        <v>2498</v>
      </c>
      <c r="C326" s="92">
        <v>1470</v>
      </c>
      <c r="D326" s="92">
        <v>1430</v>
      </c>
      <c r="E326" s="92">
        <v>1400</v>
      </c>
      <c r="F326" s="128"/>
    </row>
    <row r="327" spans="1:6" s="114" customFormat="1" ht="14.25" customHeight="1">
      <c r="A327" s="88" t="s">
        <v>294</v>
      </c>
      <c r="B327" s="92" t="s">
        <v>2508</v>
      </c>
      <c r="C327" s="92">
        <v>1420</v>
      </c>
      <c r="D327" s="92">
        <v>1380</v>
      </c>
      <c r="E327" s="92">
        <v>1360</v>
      </c>
      <c r="F327" s="125">
        <v>420</v>
      </c>
    </row>
    <row r="328" spans="1:6" s="114" customFormat="1" ht="14.25" customHeight="1">
      <c r="A328" s="88" t="s">
        <v>294</v>
      </c>
      <c r="B328" s="92" t="s">
        <v>2517</v>
      </c>
      <c r="C328" s="92">
        <v>1400</v>
      </c>
      <c r="D328" s="92">
        <v>1360</v>
      </c>
      <c r="E328" s="92">
        <v>1330</v>
      </c>
      <c r="F328" s="125">
        <v>460</v>
      </c>
    </row>
    <row r="329" spans="1:6" s="114" customFormat="1" ht="14.25" customHeight="1">
      <c r="A329" s="88" t="s">
        <v>294</v>
      </c>
      <c r="B329" s="92" t="s">
        <v>2527</v>
      </c>
      <c r="C329" s="92">
        <v>1640</v>
      </c>
      <c r="D329" s="92">
        <v>1610</v>
      </c>
      <c r="E329" s="92">
        <v>1580</v>
      </c>
      <c r="F329" s="125">
        <v>410</v>
      </c>
    </row>
    <row r="330" spans="1:6" s="114" customFormat="1" ht="14.25" customHeight="1">
      <c r="A330" s="88" t="s">
        <v>294</v>
      </c>
      <c r="B330" s="92" t="s">
        <v>2537</v>
      </c>
      <c r="C330" s="92">
        <v>1260</v>
      </c>
      <c r="D330" s="92">
        <v>1220</v>
      </c>
      <c r="E330" s="92">
        <v>1200</v>
      </c>
      <c r="F330" s="128"/>
    </row>
    <row r="331" spans="1:6" s="114" customFormat="1" ht="14.25" customHeight="1">
      <c r="A331" s="88" t="s">
        <v>294</v>
      </c>
      <c r="B331" s="92" t="s">
        <v>2547</v>
      </c>
      <c r="C331" s="92">
        <v>1620</v>
      </c>
      <c r="D331" s="92">
        <v>1560</v>
      </c>
      <c r="E331" s="92">
        <v>1530</v>
      </c>
      <c r="F331" s="125">
        <v>490</v>
      </c>
    </row>
    <row r="332" spans="1:6" s="114" customFormat="1" ht="14.25" customHeight="1">
      <c r="A332" s="88" t="s">
        <v>294</v>
      </c>
      <c r="B332" s="92" t="s">
        <v>2557</v>
      </c>
      <c r="C332" s="92">
        <v>1520</v>
      </c>
      <c r="D332" s="92">
        <v>1470</v>
      </c>
      <c r="E332" s="92">
        <v>1440</v>
      </c>
      <c r="F332" s="125">
        <v>440</v>
      </c>
    </row>
    <row r="333" spans="1:6" s="114" customFormat="1" ht="14.25" customHeight="1">
      <c r="A333" s="88" t="s">
        <v>294</v>
      </c>
      <c r="B333" s="92" t="s">
        <v>2567</v>
      </c>
      <c r="C333" s="92">
        <v>1370</v>
      </c>
      <c r="D333" s="92">
        <v>1320</v>
      </c>
      <c r="E333" s="92">
        <v>1300</v>
      </c>
      <c r="F333" s="125">
        <v>460</v>
      </c>
    </row>
    <row r="334" spans="1:6" s="114" customFormat="1" ht="14.25" customHeight="1">
      <c r="A334" s="88" t="s">
        <v>294</v>
      </c>
      <c r="B334" s="92" t="s">
        <v>2577</v>
      </c>
      <c r="C334" s="92">
        <v>1410</v>
      </c>
      <c r="D334" s="92">
        <v>1340</v>
      </c>
      <c r="E334" s="92">
        <v>1310</v>
      </c>
      <c r="F334" s="125">
        <v>410</v>
      </c>
    </row>
    <row r="335" spans="1:6" s="114" customFormat="1" ht="14.25" customHeight="1">
      <c r="A335" s="88" t="s">
        <v>294</v>
      </c>
      <c r="B335" s="92" t="s">
        <v>2587</v>
      </c>
      <c r="C335" s="92">
        <v>1260</v>
      </c>
      <c r="D335" s="92">
        <v>1220</v>
      </c>
      <c r="E335" s="92">
        <v>1200</v>
      </c>
      <c r="F335" s="128"/>
    </row>
    <row r="336" spans="1:6" s="114" customFormat="1" ht="14.25" customHeight="1">
      <c r="A336" s="88" t="s">
        <v>294</v>
      </c>
      <c r="B336" s="92" t="s">
        <v>2596</v>
      </c>
      <c r="C336" s="92">
        <v>1160</v>
      </c>
      <c r="D336" s="92">
        <v>1140</v>
      </c>
      <c r="E336" s="92">
        <v>1120</v>
      </c>
      <c r="F336" s="125">
        <v>430</v>
      </c>
    </row>
    <row r="337" spans="1:6" s="114" customFormat="1" ht="14.25" customHeight="1">
      <c r="A337" s="88" t="s">
        <v>294</v>
      </c>
      <c r="B337" s="103" t="s">
        <v>2604</v>
      </c>
      <c r="C337" s="103"/>
      <c r="D337" s="103"/>
      <c r="E337" s="103"/>
      <c r="F337" s="127">
        <v>380</v>
      </c>
    </row>
    <row r="338" spans="1:6" s="114" customFormat="1" ht="14.25" customHeight="1">
      <c r="A338" s="88" t="s">
        <v>297</v>
      </c>
      <c r="B338" s="89" t="s">
        <v>2395</v>
      </c>
      <c r="C338" s="89">
        <v>880</v>
      </c>
      <c r="D338" s="89">
        <v>850</v>
      </c>
      <c r="E338" s="89">
        <v>830</v>
      </c>
      <c r="F338" s="132"/>
    </row>
    <row r="339" spans="1:6" s="114" customFormat="1" ht="14.25" customHeight="1">
      <c r="A339" s="88" t="s">
        <v>297</v>
      </c>
      <c r="B339" s="92" t="s">
        <v>2408</v>
      </c>
      <c r="C339" s="92">
        <v>830</v>
      </c>
      <c r="D339" s="92">
        <v>800</v>
      </c>
      <c r="E339" s="92">
        <v>780</v>
      </c>
      <c r="F339" s="128"/>
    </row>
    <row r="340" spans="1:6" s="114" customFormat="1" ht="14.25" customHeight="1">
      <c r="A340" s="88" t="s">
        <v>297</v>
      </c>
      <c r="B340" s="92" t="s">
        <v>2422</v>
      </c>
      <c r="C340" s="92">
        <v>980</v>
      </c>
      <c r="D340" s="92">
        <v>950</v>
      </c>
      <c r="E340" s="92">
        <v>920</v>
      </c>
      <c r="F340" s="128"/>
    </row>
    <row r="341" spans="1:6" s="114" customFormat="1" ht="14.25" customHeight="1">
      <c r="A341" s="88" t="s">
        <v>297</v>
      </c>
      <c r="B341" s="92" t="s">
        <v>2434</v>
      </c>
      <c r="C341" s="92">
        <v>760</v>
      </c>
      <c r="D341" s="92">
        <v>720</v>
      </c>
      <c r="E341" s="92">
        <v>690</v>
      </c>
      <c r="F341" s="125">
        <v>350</v>
      </c>
    </row>
    <row r="342" spans="1:6" s="114" customFormat="1" ht="14.25" customHeight="1">
      <c r="A342" s="88" t="s">
        <v>297</v>
      </c>
      <c r="B342" s="92" t="s">
        <v>2446</v>
      </c>
      <c r="C342" s="92">
        <v>910</v>
      </c>
      <c r="D342" s="92">
        <v>870</v>
      </c>
      <c r="E342" s="92">
        <v>850</v>
      </c>
      <c r="F342" s="125">
        <v>370</v>
      </c>
    </row>
    <row r="343" spans="1:6" s="114" customFormat="1" ht="14.25" customHeight="1">
      <c r="A343" s="88" t="s">
        <v>297</v>
      </c>
      <c r="B343" s="92" t="s">
        <v>2457</v>
      </c>
      <c r="C343" s="92">
        <v>800</v>
      </c>
      <c r="D343" s="92">
        <v>760</v>
      </c>
      <c r="E343" s="92">
        <v>730</v>
      </c>
      <c r="F343" s="125">
        <v>340</v>
      </c>
    </row>
    <row r="344" spans="1:6" s="114" customFormat="1" ht="14.25" customHeight="1">
      <c r="A344" s="88" t="s">
        <v>297</v>
      </c>
      <c r="B344" s="103" t="s">
        <v>2468</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ColWidth="9" defaultRowHeight="13.5"/>
  <cols>
    <col min="1" max="1" width="12.625" style="82" customWidth="1"/>
    <col min="2" max="2" width="10.25" style="83" customWidth="1"/>
  </cols>
  <sheetData>
    <row r="1" spans="1:6">
      <c r="A1" s="3414" t="s">
        <v>2726</v>
      </c>
      <c r="B1" s="3414"/>
    </row>
    <row r="2" spans="1:6">
      <c r="A2" s="84"/>
      <c r="B2" s="84"/>
    </row>
    <row r="3" spans="1:6">
      <c r="A3" s="84"/>
      <c r="B3" s="84"/>
      <c r="C3" s="85" t="s">
        <v>465</v>
      </c>
      <c r="D3" s="85" t="s">
        <v>1974</v>
      </c>
      <c r="E3" s="85" t="s">
        <v>464</v>
      </c>
      <c r="F3" s="85" t="s">
        <v>1975</v>
      </c>
    </row>
    <row r="4" spans="1:6">
      <c r="A4" s="86" t="s">
        <v>2396</v>
      </c>
      <c r="B4" s="87" t="s">
        <v>2409</v>
      </c>
      <c r="C4" s="85"/>
      <c r="D4" s="85"/>
      <c r="E4" s="85"/>
      <c r="F4" s="85"/>
    </row>
    <row r="5" spans="1:6">
      <c r="A5" s="88" t="s">
        <v>232</v>
      </c>
      <c r="B5" s="89" t="s">
        <v>2384</v>
      </c>
      <c r="C5" s="90">
        <v>8.8999999999999996E-2</v>
      </c>
      <c r="D5" s="90">
        <v>7.3999999999999996E-2</v>
      </c>
      <c r="E5" s="90">
        <v>7.4999999999999997E-2</v>
      </c>
      <c r="F5" s="91">
        <v>0.1</v>
      </c>
    </row>
    <row r="6" spans="1:6">
      <c r="A6" s="88" t="s">
        <v>232</v>
      </c>
      <c r="B6" s="92" t="s">
        <v>2397</v>
      </c>
      <c r="C6" s="93">
        <v>0.1</v>
      </c>
      <c r="D6" s="93">
        <v>9.0999999999999998E-2</v>
      </c>
      <c r="E6" s="93">
        <v>9.0999999999999998E-2</v>
      </c>
      <c r="F6" s="94">
        <v>0.1</v>
      </c>
    </row>
    <row r="7" spans="1:6">
      <c r="A7" s="88" t="s">
        <v>232</v>
      </c>
      <c r="B7" s="95" t="s">
        <v>2411</v>
      </c>
      <c r="C7" s="93">
        <v>8.5999999999999993E-2</v>
      </c>
      <c r="D7" s="93">
        <v>9.6000000000000002E-2</v>
      </c>
      <c r="E7" s="93">
        <v>7.5999999999999998E-2</v>
      </c>
      <c r="F7" s="94">
        <v>0.1</v>
      </c>
    </row>
    <row r="8" spans="1:6">
      <c r="A8" s="88" t="s">
        <v>232</v>
      </c>
      <c r="B8" s="92" t="s">
        <v>2423</v>
      </c>
      <c r="C8" s="93">
        <v>9.9000000000000005E-2</v>
      </c>
      <c r="D8" s="93">
        <v>9.8000000000000004E-2</v>
      </c>
      <c r="E8" s="93">
        <v>9.8000000000000004E-2</v>
      </c>
      <c r="F8" s="94">
        <v>0.1</v>
      </c>
    </row>
    <row r="9" spans="1:6">
      <c r="A9" s="96" t="s">
        <v>232</v>
      </c>
      <c r="B9" s="97" t="s">
        <v>2435</v>
      </c>
      <c r="C9" s="98">
        <v>0.05</v>
      </c>
      <c r="D9" s="99"/>
      <c r="E9" s="99"/>
      <c r="F9" s="100"/>
    </row>
    <row r="10" spans="1:6">
      <c r="A10" s="88" t="s">
        <v>243</v>
      </c>
      <c r="B10" s="89" t="s">
        <v>2385</v>
      </c>
      <c r="C10" s="90">
        <v>8.8999999999999996E-2</v>
      </c>
      <c r="D10" s="90">
        <v>7.2999999999999995E-2</v>
      </c>
      <c r="E10" s="90">
        <v>8.2000000000000003E-2</v>
      </c>
      <c r="F10" s="91">
        <v>0.1</v>
      </c>
    </row>
    <row r="11" spans="1:6">
      <c r="A11" s="88" t="s">
        <v>243</v>
      </c>
      <c r="B11" s="95" t="s">
        <v>2398</v>
      </c>
      <c r="C11" s="93">
        <v>8.8999999999999996E-2</v>
      </c>
      <c r="D11" s="93">
        <v>7.2999999999999995E-2</v>
      </c>
      <c r="E11" s="93">
        <v>8.2000000000000003E-2</v>
      </c>
      <c r="F11" s="94">
        <v>0.1</v>
      </c>
    </row>
    <row r="12" spans="1:6">
      <c r="A12" s="88" t="s">
        <v>243</v>
      </c>
      <c r="B12" s="95" t="s">
        <v>2412</v>
      </c>
      <c r="C12" s="93">
        <v>6.0999999999999999E-2</v>
      </c>
      <c r="D12" s="93">
        <v>7.0999999999999994E-2</v>
      </c>
      <c r="E12" s="93">
        <v>9.6000000000000002E-2</v>
      </c>
      <c r="F12" s="94">
        <v>0.1</v>
      </c>
    </row>
    <row r="13" spans="1:6">
      <c r="A13" s="88" t="s">
        <v>243</v>
      </c>
      <c r="B13" s="95" t="s">
        <v>2424</v>
      </c>
      <c r="C13" s="93">
        <v>6.9000000000000006E-2</v>
      </c>
      <c r="D13" s="93">
        <v>6.5000000000000002E-2</v>
      </c>
      <c r="E13" s="93">
        <v>6.6000000000000003E-2</v>
      </c>
      <c r="F13" s="94">
        <v>0.1</v>
      </c>
    </row>
    <row r="14" spans="1:6">
      <c r="A14" s="88" t="s">
        <v>243</v>
      </c>
      <c r="B14" s="95" t="s">
        <v>2436</v>
      </c>
      <c r="C14" s="93">
        <v>0.1</v>
      </c>
      <c r="D14" s="93">
        <v>6.5000000000000002E-2</v>
      </c>
      <c r="E14" s="93">
        <v>7.0000000000000007E-2</v>
      </c>
      <c r="F14" s="94">
        <v>0.1</v>
      </c>
    </row>
    <row r="15" spans="1:6">
      <c r="A15" s="88" t="s">
        <v>243</v>
      </c>
      <c r="B15" s="95" t="s">
        <v>2447</v>
      </c>
      <c r="C15" s="93">
        <v>9.8000000000000004E-2</v>
      </c>
      <c r="D15" s="93">
        <v>8.8999999999999996E-2</v>
      </c>
      <c r="E15" s="93">
        <v>8.8999999999999996E-2</v>
      </c>
      <c r="F15" s="94">
        <v>0.1</v>
      </c>
    </row>
    <row r="16" spans="1:6">
      <c r="A16" s="88" t="s">
        <v>243</v>
      </c>
      <c r="B16" s="95" t="s">
        <v>2458</v>
      </c>
      <c r="C16" s="93">
        <v>7.0000000000000007E-2</v>
      </c>
      <c r="D16" s="93">
        <v>9.2999999999999999E-2</v>
      </c>
      <c r="E16" s="93">
        <v>9.6000000000000002E-2</v>
      </c>
      <c r="F16" s="94">
        <v>0.1</v>
      </c>
    </row>
    <row r="17" spans="1:6">
      <c r="A17" s="88" t="s">
        <v>243</v>
      </c>
      <c r="B17" s="95" t="s">
        <v>2469</v>
      </c>
      <c r="C17" s="93">
        <v>9.5000000000000001E-2</v>
      </c>
      <c r="D17" s="93">
        <v>0.1</v>
      </c>
      <c r="E17" s="93">
        <v>0.1</v>
      </c>
      <c r="F17" s="101"/>
    </row>
    <row r="18" spans="1:6">
      <c r="A18" s="88" t="s">
        <v>243</v>
      </c>
      <c r="B18" s="95" t="s">
        <v>2479</v>
      </c>
      <c r="C18" s="93">
        <v>7.3999999999999996E-2</v>
      </c>
      <c r="D18" s="93">
        <v>9.9000000000000005E-2</v>
      </c>
      <c r="E18" s="93">
        <v>0.1</v>
      </c>
      <c r="F18" s="101"/>
    </row>
    <row r="19" spans="1:6">
      <c r="A19" s="88" t="s">
        <v>243</v>
      </c>
      <c r="B19" s="95" t="s">
        <v>2489</v>
      </c>
      <c r="C19" s="93">
        <v>9.9000000000000005E-2</v>
      </c>
      <c r="D19" s="93">
        <v>7.5999999999999998E-2</v>
      </c>
      <c r="E19" s="93">
        <v>8.6999999999999994E-2</v>
      </c>
      <c r="F19" s="101"/>
    </row>
    <row r="20" spans="1:6">
      <c r="A20" s="88" t="s">
        <v>243</v>
      </c>
      <c r="B20" s="95" t="s">
        <v>2499</v>
      </c>
      <c r="C20" s="93">
        <v>9.8000000000000004E-2</v>
      </c>
      <c r="D20" s="93">
        <v>8.5000000000000006E-2</v>
      </c>
      <c r="E20" s="93">
        <v>8.2000000000000003E-2</v>
      </c>
      <c r="F20" s="101"/>
    </row>
    <row r="21" spans="1:6">
      <c r="A21" s="88" t="s">
        <v>243</v>
      </c>
      <c r="B21" s="95" t="s">
        <v>2509</v>
      </c>
      <c r="C21" s="93">
        <v>6.6000000000000003E-2</v>
      </c>
      <c r="D21" s="93">
        <v>6.4000000000000001E-2</v>
      </c>
      <c r="E21" s="93">
        <v>6.5000000000000002E-2</v>
      </c>
      <c r="F21" s="101"/>
    </row>
    <row r="22" spans="1:6">
      <c r="A22" s="88" t="s">
        <v>243</v>
      </c>
      <c r="B22" s="95" t="s">
        <v>2518</v>
      </c>
      <c r="C22" s="93">
        <v>0.08</v>
      </c>
      <c r="D22" s="93">
        <v>9.8000000000000004E-2</v>
      </c>
      <c r="E22" s="93">
        <v>9.8000000000000004E-2</v>
      </c>
      <c r="F22" s="101"/>
    </row>
    <row r="23" spans="1:6">
      <c r="A23" s="88" t="s">
        <v>243</v>
      </c>
      <c r="B23" s="95" t="s">
        <v>2528</v>
      </c>
      <c r="C23" s="93">
        <v>9.9000000000000005E-2</v>
      </c>
      <c r="D23" s="93">
        <v>9.8000000000000004E-2</v>
      </c>
      <c r="E23" s="93">
        <v>9.0999999999999998E-2</v>
      </c>
      <c r="F23" s="101"/>
    </row>
    <row r="24" spans="1:6">
      <c r="A24" s="88" t="s">
        <v>243</v>
      </c>
      <c r="B24" s="95" t="s">
        <v>2538</v>
      </c>
      <c r="C24" s="93">
        <v>8.8999999999999996E-2</v>
      </c>
      <c r="D24" s="93">
        <v>9.7000000000000003E-2</v>
      </c>
      <c r="E24" s="93">
        <v>7.0000000000000007E-2</v>
      </c>
      <c r="F24" s="101"/>
    </row>
    <row r="25" spans="1:6">
      <c r="A25" s="88" t="s">
        <v>243</v>
      </c>
      <c r="B25" s="95" t="s">
        <v>2548</v>
      </c>
      <c r="C25" s="93">
        <v>8.8999999999999996E-2</v>
      </c>
      <c r="D25" s="93">
        <v>0.1</v>
      </c>
      <c r="E25" s="93">
        <v>8.1000000000000003E-2</v>
      </c>
      <c r="F25" s="101"/>
    </row>
    <row r="26" spans="1:6">
      <c r="A26" s="88" t="s">
        <v>243</v>
      </c>
      <c r="B26" s="95" t="s">
        <v>2558</v>
      </c>
      <c r="C26" s="102"/>
      <c r="D26" s="93">
        <v>9.6000000000000002E-2</v>
      </c>
      <c r="E26" s="93">
        <v>9.2999999999999999E-2</v>
      </c>
      <c r="F26" s="101"/>
    </row>
    <row r="27" spans="1:6">
      <c r="A27" s="88" t="s">
        <v>243</v>
      </c>
      <c r="B27" s="95" t="s">
        <v>2568</v>
      </c>
      <c r="C27" s="102"/>
      <c r="D27" s="93">
        <v>7.5999999999999998E-2</v>
      </c>
      <c r="E27" s="93">
        <v>9.1999999999999998E-2</v>
      </c>
      <c r="F27" s="101"/>
    </row>
    <row r="28" spans="1:6">
      <c r="A28" s="96" t="s">
        <v>243</v>
      </c>
      <c r="B28" s="97" t="s">
        <v>2578</v>
      </c>
      <c r="C28" s="99"/>
      <c r="D28" s="98">
        <v>7.5999999999999998E-2</v>
      </c>
      <c r="E28" s="98">
        <v>9.1999999999999998E-2</v>
      </c>
      <c r="F28" s="100"/>
    </row>
    <row r="29" spans="1:6">
      <c r="A29" s="88" t="s">
        <v>253</v>
      </c>
      <c r="B29" s="89" t="s">
        <v>2386</v>
      </c>
      <c r="C29" s="90">
        <v>6.4000000000000001E-2</v>
      </c>
      <c r="D29" s="90">
        <v>6.5000000000000002E-2</v>
      </c>
      <c r="E29" s="90">
        <v>6.9000000000000006E-2</v>
      </c>
      <c r="F29" s="91">
        <v>0.1</v>
      </c>
    </row>
    <row r="30" spans="1:6">
      <c r="A30" s="88" t="s">
        <v>253</v>
      </c>
      <c r="B30" s="95" t="s">
        <v>2399</v>
      </c>
      <c r="C30" s="93">
        <v>6.4000000000000001E-2</v>
      </c>
      <c r="D30" s="93">
        <v>9.9000000000000005E-2</v>
      </c>
      <c r="E30" s="93">
        <v>0.1</v>
      </c>
      <c r="F30" s="94">
        <v>0.1</v>
      </c>
    </row>
    <row r="31" spans="1:6">
      <c r="A31" s="88" t="s">
        <v>253</v>
      </c>
      <c r="B31" s="95" t="s">
        <v>2413</v>
      </c>
      <c r="C31" s="93">
        <v>0.1</v>
      </c>
      <c r="D31" s="93">
        <v>9.5000000000000001E-2</v>
      </c>
      <c r="E31" s="93">
        <v>8.8999999999999996E-2</v>
      </c>
      <c r="F31" s="94">
        <v>0.1</v>
      </c>
    </row>
    <row r="32" spans="1:6">
      <c r="A32" s="88" t="s">
        <v>253</v>
      </c>
      <c r="B32" s="95" t="s">
        <v>2425</v>
      </c>
      <c r="C32" s="93">
        <v>0.05</v>
      </c>
      <c r="D32" s="93">
        <v>0.05</v>
      </c>
      <c r="E32" s="93">
        <v>8.7999999999999995E-2</v>
      </c>
      <c r="F32" s="94">
        <v>0.1</v>
      </c>
    </row>
    <row r="33" spans="1:6">
      <c r="A33" s="88" t="s">
        <v>253</v>
      </c>
      <c r="B33" s="95" t="s">
        <v>2437</v>
      </c>
      <c r="C33" s="93">
        <v>7.4999999999999997E-2</v>
      </c>
      <c r="D33" s="93">
        <v>9.4E-2</v>
      </c>
      <c r="E33" s="93">
        <v>9.7000000000000003E-2</v>
      </c>
      <c r="F33" s="94">
        <v>0.1</v>
      </c>
    </row>
    <row r="34" spans="1:6">
      <c r="A34" s="88" t="s">
        <v>253</v>
      </c>
      <c r="B34" s="95" t="s">
        <v>2448</v>
      </c>
      <c r="C34" s="93">
        <v>9.8000000000000004E-2</v>
      </c>
      <c r="D34" s="93">
        <v>8.5999999999999993E-2</v>
      </c>
      <c r="E34" s="93">
        <v>9.7000000000000003E-2</v>
      </c>
      <c r="F34" s="94">
        <v>0.1</v>
      </c>
    </row>
    <row r="35" spans="1:6">
      <c r="A35" s="88" t="s">
        <v>253</v>
      </c>
      <c r="B35" s="95" t="s">
        <v>2459</v>
      </c>
      <c r="C35" s="93">
        <v>5.8999999999999997E-2</v>
      </c>
      <c r="D35" s="93">
        <v>6.5000000000000002E-2</v>
      </c>
      <c r="E35" s="93">
        <v>7.0000000000000007E-2</v>
      </c>
      <c r="F35" s="94">
        <v>0.1</v>
      </c>
    </row>
    <row r="36" spans="1:6">
      <c r="A36" s="88" t="s">
        <v>253</v>
      </c>
      <c r="B36" s="95" t="s">
        <v>2470</v>
      </c>
      <c r="C36" s="93">
        <v>6.3E-2</v>
      </c>
      <c r="D36" s="93">
        <v>0.1</v>
      </c>
      <c r="E36" s="93">
        <v>0.1</v>
      </c>
      <c r="F36" s="94">
        <v>0.1</v>
      </c>
    </row>
    <row r="37" spans="1:6">
      <c r="A37" s="88" t="s">
        <v>253</v>
      </c>
      <c r="B37" s="95" t="s">
        <v>2480</v>
      </c>
      <c r="C37" s="93">
        <v>7.3999999999999996E-2</v>
      </c>
      <c r="D37" s="93">
        <v>0.1</v>
      </c>
      <c r="E37" s="93">
        <v>0.1</v>
      </c>
      <c r="F37" s="94">
        <v>0.1</v>
      </c>
    </row>
    <row r="38" spans="1:6">
      <c r="A38" s="88" t="s">
        <v>253</v>
      </c>
      <c r="B38" s="95" t="s">
        <v>2490</v>
      </c>
      <c r="C38" s="93">
        <v>0.1</v>
      </c>
      <c r="D38" s="93">
        <v>9.6000000000000002E-2</v>
      </c>
      <c r="E38" s="93">
        <v>9.6000000000000002E-2</v>
      </c>
      <c r="F38" s="101"/>
    </row>
    <row r="39" spans="1:6">
      <c r="A39" s="88" t="s">
        <v>253</v>
      </c>
      <c r="B39" s="95" t="s">
        <v>2500</v>
      </c>
      <c r="C39" s="93">
        <v>0.1</v>
      </c>
      <c r="D39" s="93">
        <v>9.6000000000000002E-2</v>
      </c>
      <c r="E39" s="93">
        <v>9.6000000000000002E-2</v>
      </c>
      <c r="F39" s="101"/>
    </row>
    <row r="40" spans="1:6">
      <c r="A40" s="88" t="s">
        <v>253</v>
      </c>
      <c r="B40" s="95" t="s">
        <v>2510</v>
      </c>
      <c r="C40" s="93">
        <v>9.6000000000000002E-2</v>
      </c>
      <c r="D40" s="93">
        <v>0.1</v>
      </c>
      <c r="E40" s="93">
        <v>9.9000000000000005E-2</v>
      </c>
      <c r="F40" s="101"/>
    </row>
    <row r="41" spans="1:6">
      <c r="A41" s="88" t="s">
        <v>253</v>
      </c>
      <c r="B41" s="95" t="s">
        <v>2519</v>
      </c>
      <c r="C41" s="93">
        <v>9.6000000000000002E-2</v>
      </c>
      <c r="D41" s="93">
        <v>9.8000000000000004E-2</v>
      </c>
      <c r="E41" s="93">
        <v>9.8000000000000004E-2</v>
      </c>
      <c r="F41" s="101"/>
    </row>
    <row r="42" spans="1:6">
      <c r="A42" s="88" t="s">
        <v>253</v>
      </c>
      <c r="B42" s="95" t="s">
        <v>2529</v>
      </c>
      <c r="C42" s="93">
        <v>0.1</v>
      </c>
      <c r="D42" s="93">
        <v>8.7999999999999995E-2</v>
      </c>
      <c r="E42" s="93">
        <v>0.1</v>
      </c>
      <c r="F42" s="101"/>
    </row>
    <row r="43" spans="1:6">
      <c r="A43" s="88" t="s">
        <v>253</v>
      </c>
      <c r="B43" s="95" t="s">
        <v>2539</v>
      </c>
      <c r="C43" s="93">
        <v>9.8000000000000004E-2</v>
      </c>
      <c r="D43" s="93">
        <v>9.7000000000000003E-2</v>
      </c>
      <c r="E43" s="93">
        <v>9.6000000000000002E-2</v>
      </c>
      <c r="F43" s="101"/>
    </row>
    <row r="44" spans="1:6">
      <c r="A44" s="88" t="s">
        <v>253</v>
      </c>
      <c r="B44" s="95" t="s">
        <v>2549</v>
      </c>
      <c r="C44" s="93">
        <v>8.5999999999999993E-2</v>
      </c>
      <c r="D44" s="93">
        <v>7.9000000000000001E-2</v>
      </c>
      <c r="E44" s="93">
        <v>7.0999999999999994E-2</v>
      </c>
      <c r="F44" s="101"/>
    </row>
    <row r="45" spans="1:6">
      <c r="A45" s="88" t="s">
        <v>253</v>
      </c>
      <c r="B45" s="95" t="s">
        <v>2559</v>
      </c>
      <c r="C45" s="93">
        <v>9.8000000000000004E-2</v>
      </c>
      <c r="D45" s="93">
        <v>9.6000000000000002E-2</v>
      </c>
      <c r="E45" s="93">
        <v>9.6000000000000002E-2</v>
      </c>
      <c r="F45" s="101"/>
    </row>
    <row r="46" spans="1:6">
      <c r="A46" s="88" t="s">
        <v>253</v>
      </c>
      <c r="B46" s="95" t="s">
        <v>2569</v>
      </c>
      <c r="C46" s="93">
        <v>8.5999999999999993E-2</v>
      </c>
      <c r="D46" s="93">
        <v>9.8000000000000004E-2</v>
      </c>
      <c r="E46" s="93">
        <v>8.7999999999999995E-2</v>
      </c>
      <c r="F46" s="101"/>
    </row>
    <row r="47" spans="1:6">
      <c r="A47" s="88" t="s">
        <v>253</v>
      </c>
      <c r="B47" s="95" t="s">
        <v>2579</v>
      </c>
      <c r="C47" s="93">
        <v>9.6000000000000002E-2</v>
      </c>
      <c r="D47" s="102"/>
      <c r="E47" s="93">
        <v>6.9000000000000006E-2</v>
      </c>
      <c r="F47" s="101"/>
    </row>
    <row r="48" spans="1:6">
      <c r="A48" s="96" t="s">
        <v>253</v>
      </c>
      <c r="B48" s="97" t="s">
        <v>2588</v>
      </c>
      <c r="C48" s="98">
        <v>9.8000000000000004E-2</v>
      </c>
      <c r="D48" s="99"/>
      <c r="E48" s="98">
        <v>9.5000000000000001E-2</v>
      </c>
      <c r="F48" s="100"/>
    </row>
    <row r="49" spans="1:6">
      <c r="A49" s="88" t="s">
        <v>261</v>
      </c>
      <c r="B49" s="89" t="s">
        <v>2387</v>
      </c>
      <c r="C49" s="90">
        <v>9.7000000000000003E-2</v>
      </c>
      <c r="D49" s="90">
        <v>9.5000000000000001E-2</v>
      </c>
      <c r="E49" s="90">
        <v>9.7000000000000003E-2</v>
      </c>
      <c r="F49" s="91">
        <v>0.1</v>
      </c>
    </row>
    <row r="50" spans="1:6">
      <c r="A50" s="88" t="s">
        <v>261</v>
      </c>
      <c r="B50" s="92" t="s">
        <v>2400</v>
      </c>
      <c r="C50" s="93">
        <v>7.4999999999999997E-2</v>
      </c>
      <c r="D50" s="93">
        <v>9.5000000000000001E-2</v>
      </c>
      <c r="E50" s="93">
        <v>0.1</v>
      </c>
      <c r="F50" s="94">
        <v>0.1</v>
      </c>
    </row>
    <row r="51" spans="1:6">
      <c r="A51" s="88" t="s">
        <v>261</v>
      </c>
      <c r="B51" s="92" t="s">
        <v>2414</v>
      </c>
      <c r="C51" s="93">
        <v>9.8000000000000004E-2</v>
      </c>
      <c r="D51" s="93">
        <v>8.8999999999999996E-2</v>
      </c>
      <c r="E51" s="93">
        <v>0.1</v>
      </c>
      <c r="F51" s="94">
        <v>0.1</v>
      </c>
    </row>
    <row r="52" spans="1:6">
      <c r="A52" s="88" t="s">
        <v>261</v>
      </c>
      <c r="B52" s="92" t="s">
        <v>2426</v>
      </c>
      <c r="C52" s="93">
        <v>9.8000000000000004E-2</v>
      </c>
      <c r="D52" s="93">
        <v>9.7000000000000003E-2</v>
      </c>
      <c r="E52" s="93">
        <v>8.1000000000000003E-2</v>
      </c>
      <c r="F52" s="94">
        <v>0.1</v>
      </c>
    </row>
    <row r="53" spans="1:6">
      <c r="A53" s="88" t="s">
        <v>261</v>
      </c>
      <c r="B53" s="92" t="s">
        <v>2438</v>
      </c>
      <c r="C53" s="93">
        <v>9.7000000000000003E-2</v>
      </c>
      <c r="D53" s="93">
        <v>7.5999999999999998E-2</v>
      </c>
      <c r="E53" s="93">
        <v>7.0999999999999994E-2</v>
      </c>
      <c r="F53" s="94">
        <v>0.1</v>
      </c>
    </row>
    <row r="54" spans="1:6">
      <c r="A54" s="88" t="s">
        <v>261</v>
      </c>
      <c r="B54" s="92" t="s">
        <v>2449</v>
      </c>
      <c r="C54" s="93">
        <v>7.5999999999999998E-2</v>
      </c>
      <c r="D54" s="93">
        <v>0.1</v>
      </c>
      <c r="E54" s="93">
        <v>9.9000000000000005E-2</v>
      </c>
      <c r="F54" s="94">
        <v>0.1</v>
      </c>
    </row>
    <row r="55" spans="1:6">
      <c r="A55" s="88" t="s">
        <v>261</v>
      </c>
      <c r="B55" s="92" t="s">
        <v>2460</v>
      </c>
      <c r="C55" s="93">
        <v>0.1</v>
      </c>
      <c r="D55" s="93">
        <v>0.1</v>
      </c>
      <c r="E55" s="93">
        <v>9.6000000000000002E-2</v>
      </c>
      <c r="F55" s="94">
        <v>0.1</v>
      </c>
    </row>
    <row r="56" spans="1:6">
      <c r="A56" s="88" t="s">
        <v>261</v>
      </c>
      <c r="B56" s="92" t="s">
        <v>2471</v>
      </c>
      <c r="C56" s="93">
        <v>0.1</v>
      </c>
      <c r="D56" s="93">
        <v>9.6000000000000002E-2</v>
      </c>
      <c r="E56" s="93">
        <v>5.1999999999999998E-2</v>
      </c>
      <c r="F56" s="94">
        <v>0.1</v>
      </c>
    </row>
    <row r="57" spans="1:6">
      <c r="A57" s="88" t="s">
        <v>261</v>
      </c>
      <c r="B57" s="92" t="s">
        <v>2481</v>
      </c>
      <c r="C57" s="93">
        <v>9.7000000000000003E-2</v>
      </c>
      <c r="D57" s="93">
        <v>9.6000000000000002E-2</v>
      </c>
      <c r="E57" s="93">
        <v>9.6000000000000002E-2</v>
      </c>
      <c r="F57" s="94">
        <v>0.1</v>
      </c>
    </row>
    <row r="58" spans="1:6">
      <c r="A58" s="88" t="s">
        <v>261</v>
      </c>
      <c r="B58" s="92" t="s">
        <v>2491</v>
      </c>
      <c r="C58" s="93">
        <v>9.6000000000000002E-2</v>
      </c>
      <c r="D58" s="93">
        <v>9.9000000000000005E-2</v>
      </c>
      <c r="E58" s="93">
        <v>9.6000000000000002E-2</v>
      </c>
      <c r="F58" s="94">
        <v>0.1</v>
      </c>
    </row>
    <row r="59" spans="1:6">
      <c r="A59" s="88" t="s">
        <v>261</v>
      </c>
      <c r="B59" s="92" t="s">
        <v>2501</v>
      </c>
      <c r="C59" s="93">
        <v>7.1999999999999995E-2</v>
      </c>
      <c r="D59" s="93">
        <v>9.6000000000000002E-2</v>
      </c>
      <c r="E59" s="93">
        <v>7.0999999999999994E-2</v>
      </c>
      <c r="F59" s="94">
        <v>0.1</v>
      </c>
    </row>
    <row r="60" spans="1:6">
      <c r="A60" s="88" t="s">
        <v>261</v>
      </c>
      <c r="B60" s="92" t="s">
        <v>414</v>
      </c>
      <c r="C60" s="93">
        <v>9.6000000000000002E-2</v>
      </c>
      <c r="D60" s="93">
        <v>8.8999999999999996E-2</v>
      </c>
      <c r="E60" s="93">
        <v>9.6000000000000002E-2</v>
      </c>
      <c r="F60" s="94">
        <v>0.1</v>
      </c>
    </row>
    <row r="61" spans="1:6">
      <c r="A61" s="88" t="s">
        <v>261</v>
      </c>
      <c r="B61" s="92" t="s">
        <v>2520</v>
      </c>
      <c r="C61" s="93">
        <v>8.8999999999999996E-2</v>
      </c>
      <c r="D61" s="93">
        <v>9.8000000000000004E-2</v>
      </c>
      <c r="E61" s="93">
        <v>8.7999999999999995E-2</v>
      </c>
      <c r="F61" s="101"/>
    </row>
    <row r="62" spans="1:6">
      <c r="A62" s="88" t="s">
        <v>261</v>
      </c>
      <c r="B62" s="92" t="s">
        <v>2530</v>
      </c>
      <c r="C62" s="93">
        <v>9.8000000000000004E-2</v>
      </c>
      <c r="D62" s="93">
        <v>9.2999999999999999E-2</v>
      </c>
      <c r="E62" s="93">
        <v>9.7000000000000003E-2</v>
      </c>
      <c r="F62" s="101"/>
    </row>
    <row r="63" spans="1:6">
      <c r="A63" s="88" t="s">
        <v>261</v>
      </c>
      <c r="B63" s="92" t="s">
        <v>2540</v>
      </c>
      <c r="C63" s="93">
        <v>9.6000000000000002E-2</v>
      </c>
      <c r="D63" s="93">
        <v>9.8000000000000004E-2</v>
      </c>
      <c r="E63" s="93">
        <v>0.09</v>
      </c>
      <c r="F63" s="101"/>
    </row>
    <row r="64" spans="1:6">
      <c r="A64" s="88" t="s">
        <v>261</v>
      </c>
      <c r="B64" s="92" t="s">
        <v>2550</v>
      </c>
      <c r="C64" s="93">
        <v>9.9000000000000005E-2</v>
      </c>
      <c r="D64" s="93">
        <v>9.7000000000000003E-2</v>
      </c>
      <c r="E64" s="93">
        <v>9.9000000000000005E-2</v>
      </c>
      <c r="F64" s="101"/>
    </row>
    <row r="65" spans="1:6">
      <c r="A65" s="88" t="s">
        <v>261</v>
      </c>
      <c r="B65" s="92" t="s">
        <v>2560</v>
      </c>
      <c r="C65" s="93">
        <v>9.8000000000000004E-2</v>
      </c>
      <c r="D65" s="93">
        <v>9.6000000000000002E-2</v>
      </c>
      <c r="E65" s="93">
        <v>9.6000000000000002E-2</v>
      </c>
      <c r="F65" s="101"/>
    </row>
    <row r="66" spans="1:6">
      <c r="A66" s="88" t="s">
        <v>261</v>
      </c>
      <c r="B66" s="92" t="s">
        <v>2570</v>
      </c>
      <c r="C66" s="93">
        <v>9.6000000000000002E-2</v>
      </c>
      <c r="D66" s="93">
        <v>9.1999999999999998E-2</v>
      </c>
      <c r="E66" s="93">
        <v>9.6000000000000002E-2</v>
      </c>
      <c r="F66" s="101"/>
    </row>
    <row r="67" spans="1:6">
      <c r="A67" s="88" t="s">
        <v>261</v>
      </c>
      <c r="B67" s="92" t="s">
        <v>2580</v>
      </c>
      <c r="C67" s="93">
        <v>9.4E-2</v>
      </c>
      <c r="D67" s="93">
        <v>0.1</v>
      </c>
      <c r="E67" s="93">
        <v>8.7999999999999995E-2</v>
      </c>
      <c r="F67" s="101"/>
    </row>
    <row r="68" spans="1:6">
      <c r="A68" s="88" t="s">
        <v>261</v>
      </c>
      <c r="B68" s="92" t="s">
        <v>2589</v>
      </c>
      <c r="C68" s="93">
        <v>0.1</v>
      </c>
      <c r="D68" s="93">
        <v>8.7999999999999995E-2</v>
      </c>
      <c r="E68" s="93">
        <v>9.7000000000000003E-2</v>
      </c>
      <c r="F68" s="101"/>
    </row>
    <row r="69" spans="1:6">
      <c r="A69" s="88" t="s">
        <v>261</v>
      </c>
      <c r="B69" s="92" t="s">
        <v>2597</v>
      </c>
      <c r="C69" s="93">
        <v>6.4000000000000001E-2</v>
      </c>
      <c r="D69" s="93">
        <v>0.1</v>
      </c>
      <c r="E69" s="93">
        <v>0.1</v>
      </c>
      <c r="F69" s="101"/>
    </row>
    <row r="70" spans="1:6">
      <c r="A70" s="88" t="s">
        <v>261</v>
      </c>
      <c r="B70" s="92" t="s">
        <v>2605</v>
      </c>
      <c r="C70" s="93">
        <v>9.0999999999999998E-2</v>
      </c>
      <c r="D70" s="102"/>
      <c r="E70" s="102"/>
      <c r="F70" s="101"/>
    </row>
    <row r="71" spans="1:6">
      <c r="A71" s="88" t="s">
        <v>261</v>
      </c>
      <c r="B71" s="92" t="s">
        <v>2612</v>
      </c>
      <c r="C71" s="93">
        <v>0.1</v>
      </c>
      <c r="D71" s="102"/>
      <c r="E71" s="102"/>
      <c r="F71" s="101"/>
    </row>
    <row r="72" spans="1:6">
      <c r="A72" s="88" t="s">
        <v>261</v>
      </c>
      <c r="B72" s="92" t="s">
        <v>2619</v>
      </c>
      <c r="C72" s="102"/>
      <c r="D72" s="102"/>
      <c r="E72" s="102"/>
      <c r="F72" s="94">
        <v>0.05</v>
      </c>
    </row>
    <row r="73" spans="1:6">
      <c r="A73" s="88" t="s">
        <v>261</v>
      </c>
      <c r="B73" s="92" t="s">
        <v>2626</v>
      </c>
      <c r="C73" s="102"/>
      <c r="D73" s="102"/>
      <c r="E73" s="102"/>
      <c r="F73" s="94">
        <v>0.05</v>
      </c>
    </row>
    <row r="74" spans="1:6">
      <c r="A74" s="88" t="s">
        <v>261</v>
      </c>
      <c r="B74" s="92" t="s">
        <v>2633</v>
      </c>
      <c r="C74" s="102"/>
      <c r="D74" s="102"/>
      <c r="E74" s="102"/>
      <c r="F74" s="94">
        <v>0.05</v>
      </c>
    </row>
    <row r="75" spans="1:6">
      <c r="A75" s="96" t="s">
        <v>261</v>
      </c>
      <c r="B75" s="103" t="s">
        <v>2640</v>
      </c>
      <c r="C75" s="99"/>
      <c r="D75" s="99"/>
      <c r="E75" s="99"/>
      <c r="F75" s="104">
        <v>0.05</v>
      </c>
    </row>
    <row r="76" spans="1:6">
      <c r="A76" s="88" t="s">
        <v>269</v>
      </c>
      <c r="B76" s="89" t="s">
        <v>2388</v>
      </c>
      <c r="C76" s="90">
        <v>0.1</v>
      </c>
      <c r="D76" s="90">
        <v>0.1</v>
      </c>
      <c r="E76" s="90">
        <v>0.1</v>
      </c>
      <c r="F76" s="91">
        <v>0.1</v>
      </c>
    </row>
    <row r="77" spans="1:6">
      <c r="A77" s="88" t="s">
        <v>269</v>
      </c>
      <c r="B77" s="92" t="s">
        <v>2401</v>
      </c>
      <c r="C77" s="93">
        <v>8.7999999999999995E-2</v>
      </c>
      <c r="D77" s="93">
        <v>8.6999999999999994E-2</v>
      </c>
      <c r="E77" s="93">
        <v>7.9000000000000001E-2</v>
      </c>
      <c r="F77" s="94">
        <v>0.1</v>
      </c>
    </row>
    <row r="78" spans="1:6">
      <c r="A78" s="88" t="s">
        <v>269</v>
      </c>
      <c r="B78" s="92" t="s">
        <v>2415</v>
      </c>
      <c r="C78" s="93">
        <v>8.6999999999999994E-2</v>
      </c>
      <c r="D78" s="93">
        <v>8.4000000000000005E-2</v>
      </c>
      <c r="E78" s="93">
        <v>9.6000000000000002E-2</v>
      </c>
      <c r="F78" s="94">
        <v>0.1</v>
      </c>
    </row>
    <row r="79" spans="1:6">
      <c r="A79" s="88" t="s">
        <v>269</v>
      </c>
      <c r="B79" s="92" t="s">
        <v>2427</v>
      </c>
      <c r="C79" s="93">
        <v>9.8000000000000004E-2</v>
      </c>
      <c r="D79" s="93">
        <v>9.8000000000000004E-2</v>
      </c>
      <c r="E79" s="93">
        <v>9.0999999999999998E-2</v>
      </c>
      <c r="F79" s="94">
        <v>0.1</v>
      </c>
    </row>
    <row r="80" spans="1:6">
      <c r="A80" s="88" t="s">
        <v>269</v>
      </c>
      <c r="B80" s="92" t="s">
        <v>2439</v>
      </c>
      <c r="C80" s="93">
        <v>9.6000000000000002E-2</v>
      </c>
      <c r="D80" s="93">
        <v>9.6000000000000002E-2</v>
      </c>
      <c r="E80" s="93">
        <v>0.1</v>
      </c>
      <c r="F80" s="94">
        <v>0.1</v>
      </c>
    </row>
    <row r="81" spans="1:6">
      <c r="A81" s="88" t="s">
        <v>269</v>
      </c>
      <c r="B81" s="92" t="s">
        <v>2450</v>
      </c>
      <c r="C81" s="93">
        <v>9.9000000000000005E-2</v>
      </c>
      <c r="D81" s="93">
        <v>9.9000000000000005E-2</v>
      </c>
      <c r="E81" s="93">
        <v>9.8000000000000004E-2</v>
      </c>
      <c r="F81" s="94">
        <v>0.1</v>
      </c>
    </row>
    <row r="82" spans="1:6">
      <c r="A82" s="88" t="s">
        <v>269</v>
      </c>
      <c r="B82" s="92" t="s">
        <v>2461</v>
      </c>
      <c r="C82" s="93">
        <v>9.9000000000000005E-2</v>
      </c>
      <c r="D82" s="93">
        <v>9.9000000000000005E-2</v>
      </c>
      <c r="E82" s="93">
        <v>9.7000000000000003E-2</v>
      </c>
      <c r="F82" s="94">
        <v>0.1</v>
      </c>
    </row>
    <row r="83" spans="1:6">
      <c r="A83" s="88" t="s">
        <v>269</v>
      </c>
      <c r="B83" s="92" t="s">
        <v>2472</v>
      </c>
      <c r="C83" s="93">
        <v>9.8000000000000004E-2</v>
      </c>
      <c r="D83" s="93">
        <v>9.8000000000000004E-2</v>
      </c>
      <c r="E83" s="93">
        <v>9.8000000000000004E-2</v>
      </c>
      <c r="F83" s="94">
        <v>0.1</v>
      </c>
    </row>
    <row r="84" spans="1:6">
      <c r="A84" s="88" t="s">
        <v>269</v>
      </c>
      <c r="B84" s="92" t="s">
        <v>2482</v>
      </c>
      <c r="C84" s="93">
        <v>9.9000000000000005E-2</v>
      </c>
      <c r="D84" s="93">
        <v>9.9000000000000005E-2</v>
      </c>
      <c r="E84" s="93">
        <v>9.9000000000000005E-2</v>
      </c>
      <c r="F84" s="94">
        <v>0.1</v>
      </c>
    </row>
    <row r="85" spans="1:6">
      <c r="A85" s="88" t="s">
        <v>269</v>
      </c>
      <c r="B85" s="92" t="s">
        <v>2492</v>
      </c>
      <c r="C85" s="93">
        <v>9.9000000000000005E-2</v>
      </c>
      <c r="D85" s="93">
        <v>9.9000000000000005E-2</v>
      </c>
      <c r="E85" s="93">
        <v>9.9000000000000005E-2</v>
      </c>
      <c r="F85" s="94">
        <v>0.1</v>
      </c>
    </row>
    <row r="86" spans="1:6">
      <c r="A86" s="88" t="s">
        <v>269</v>
      </c>
      <c r="B86" s="92" t="s">
        <v>2502</v>
      </c>
      <c r="C86" s="93">
        <v>0.1</v>
      </c>
      <c r="D86" s="93">
        <v>0.1</v>
      </c>
      <c r="E86" s="93">
        <v>7.6999999999999999E-2</v>
      </c>
      <c r="F86" s="94">
        <v>0.1</v>
      </c>
    </row>
    <row r="87" spans="1:6">
      <c r="A87" s="88" t="s">
        <v>269</v>
      </c>
      <c r="B87" s="92" t="s">
        <v>2511</v>
      </c>
      <c r="C87" s="93">
        <v>0.1</v>
      </c>
      <c r="D87" s="93">
        <v>0.1</v>
      </c>
      <c r="E87" s="93">
        <v>9.8000000000000004E-2</v>
      </c>
      <c r="F87" s="101"/>
    </row>
    <row r="88" spans="1:6">
      <c r="A88" s="88" t="s">
        <v>269</v>
      </c>
      <c r="B88" s="92" t="s">
        <v>2521</v>
      </c>
      <c r="C88" s="93">
        <v>9.1999999999999998E-2</v>
      </c>
      <c r="D88" s="93">
        <v>8.5000000000000006E-2</v>
      </c>
      <c r="E88" s="93">
        <v>9.6000000000000002E-2</v>
      </c>
      <c r="F88" s="101"/>
    </row>
    <row r="89" spans="1:6">
      <c r="A89" s="88" t="s">
        <v>269</v>
      </c>
      <c r="B89" s="92" t="s">
        <v>2531</v>
      </c>
      <c r="C89" s="93">
        <v>0.1</v>
      </c>
      <c r="D89" s="93">
        <v>0.1</v>
      </c>
      <c r="E89" s="93">
        <v>9.7000000000000003E-2</v>
      </c>
      <c r="F89" s="101"/>
    </row>
    <row r="90" spans="1:6">
      <c r="A90" s="88" t="s">
        <v>269</v>
      </c>
      <c r="B90" s="92" t="s">
        <v>2541</v>
      </c>
      <c r="C90" s="93">
        <v>9.8000000000000004E-2</v>
      </c>
      <c r="D90" s="93">
        <v>9.8000000000000004E-2</v>
      </c>
      <c r="E90" s="93">
        <v>8.7999999999999995E-2</v>
      </c>
      <c r="F90" s="101"/>
    </row>
    <row r="91" spans="1:6">
      <c r="A91" s="88" t="s">
        <v>269</v>
      </c>
      <c r="B91" s="92" t="s">
        <v>2551</v>
      </c>
      <c r="C91" s="93">
        <v>9.9000000000000005E-2</v>
      </c>
      <c r="D91" s="93">
        <v>9.9000000000000005E-2</v>
      </c>
      <c r="E91" s="93">
        <v>9.0999999999999998E-2</v>
      </c>
      <c r="F91" s="101"/>
    </row>
    <row r="92" spans="1:6">
      <c r="A92" s="88" t="s">
        <v>269</v>
      </c>
      <c r="B92" s="92" t="s">
        <v>2561</v>
      </c>
      <c r="C92" s="93">
        <v>9.6000000000000002E-2</v>
      </c>
      <c r="D92" s="93">
        <v>9.6000000000000002E-2</v>
      </c>
      <c r="E92" s="93">
        <v>7.2999999999999995E-2</v>
      </c>
      <c r="F92" s="101"/>
    </row>
    <row r="93" spans="1:6">
      <c r="A93" s="88" t="s">
        <v>269</v>
      </c>
      <c r="B93" s="92" t="s">
        <v>2571</v>
      </c>
      <c r="C93" s="93">
        <v>9.6000000000000002E-2</v>
      </c>
      <c r="D93" s="93">
        <v>9.6000000000000002E-2</v>
      </c>
      <c r="E93" s="93">
        <v>9.9000000000000005E-2</v>
      </c>
      <c r="F93" s="101"/>
    </row>
    <row r="94" spans="1:6">
      <c r="A94" s="88" t="s">
        <v>269</v>
      </c>
      <c r="B94" s="92" t="s">
        <v>2581</v>
      </c>
      <c r="C94" s="93">
        <v>7.5999999999999998E-2</v>
      </c>
      <c r="D94" s="93">
        <v>7.3999999999999996E-2</v>
      </c>
      <c r="E94" s="93">
        <v>9.7000000000000003E-2</v>
      </c>
      <c r="F94" s="101"/>
    </row>
    <row r="95" spans="1:6">
      <c r="A95" s="88" t="s">
        <v>269</v>
      </c>
      <c r="B95" s="92" t="s">
        <v>2590</v>
      </c>
      <c r="C95" s="93">
        <v>9.9000000000000005E-2</v>
      </c>
      <c r="D95" s="93">
        <v>9.4E-2</v>
      </c>
      <c r="E95" s="93">
        <v>9.6000000000000002E-2</v>
      </c>
      <c r="F95" s="101"/>
    </row>
    <row r="96" spans="1:6">
      <c r="A96" s="88" t="s">
        <v>269</v>
      </c>
      <c r="B96" s="92" t="s">
        <v>2598</v>
      </c>
      <c r="C96" s="93">
        <v>9.9000000000000005E-2</v>
      </c>
      <c r="D96" s="93">
        <v>9.9000000000000005E-2</v>
      </c>
      <c r="E96" s="93">
        <v>9.9000000000000005E-2</v>
      </c>
      <c r="F96" s="101"/>
    </row>
    <row r="97" spans="1:6">
      <c r="A97" s="88" t="s">
        <v>269</v>
      </c>
      <c r="B97" s="92" t="s">
        <v>2606</v>
      </c>
      <c r="C97" s="93">
        <v>9.8000000000000004E-2</v>
      </c>
      <c r="D97" s="93">
        <v>9.8000000000000004E-2</v>
      </c>
      <c r="E97" s="93">
        <v>9.7000000000000003E-2</v>
      </c>
      <c r="F97" s="101"/>
    </row>
    <row r="98" spans="1:6">
      <c r="A98" s="88" t="s">
        <v>269</v>
      </c>
      <c r="B98" s="92" t="s">
        <v>2613</v>
      </c>
      <c r="C98" s="93">
        <v>0.1</v>
      </c>
      <c r="D98" s="93">
        <v>0.1</v>
      </c>
      <c r="E98" s="93">
        <v>9.7000000000000003E-2</v>
      </c>
      <c r="F98" s="101"/>
    </row>
    <row r="99" spans="1:6">
      <c r="A99" s="88" t="s">
        <v>269</v>
      </c>
      <c r="B99" s="92" t="s">
        <v>2620</v>
      </c>
      <c r="C99" s="93">
        <v>0.1</v>
      </c>
      <c r="D99" s="93">
        <v>0.1</v>
      </c>
      <c r="E99" s="102"/>
      <c r="F99" s="101"/>
    </row>
    <row r="100" spans="1:6">
      <c r="A100" s="88" t="s">
        <v>269</v>
      </c>
      <c r="B100" s="92" t="s">
        <v>2627</v>
      </c>
      <c r="C100" s="93">
        <v>0.09</v>
      </c>
      <c r="D100" s="93">
        <v>8.8999999999999996E-2</v>
      </c>
      <c r="E100" s="102"/>
      <c r="F100" s="101"/>
    </row>
    <row r="101" spans="1:6">
      <c r="A101" s="88" t="s">
        <v>269</v>
      </c>
      <c r="B101" s="92" t="s">
        <v>2634</v>
      </c>
      <c r="C101" s="93">
        <v>9.8000000000000004E-2</v>
      </c>
      <c r="D101" s="93">
        <v>9.7000000000000003E-2</v>
      </c>
      <c r="E101" s="102"/>
      <c r="F101" s="101"/>
    </row>
    <row r="102" spans="1:6">
      <c r="A102" s="88" t="s">
        <v>269</v>
      </c>
      <c r="B102" s="92" t="s">
        <v>2641</v>
      </c>
      <c r="C102" s="102"/>
      <c r="D102" s="102"/>
      <c r="E102" s="102"/>
      <c r="F102" s="94">
        <v>0.05</v>
      </c>
    </row>
    <row r="103" spans="1:6" ht="24">
      <c r="A103" s="88" t="s">
        <v>269</v>
      </c>
      <c r="B103" s="92" t="s">
        <v>2646</v>
      </c>
      <c r="C103" s="102"/>
      <c r="D103" s="102"/>
      <c r="E103" s="102"/>
      <c r="F103" s="94">
        <v>0.05</v>
      </c>
    </row>
    <row r="104" spans="1:6">
      <c r="A104" s="88" t="s">
        <v>269</v>
      </c>
      <c r="B104" s="92" t="s">
        <v>2651</v>
      </c>
      <c r="C104" s="102"/>
      <c r="D104" s="102"/>
      <c r="E104" s="102"/>
      <c r="F104" s="94">
        <v>0.05</v>
      </c>
    </row>
    <row r="105" spans="1:6">
      <c r="A105" s="88" t="s">
        <v>269</v>
      </c>
      <c r="B105" s="92" t="s">
        <v>2656</v>
      </c>
      <c r="C105" s="102"/>
      <c r="D105" s="102"/>
      <c r="E105" s="102"/>
      <c r="F105" s="94">
        <v>0.05</v>
      </c>
    </row>
    <row r="106" spans="1:6">
      <c r="A106" s="88" t="s">
        <v>269</v>
      </c>
      <c r="B106" s="92" t="s">
        <v>2661</v>
      </c>
      <c r="C106" s="102"/>
      <c r="D106" s="102"/>
      <c r="E106" s="102"/>
      <c r="F106" s="94">
        <v>0.05</v>
      </c>
    </row>
    <row r="107" spans="1:6" ht="24">
      <c r="A107" s="88" t="s">
        <v>269</v>
      </c>
      <c r="B107" s="92" t="s">
        <v>2666</v>
      </c>
      <c r="C107" s="102"/>
      <c r="D107" s="102"/>
      <c r="E107" s="102"/>
      <c r="F107" s="94">
        <v>0.05</v>
      </c>
    </row>
    <row r="108" spans="1:6" ht="24">
      <c r="A108" s="88" t="s">
        <v>269</v>
      </c>
      <c r="B108" s="92" t="s">
        <v>2671</v>
      </c>
      <c r="C108" s="102"/>
      <c r="D108" s="102"/>
      <c r="E108" s="102"/>
      <c r="F108" s="94">
        <v>0.05</v>
      </c>
    </row>
    <row r="109" spans="1:6" ht="24">
      <c r="A109" s="96" t="s">
        <v>269</v>
      </c>
      <c r="B109" s="103" t="s">
        <v>2676</v>
      </c>
      <c r="C109" s="99"/>
      <c r="D109" s="99"/>
      <c r="E109" s="99"/>
      <c r="F109" s="104">
        <v>0.05</v>
      </c>
    </row>
    <row r="110" spans="1:6">
      <c r="A110" s="88" t="s">
        <v>275</v>
      </c>
      <c r="B110" s="89" t="s">
        <v>2389</v>
      </c>
      <c r="C110" s="90">
        <v>0.129</v>
      </c>
      <c r="D110" s="90">
        <v>0.129</v>
      </c>
      <c r="E110" s="90">
        <v>0.126</v>
      </c>
      <c r="F110" s="91">
        <v>0.13</v>
      </c>
    </row>
    <row r="111" spans="1:6">
      <c r="A111" s="88" t="s">
        <v>275</v>
      </c>
      <c r="B111" s="92" t="s">
        <v>2402</v>
      </c>
      <c r="C111" s="93">
        <v>0.11</v>
      </c>
      <c r="D111" s="93">
        <v>0.11</v>
      </c>
      <c r="E111" s="93">
        <v>9.9000000000000005E-2</v>
      </c>
      <c r="F111" s="94">
        <v>0.128</v>
      </c>
    </row>
    <row r="112" spans="1:6">
      <c r="A112" s="88" t="s">
        <v>275</v>
      </c>
      <c r="B112" s="92" t="s">
        <v>2416</v>
      </c>
      <c r="C112" s="93">
        <v>0.125</v>
      </c>
      <c r="D112" s="93">
        <v>0.125</v>
      </c>
      <c r="E112" s="93">
        <v>0.12</v>
      </c>
      <c r="F112" s="94">
        <v>0.125</v>
      </c>
    </row>
    <row r="113" spans="1:6">
      <c r="A113" s="88" t="s">
        <v>275</v>
      </c>
      <c r="B113" s="92" t="s">
        <v>2428</v>
      </c>
      <c r="C113" s="93">
        <v>0.13</v>
      </c>
      <c r="D113" s="93">
        <v>0.13</v>
      </c>
      <c r="E113" s="93">
        <v>0.13</v>
      </c>
      <c r="F113" s="94">
        <v>0.13</v>
      </c>
    </row>
    <row r="114" spans="1:6">
      <c r="A114" s="88" t="s">
        <v>275</v>
      </c>
      <c r="B114" s="92" t="s">
        <v>2440</v>
      </c>
      <c r="C114" s="93">
        <v>0.123</v>
      </c>
      <c r="D114" s="93">
        <v>0.123</v>
      </c>
      <c r="E114" s="93">
        <v>0.12</v>
      </c>
      <c r="F114" s="94">
        <v>0.13</v>
      </c>
    </row>
    <row r="115" spans="1:6">
      <c r="A115" s="88" t="s">
        <v>275</v>
      </c>
      <c r="B115" s="92" t="s">
        <v>2451</v>
      </c>
      <c r="C115" s="93">
        <v>0.125</v>
      </c>
      <c r="D115" s="93">
        <v>0.125</v>
      </c>
      <c r="E115" s="93">
        <v>0.11700000000000001</v>
      </c>
      <c r="F115" s="94">
        <v>0.13</v>
      </c>
    </row>
    <row r="116" spans="1:6">
      <c r="A116" s="88" t="s">
        <v>275</v>
      </c>
      <c r="B116" s="92" t="s">
        <v>2462</v>
      </c>
      <c r="C116" s="93">
        <v>0.11700000000000001</v>
      </c>
      <c r="D116" s="93">
        <v>0.11700000000000001</v>
      </c>
      <c r="E116" s="93">
        <v>8.7999999999999995E-2</v>
      </c>
      <c r="F116" s="94">
        <v>0.13</v>
      </c>
    </row>
    <row r="117" spans="1:6">
      <c r="A117" s="88" t="s">
        <v>275</v>
      </c>
      <c r="B117" s="92" t="s">
        <v>2473</v>
      </c>
      <c r="C117" s="93">
        <v>0.13</v>
      </c>
      <c r="D117" s="93">
        <v>0.13</v>
      </c>
      <c r="E117" s="93">
        <v>0.129</v>
      </c>
      <c r="F117" s="94">
        <v>0.13</v>
      </c>
    </row>
    <row r="118" spans="1:6">
      <c r="A118" s="88" t="s">
        <v>275</v>
      </c>
      <c r="B118" s="92" t="s">
        <v>2483</v>
      </c>
      <c r="C118" s="93">
        <v>0.123</v>
      </c>
      <c r="D118" s="93">
        <v>0.123</v>
      </c>
      <c r="E118" s="93">
        <v>0.11600000000000001</v>
      </c>
      <c r="F118" s="94">
        <v>0.13</v>
      </c>
    </row>
    <row r="119" spans="1:6">
      <c r="A119" s="88" t="s">
        <v>275</v>
      </c>
      <c r="B119" s="92" t="s">
        <v>2493</v>
      </c>
      <c r="C119" s="93">
        <v>0.127</v>
      </c>
      <c r="D119" s="93">
        <v>0.127</v>
      </c>
      <c r="E119" s="93">
        <v>0.124</v>
      </c>
      <c r="F119" s="94">
        <v>0.13</v>
      </c>
    </row>
    <row r="120" spans="1:6">
      <c r="A120" s="88" t="s">
        <v>275</v>
      </c>
      <c r="B120" s="92" t="s">
        <v>2503</v>
      </c>
      <c r="C120" s="93">
        <v>0.125</v>
      </c>
      <c r="D120" s="93">
        <v>0.125</v>
      </c>
      <c r="E120" s="93">
        <v>0.122</v>
      </c>
      <c r="F120" s="94">
        <v>0.13</v>
      </c>
    </row>
    <row r="121" spans="1:6">
      <c r="A121" s="88" t="s">
        <v>275</v>
      </c>
      <c r="B121" s="92" t="s">
        <v>2512</v>
      </c>
      <c r="C121" s="93">
        <v>0.13</v>
      </c>
      <c r="D121" s="93">
        <v>0.13</v>
      </c>
      <c r="E121" s="93">
        <v>0.13</v>
      </c>
      <c r="F121" s="94">
        <v>0.13</v>
      </c>
    </row>
    <row r="122" spans="1:6">
      <c r="A122" s="88" t="s">
        <v>275</v>
      </c>
      <c r="B122" s="92" t="s">
        <v>2522</v>
      </c>
      <c r="C122" s="93">
        <v>0.13</v>
      </c>
      <c r="D122" s="93">
        <v>0.13</v>
      </c>
      <c r="E122" s="93">
        <v>0.125</v>
      </c>
      <c r="F122" s="94">
        <v>0.13</v>
      </c>
    </row>
    <row r="123" spans="1:6">
      <c r="A123" s="88" t="s">
        <v>275</v>
      </c>
      <c r="B123" s="92" t="s">
        <v>2532</v>
      </c>
      <c r="C123" s="93">
        <v>0.129</v>
      </c>
      <c r="D123" s="93">
        <v>0.129</v>
      </c>
      <c r="E123" s="93">
        <v>0.123</v>
      </c>
      <c r="F123" s="94">
        <v>0.13</v>
      </c>
    </row>
    <row r="124" spans="1:6">
      <c r="A124" s="88" t="s">
        <v>275</v>
      </c>
      <c r="B124" s="92" t="s">
        <v>2542</v>
      </c>
      <c r="C124" s="93">
        <v>0.10199999999999999</v>
      </c>
      <c r="D124" s="93">
        <v>0.10100000000000001</v>
      </c>
      <c r="E124" s="93">
        <v>0.08</v>
      </c>
      <c r="F124" s="101"/>
    </row>
    <row r="125" spans="1:6">
      <c r="A125" s="88" t="s">
        <v>275</v>
      </c>
      <c r="B125" s="92" t="s">
        <v>2552</v>
      </c>
      <c r="C125" s="93">
        <v>0.13</v>
      </c>
      <c r="D125" s="93">
        <v>0.13</v>
      </c>
      <c r="E125" s="93">
        <v>0.129</v>
      </c>
      <c r="F125" s="101"/>
    </row>
    <row r="126" spans="1:6">
      <c r="A126" s="88" t="s">
        <v>275</v>
      </c>
      <c r="B126" s="92" t="s">
        <v>2562</v>
      </c>
      <c r="C126" s="93">
        <v>0.13</v>
      </c>
      <c r="D126" s="93">
        <v>0.13</v>
      </c>
      <c r="E126" s="93">
        <v>0.126</v>
      </c>
      <c r="F126" s="101"/>
    </row>
    <row r="127" spans="1:6">
      <c r="A127" s="88" t="s">
        <v>275</v>
      </c>
      <c r="B127" s="92" t="s">
        <v>2572</v>
      </c>
      <c r="C127" s="93">
        <v>0.125</v>
      </c>
      <c r="D127" s="93">
        <v>0.125</v>
      </c>
      <c r="E127" s="93">
        <v>0.121</v>
      </c>
      <c r="F127" s="101"/>
    </row>
    <row r="128" spans="1:6">
      <c r="A128" s="88" t="s">
        <v>275</v>
      </c>
      <c r="B128" s="92" t="s">
        <v>2582</v>
      </c>
      <c r="C128" s="93">
        <v>0.12</v>
      </c>
      <c r="D128" s="93">
        <v>0.12</v>
      </c>
      <c r="E128" s="93">
        <v>0.105</v>
      </c>
      <c r="F128" s="101"/>
    </row>
    <row r="129" spans="1:6">
      <c r="A129" s="88" t="s">
        <v>275</v>
      </c>
      <c r="B129" s="92" t="s">
        <v>2591</v>
      </c>
      <c r="C129" s="93">
        <v>0.13</v>
      </c>
      <c r="D129" s="93">
        <v>0.13</v>
      </c>
      <c r="E129" s="93">
        <v>0.126</v>
      </c>
      <c r="F129" s="101"/>
    </row>
    <row r="130" spans="1:6">
      <c r="A130" s="88" t="s">
        <v>275</v>
      </c>
      <c r="B130" s="92" t="s">
        <v>2599</v>
      </c>
      <c r="C130" s="93">
        <v>0.125</v>
      </c>
      <c r="D130" s="93">
        <v>0.125</v>
      </c>
      <c r="E130" s="93">
        <v>0.122</v>
      </c>
      <c r="F130" s="101"/>
    </row>
    <row r="131" spans="1:6">
      <c r="A131" s="88" t="s">
        <v>275</v>
      </c>
      <c r="B131" s="92" t="s">
        <v>2607</v>
      </c>
      <c r="C131" s="93">
        <v>0.127</v>
      </c>
      <c r="D131" s="93">
        <v>0.126</v>
      </c>
      <c r="E131" s="93">
        <v>0.123</v>
      </c>
      <c r="F131" s="101"/>
    </row>
    <row r="132" spans="1:6">
      <c r="A132" s="88" t="s">
        <v>275</v>
      </c>
      <c r="B132" s="92" t="s">
        <v>2614</v>
      </c>
      <c r="C132" s="93">
        <v>9.0999999999999998E-2</v>
      </c>
      <c r="D132" s="93">
        <v>0.121</v>
      </c>
      <c r="E132" s="93">
        <v>9.9000000000000005E-2</v>
      </c>
      <c r="F132" s="101"/>
    </row>
    <row r="133" spans="1:6">
      <c r="A133" s="88" t="s">
        <v>275</v>
      </c>
      <c r="B133" s="92" t="s">
        <v>2621</v>
      </c>
      <c r="C133" s="93">
        <v>0.13</v>
      </c>
      <c r="D133" s="93">
        <v>0.13</v>
      </c>
      <c r="E133" s="93">
        <v>0.129</v>
      </c>
      <c r="F133" s="101"/>
    </row>
    <row r="134" spans="1:6">
      <c r="A134" s="88" t="s">
        <v>275</v>
      </c>
      <c r="B134" s="92" t="s">
        <v>2628</v>
      </c>
      <c r="C134" s="93">
        <v>6.8000000000000005E-2</v>
      </c>
      <c r="D134" s="93">
        <v>6.5000000000000002E-2</v>
      </c>
      <c r="E134" s="93">
        <v>6.5000000000000002E-2</v>
      </c>
      <c r="F134" s="94">
        <v>0.13</v>
      </c>
    </row>
    <row r="135" spans="1:6">
      <c r="A135" s="88" t="s">
        <v>275</v>
      </c>
      <c r="B135" s="92" t="s">
        <v>2635</v>
      </c>
      <c r="C135" s="93">
        <v>0.123</v>
      </c>
      <c r="D135" s="93">
        <v>0.123</v>
      </c>
      <c r="E135" s="93">
        <v>0.11</v>
      </c>
      <c r="F135" s="101"/>
    </row>
    <row r="136" spans="1:6">
      <c r="A136" s="88" t="s">
        <v>275</v>
      </c>
      <c r="B136" s="92" t="s">
        <v>2642</v>
      </c>
      <c r="C136" s="93">
        <v>0.13</v>
      </c>
      <c r="D136" s="93">
        <v>0.13</v>
      </c>
      <c r="E136" s="93">
        <v>0.125</v>
      </c>
      <c r="F136" s="101"/>
    </row>
    <row r="137" spans="1:6">
      <c r="A137" s="88" t="s">
        <v>275</v>
      </c>
      <c r="B137" s="92" t="s">
        <v>2647</v>
      </c>
      <c r="C137" s="93">
        <v>0.121</v>
      </c>
      <c r="D137" s="93">
        <v>0.122</v>
      </c>
      <c r="E137" s="93">
        <v>0.115</v>
      </c>
      <c r="F137" s="101"/>
    </row>
    <row r="138" spans="1:6">
      <c r="A138" s="88" t="s">
        <v>275</v>
      </c>
      <c r="B138" s="92" t="s">
        <v>2652</v>
      </c>
      <c r="C138" s="93">
        <v>0.105</v>
      </c>
      <c r="D138" s="93">
        <v>0.125</v>
      </c>
      <c r="E138" s="93">
        <v>0.112</v>
      </c>
      <c r="F138" s="101"/>
    </row>
    <row r="139" spans="1:6">
      <c r="A139" s="88" t="s">
        <v>275</v>
      </c>
      <c r="B139" s="92" t="s">
        <v>2657</v>
      </c>
      <c r="C139" s="93">
        <v>0.127</v>
      </c>
      <c r="D139" s="93">
        <v>0.127</v>
      </c>
      <c r="E139" s="93">
        <v>0.122</v>
      </c>
      <c r="F139" s="94">
        <v>0.13</v>
      </c>
    </row>
    <row r="140" spans="1:6">
      <c r="A140" s="88" t="s">
        <v>275</v>
      </c>
      <c r="B140" s="92" t="s">
        <v>2662</v>
      </c>
      <c r="C140" s="93">
        <v>0.125</v>
      </c>
      <c r="D140" s="93">
        <v>0.125</v>
      </c>
      <c r="E140" s="93">
        <v>0.11899999999999999</v>
      </c>
      <c r="F140" s="94">
        <v>0.13</v>
      </c>
    </row>
    <row r="141" spans="1:6">
      <c r="A141" s="88" t="s">
        <v>275</v>
      </c>
      <c r="B141" s="92" t="s">
        <v>2667</v>
      </c>
      <c r="C141" s="93">
        <v>0.125</v>
      </c>
      <c r="D141" s="93">
        <v>0.125</v>
      </c>
      <c r="E141" s="93">
        <v>0.11700000000000001</v>
      </c>
      <c r="F141" s="101"/>
    </row>
    <row r="142" spans="1:6">
      <c r="A142" s="88" t="s">
        <v>275</v>
      </c>
      <c r="B142" s="92" t="s">
        <v>2672</v>
      </c>
      <c r="C142" s="93">
        <v>0.125</v>
      </c>
      <c r="D142" s="93">
        <v>0.125</v>
      </c>
      <c r="E142" s="93">
        <v>0.115</v>
      </c>
      <c r="F142" s="101"/>
    </row>
    <row r="143" spans="1:6">
      <c r="A143" s="88" t="s">
        <v>275</v>
      </c>
      <c r="B143" s="92" t="s">
        <v>2677</v>
      </c>
      <c r="C143" s="93">
        <v>0.121</v>
      </c>
      <c r="D143" s="93">
        <v>0.121</v>
      </c>
      <c r="E143" s="93">
        <v>0.108</v>
      </c>
      <c r="F143" s="101"/>
    </row>
    <row r="144" spans="1:6">
      <c r="A144" s="88" t="s">
        <v>275</v>
      </c>
      <c r="B144" s="105" t="s">
        <v>2681</v>
      </c>
      <c r="C144" s="106">
        <v>0.126</v>
      </c>
      <c r="D144" s="106">
        <v>0.126</v>
      </c>
      <c r="E144" s="106">
        <v>0.121</v>
      </c>
      <c r="F144" s="101"/>
    </row>
    <row r="145" spans="1:6">
      <c r="A145" s="96" t="s">
        <v>275</v>
      </c>
      <c r="B145" s="107" t="s">
        <v>2685</v>
      </c>
      <c r="C145" s="108"/>
      <c r="D145" s="108"/>
      <c r="E145" s="108"/>
      <c r="F145" s="109">
        <v>0.05</v>
      </c>
    </row>
    <row r="146" spans="1:6" ht="24">
      <c r="A146" s="110" t="s">
        <v>275</v>
      </c>
      <c r="B146" s="95" t="s">
        <v>2689</v>
      </c>
      <c r="C146" s="102"/>
      <c r="D146" s="102"/>
      <c r="E146" s="102"/>
      <c r="F146" s="111">
        <v>0.05</v>
      </c>
    </row>
    <row r="147" spans="1:6" ht="24">
      <c r="A147" s="88" t="s">
        <v>275</v>
      </c>
      <c r="B147" s="92" t="s">
        <v>2693</v>
      </c>
      <c r="C147" s="102"/>
      <c r="D147" s="102"/>
      <c r="E147" s="102"/>
      <c r="F147" s="94">
        <v>0.05</v>
      </c>
    </row>
    <row r="148" spans="1:6" ht="24">
      <c r="A148" s="88" t="s">
        <v>275</v>
      </c>
      <c r="B148" s="92" t="s">
        <v>2697</v>
      </c>
      <c r="C148" s="102"/>
      <c r="D148" s="102"/>
      <c r="E148" s="102"/>
      <c r="F148" s="94">
        <v>0.05</v>
      </c>
    </row>
    <row r="149" spans="1:6" ht="24">
      <c r="A149" s="88" t="s">
        <v>275</v>
      </c>
      <c r="B149" s="92" t="s">
        <v>2701</v>
      </c>
      <c r="C149" s="102"/>
      <c r="D149" s="102"/>
      <c r="E149" s="102"/>
      <c r="F149" s="94">
        <v>0.05</v>
      </c>
    </row>
    <row r="150" spans="1:6" ht="24">
      <c r="A150" s="88" t="s">
        <v>275</v>
      </c>
      <c r="B150" s="92" t="s">
        <v>2704</v>
      </c>
      <c r="C150" s="102"/>
      <c r="D150" s="102"/>
      <c r="E150" s="102"/>
      <c r="F150" s="94">
        <v>0.05</v>
      </c>
    </row>
    <row r="151" spans="1:6" ht="24">
      <c r="A151" s="88" t="s">
        <v>275</v>
      </c>
      <c r="B151" s="92" t="s">
        <v>2707</v>
      </c>
      <c r="C151" s="102"/>
      <c r="D151" s="102"/>
      <c r="E151" s="102"/>
      <c r="F151" s="94">
        <v>0.05</v>
      </c>
    </row>
    <row r="152" spans="1:6" ht="24">
      <c r="A152" s="88" t="s">
        <v>275</v>
      </c>
      <c r="B152" s="92" t="s">
        <v>2710</v>
      </c>
      <c r="C152" s="102"/>
      <c r="D152" s="102"/>
      <c r="E152" s="102"/>
      <c r="F152" s="94">
        <v>0.05</v>
      </c>
    </row>
    <row r="153" spans="1:6">
      <c r="A153" s="88" t="s">
        <v>275</v>
      </c>
      <c r="B153" s="92" t="s">
        <v>2713</v>
      </c>
      <c r="C153" s="102"/>
      <c r="D153" s="102"/>
      <c r="E153" s="102"/>
      <c r="F153" s="94">
        <v>0.05</v>
      </c>
    </row>
    <row r="154" spans="1:6">
      <c r="A154" s="88" t="s">
        <v>275</v>
      </c>
      <c r="B154" s="92" t="s">
        <v>2716</v>
      </c>
      <c r="C154" s="102"/>
      <c r="D154" s="102"/>
      <c r="E154" s="102"/>
      <c r="F154" s="94">
        <v>0.05</v>
      </c>
    </row>
    <row r="155" spans="1:6" ht="24">
      <c r="A155" s="88" t="s">
        <v>275</v>
      </c>
      <c r="B155" s="92" t="s">
        <v>2719</v>
      </c>
      <c r="C155" s="102"/>
      <c r="D155" s="102"/>
      <c r="E155" s="102"/>
      <c r="F155" s="94">
        <v>0.05</v>
      </c>
    </row>
    <row r="156" spans="1:6" ht="24">
      <c r="A156" s="88" t="s">
        <v>275</v>
      </c>
      <c r="B156" s="92" t="s">
        <v>2721</v>
      </c>
      <c r="C156" s="102"/>
      <c r="D156" s="102"/>
      <c r="E156" s="102"/>
      <c r="F156" s="94">
        <v>0.05</v>
      </c>
    </row>
    <row r="157" spans="1:6">
      <c r="A157" s="96" t="s">
        <v>275</v>
      </c>
      <c r="B157" s="103" t="s">
        <v>2723</v>
      </c>
      <c r="C157" s="99"/>
      <c r="D157" s="99"/>
      <c r="E157" s="99"/>
      <c r="F157" s="104">
        <v>0.05</v>
      </c>
    </row>
    <row r="158" spans="1:6">
      <c r="A158" s="88" t="s">
        <v>280</v>
      </c>
      <c r="B158" s="89" t="s">
        <v>2390</v>
      </c>
      <c r="C158" s="90">
        <v>0.13</v>
      </c>
      <c r="D158" s="90">
        <v>0.13</v>
      </c>
      <c r="E158" s="90">
        <v>0.13</v>
      </c>
      <c r="F158" s="91">
        <v>0.13</v>
      </c>
    </row>
    <row r="159" spans="1:6">
      <c r="A159" s="88" t="s">
        <v>280</v>
      </c>
      <c r="B159" s="92" t="s">
        <v>2403</v>
      </c>
      <c r="C159" s="93">
        <v>0.13</v>
      </c>
      <c r="D159" s="93">
        <v>0.13</v>
      </c>
      <c r="E159" s="93">
        <v>0.13</v>
      </c>
      <c r="F159" s="94">
        <v>0.13</v>
      </c>
    </row>
    <row r="160" spans="1:6">
      <c r="A160" s="88" t="s">
        <v>280</v>
      </c>
      <c r="B160" s="92" t="s">
        <v>2417</v>
      </c>
      <c r="C160" s="93">
        <v>0.13</v>
      </c>
      <c r="D160" s="93">
        <v>0.13</v>
      </c>
      <c r="E160" s="93">
        <v>0.129</v>
      </c>
      <c r="F160" s="94">
        <v>0.13</v>
      </c>
    </row>
    <row r="161" spans="1:6">
      <c r="A161" s="88" t="s">
        <v>280</v>
      </c>
      <c r="B161" s="92" t="s">
        <v>2429</v>
      </c>
      <c r="C161" s="93">
        <v>0.128</v>
      </c>
      <c r="D161" s="93">
        <v>0.128</v>
      </c>
      <c r="E161" s="93">
        <v>0.125</v>
      </c>
      <c r="F161" s="94">
        <v>0.13</v>
      </c>
    </row>
    <row r="162" spans="1:6">
      <c r="A162" s="88" t="s">
        <v>280</v>
      </c>
      <c r="B162" s="92" t="s">
        <v>2441</v>
      </c>
      <c r="C162" s="93">
        <v>0.122</v>
      </c>
      <c r="D162" s="93">
        <v>0.122</v>
      </c>
      <c r="E162" s="93">
        <v>0.126</v>
      </c>
      <c r="F162" s="94">
        <v>0.122</v>
      </c>
    </row>
    <row r="163" spans="1:6">
      <c r="A163" s="88" t="s">
        <v>280</v>
      </c>
      <c r="B163" s="92" t="s">
        <v>2452</v>
      </c>
      <c r="C163" s="93">
        <v>0.13</v>
      </c>
      <c r="D163" s="93">
        <v>0.13</v>
      </c>
      <c r="E163" s="93">
        <v>0.125</v>
      </c>
      <c r="F163" s="94">
        <v>0.13</v>
      </c>
    </row>
    <row r="164" spans="1:6">
      <c r="A164" s="88" t="s">
        <v>280</v>
      </c>
      <c r="B164" s="92" t="s">
        <v>2463</v>
      </c>
      <c r="C164" s="93">
        <v>0.13</v>
      </c>
      <c r="D164" s="93">
        <v>0.13</v>
      </c>
      <c r="E164" s="93">
        <v>0.13</v>
      </c>
      <c r="F164" s="94">
        <v>0.13</v>
      </c>
    </row>
    <row r="165" spans="1:6">
      <c r="A165" s="88" t="s">
        <v>280</v>
      </c>
      <c r="B165" s="92" t="s">
        <v>2474</v>
      </c>
      <c r="C165" s="93">
        <v>0.13</v>
      </c>
      <c r="D165" s="93">
        <v>0.13</v>
      </c>
      <c r="E165" s="93">
        <v>0.124</v>
      </c>
      <c r="F165" s="94">
        <v>0.13</v>
      </c>
    </row>
    <row r="166" spans="1:6">
      <c r="A166" s="88" t="s">
        <v>280</v>
      </c>
      <c r="B166" s="92" t="s">
        <v>2484</v>
      </c>
      <c r="C166" s="93">
        <v>0.13</v>
      </c>
      <c r="D166" s="93">
        <v>0.13</v>
      </c>
      <c r="E166" s="93">
        <v>0.13</v>
      </c>
      <c r="F166" s="94">
        <v>0.13</v>
      </c>
    </row>
    <row r="167" spans="1:6">
      <c r="A167" s="88" t="s">
        <v>280</v>
      </c>
      <c r="B167" s="92" t="s">
        <v>2494</v>
      </c>
      <c r="C167" s="93">
        <v>0.125</v>
      </c>
      <c r="D167" s="93">
        <v>0.125</v>
      </c>
      <c r="E167" s="93">
        <v>0.121</v>
      </c>
      <c r="F167" s="101"/>
    </row>
    <row r="168" spans="1:6">
      <c r="A168" s="88" t="s">
        <v>280</v>
      </c>
      <c r="B168" s="92" t="s">
        <v>2504</v>
      </c>
      <c r="C168" s="93">
        <v>0.13</v>
      </c>
      <c r="D168" s="93">
        <v>0.13</v>
      </c>
      <c r="E168" s="93">
        <v>0.126</v>
      </c>
      <c r="F168" s="101"/>
    </row>
    <row r="169" spans="1:6">
      <c r="A169" s="88" t="s">
        <v>280</v>
      </c>
      <c r="B169" s="92" t="s">
        <v>2513</v>
      </c>
      <c r="C169" s="93">
        <v>0.128</v>
      </c>
      <c r="D169" s="93">
        <v>0.129</v>
      </c>
      <c r="E169" s="93">
        <v>0.13</v>
      </c>
      <c r="F169" s="101"/>
    </row>
    <row r="170" spans="1:6">
      <c r="A170" s="88" t="s">
        <v>280</v>
      </c>
      <c r="B170" s="92" t="s">
        <v>2523</v>
      </c>
      <c r="C170" s="93">
        <v>0.14099999999999999</v>
      </c>
      <c r="D170" s="93">
        <v>0.13</v>
      </c>
      <c r="E170" s="93">
        <v>0.125</v>
      </c>
      <c r="F170" s="101"/>
    </row>
    <row r="171" spans="1:6">
      <c r="A171" s="88" t="s">
        <v>280</v>
      </c>
      <c r="B171" s="92" t="s">
        <v>2533</v>
      </c>
      <c r="C171" s="93">
        <v>0.127</v>
      </c>
      <c r="D171" s="93">
        <v>0.126</v>
      </c>
      <c r="E171" s="93">
        <v>0.126</v>
      </c>
      <c r="F171" s="94">
        <v>0.11799999999999999</v>
      </c>
    </row>
    <row r="172" spans="1:6">
      <c r="A172" s="88" t="s">
        <v>280</v>
      </c>
      <c r="B172" s="92" t="s">
        <v>2543</v>
      </c>
      <c r="C172" s="93">
        <v>0.13</v>
      </c>
      <c r="D172" s="93">
        <v>0.13</v>
      </c>
      <c r="E172" s="93">
        <v>0.13</v>
      </c>
      <c r="F172" s="101"/>
    </row>
    <row r="173" spans="1:6">
      <c r="A173" s="88" t="s">
        <v>280</v>
      </c>
      <c r="B173" s="92" t="s">
        <v>2553</v>
      </c>
      <c r="C173" s="93">
        <v>0.13</v>
      </c>
      <c r="D173" s="93">
        <v>0.13</v>
      </c>
      <c r="E173" s="93">
        <v>0.13</v>
      </c>
      <c r="F173" s="101"/>
    </row>
    <row r="174" spans="1:6">
      <c r="A174" s="88" t="s">
        <v>280</v>
      </c>
      <c r="B174" s="92" t="s">
        <v>2563</v>
      </c>
      <c r="C174" s="93">
        <v>0.13</v>
      </c>
      <c r="D174" s="93">
        <v>0.13</v>
      </c>
      <c r="E174" s="93">
        <v>0.13</v>
      </c>
      <c r="F174" s="94">
        <v>0.13</v>
      </c>
    </row>
    <row r="175" spans="1:6">
      <c r="A175" s="88" t="s">
        <v>280</v>
      </c>
      <c r="B175" s="92" t="s">
        <v>2573</v>
      </c>
      <c r="C175" s="93">
        <v>0.13</v>
      </c>
      <c r="D175" s="93">
        <v>0.13</v>
      </c>
      <c r="E175" s="93">
        <v>0.13</v>
      </c>
      <c r="F175" s="94">
        <v>0.13</v>
      </c>
    </row>
    <row r="176" spans="1:6">
      <c r="A176" s="88" t="s">
        <v>280</v>
      </c>
      <c r="B176" s="92" t="s">
        <v>2583</v>
      </c>
      <c r="C176" s="93">
        <v>0.13</v>
      </c>
      <c r="D176" s="93">
        <v>0.13</v>
      </c>
      <c r="E176" s="93">
        <v>0.13</v>
      </c>
      <c r="F176" s="94">
        <v>0.13</v>
      </c>
    </row>
    <row r="177" spans="1:6">
      <c r="A177" s="88" t="s">
        <v>280</v>
      </c>
      <c r="B177" s="92" t="s">
        <v>2592</v>
      </c>
      <c r="C177" s="93">
        <v>0.13</v>
      </c>
      <c r="D177" s="93">
        <v>0.13</v>
      </c>
      <c r="E177" s="93">
        <v>0.13</v>
      </c>
      <c r="F177" s="94">
        <v>0.13</v>
      </c>
    </row>
    <row r="178" spans="1:6">
      <c r="A178" s="88" t="s">
        <v>280</v>
      </c>
      <c r="B178" s="92" t="s">
        <v>2600</v>
      </c>
      <c r="C178" s="93">
        <v>0.13</v>
      </c>
      <c r="D178" s="93">
        <v>0.13</v>
      </c>
      <c r="E178" s="93">
        <v>0.13</v>
      </c>
      <c r="F178" s="94">
        <v>0.127</v>
      </c>
    </row>
    <row r="179" spans="1:6">
      <c r="A179" s="88" t="s">
        <v>280</v>
      </c>
      <c r="B179" s="92" t="s">
        <v>2608</v>
      </c>
      <c r="C179" s="93">
        <v>0.13</v>
      </c>
      <c r="D179" s="93">
        <v>0.13</v>
      </c>
      <c r="E179" s="93">
        <v>0.13</v>
      </c>
      <c r="F179" s="101"/>
    </row>
    <row r="180" spans="1:6">
      <c r="A180" s="88" t="s">
        <v>280</v>
      </c>
      <c r="B180" s="92" t="s">
        <v>2615</v>
      </c>
      <c r="C180" s="93">
        <v>0.13</v>
      </c>
      <c r="D180" s="93">
        <v>0.13</v>
      </c>
      <c r="E180" s="93">
        <v>0.125</v>
      </c>
      <c r="F180" s="94">
        <v>0.13</v>
      </c>
    </row>
    <row r="181" spans="1:6">
      <c r="A181" s="88" t="s">
        <v>280</v>
      </c>
      <c r="B181" s="92" t="s">
        <v>2622</v>
      </c>
      <c r="C181" s="93">
        <v>0.122</v>
      </c>
      <c r="D181" s="93">
        <v>0.123</v>
      </c>
      <c r="E181" s="93">
        <v>0.126</v>
      </c>
      <c r="F181" s="94">
        <v>0.121</v>
      </c>
    </row>
    <row r="182" spans="1:6">
      <c r="A182" s="88" t="s">
        <v>280</v>
      </c>
      <c r="B182" s="92" t="s">
        <v>2629</v>
      </c>
      <c r="C182" s="93">
        <v>0.125</v>
      </c>
      <c r="D182" s="93">
        <v>0.125</v>
      </c>
      <c r="E182" s="93">
        <v>0.11700000000000001</v>
      </c>
      <c r="F182" s="94">
        <v>0.13</v>
      </c>
    </row>
    <row r="183" spans="1:6">
      <c r="A183" s="88" t="s">
        <v>280</v>
      </c>
      <c r="B183" s="92" t="s">
        <v>2636</v>
      </c>
      <c r="C183" s="93">
        <v>0.127</v>
      </c>
      <c r="D183" s="93">
        <v>0.127</v>
      </c>
      <c r="E183" s="93">
        <v>0.128</v>
      </c>
      <c r="F183" s="101"/>
    </row>
    <row r="184" spans="1:6">
      <c r="A184" s="88" t="s">
        <v>280</v>
      </c>
      <c r="B184" s="92" t="s">
        <v>2643</v>
      </c>
      <c r="C184" s="93">
        <v>0.125</v>
      </c>
      <c r="D184" s="93">
        <v>0.125</v>
      </c>
      <c r="E184" s="93">
        <v>0.127</v>
      </c>
      <c r="F184" s="101"/>
    </row>
    <row r="185" spans="1:6">
      <c r="A185" s="88" t="s">
        <v>280</v>
      </c>
      <c r="B185" s="92" t="s">
        <v>2648</v>
      </c>
      <c r="C185" s="93">
        <v>0.127</v>
      </c>
      <c r="D185" s="93">
        <v>0.127</v>
      </c>
      <c r="E185" s="93">
        <v>0.128</v>
      </c>
      <c r="F185" s="94">
        <v>0.13</v>
      </c>
    </row>
    <row r="186" spans="1:6" ht="24">
      <c r="A186" s="88" t="s">
        <v>280</v>
      </c>
      <c r="B186" s="92" t="s">
        <v>2653</v>
      </c>
      <c r="C186" s="102"/>
      <c r="D186" s="102"/>
      <c r="E186" s="102"/>
      <c r="F186" s="94">
        <v>0.05</v>
      </c>
    </row>
    <row r="187" spans="1:6">
      <c r="A187" s="88" t="s">
        <v>280</v>
      </c>
      <c r="B187" s="92" t="s">
        <v>2658</v>
      </c>
      <c r="C187" s="102"/>
      <c r="D187" s="102"/>
      <c r="E187" s="102"/>
      <c r="F187" s="94">
        <v>0.05</v>
      </c>
    </row>
    <row r="188" spans="1:6">
      <c r="A188" s="88" t="s">
        <v>280</v>
      </c>
      <c r="B188" s="92" t="s">
        <v>2663</v>
      </c>
      <c r="C188" s="102"/>
      <c r="D188" s="102"/>
      <c r="E188" s="102"/>
      <c r="F188" s="94">
        <v>0.05</v>
      </c>
    </row>
    <row r="189" spans="1:6" ht="24">
      <c r="A189" s="88" t="s">
        <v>280</v>
      </c>
      <c r="B189" s="92" t="s">
        <v>2668</v>
      </c>
      <c r="C189" s="102"/>
      <c r="D189" s="102"/>
      <c r="E189" s="102"/>
      <c r="F189" s="94">
        <v>0.05</v>
      </c>
    </row>
    <row r="190" spans="1:6" ht="24">
      <c r="A190" s="88" t="s">
        <v>280</v>
      </c>
      <c r="B190" s="92" t="s">
        <v>2673</v>
      </c>
      <c r="C190" s="102"/>
      <c r="D190" s="102"/>
      <c r="E190" s="102"/>
      <c r="F190" s="94">
        <v>0.05</v>
      </c>
    </row>
    <row r="191" spans="1:6" ht="24">
      <c r="A191" s="88" t="s">
        <v>280</v>
      </c>
      <c r="B191" s="92" t="s">
        <v>2678</v>
      </c>
      <c r="C191" s="102"/>
      <c r="D191" s="102"/>
      <c r="E191" s="102"/>
      <c r="F191" s="94">
        <v>0.05</v>
      </c>
    </row>
    <row r="192" spans="1:6" ht="24">
      <c r="A192" s="88" t="s">
        <v>280</v>
      </c>
      <c r="B192" s="92" t="s">
        <v>2682</v>
      </c>
      <c r="C192" s="102"/>
      <c r="D192" s="102"/>
      <c r="E192" s="102"/>
      <c r="F192" s="94">
        <v>0.05</v>
      </c>
    </row>
    <row r="193" spans="1:6" ht="24">
      <c r="A193" s="88" t="s">
        <v>280</v>
      </c>
      <c r="B193" s="92" t="s">
        <v>2686</v>
      </c>
      <c r="C193" s="102"/>
      <c r="D193" s="102"/>
      <c r="E193" s="102"/>
      <c r="F193" s="94">
        <v>0.05</v>
      </c>
    </row>
    <row r="194" spans="1:6" ht="24">
      <c r="A194" s="88" t="s">
        <v>280</v>
      </c>
      <c r="B194" s="92" t="s">
        <v>2690</v>
      </c>
      <c r="C194" s="102"/>
      <c r="D194" s="102"/>
      <c r="E194" s="102"/>
      <c r="F194" s="94">
        <v>0.05</v>
      </c>
    </row>
    <row r="195" spans="1:6">
      <c r="A195" s="88" t="s">
        <v>280</v>
      </c>
      <c r="B195" s="92" t="s">
        <v>2694</v>
      </c>
      <c r="C195" s="102"/>
      <c r="D195" s="102"/>
      <c r="E195" s="102"/>
      <c r="F195" s="94">
        <v>0.05</v>
      </c>
    </row>
    <row r="196" spans="1:6" ht="24">
      <c r="A196" s="88" t="s">
        <v>280</v>
      </c>
      <c r="B196" s="92" t="s">
        <v>2698</v>
      </c>
      <c r="C196" s="102"/>
      <c r="D196" s="102"/>
      <c r="E196" s="102"/>
      <c r="F196" s="94">
        <v>0.05</v>
      </c>
    </row>
    <row r="197" spans="1:6" ht="24">
      <c r="A197" s="88" t="s">
        <v>280</v>
      </c>
      <c r="B197" s="92" t="s">
        <v>2702</v>
      </c>
      <c r="C197" s="102"/>
      <c r="D197" s="102"/>
      <c r="E197" s="102"/>
      <c r="F197" s="94">
        <v>0.05</v>
      </c>
    </row>
    <row r="198" spans="1:6" ht="24">
      <c r="A198" s="88" t="s">
        <v>280</v>
      </c>
      <c r="B198" s="92" t="s">
        <v>2705</v>
      </c>
      <c r="C198" s="102"/>
      <c r="D198" s="102"/>
      <c r="E198" s="102"/>
      <c r="F198" s="94">
        <v>0.05</v>
      </c>
    </row>
    <row r="199" spans="1:6" ht="24">
      <c r="A199" s="88" t="s">
        <v>280</v>
      </c>
      <c r="B199" s="92" t="s">
        <v>2708</v>
      </c>
      <c r="C199" s="102"/>
      <c r="D199" s="102"/>
      <c r="E199" s="102"/>
      <c r="F199" s="94">
        <v>0.05</v>
      </c>
    </row>
    <row r="200" spans="1:6" ht="24">
      <c r="A200" s="88" t="s">
        <v>280</v>
      </c>
      <c r="B200" s="92" t="s">
        <v>2711</v>
      </c>
      <c r="C200" s="102"/>
      <c r="D200" s="102"/>
      <c r="E200" s="102"/>
      <c r="F200" s="94">
        <v>0.05</v>
      </c>
    </row>
    <row r="201" spans="1:6" ht="24">
      <c r="A201" s="88" t="s">
        <v>280</v>
      </c>
      <c r="B201" s="92" t="s">
        <v>2714</v>
      </c>
      <c r="C201" s="102"/>
      <c r="D201" s="102"/>
      <c r="E201" s="102"/>
      <c r="F201" s="94">
        <v>0.05</v>
      </c>
    </row>
    <row r="202" spans="1:6" ht="24">
      <c r="A202" s="88" t="s">
        <v>280</v>
      </c>
      <c r="B202" s="92" t="s">
        <v>2717</v>
      </c>
      <c r="C202" s="102"/>
      <c r="D202" s="102"/>
      <c r="E202" s="102"/>
      <c r="F202" s="94">
        <v>0.05</v>
      </c>
    </row>
    <row r="203" spans="1:6" ht="24">
      <c r="A203" s="88" t="s">
        <v>280</v>
      </c>
      <c r="B203" s="92" t="s">
        <v>2720</v>
      </c>
      <c r="C203" s="102"/>
      <c r="D203" s="102"/>
      <c r="E203" s="102"/>
      <c r="F203" s="94">
        <v>0.05</v>
      </c>
    </row>
    <row r="204" spans="1:6">
      <c r="A204" s="88" t="s">
        <v>280</v>
      </c>
      <c r="B204" s="92" t="s">
        <v>2722</v>
      </c>
      <c r="C204" s="102"/>
      <c r="D204" s="102"/>
      <c r="E204" s="102"/>
      <c r="F204" s="94">
        <v>0.05</v>
      </c>
    </row>
    <row r="205" spans="1:6">
      <c r="A205" s="96" t="s">
        <v>280</v>
      </c>
      <c r="B205" s="103" t="s">
        <v>2724</v>
      </c>
      <c r="C205" s="99"/>
      <c r="D205" s="99"/>
      <c r="E205" s="99"/>
      <c r="F205" s="104">
        <v>0.05</v>
      </c>
    </row>
    <row r="206" spans="1:6">
      <c r="A206" s="88" t="s">
        <v>285</v>
      </c>
      <c r="B206" s="89" t="s">
        <v>2391</v>
      </c>
      <c r="C206" s="90">
        <v>0.15</v>
      </c>
      <c r="D206" s="90">
        <v>0.15</v>
      </c>
      <c r="E206" s="90">
        <v>0.15</v>
      </c>
      <c r="F206" s="91">
        <v>0.15</v>
      </c>
    </row>
    <row r="207" spans="1:6">
      <c r="A207" s="88" t="s">
        <v>285</v>
      </c>
      <c r="B207" s="92" t="s">
        <v>2404</v>
      </c>
      <c r="C207" s="93">
        <v>0.15</v>
      </c>
      <c r="D207" s="93">
        <v>0.15</v>
      </c>
      <c r="E207" s="93">
        <v>0.15</v>
      </c>
      <c r="F207" s="94">
        <v>0.14399999999999999</v>
      </c>
    </row>
    <row r="208" spans="1:6">
      <c r="A208" s="88" t="s">
        <v>285</v>
      </c>
      <c r="B208" s="92" t="s">
        <v>2418</v>
      </c>
      <c r="C208" s="93">
        <v>0.15</v>
      </c>
      <c r="D208" s="93">
        <v>0.15</v>
      </c>
      <c r="E208" s="93">
        <v>0.15</v>
      </c>
      <c r="F208" s="94">
        <v>0.15</v>
      </c>
    </row>
    <row r="209" spans="1:6">
      <c r="A209" s="88" t="s">
        <v>285</v>
      </c>
      <c r="B209" s="92" t="s">
        <v>2430</v>
      </c>
      <c r="C209" s="93">
        <v>0.13700000000000001</v>
      </c>
      <c r="D209" s="93">
        <v>0.13700000000000001</v>
      </c>
      <c r="E209" s="93">
        <v>0.14000000000000001</v>
      </c>
      <c r="F209" s="94">
        <v>0.11700000000000001</v>
      </c>
    </row>
    <row r="210" spans="1:6">
      <c r="A210" s="88" t="s">
        <v>285</v>
      </c>
      <c r="B210" s="92" t="s">
        <v>2442</v>
      </c>
      <c r="C210" s="93">
        <v>0.15</v>
      </c>
      <c r="D210" s="93">
        <v>0.15</v>
      </c>
      <c r="E210" s="93">
        <v>0.15</v>
      </c>
      <c r="F210" s="94">
        <v>0.13800000000000001</v>
      </c>
    </row>
    <row r="211" spans="1:6">
      <c r="A211" s="88" t="s">
        <v>285</v>
      </c>
      <c r="B211" s="92" t="s">
        <v>2453</v>
      </c>
      <c r="C211" s="93">
        <v>0.13700000000000001</v>
      </c>
      <c r="D211" s="93">
        <v>0.13500000000000001</v>
      </c>
      <c r="E211" s="93">
        <v>0.13600000000000001</v>
      </c>
      <c r="F211" s="94">
        <v>0.1</v>
      </c>
    </row>
    <row r="212" spans="1:6">
      <c r="A212" s="88" t="s">
        <v>285</v>
      </c>
      <c r="B212" s="92" t="s">
        <v>2464</v>
      </c>
      <c r="C212" s="93">
        <v>0.15</v>
      </c>
      <c r="D212" s="93">
        <v>0.15</v>
      </c>
      <c r="E212" s="93">
        <v>0.14799999999999999</v>
      </c>
      <c r="F212" s="94">
        <v>0.13600000000000001</v>
      </c>
    </row>
    <row r="213" spans="1:6">
      <c r="A213" s="88" t="s">
        <v>285</v>
      </c>
      <c r="B213" s="92" t="s">
        <v>2475</v>
      </c>
      <c r="C213" s="93">
        <v>0.15</v>
      </c>
      <c r="D213" s="93">
        <v>0.15</v>
      </c>
      <c r="E213" s="93">
        <v>0.15</v>
      </c>
      <c r="F213" s="94">
        <v>0.13800000000000001</v>
      </c>
    </row>
    <row r="214" spans="1:6">
      <c r="A214" s="88" t="s">
        <v>285</v>
      </c>
      <c r="B214" s="92" t="s">
        <v>2485</v>
      </c>
      <c r="C214" s="93">
        <v>9.0999999999999998E-2</v>
      </c>
      <c r="D214" s="93">
        <v>0.09</v>
      </c>
      <c r="E214" s="93">
        <v>9.1999999999999998E-2</v>
      </c>
      <c r="F214" s="101"/>
    </row>
    <row r="215" spans="1:6">
      <c r="A215" s="88" t="s">
        <v>285</v>
      </c>
      <c r="B215" s="92" t="s">
        <v>2495</v>
      </c>
      <c r="C215" s="93">
        <v>0.15</v>
      </c>
      <c r="D215" s="93">
        <v>0.15</v>
      </c>
      <c r="E215" s="93">
        <v>0.15</v>
      </c>
      <c r="F215" s="94">
        <v>0.15</v>
      </c>
    </row>
    <row r="216" spans="1:6">
      <c r="A216" s="88" t="s">
        <v>285</v>
      </c>
      <c r="B216" s="92" t="s">
        <v>2505</v>
      </c>
      <c r="C216" s="93">
        <v>0.14699999999999999</v>
      </c>
      <c r="D216" s="93">
        <v>0.14699999999999999</v>
      </c>
      <c r="E216" s="93">
        <v>0.15</v>
      </c>
      <c r="F216" s="94">
        <v>0.14000000000000001</v>
      </c>
    </row>
    <row r="217" spans="1:6">
      <c r="A217" s="88" t="s">
        <v>285</v>
      </c>
      <c r="B217" s="92" t="s">
        <v>2514</v>
      </c>
      <c r="C217" s="93">
        <v>0.15</v>
      </c>
      <c r="D217" s="93">
        <v>0.15</v>
      </c>
      <c r="E217" s="93">
        <v>0.15</v>
      </c>
      <c r="F217" s="94">
        <v>0.15</v>
      </c>
    </row>
    <row r="218" spans="1:6">
      <c r="A218" s="88" t="s">
        <v>285</v>
      </c>
      <c r="B218" s="92" t="s">
        <v>2524</v>
      </c>
      <c r="C218" s="93">
        <v>0.15</v>
      </c>
      <c r="D218" s="93">
        <v>0.15</v>
      </c>
      <c r="E218" s="93">
        <v>0.15</v>
      </c>
      <c r="F218" s="94">
        <v>0.15</v>
      </c>
    </row>
    <row r="219" spans="1:6">
      <c r="A219" s="88" t="s">
        <v>285</v>
      </c>
      <c r="B219" s="92" t="s">
        <v>2534</v>
      </c>
      <c r="C219" s="93">
        <v>0.15</v>
      </c>
      <c r="D219" s="93">
        <v>0.15</v>
      </c>
      <c r="E219" s="93">
        <v>0.15</v>
      </c>
      <c r="F219" s="94">
        <v>0.14799999999999999</v>
      </c>
    </row>
    <row r="220" spans="1:6">
      <c r="A220" s="88" t="s">
        <v>285</v>
      </c>
      <c r="B220" s="92" t="s">
        <v>2544</v>
      </c>
      <c r="C220" s="93">
        <v>0.15</v>
      </c>
      <c r="D220" s="93">
        <v>0.15</v>
      </c>
      <c r="E220" s="93">
        <v>0.15</v>
      </c>
      <c r="F220" s="94">
        <v>0.15</v>
      </c>
    </row>
    <row r="221" spans="1:6">
      <c r="A221" s="88" t="s">
        <v>285</v>
      </c>
      <c r="B221" s="92" t="s">
        <v>2554</v>
      </c>
      <c r="C221" s="93"/>
      <c r="D221" s="102"/>
      <c r="E221" s="102"/>
      <c r="F221" s="94">
        <v>0.14799999999999999</v>
      </c>
    </row>
    <row r="222" spans="1:6">
      <c r="A222" s="88" t="s">
        <v>285</v>
      </c>
      <c r="B222" s="92" t="s">
        <v>2564</v>
      </c>
      <c r="C222" s="93"/>
      <c r="D222" s="102"/>
      <c r="E222" s="102"/>
      <c r="F222" s="94">
        <v>0.1</v>
      </c>
    </row>
    <row r="223" spans="1:6">
      <c r="A223" s="88" t="s">
        <v>285</v>
      </c>
      <c r="B223" s="92" t="s">
        <v>2574</v>
      </c>
      <c r="C223" s="93"/>
      <c r="D223" s="102"/>
      <c r="E223" s="102"/>
      <c r="F223" s="94">
        <v>0.15</v>
      </c>
    </row>
    <row r="224" spans="1:6">
      <c r="A224" s="88" t="s">
        <v>285</v>
      </c>
      <c r="B224" s="92" t="s">
        <v>2584</v>
      </c>
      <c r="C224" s="93"/>
      <c r="D224" s="102"/>
      <c r="E224" s="102"/>
      <c r="F224" s="94">
        <v>0.15</v>
      </c>
    </row>
    <row r="225" spans="1:6">
      <c r="A225" s="88" t="s">
        <v>285</v>
      </c>
      <c r="B225" s="92" t="s">
        <v>2593</v>
      </c>
      <c r="C225" s="93">
        <v>0.15</v>
      </c>
      <c r="D225" s="93">
        <v>0.15</v>
      </c>
      <c r="E225" s="93">
        <v>0.15</v>
      </c>
      <c r="F225" s="94">
        <v>0.15</v>
      </c>
    </row>
    <row r="226" spans="1:6">
      <c r="A226" s="88" t="s">
        <v>285</v>
      </c>
      <c r="B226" s="92" t="s">
        <v>2601</v>
      </c>
      <c r="C226" s="93">
        <v>0.15</v>
      </c>
      <c r="D226" s="93">
        <v>0.15</v>
      </c>
      <c r="E226" s="93">
        <v>0.15</v>
      </c>
      <c r="F226" s="94">
        <v>0.14799999999999999</v>
      </c>
    </row>
    <row r="227" spans="1:6">
      <c r="A227" s="88" t="s">
        <v>285</v>
      </c>
      <c r="B227" s="92" t="s">
        <v>2609</v>
      </c>
      <c r="C227" s="93">
        <v>0.15</v>
      </c>
      <c r="D227" s="93">
        <v>0.15</v>
      </c>
      <c r="E227" s="93">
        <v>0.15</v>
      </c>
      <c r="F227" s="94">
        <v>0.15</v>
      </c>
    </row>
    <row r="228" spans="1:6">
      <c r="A228" s="88" t="s">
        <v>285</v>
      </c>
      <c r="B228" s="92" t="s">
        <v>2616</v>
      </c>
      <c r="C228" s="93">
        <v>0.15</v>
      </c>
      <c r="D228" s="93">
        <v>0.15</v>
      </c>
      <c r="E228" s="93">
        <v>0.15</v>
      </c>
      <c r="F228" s="94">
        <v>0.15</v>
      </c>
    </row>
    <row r="229" spans="1:6">
      <c r="A229" s="88" t="s">
        <v>285</v>
      </c>
      <c r="B229" s="92" t="s">
        <v>2623</v>
      </c>
      <c r="C229" s="93">
        <v>0.15</v>
      </c>
      <c r="D229" s="93">
        <v>0.15</v>
      </c>
      <c r="E229" s="93">
        <v>0.15</v>
      </c>
      <c r="F229" s="101"/>
    </row>
    <row r="230" spans="1:6">
      <c r="A230" s="88" t="s">
        <v>285</v>
      </c>
      <c r="B230" s="92" t="s">
        <v>2630</v>
      </c>
      <c r="C230" s="93">
        <v>0.14499999999999999</v>
      </c>
      <c r="D230" s="93">
        <v>0.14499999999999999</v>
      </c>
      <c r="E230" s="93">
        <v>0.14399999999999999</v>
      </c>
      <c r="F230" s="101"/>
    </row>
    <row r="231" spans="1:6">
      <c r="A231" s="88" t="s">
        <v>285</v>
      </c>
      <c r="B231" s="92" t="s">
        <v>2637</v>
      </c>
      <c r="C231" s="93">
        <v>0.128</v>
      </c>
      <c r="D231" s="93">
        <v>0.125</v>
      </c>
      <c r="E231" s="93">
        <v>0.13200000000000001</v>
      </c>
      <c r="F231" s="101"/>
    </row>
    <row r="232" spans="1:6">
      <c r="A232" s="88" t="s">
        <v>285</v>
      </c>
      <c r="B232" s="92" t="s">
        <v>2644</v>
      </c>
      <c r="C232" s="93">
        <v>0.14499999999999999</v>
      </c>
      <c r="D232" s="93">
        <v>0.14399999999999999</v>
      </c>
      <c r="E232" s="93">
        <v>0.14599999999999999</v>
      </c>
      <c r="F232" s="94">
        <v>0.13800000000000001</v>
      </c>
    </row>
    <row r="233" spans="1:6">
      <c r="A233" s="88" t="s">
        <v>285</v>
      </c>
      <c r="B233" s="92" t="s">
        <v>2649</v>
      </c>
      <c r="C233" s="93">
        <v>0.14499999999999999</v>
      </c>
      <c r="D233" s="93">
        <v>0.14299999999999999</v>
      </c>
      <c r="E233" s="93">
        <v>0.14199999999999999</v>
      </c>
      <c r="F233" s="101"/>
    </row>
    <row r="234" spans="1:6">
      <c r="A234" s="88" t="s">
        <v>285</v>
      </c>
      <c r="B234" s="92" t="s">
        <v>2727</v>
      </c>
      <c r="C234" s="93">
        <v>0.14000000000000001</v>
      </c>
      <c r="D234" s="93">
        <v>0.14000000000000001</v>
      </c>
      <c r="E234" s="93">
        <v>0.14399999999999999</v>
      </c>
      <c r="F234" s="101"/>
    </row>
    <row r="235" spans="1:6">
      <c r="A235" s="88" t="s">
        <v>285</v>
      </c>
      <c r="B235" s="92" t="s">
        <v>2659</v>
      </c>
      <c r="C235" s="93">
        <v>0.14099999999999999</v>
      </c>
      <c r="D235" s="93">
        <v>0.14199999999999999</v>
      </c>
      <c r="E235" s="93">
        <v>0.14499999999999999</v>
      </c>
      <c r="F235" s="94">
        <v>0.15</v>
      </c>
    </row>
    <row r="236" spans="1:6">
      <c r="A236" s="88" t="s">
        <v>285</v>
      </c>
      <c r="B236" s="92" t="s">
        <v>2664</v>
      </c>
      <c r="C236" s="102"/>
      <c r="D236" s="102"/>
      <c r="E236" s="102"/>
      <c r="F236" s="94">
        <v>0.14299999999999999</v>
      </c>
    </row>
    <row r="237" spans="1:6" ht="24">
      <c r="A237" s="88" t="s">
        <v>285</v>
      </c>
      <c r="B237" s="92" t="s">
        <v>2669</v>
      </c>
      <c r="C237" s="102"/>
      <c r="D237" s="102"/>
      <c r="E237" s="102"/>
      <c r="F237" s="94">
        <v>0.05</v>
      </c>
    </row>
    <row r="238" spans="1:6" ht="24">
      <c r="A238" s="88" t="s">
        <v>285</v>
      </c>
      <c r="B238" s="92" t="s">
        <v>2674</v>
      </c>
      <c r="C238" s="102"/>
      <c r="D238" s="102"/>
      <c r="E238" s="102"/>
      <c r="F238" s="94">
        <v>0.05</v>
      </c>
    </row>
    <row r="239" spans="1:6" ht="24">
      <c r="A239" s="88" t="s">
        <v>285</v>
      </c>
      <c r="B239" s="92" t="s">
        <v>2679</v>
      </c>
      <c r="C239" s="102"/>
      <c r="D239" s="102"/>
      <c r="E239" s="102"/>
      <c r="F239" s="94">
        <v>0.05</v>
      </c>
    </row>
    <row r="240" spans="1:6" ht="24">
      <c r="A240" s="88" t="s">
        <v>285</v>
      </c>
      <c r="B240" s="92" t="s">
        <v>2683</v>
      </c>
      <c r="C240" s="102"/>
      <c r="D240" s="102"/>
      <c r="E240" s="102"/>
      <c r="F240" s="94">
        <v>0.05</v>
      </c>
    </row>
    <row r="241" spans="1:6" ht="24">
      <c r="A241" s="88" t="s">
        <v>285</v>
      </c>
      <c r="B241" s="92" t="s">
        <v>2687</v>
      </c>
      <c r="C241" s="102"/>
      <c r="D241" s="102"/>
      <c r="E241" s="102"/>
      <c r="F241" s="94">
        <v>0.05</v>
      </c>
    </row>
    <row r="242" spans="1:6" ht="24">
      <c r="A242" s="88" t="s">
        <v>285</v>
      </c>
      <c r="B242" s="92" t="s">
        <v>2691</v>
      </c>
      <c r="C242" s="102"/>
      <c r="D242" s="102"/>
      <c r="E242" s="102"/>
      <c r="F242" s="94">
        <v>0.05</v>
      </c>
    </row>
    <row r="243" spans="1:6" ht="24">
      <c r="A243" s="88" t="s">
        <v>285</v>
      </c>
      <c r="B243" s="92" t="s">
        <v>2695</v>
      </c>
      <c r="C243" s="102"/>
      <c r="D243" s="102"/>
      <c r="E243" s="102"/>
      <c r="F243" s="94">
        <v>0.05</v>
      </c>
    </row>
    <row r="244" spans="1:6" ht="24">
      <c r="A244" s="96" t="s">
        <v>285</v>
      </c>
      <c r="B244" s="103" t="s">
        <v>2699</v>
      </c>
      <c r="C244" s="99"/>
      <c r="D244" s="99"/>
      <c r="E244" s="99"/>
      <c r="F244" s="104">
        <v>0.05</v>
      </c>
    </row>
    <row r="245" spans="1:6">
      <c r="A245" s="88" t="s">
        <v>288</v>
      </c>
      <c r="B245" s="89" t="s">
        <v>2392</v>
      </c>
      <c r="C245" s="90">
        <v>0.15</v>
      </c>
      <c r="D245" s="90">
        <v>0.15</v>
      </c>
      <c r="E245" s="90">
        <v>0.15</v>
      </c>
      <c r="F245" s="91">
        <v>0.14299999999999999</v>
      </c>
    </row>
    <row r="246" spans="1:6">
      <c r="A246" s="88" t="s">
        <v>288</v>
      </c>
      <c r="B246" s="92" t="s">
        <v>2405</v>
      </c>
      <c r="C246" s="93">
        <v>0.15</v>
      </c>
      <c r="D246" s="93">
        <v>0.15</v>
      </c>
      <c r="E246" s="93">
        <v>0.15</v>
      </c>
      <c r="F246" s="94">
        <v>0.114</v>
      </c>
    </row>
    <row r="247" spans="1:6">
      <c r="A247" s="88" t="s">
        <v>288</v>
      </c>
      <c r="B247" s="92" t="s">
        <v>2419</v>
      </c>
      <c r="C247" s="93">
        <v>0.15</v>
      </c>
      <c r="D247" s="93">
        <v>0.15</v>
      </c>
      <c r="E247" s="93">
        <v>0.15</v>
      </c>
      <c r="F247" s="94">
        <v>0.15</v>
      </c>
    </row>
    <row r="248" spans="1:6">
      <c r="A248" s="88" t="s">
        <v>288</v>
      </c>
      <c r="B248" s="92" t="s">
        <v>2431</v>
      </c>
      <c r="C248" s="93">
        <v>0.15</v>
      </c>
      <c r="D248" s="93">
        <v>0.15</v>
      </c>
      <c r="E248" s="93">
        <v>0.15</v>
      </c>
      <c r="F248" s="94">
        <v>0.14000000000000001</v>
      </c>
    </row>
    <row r="249" spans="1:6">
      <c r="A249" s="88" t="s">
        <v>288</v>
      </c>
      <c r="B249" s="92" t="s">
        <v>2443</v>
      </c>
      <c r="C249" s="93">
        <v>0.15</v>
      </c>
      <c r="D249" s="93">
        <v>0.14899999999999999</v>
      </c>
      <c r="E249" s="93">
        <v>0.15</v>
      </c>
      <c r="F249" s="94">
        <v>0.1</v>
      </c>
    </row>
    <row r="250" spans="1:6">
      <c r="A250" s="88" t="s">
        <v>288</v>
      </c>
      <c r="B250" s="92" t="s">
        <v>2454</v>
      </c>
      <c r="C250" s="93">
        <v>0.15</v>
      </c>
      <c r="D250" s="93">
        <v>0.15</v>
      </c>
      <c r="E250" s="93">
        <v>0.15</v>
      </c>
      <c r="F250" s="94">
        <v>0.14399999999999999</v>
      </c>
    </row>
    <row r="251" spans="1:6">
      <c r="A251" s="88" t="s">
        <v>288</v>
      </c>
      <c r="B251" s="92" t="s">
        <v>2465</v>
      </c>
      <c r="C251" s="93">
        <v>0.15</v>
      </c>
      <c r="D251" s="93">
        <v>0.15</v>
      </c>
      <c r="E251" s="93">
        <v>0.15</v>
      </c>
      <c r="F251" s="94">
        <v>0.14299999999999999</v>
      </c>
    </row>
    <row r="252" spans="1:6">
      <c r="A252" s="88" t="s">
        <v>288</v>
      </c>
      <c r="B252" s="92" t="s">
        <v>2476</v>
      </c>
      <c r="C252" s="93">
        <v>0.15</v>
      </c>
      <c r="D252" s="93">
        <v>0.15</v>
      </c>
      <c r="E252" s="93">
        <v>0.15</v>
      </c>
      <c r="F252" s="94">
        <v>0.1</v>
      </c>
    </row>
    <row r="253" spans="1:6">
      <c r="A253" s="88" t="s">
        <v>288</v>
      </c>
      <c r="B253" s="92" t="s">
        <v>2486</v>
      </c>
      <c r="C253" s="93">
        <v>0.15</v>
      </c>
      <c r="D253" s="93">
        <v>0.15</v>
      </c>
      <c r="E253" s="93">
        <v>0.15</v>
      </c>
      <c r="F253" s="94">
        <v>0.1</v>
      </c>
    </row>
    <row r="254" spans="1:6">
      <c r="A254" s="88" t="s">
        <v>288</v>
      </c>
      <c r="B254" s="92" t="s">
        <v>2496</v>
      </c>
      <c r="C254" s="102"/>
      <c r="D254" s="102"/>
      <c r="E254" s="102"/>
      <c r="F254" s="94">
        <v>0.15</v>
      </c>
    </row>
    <row r="255" spans="1:6">
      <c r="A255" s="88" t="s">
        <v>288</v>
      </c>
      <c r="B255" s="92" t="s">
        <v>2506</v>
      </c>
      <c r="C255" s="102"/>
      <c r="D255" s="102"/>
      <c r="E255" s="102"/>
      <c r="F255" s="94">
        <v>0.14299999999999999</v>
      </c>
    </row>
    <row r="256" spans="1:6">
      <c r="A256" s="88" t="s">
        <v>288</v>
      </c>
      <c r="B256" s="92" t="s">
        <v>2515</v>
      </c>
      <c r="C256" s="93">
        <v>0.14599999999999999</v>
      </c>
      <c r="D256" s="93">
        <v>0.14699999999999999</v>
      </c>
      <c r="E256" s="93">
        <v>0.15</v>
      </c>
      <c r="F256" s="94">
        <v>0.13200000000000001</v>
      </c>
    </row>
    <row r="257" spans="1:6">
      <c r="A257" s="88" t="s">
        <v>288</v>
      </c>
      <c r="B257" s="92" t="s">
        <v>2525</v>
      </c>
      <c r="C257" s="93">
        <v>0.15</v>
      </c>
      <c r="D257" s="93">
        <v>0.15</v>
      </c>
      <c r="E257" s="93">
        <v>0.15</v>
      </c>
      <c r="F257" s="94">
        <v>0.13900000000000001</v>
      </c>
    </row>
    <row r="258" spans="1:6">
      <c r="A258" s="88" t="s">
        <v>288</v>
      </c>
      <c r="B258" s="92" t="s">
        <v>2535</v>
      </c>
      <c r="C258" s="93">
        <v>0.15</v>
      </c>
      <c r="D258" s="93">
        <v>0.15</v>
      </c>
      <c r="E258" s="93">
        <v>0.15</v>
      </c>
      <c r="F258" s="94">
        <v>0.13</v>
      </c>
    </row>
    <row r="259" spans="1:6">
      <c r="A259" s="88" t="s">
        <v>288</v>
      </c>
      <c r="B259" s="92" t="s">
        <v>2545</v>
      </c>
      <c r="C259" s="93">
        <v>0.14799999999999999</v>
      </c>
      <c r="D259" s="93">
        <v>0.14899999999999999</v>
      </c>
      <c r="E259" s="93">
        <v>0.15</v>
      </c>
      <c r="F259" s="94">
        <v>0.13700000000000001</v>
      </c>
    </row>
    <row r="260" spans="1:6">
      <c r="A260" s="88" t="s">
        <v>288</v>
      </c>
      <c r="B260" s="92" t="s">
        <v>2555</v>
      </c>
      <c r="C260" s="93">
        <v>0.15</v>
      </c>
      <c r="D260" s="93">
        <v>0.15</v>
      </c>
      <c r="E260" s="93">
        <v>0.15</v>
      </c>
      <c r="F260" s="94">
        <v>0.14199999999999999</v>
      </c>
    </row>
    <row r="261" spans="1:6">
      <c r="A261" s="88" t="s">
        <v>288</v>
      </c>
      <c r="B261" s="92" t="s">
        <v>2565</v>
      </c>
      <c r="C261" s="93">
        <v>0.15</v>
      </c>
      <c r="D261" s="93">
        <v>0.15</v>
      </c>
      <c r="E261" s="93">
        <v>0.14899999999999999</v>
      </c>
      <c r="F261" s="94">
        <v>0.14799999999999999</v>
      </c>
    </row>
    <row r="262" spans="1:6">
      <c r="A262" s="88" t="s">
        <v>288</v>
      </c>
      <c r="B262" s="92" t="s">
        <v>2575</v>
      </c>
      <c r="C262" s="93">
        <v>0.15</v>
      </c>
      <c r="D262" s="93">
        <v>0.15</v>
      </c>
      <c r="E262" s="93">
        <v>0.15</v>
      </c>
      <c r="F262" s="101"/>
    </row>
    <row r="263" spans="1:6">
      <c r="A263" s="88" t="s">
        <v>288</v>
      </c>
      <c r="B263" s="92" t="s">
        <v>2585</v>
      </c>
      <c r="C263" s="93">
        <v>0.14899999999999999</v>
      </c>
      <c r="D263" s="93">
        <v>0.14899999999999999</v>
      </c>
      <c r="E263" s="93">
        <v>0.15</v>
      </c>
      <c r="F263" s="94">
        <v>0.13</v>
      </c>
    </row>
    <row r="264" spans="1:6">
      <c r="A264" s="88" t="s">
        <v>288</v>
      </c>
      <c r="B264" s="92" t="s">
        <v>2594</v>
      </c>
      <c r="C264" s="93">
        <v>0.14799999999999999</v>
      </c>
      <c r="D264" s="93">
        <v>0.14699999999999999</v>
      </c>
      <c r="E264" s="93">
        <v>0.15</v>
      </c>
      <c r="F264" s="94">
        <v>7.8E-2</v>
      </c>
    </row>
    <row r="265" spans="1:6">
      <c r="A265" s="88" t="s">
        <v>288</v>
      </c>
      <c r="B265" s="92" t="s">
        <v>2602</v>
      </c>
      <c r="C265" s="93">
        <v>0.15</v>
      </c>
      <c r="D265" s="93">
        <v>0.15</v>
      </c>
      <c r="E265" s="93">
        <v>0.15</v>
      </c>
      <c r="F265" s="94">
        <v>7.3999999999999996E-2</v>
      </c>
    </row>
    <row r="266" spans="1:6">
      <c r="A266" s="88" t="s">
        <v>288</v>
      </c>
      <c r="B266" s="92" t="s">
        <v>2610</v>
      </c>
      <c r="C266" s="93">
        <v>0.14699999999999999</v>
      </c>
      <c r="D266" s="93">
        <v>0.14699999999999999</v>
      </c>
      <c r="E266" s="93">
        <v>0.15</v>
      </c>
      <c r="F266" s="94">
        <v>0.14299999999999999</v>
      </c>
    </row>
    <row r="267" spans="1:6">
      <c r="A267" s="88" t="s">
        <v>288</v>
      </c>
      <c r="B267" s="92" t="s">
        <v>2617</v>
      </c>
      <c r="C267" s="93">
        <v>0.14199999999999999</v>
      </c>
      <c r="D267" s="93">
        <v>0.14299999999999999</v>
      </c>
      <c r="E267" s="93">
        <v>0.15</v>
      </c>
      <c r="F267" s="101"/>
    </row>
    <row r="268" spans="1:6">
      <c r="A268" s="88" t="s">
        <v>288</v>
      </c>
      <c r="B268" s="92" t="s">
        <v>2624</v>
      </c>
      <c r="C268" s="93">
        <v>0.15</v>
      </c>
      <c r="D268" s="93">
        <v>0.15</v>
      </c>
      <c r="E268" s="93">
        <v>0.15</v>
      </c>
      <c r="F268" s="94">
        <v>0.13</v>
      </c>
    </row>
    <row r="269" spans="1:6">
      <c r="A269" s="88" t="s">
        <v>288</v>
      </c>
      <c r="B269" s="92" t="s">
        <v>2631</v>
      </c>
      <c r="C269" s="93">
        <v>0.15</v>
      </c>
      <c r="D269" s="93">
        <v>0.15</v>
      </c>
      <c r="E269" s="93">
        <v>0.15</v>
      </c>
      <c r="F269" s="94">
        <v>0.14299999999999999</v>
      </c>
    </row>
    <row r="270" spans="1:6">
      <c r="A270" s="88" t="s">
        <v>288</v>
      </c>
      <c r="B270" s="92" t="s">
        <v>2638</v>
      </c>
      <c r="C270" s="93">
        <v>0.14499999999999999</v>
      </c>
      <c r="D270" s="93">
        <v>0.14499999999999999</v>
      </c>
      <c r="E270" s="93">
        <v>0.15</v>
      </c>
      <c r="F270" s="94">
        <v>0.14699999999999999</v>
      </c>
    </row>
    <row r="271" spans="1:6">
      <c r="A271" s="88" t="s">
        <v>288</v>
      </c>
      <c r="B271" s="92" t="s">
        <v>2645</v>
      </c>
      <c r="C271" s="93">
        <v>0.15</v>
      </c>
      <c r="D271" s="93">
        <v>0.15</v>
      </c>
      <c r="E271" s="93">
        <v>0.15</v>
      </c>
      <c r="F271" s="94">
        <v>0.13800000000000001</v>
      </c>
    </row>
    <row r="272" spans="1:6">
      <c r="A272" s="88" t="s">
        <v>288</v>
      </c>
      <c r="B272" s="92" t="s">
        <v>2650</v>
      </c>
      <c r="C272" s="102"/>
      <c r="D272" s="102"/>
      <c r="E272" s="102"/>
      <c r="F272" s="94">
        <v>0.14000000000000001</v>
      </c>
    </row>
    <row r="273" spans="1:6">
      <c r="A273" s="88" t="s">
        <v>288</v>
      </c>
      <c r="B273" s="92" t="s">
        <v>2655</v>
      </c>
      <c r="C273" s="93">
        <v>0.14199999999999999</v>
      </c>
      <c r="D273" s="93">
        <v>0.14299999999999999</v>
      </c>
      <c r="E273" s="93">
        <v>0.15</v>
      </c>
      <c r="F273" s="94">
        <v>0.1</v>
      </c>
    </row>
    <row r="274" spans="1:6">
      <c r="A274" s="88" t="s">
        <v>288</v>
      </c>
      <c r="B274" s="92" t="s">
        <v>2660</v>
      </c>
      <c r="C274" s="93">
        <v>0.14799999999999999</v>
      </c>
      <c r="D274" s="93">
        <v>0.14799999999999999</v>
      </c>
      <c r="E274" s="93">
        <v>0.15</v>
      </c>
      <c r="F274" s="94">
        <v>6.7000000000000004E-2</v>
      </c>
    </row>
    <row r="275" spans="1:6">
      <c r="A275" s="88" t="s">
        <v>288</v>
      </c>
      <c r="B275" s="92" t="s">
        <v>2665</v>
      </c>
      <c r="C275" s="93">
        <v>0.15</v>
      </c>
      <c r="D275" s="93">
        <v>0.15</v>
      </c>
      <c r="E275" s="93">
        <v>0.15</v>
      </c>
      <c r="F275" s="94">
        <v>0.15</v>
      </c>
    </row>
    <row r="276" spans="1:6">
      <c r="A276" s="88" t="s">
        <v>288</v>
      </c>
      <c r="B276" s="92" t="s">
        <v>2670</v>
      </c>
      <c r="C276" s="93">
        <v>0.14499999999999999</v>
      </c>
      <c r="D276" s="93">
        <v>0.14299999999999999</v>
      </c>
      <c r="E276" s="93">
        <v>0.15</v>
      </c>
      <c r="F276" s="94">
        <v>5.8999999999999997E-2</v>
      </c>
    </row>
    <row r="277" spans="1:6">
      <c r="A277" s="88" t="s">
        <v>288</v>
      </c>
      <c r="B277" s="92" t="s">
        <v>2675</v>
      </c>
      <c r="C277" s="93">
        <v>0.15</v>
      </c>
      <c r="D277" s="93">
        <v>0.15</v>
      </c>
      <c r="E277" s="93">
        <v>0.15</v>
      </c>
      <c r="F277" s="94">
        <v>0.121</v>
      </c>
    </row>
    <row r="278" spans="1:6">
      <c r="A278" s="88" t="s">
        <v>288</v>
      </c>
      <c r="B278" s="92" t="s">
        <v>2680</v>
      </c>
      <c r="C278" s="93">
        <v>0.15</v>
      </c>
      <c r="D278" s="93">
        <v>0.15</v>
      </c>
      <c r="E278" s="93">
        <v>0.15</v>
      </c>
      <c r="F278" s="94">
        <v>0.13800000000000001</v>
      </c>
    </row>
    <row r="279" spans="1:6" ht="24">
      <c r="A279" s="88" t="s">
        <v>288</v>
      </c>
      <c r="B279" s="92" t="s">
        <v>2684</v>
      </c>
      <c r="C279" s="102"/>
      <c r="D279" s="102"/>
      <c r="E279" s="102"/>
      <c r="F279" s="94">
        <v>0.05</v>
      </c>
    </row>
    <row r="280" spans="1:6" ht="24">
      <c r="A280" s="88" t="s">
        <v>288</v>
      </c>
      <c r="B280" s="92" t="s">
        <v>2688</v>
      </c>
      <c r="C280" s="102"/>
      <c r="D280" s="102"/>
      <c r="E280" s="102"/>
      <c r="F280" s="94">
        <v>0.05</v>
      </c>
    </row>
    <row r="281" spans="1:6" ht="24">
      <c r="A281" s="88" t="s">
        <v>288</v>
      </c>
      <c r="B281" s="92" t="s">
        <v>2692</v>
      </c>
      <c r="C281" s="102"/>
      <c r="D281" s="102"/>
      <c r="E281" s="102"/>
      <c r="F281" s="94">
        <v>0.05</v>
      </c>
    </row>
    <row r="282" spans="1:6" ht="24">
      <c r="A282" s="88" t="s">
        <v>288</v>
      </c>
      <c r="B282" s="92" t="s">
        <v>2696</v>
      </c>
      <c r="C282" s="102"/>
      <c r="D282" s="102"/>
      <c r="E282" s="102"/>
      <c r="F282" s="94">
        <v>0.05</v>
      </c>
    </row>
    <row r="283" spans="1:6" ht="24">
      <c r="A283" s="88" t="s">
        <v>288</v>
      </c>
      <c r="B283" s="92" t="s">
        <v>2700</v>
      </c>
      <c r="C283" s="102"/>
      <c r="D283" s="102"/>
      <c r="E283" s="102"/>
      <c r="F283" s="94">
        <v>0.05</v>
      </c>
    </row>
    <row r="284" spans="1:6" ht="24">
      <c r="A284" s="88" t="s">
        <v>288</v>
      </c>
      <c r="B284" s="92" t="s">
        <v>2703</v>
      </c>
      <c r="C284" s="102"/>
      <c r="D284" s="102"/>
      <c r="E284" s="102"/>
      <c r="F284" s="94">
        <v>0.05</v>
      </c>
    </row>
    <row r="285" spans="1:6" ht="24">
      <c r="A285" s="88" t="s">
        <v>288</v>
      </c>
      <c r="B285" s="92" t="s">
        <v>2706</v>
      </c>
      <c r="C285" s="102"/>
      <c r="D285" s="102"/>
      <c r="E285" s="102"/>
      <c r="F285" s="94">
        <v>0.05</v>
      </c>
    </row>
    <row r="286" spans="1:6" ht="24">
      <c r="A286" s="88" t="s">
        <v>288</v>
      </c>
      <c r="B286" s="92" t="s">
        <v>2709</v>
      </c>
      <c r="C286" s="102"/>
      <c r="D286" s="102"/>
      <c r="E286" s="102"/>
      <c r="F286" s="94">
        <v>0.05</v>
      </c>
    </row>
    <row r="287" spans="1:6" ht="24">
      <c r="A287" s="88" t="s">
        <v>288</v>
      </c>
      <c r="B287" s="92" t="s">
        <v>2712</v>
      </c>
      <c r="C287" s="102"/>
      <c r="D287" s="102"/>
      <c r="E287" s="102"/>
      <c r="F287" s="94">
        <v>0.05</v>
      </c>
    </row>
    <row r="288" spans="1:6" ht="24">
      <c r="A288" s="88" t="s">
        <v>288</v>
      </c>
      <c r="B288" s="92" t="s">
        <v>2715</v>
      </c>
      <c r="C288" s="102"/>
      <c r="D288" s="102"/>
      <c r="E288" s="102"/>
      <c r="F288" s="94">
        <v>0.05</v>
      </c>
    </row>
    <row r="289" spans="1:6" ht="24">
      <c r="A289" s="96" t="s">
        <v>288</v>
      </c>
      <c r="B289" s="103" t="s">
        <v>2718</v>
      </c>
      <c r="C289" s="99"/>
      <c r="D289" s="99"/>
      <c r="E289" s="99"/>
      <c r="F289" s="104">
        <v>0.05</v>
      </c>
    </row>
    <row r="290" spans="1:6">
      <c r="A290" s="88" t="s">
        <v>291</v>
      </c>
      <c r="B290" s="89" t="s">
        <v>2393</v>
      </c>
      <c r="C290" s="90">
        <v>0.15</v>
      </c>
      <c r="D290" s="90">
        <v>0.15</v>
      </c>
      <c r="E290" s="90">
        <v>0.15</v>
      </c>
      <c r="F290" s="112"/>
    </row>
    <row r="291" spans="1:6">
      <c r="A291" s="88" t="s">
        <v>291</v>
      </c>
      <c r="B291" s="92" t="s">
        <v>2406</v>
      </c>
      <c r="C291" s="93">
        <v>0.15</v>
      </c>
      <c r="D291" s="93">
        <v>0.15</v>
      </c>
      <c r="E291" s="93">
        <v>0.15</v>
      </c>
      <c r="F291" s="101"/>
    </row>
    <row r="292" spans="1:6">
      <c r="A292" s="88" t="s">
        <v>291</v>
      </c>
      <c r="B292" s="92" t="s">
        <v>2420</v>
      </c>
      <c r="C292" s="93">
        <v>0.15</v>
      </c>
      <c r="D292" s="93">
        <v>0.15</v>
      </c>
      <c r="E292" s="93">
        <v>0.15</v>
      </c>
      <c r="F292" s="94">
        <v>0.14699999999999999</v>
      </c>
    </row>
    <row r="293" spans="1:6">
      <c r="A293" s="88" t="s">
        <v>291</v>
      </c>
      <c r="B293" s="92" t="s">
        <v>2725</v>
      </c>
      <c r="C293" s="102"/>
      <c r="D293" s="102"/>
      <c r="E293" s="102"/>
      <c r="F293" s="94">
        <v>0.1</v>
      </c>
    </row>
    <row r="294" spans="1:6">
      <c r="A294" s="88" t="s">
        <v>291</v>
      </c>
      <c r="B294" s="92" t="s">
        <v>2432</v>
      </c>
      <c r="C294" s="93">
        <v>0.15</v>
      </c>
      <c r="D294" s="93">
        <v>0.15</v>
      </c>
      <c r="E294" s="93">
        <v>0.15</v>
      </c>
      <c r="F294" s="94">
        <v>0.15</v>
      </c>
    </row>
    <row r="295" spans="1:6">
      <c r="A295" s="88" t="s">
        <v>291</v>
      </c>
      <c r="B295" s="92" t="s">
        <v>2444</v>
      </c>
      <c r="C295" s="93">
        <v>0.15</v>
      </c>
      <c r="D295" s="93">
        <v>0.15</v>
      </c>
      <c r="E295" s="93">
        <v>0.15</v>
      </c>
      <c r="F295" s="94">
        <v>0.15</v>
      </c>
    </row>
    <row r="296" spans="1:6">
      <c r="A296" s="88" t="s">
        <v>291</v>
      </c>
      <c r="B296" s="92" t="s">
        <v>2455</v>
      </c>
      <c r="C296" s="93">
        <v>0.15</v>
      </c>
      <c r="D296" s="93">
        <v>0.15</v>
      </c>
      <c r="E296" s="93">
        <v>0.15</v>
      </c>
      <c r="F296" s="94">
        <v>0.15</v>
      </c>
    </row>
    <row r="297" spans="1:6">
      <c r="A297" s="88" t="s">
        <v>291</v>
      </c>
      <c r="B297" s="92" t="s">
        <v>2466</v>
      </c>
      <c r="C297" s="93">
        <v>0.14799999999999999</v>
      </c>
      <c r="D297" s="93">
        <v>0.14899999999999999</v>
      </c>
      <c r="E297" s="93">
        <v>0.15</v>
      </c>
      <c r="F297" s="94">
        <v>0.13700000000000001</v>
      </c>
    </row>
    <row r="298" spans="1:6">
      <c r="A298" s="88" t="s">
        <v>291</v>
      </c>
      <c r="B298" s="92" t="s">
        <v>2477</v>
      </c>
      <c r="C298" s="93">
        <v>0.13400000000000001</v>
      </c>
      <c r="D298" s="93">
        <v>0.13400000000000001</v>
      </c>
      <c r="E298" s="93">
        <v>0.14499999999999999</v>
      </c>
      <c r="F298" s="94">
        <v>0.14799999999999999</v>
      </c>
    </row>
    <row r="299" spans="1:6">
      <c r="A299" s="88" t="s">
        <v>291</v>
      </c>
      <c r="B299" s="92" t="s">
        <v>2487</v>
      </c>
      <c r="C299" s="93">
        <v>0.15</v>
      </c>
      <c r="D299" s="93">
        <v>0.15</v>
      </c>
      <c r="E299" s="93">
        <v>0.15</v>
      </c>
      <c r="F299" s="101"/>
    </row>
    <row r="300" spans="1:6">
      <c r="A300" s="88" t="s">
        <v>291</v>
      </c>
      <c r="B300" s="92" t="s">
        <v>2497</v>
      </c>
      <c r="C300" s="93">
        <v>0.15</v>
      </c>
      <c r="D300" s="93">
        <v>0.15</v>
      </c>
      <c r="E300" s="93">
        <v>0.15</v>
      </c>
      <c r="F300" s="94">
        <v>0.15</v>
      </c>
    </row>
    <row r="301" spans="1:6">
      <c r="A301" s="88" t="s">
        <v>291</v>
      </c>
      <c r="B301" s="92" t="s">
        <v>2507</v>
      </c>
      <c r="C301" s="93">
        <v>0.15</v>
      </c>
      <c r="D301" s="93">
        <v>0.15</v>
      </c>
      <c r="E301" s="93">
        <v>0.15</v>
      </c>
      <c r="F301" s="101"/>
    </row>
    <row r="302" spans="1:6">
      <c r="A302" s="88" t="s">
        <v>291</v>
      </c>
      <c r="B302" s="92" t="s">
        <v>2516</v>
      </c>
      <c r="C302" s="93">
        <v>0.15</v>
      </c>
      <c r="D302" s="93">
        <v>0.15</v>
      </c>
      <c r="E302" s="93">
        <v>0.15</v>
      </c>
      <c r="F302" s="94">
        <v>0.15</v>
      </c>
    </row>
    <row r="303" spans="1:6">
      <c r="A303" s="88" t="s">
        <v>291</v>
      </c>
      <c r="B303" s="92" t="s">
        <v>2526</v>
      </c>
      <c r="C303" s="93">
        <v>0.15</v>
      </c>
      <c r="D303" s="93">
        <v>0.15</v>
      </c>
      <c r="E303" s="93">
        <v>0.15</v>
      </c>
      <c r="F303" s="94">
        <v>0.15</v>
      </c>
    </row>
    <row r="304" spans="1:6">
      <c r="A304" s="88" t="s">
        <v>291</v>
      </c>
      <c r="B304" s="92" t="s">
        <v>2536</v>
      </c>
      <c r="C304" s="93">
        <v>0.15</v>
      </c>
      <c r="D304" s="93">
        <v>0.15</v>
      </c>
      <c r="E304" s="93">
        <v>0.15</v>
      </c>
      <c r="F304" s="101"/>
    </row>
    <row r="305" spans="1:6">
      <c r="A305" s="88" t="s">
        <v>291</v>
      </c>
      <c r="B305" s="92" t="s">
        <v>2546</v>
      </c>
      <c r="C305" s="93">
        <v>0.15</v>
      </c>
      <c r="D305" s="93">
        <v>0.15</v>
      </c>
      <c r="E305" s="93">
        <v>0.15</v>
      </c>
      <c r="F305" s="94">
        <v>0.14000000000000001</v>
      </c>
    </row>
    <row r="306" spans="1:6">
      <c r="A306" s="88" t="s">
        <v>291</v>
      </c>
      <c r="B306" s="92" t="s">
        <v>2556</v>
      </c>
      <c r="C306" s="93">
        <v>0.15</v>
      </c>
      <c r="D306" s="93">
        <v>0.15</v>
      </c>
      <c r="E306" s="93">
        <v>0.15</v>
      </c>
      <c r="F306" s="101"/>
    </row>
    <row r="307" spans="1:6">
      <c r="A307" s="88" t="s">
        <v>291</v>
      </c>
      <c r="B307" s="92" t="s">
        <v>2566</v>
      </c>
      <c r="C307" s="93">
        <v>0.15</v>
      </c>
      <c r="D307" s="93">
        <v>0.15</v>
      </c>
      <c r="E307" s="93">
        <v>0.15</v>
      </c>
      <c r="F307" s="94">
        <v>0.14299999999999999</v>
      </c>
    </row>
    <row r="308" spans="1:6">
      <c r="A308" s="88" t="s">
        <v>291</v>
      </c>
      <c r="B308" s="92" t="s">
        <v>2576</v>
      </c>
      <c r="C308" s="93">
        <v>0.15</v>
      </c>
      <c r="D308" s="93">
        <v>0.15</v>
      </c>
      <c r="E308" s="93">
        <v>0.15</v>
      </c>
      <c r="F308" s="94">
        <v>0.15</v>
      </c>
    </row>
    <row r="309" spans="1:6">
      <c r="A309" s="88" t="s">
        <v>291</v>
      </c>
      <c r="B309" s="92" t="s">
        <v>2586</v>
      </c>
      <c r="C309" s="93">
        <v>0.15</v>
      </c>
      <c r="D309" s="93">
        <v>0.15</v>
      </c>
      <c r="E309" s="93">
        <v>0.15</v>
      </c>
      <c r="F309" s="101"/>
    </row>
    <row r="310" spans="1:6">
      <c r="A310" s="88" t="s">
        <v>291</v>
      </c>
      <c r="B310" s="92" t="s">
        <v>2595</v>
      </c>
      <c r="C310" s="93">
        <v>0.15</v>
      </c>
      <c r="D310" s="93">
        <v>0.15</v>
      </c>
      <c r="E310" s="93">
        <v>0.15</v>
      </c>
      <c r="F310" s="94">
        <v>0.13700000000000001</v>
      </c>
    </row>
    <row r="311" spans="1:6">
      <c r="A311" s="88" t="s">
        <v>291</v>
      </c>
      <c r="B311" s="92" t="s">
        <v>2603</v>
      </c>
      <c r="C311" s="93">
        <v>0.15</v>
      </c>
      <c r="D311" s="93">
        <v>0.15</v>
      </c>
      <c r="E311" s="93">
        <v>0.15</v>
      </c>
      <c r="F311" s="94">
        <v>0.15</v>
      </c>
    </row>
    <row r="312" spans="1:6">
      <c r="A312" s="88" t="s">
        <v>291</v>
      </c>
      <c r="B312" s="92" t="s">
        <v>2611</v>
      </c>
      <c r="C312" s="93">
        <v>0.15</v>
      </c>
      <c r="D312" s="93">
        <v>0.15</v>
      </c>
      <c r="E312" s="93">
        <v>0.15</v>
      </c>
      <c r="F312" s="94">
        <v>0.1</v>
      </c>
    </row>
    <row r="313" spans="1:6">
      <c r="A313" s="88" t="s">
        <v>291</v>
      </c>
      <c r="B313" s="92" t="s">
        <v>2618</v>
      </c>
      <c r="C313" s="93">
        <v>0.15</v>
      </c>
      <c r="D313" s="93">
        <v>0.15</v>
      </c>
      <c r="E313" s="93">
        <v>0.15</v>
      </c>
      <c r="F313" s="94">
        <v>0.15</v>
      </c>
    </row>
    <row r="314" spans="1:6" ht="24">
      <c r="A314" s="88" t="s">
        <v>291</v>
      </c>
      <c r="B314" s="92" t="s">
        <v>2625</v>
      </c>
      <c r="C314" s="102"/>
      <c r="D314" s="102"/>
      <c r="E314" s="102"/>
      <c r="F314" s="94">
        <v>0.05</v>
      </c>
    </row>
    <row r="315" spans="1:6" ht="24">
      <c r="A315" s="88" t="s">
        <v>291</v>
      </c>
      <c r="B315" s="92" t="s">
        <v>2632</v>
      </c>
      <c r="C315" s="102"/>
      <c r="D315" s="102"/>
      <c r="E315" s="102"/>
      <c r="F315" s="94">
        <v>0.05</v>
      </c>
    </row>
    <row r="316" spans="1:6" ht="24">
      <c r="A316" s="96" t="s">
        <v>291</v>
      </c>
      <c r="B316" s="103" t="s">
        <v>2639</v>
      </c>
      <c r="C316" s="99"/>
      <c r="D316" s="99"/>
      <c r="E316" s="99"/>
      <c r="F316" s="104">
        <v>0.05</v>
      </c>
    </row>
    <row r="317" spans="1:6">
      <c r="A317" s="88" t="s">
        <v>294</v>
      </c>
      <c r="B317" s="89" t="s">
        <v>2394</v>
      </c>
      <c r="C317" s="90">
        <v>0.15</v>
      </c>
      <c r="D317" s="90">
        <v>0.15</v>
      </c>
      <c r="E317" s="90">
        <v>0.15</v>
      </c>
      <c r="F317" s="91">
        <v>0.15</v>
      </c>
    </row>
    <row r="318" spans="1:6">
      <c r="A318" s="88" t="s">
        <v>294</v>
      </c>
      <c r="B318" s="92" t="s">
        <v>2407</v>
      </c>
      <c r="C318" s="93">
        <v>0.107</v>
      </c>
      <c r="D318" s="93">
        <v>0.11</v>
      </c>
      <c r="E318" s="93">
        <v>0.112</v>
      </c>
      <c r="F318" s="101"/>
    </row>
    <row r="319" spans="1:6">
      <c r="A319" s="88" t="s">
        <v>294</v>
      </c>
      <c r="B319" s="92" t="s">
        <v>2421</v>
      </c>
      <c r="C319" s="93">
        <v>0.15</v>
      </c>
      <c r="D319" s="93">
        <v>0.15</v>
      </c>
      <c r="E319" s="93">
        <v>0.15</v>
      </c>
      <c r="F319" s="94">
        <v>0.15</v>
      </c>
    </row>
    <row r="320" spans="1:6">
      <c r="A320" s="88" t="s">
        <v>294</v>
      </c>
      <c r="B320" s="92" t="s">
        <v>2433</v>
      </c>
      <c r="C320" s="93">
        <v>0.15</v>
      </c>
      <c r="D320" s="93">
        <v>0.15</v>
      </c>
      <c r="E320" s="93">
        <v>0.15</v>
      </c>
      <c r="F320" s="101"/>
    </row>
    <row r="321" spans="1:6">
      <c r="A321" s="88" t="s">
        <v>294</v>
      </c>
      <c r="B321" s="92" t="s">
        <v>2445</v>
      </c>
      <c r="C321" s="93">
        <v>0.15</v>
      </c>
      <c r="D321" s="93">
        <v>0.15</v>
      </c>
      <c r="E321" s="93">
        <v>0.15</v>
      </c>
      <c r="F321" s="101"/>
    </row>
    <row r="322" spans="1:6">
      <c r="A322" s="88" t="s">
        <v>294</v>
      </c>
      <c r="B322" s="92" t="s">
        <v>2456</v>
      </c>
      <c r="C322" s="93">
        <v>0.15</v>
      </c>
      <c r="D322" s="93">
        <v>0.15</v>
      </c>
      <c r="E322" s="93">
        <v>0.15</v>
      </c>
      <c r="F322" s="94">
        <v>0.15</v>
      </c>
    </row>
    <row r="323" spans="1:6">
      <c r="A323" s="88" t="s">
        <v>294</v>
      </c>
      <c r="B323" s="92" t="s">
        <v>2467</v>
      </c>
      <c r="C323" s="93">
        <v>0.15</v>
      </c>
      <c r="D323" s="93">
        <v>0.15</v>
      </c>
      <c r="E323" s="93">
        <v>0.15</v>
      </c>
      <c r="F323" s="101"/>
    </row>
    <row r="324" spans="1:6">
      <c r="A324" s="88" t="s">
        <v>294</v>
      </c>
      <c r="B324" s="92" t="s">
        <v>2478</v>
      </c>
      <c r="C324" s="93">
        <v>0.15</v>
      </c>
      <c r="D324" s="93">
        <v>0.15</v>
      </c>
      <c r="E324" s="93">
        <v>0.15</v>
      </c>
      <c r="F324" s="101"/>
    </row>
    <row r="325" spans="1:6">
      <c r="A325" s="88" t="s">
        <v>294</v>
      </c>
      <c r="B325" s="92" t="s">
        <v>2488</v>
      </c>
      <c r="C325" s="93">
        <v>0.15</v>
      </c>
      <c r="D325" s="93">
        <v>0.15</v>
      </c>
      <c r="E325" s="93">
        <v>0.15</v>
      </c>
      <c r="F325" s="94">
        <v>0.14699999999999999</v>
      </c>
    </row>
    <row r="326" spans="1:6">
      <c r="A326" s="88" t="s">
        <v>294</v>
      </c>
      <c r="B326" s="92" t="s">
        <v>2498</v>
      </c>
      <c r="C326" s="93">
        <v>0.15</v>
      </c>
      <c r="D326" s="93">
        <v>0.15</v>
      </c>
      <c r="E326" s="93">
        <v>0.15</v>
      </c>
      <c r="F326" s="101"/>
    </row>
    <row r="327" spans="1:6">
      <c r="A327" s="88" t="s">
        <v>294</v>
      </c>
      <c r="B327" s="92" t="s">
        <v>2508</v>
      </c>
      <c r="C327" s="93">
        <v>0.15</v>
      </c>
      <c r="D327" s="93">
        <v>0.15</v>
      </c>
      <c r="E327" s="93">
        <v>0.15</v>
      </c>
      <c r="F327" s="94">
        <v>0.15</v>
      </c>
    </row>
    <row r="328" spans="1:6">
      <c r="A328" s="88" t="s">
        <v>294</v>
      </c>
      <c r="B328" s="92" t="s">
        <v>2517</v>
      </c>
      <c r="C328" s="93">
        <v>0.15</v>
      </c>
      <c r="D328" s="93">
        <v>0.15</v>
      </c>
      <c r="E328" s="93">
        <v>0.15</v>
      </c>
      <c r="F328" s="94">
        <v>0.14099999999999999</v>
      </c>
    </row>
    <row r="329" spans="1:6">
      <c r="A329" s="88" t="s">
        <v>294</v>
      </c>
      <c r="B329" s="92" t="s">
        <v>2527</v>
      </c>
      <c r="C329" s="93">
        <v>0.15</v>
      </c>
      <c r="D329" s="93">
        <v>0.15</v>
      </c>
      <c r="E329" s="93">
        <v>0.15</v>
      </c>
      <c r="F329" s="94">
        <v>0.15</v>
      </c>
    </row>
    <row r="330" spans="1:6">
      <c r="A330" s="88" t="s">
        <v>294</v>
      </c>
      <c r="B330" s="92" t="s">
        <v>2537</v>
      </c>
      <c r="C330" s="93">
        <v>0.15</v>
      </c>
      <c r="D330" s="93">
        <v>0.15</v>
      </c>
      <c r="E330" s="93">
        <v>0.15</v>
      </c>
      <c r="F330" s="101"/>
    </row>
    <row r="331" spans="1:6">
      <c r="A331" s="88" t="s">
        <v>294</v>
      </c>
      <c r="B331" s="92" t="s">
        <v>2547</v>
      </c>
      <c r="C331" s="93">
        <v>0.15</v>
      </c>
      <c r="D331" s="93">
        <v>0.15</v>
      </c>
      <c r="E331" s="93">
        <v>0.15</v>
      </c>
      <c r="F331" s="94">
        <v>0.15</v>
      </c>
    </row>
    <row r="332" spans="1:6">
      <c r="A332" s="88" t="s">
        <v>294</v>
      </c>
      <c r="B332" s="92" t="s">
        <v>2557</v>
      </c>
      <c r="C332" s="93">
        <v>0.15</v>
      </c>
      <c r="D332" s="93">
        <v>0.15</v>
      </c>
      <c r="E332" s="93">
        <v>0.15</v>
      </c>
      <c r="F332" s="94">
        <v>0.15</v>
      </c>
    </row>
    <row r="333" spans="1:6">
      <c r="A333" s="88" t="s">
        <v>294</v>
      </c>
      <c r="B333" s="92" t="s">
        <v>2567</v>
      </c>
      <c r="C333" s="93">
        <v>0.15</v>
      </c>
      <c r="D333" s="93">
        <v>0.15</v>
      </c>
      <c r="E333" s="93">
        <v>0.15</v>
      </c>
      <c r="F333" s="94">
        <v>0.14099999999999999</v>
      </c>
    </row>
    <row r="334" spans="1:6">
      <c r="A334" s="88" t="s">
        <v>294</v>
      </c>
      <c r="B334" s="92" t="s">
        <v>2577</v>
      </c>
      <c r="C334" s="93">
        <v>0.15</v>
      </c>
      <c r="D334" s="93">
        <v>0.15</v>
      </c>
      <c r="E334" s="93">
        <v>0.15</v>
      </c>
      <c r="F334" s="94">
        <v>0.15</v>
      </c>
    </row>
    <row r="335" spans="1:6">
      <c r="A335" s="88" t="s">
        <v>294</v>
      </c>
      <c r="B335" s="92" t="s">
        <v>2587</v>
      </c>
      <c r="C335" s="93">
        <v>0.15</v>
      </c>
      <c r="D335" s="93">
        <v>0.15</v>
      </c>
      <c r="E335" s="93">
        <v>0.15</v>
      </c>
      <c r="F335" s="101"/>
    </row>
    <row r="336" spans="1:6">
      <c r="A336" s="88" t="s">
        <v>294</v>
      </c>
      <c r="B336" s="92" t="s">
        <v>2596</v>
      </c>
      <c r="C336" s="93">
        <v>0.15</v>
      </c>
      <c r="D336" s="93">
        <v>0.15</v>
      </c>
      <c r="E336" s="93">
        <v>0.15</v>
      </c>
      <c r="F336" s="94">
        <v>0.11799999999999999</v>
      </c>
    </row>
    <row r="337" spans="1:6">
      <c r="A337" s="96" t="s">
        <v>294</v>
      </c>
      <c r="B337" s="103" t="s">
        <v>2604</v>
      </c>
      <c r="C337" s="99"/>
      <c r="D337" s="99"/>
      <c r="E337" s="99"/>
      <c r="F337" s="104">
        <v>0.14299999999999999</v>
      </c>
    </row>
    <row r="338" spans="1:6">
      <c r="A338" s="88" t="s">
        <v>297</v>
      </c>
      <c r="B338" s="89" t="s">
        <v>2395</v>
      </c>
      <c r="C338" s="90">
        <v>0.15</v>
      </c>
      <c r="D338" s="90">
        <v>0.15</v>
      </c>
      <c r="E338" s="90">
        <v>0.15</v>
      </c>
      <c r="F338" s="112"/>
    </row>
    <row r="339" spans="1:6">
      <c r="A339" s="88" t="s">
        <v>297</v>
      </c>
      <c r="B339" s="92" t="s">
        <v>2408</v>
      </c>
      <c r="C339" s="93">
        <v>0.15</v>
      </c>
      <c r="D339" s="93">
        <v>0.15</v>
      </c>
      <c r="E339" s="93">
        <v>0.15</v>
      </c>
      <c r="F339" s="101"/>
    </row>
    <row r="340" spans="1:6">
      <c r="A340" s="88" t="s">
        <v>297</v>
      </c>
      <c r="B340" s="92" t="s">
        <v>2422</v>
      </c>
      <c r="C340" s="93">
        <v>0.15</v>
      </c>
      <c r="D340" s="93">
        <v>0.15</v>
      </c>
      <c r="E340" s="93">
        <v>0.15</v>
      </c>
      <c r="F340" s="101"/>
    </row>
    <row r="341" spans="1:6">
      <c r="A341" s="88" t="s">
        <v>297</v>
      </c>
      <c r="B341" s="92" t="s">
        <v>2434</v>
      </c>
      <c r="C341" s="93">
        <v>0.15</v>
      </c>
      <c r="D341" s="93">
        <v>0.15</v>
      </c>
      <c r="E341" s="93">
        <v>0.15</v>
      </c>
      <c r="F341" s="94">
        <v>0.15</v>
      </c>
    </row>
    <row r="342" spans="1:6">
      <c r="A342" s="88" t="s">
        <v>297</v>
      </c>
      <c r="B342" s="92" t="s">
        <v>2446</v>
      </c>
      <c r="C342" s="93">
        <v>0.15</v>
      </c>
      <c r="D342" s="93">
        <v>0.15</v>
      </c>
      <c r="E342" s="93">
        <v>0.15</v>
      </c>
      <c r="F342" s="94">
        <v>0.15</v>
      </c>
    </row>
    <row r="343" spans="1:6">
      <c r="A343" s="88" t="s">
        <v>297</v>
      </c>
      <c r="B343" s="92" t="s">
        <v>2457</v>
      </c>
      <c r="C343" s="93">
        <v>0.15</v>
      </c>
      <c r="D343" s="93">
        <v>0.15</v>
      </c>
      <c r="E343" s="93">
        <v>0.15</v>
      </c>
      <c r="F343" s="94">
        <v>0.15</v>
      </c>
    </row>
    <row r="344" spans="1:6">
      <c r="A344" s="96" t="s">
        <v>297</v>
      </c>
      <c r="B344" s="103" t="s">
        <v>2468</v>
      </c>
      <c r="C344" s="98">
        <v>0.15</v>
      </c>
      <c r="D344" s="98">
        <v>0.15</v>
      </c>
      <c r="E344" s="98">
        <v>0.15</v>
      </c>
      <c r="F344" s="104">
        <v>0.15</v>
      </c>
    </row>
  </sheetData>
  <sheetProtection password="C66D" sheet="1" objects="1" scenarios="1"/>
  <mergeCells count="1">
    <mergeCell ref="A1:B1"/>
  </mergeCells>
  <phoneticPr fontId="21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7"/>
  <sheetViews>
    <sheetView workbookViewId="0">
      <selection activeCell="C13" sqref="C13:H13"/>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2728</v>
      </c>
      <c r="C1" s="20">
        <f>项目基本情况!D3</f>
        <v>44288</v>
      </c>
      <c r="D1" s="19" t="s">
        <v>2729</v>
      </c>
      <c r="E1" s="21">
        <f>'数据-取费表'!B22</f>
        <v>2</v>
      </c>
      <c r="F1" s="19" t="s">
        <v>2730</v>
      </c>
      <c r="G1" s="22">
        <f ca="1">INDIRECT("d"&amp;$K$1)/100</f>
        <v>3.85E-2</v>
      </c>
      <c r="H1" s="19" t="s">
        <v>2731</v>
      </c>
      <c r="I1" s="22">
        <f ca="1">F4/100</f>
        <v>1.4999999999999999E-2</v>
      </c>
      <c r="J1" s="69">
        <f>IF(C1&gt;C13,0,MATCH(C1,C$13:C$104,-1))+IF(SUMIF(C13:C104,C1,D13:D104)=0,13,12)</f>
        <v>13</v>
      </c>
      <c r="K1" s="69">
        <f>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3"/>
      <c r="B2" s="23"/>
      <c r="C2" s="23"/>
      <c r="D2" s="23" t="s">
        <v>2730</v>
      </c>
      <c r="E2" s="23"/>
      <c r="F2" s="23" t="s">
        <v>2732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2733</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2734</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2735</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2736</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2737</v>
      </c>
      <c r="C7" s="36">
        <v>5</v>
      </c>
      <c r="D7" s="37">
        <f ca="1">INDIRECT("h"&amp;$J$1)</f>
        <v>4.6500000000000004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2738</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7"/>
      <c r="B10" s="48" t="s">
        <v>2739</v>
      </c>
      <c r="C10" s="47"/>
      <c r="D10" s="47"/>
      <c r="E10" s="47"/>
      <c r="F10" s="47"/>
      <c r="G10" s="47"/>
      <c r="H10" s="47"/>
      <c r="I10" s="15"/>
      <c r="J10" s="15"/>
      <c r="K10" s="47"/>
      <c r="L10" s="48" t="s">
        <v>2740</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49"/>
      <c r="B11" s="50" t="s">
        <v>2741</v>
      </c>
      <c r="C11" s="51" t="s">
        <v>2742</v>
      </c>
      <c r="D11" s="52" t="s">
        <v>2743</v>
      </c>
      <c r="E11" s="53"/>
      <c r="F11" s="52" t="s">
        <v>2744</v>
      </c>
      <c r="G11" s="54"/>
      <c r="H11" s="53"/>
      <c r="I11" s="52" t="s">
        <v>2745</v>
      </c>
      <c r="J11" s="53"/>
      <c r="K11" s="49"/>
      <c r="L11" s="50" t="s">
        <v>2741</v>
      </c>
      <c r="M11" s="51" t="s">
        <v>2742</v>
      </c>
      <c r="N11" s="50" t="s">
        <v>2746</v>
      </c>
      <c r="O11" s="52" t="s">
        <v>2747</v>
      </c>
      <c r="P11" s="54"/>
      <c r="Q11" s="54"/>
      <c r="R11" s="54"/>
      <c r="S11" s="54"/>
      <c r="T11" s="53"/>
      <c r="U11" s="52" t="s">
        <v>2748</v>
      </c>
      <c r="V11" s="54"/>
      <c r="W11" s="53"/>
      <c r="X11" s="50" t="s">
        <v>2749</v>
      </c>
      <c r="Y11" s="50" t="s">
        <v>2750</v>
      </c>
      <c r="Z11" s="50" t="s">
        <v>2751</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5"/>
      <c r="B12" s="56"/>
      <c r="C12" s="57"/>
      <c r="D12" s="58" t="s">
        <v>2752</v>
      </c>
      <c r="E12" s="58" t="s">
        <v>2734</v>
      </c>
      <c r="F12" s="58" t="s">
        <v>2735</v>
      </c>
      <c r="G12" s="58" t="s">
        <v>2736</v>
      </c>
      <c r="H12" s="58" t="s">
        <v>2737</v>
      </c>
      <c r="I12" s="70" t="s">
        <v>2753</v>
      </c>
      <c r="J12" s="70" t="s">
        <v>2753</v>
      </c>
      <c r="K12" s="55"/>
      <c r="L12" s="56"/>
      <c r="M12" s="57"/>
      <c r="N12" s="56"/>
      <c r="O12" s="70" t="s">
        <v>2754</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59"/>
      <c r="B13" s="60" t="s">
        <v>2755</v>
      </c>
      <c r="C13" s="61">
        <v>43941</v>
      </c>
      <c r="D13" s="62">
        <v>3.85</v>
      </c>
      <c r="E13" s="62">
        <v>3.85</v>
      </c>
      <c r="F13" s="62">
        <v>3.85</v>
      </c>
      <c r="G13" s="62">
        <v>3.85</v>
      </c>
      <c r="H13" s="62">
        <v>4.6500000000000004</v>
      </c>
      <c r="I13" s="62"/>
      <c r="J13" s="62"/>
      <c r="K13" s="59"/>
      <c r="L13" s="60" t="s">
        <v>2755</v>
      </c>
      <c r="M13" s="71">
        <v>42301</v>
      </c>
      <c r="N13" s="62">
        <v>0.35</v>
      </c>
      <c r="O13" s="62">
        <v>1.1000000000000001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ht="14.25">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spans="1:257" ht="14.25">
      <c r="A15" s="59"/>
      <c r="B15" s="63"/>
      <c r="C15" s="64">
        <v>43789</v>
      </c>
      <c r="D15" s="63">
        <v>4.1500000000000004</v>
      </c>
      <c r="E15" s="63">
        <v>4.1500000000000004</v>
      </c>
      <c r="F15" s="63">
        <v>4.1500000000000004</v>
      </c>
      <c r="G15" s="63">
        <v>4.1500000000000004</v>
      </c>
      <c r="H15" s="63">
        <v>4.8</v>
      </c>
      <c r="I15" s="63"/>
      <c r="J15" s="63"/>
      <c r="L15" s="63"/>
      <c r="M15" s="64">
        <v>42183</v>
      </c>
      <c r="N15" s="63">
        <v>0.35</v>
      </c>
      <c r="O15" s="63">
        <v>1.6</v>
      </c>
      <c r="P15" s="63">
        <v>1.8</v>
      </c>
      <c r="Q15" s="63">
        <v>2</v>
      </c>
      <c r="R15" s="63">
        <v>2.6</v>
      </c>
      <c r="S15" s="63">
        <v>3.25</v>
      </c>
      <c r="T15" s="63"/>
      <c r="U15" s="63"/>
      <c r="V15" s="63"/>
      <c r="W15" s="63"/>
      <c r="X15" s="63"/>
      <c r="Y15" s="63"/>
      <c r="Z15" s="63"/>
    </row>
    <row r="16" spans="1:257" ht="14.25">
      <c r="A16" s="59"/>
      <c r="B16" s="63"/>
      <c r="C16" s="64">
        <v>43728</v>
      </c>
      <c r="D16" s="63">
        <v>4.2</v>
      </c>
      <c r="E16" s="63">
        <v>4.2</v>
      </c>
      <c r="F16" s="63">
        <v>4.2</v>
      </c>
      <c r="G16" s="63">
        <v>4.2</v>
      </c>
      <c r="H16" s="63">
        <v>4.8499999999999996</v>
      </c>
      <c r="I16" s="63"/>
      <c r="J16" s="63"/>
      <c r="L16" s="63"/>
      <c r="M16" s="64">
        <v>42135</v>
      </c>
      <c r="N16" s="63">
        <v>0.35</v>
      </c>
      <c r="O16" s="63">
        <v>1.85</v>
      </c>
      <c r="P16" s="63">
        <v>2.0499999999999998</v>
      </c>
      <c r="Q16" s="63">
        <v>2.25</v>
      </c>
      <c r="R16" s="63">
        <v>2.85</v>
      </c>
      <c r="S16" s="63">
        <v>3.5</v>
      </c>
      <c r="T16" s="63"/>
      <c r="U16" s="63"/>
      <c r="V16" s="63"/>
      <c r="W16" s="63"/>
      <c r="X16" s="63"/>
      <c r="Y16" s="63"/>
      <c r="Z16" s="63"/>
    </row>
    <row r="17" spans="1:26" ht="14.25">
      <c r="A17" s="59"/>
      <c r="B17" s="60" t="s">
        <v>2756</v>
      </c>
      <c r="C17" s="65">
        <v>43697</v>
      </c>
      <c r="D17" s="66">
        <v>4.25</v>
      </c>
      <c r="E17" s="66">
        <v>4.25</v>
      </c>
      <c r="F17" s="66">
        <v>4.25</v>
      </c>
      <c r="G17" s="66">
        <v>4.25</v>
      </c>
      <c r="H17" s="66">
        <v>4.8499999999999996</v>
      </c>
      <c r="I17" s="66"/>
      <c r="J17" s="66"/>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1:26" ht="15">
      <c r="B18" s="63"/>
      <c r="C18" s="64">
        <v>42242</v>
      </c>
      <c r="D18" s="63">
        <v>4.5999999999999996</v>
      </c>
      <c r="E18" s="63">
        <v>4.5999999999999996</v>
      </c>
      <c r="F18" s="63">
        <v>5</v>
      </c>
      <c r="G18" s="63">
        <v>5</v>
      </c>
      <c r="H18" s="63">
        <v>5.15</v>
      </c>
      <c r="I18" s="63">
        <v>2.75</v>
      </c>
      <c r="J18" s="63">
        <v>3.25</v>
      </c>
      <c r="L18" s="63"/>
      <c r="M18" s="64">
        <v>41965</v>
      </c>
      <c r="N18" s="63">
        <v>0.35</v>
      </c>
      <c r="O18" s="63">
        <v>2.35</v>
      </c>
      <c r="P18" s="63">
        <v>2.5499999999999998</v>
      </c>
      <c r="Q18" s="63">
        <v>2.75</v>
      </c>
      <c r="R18" s="63">
        <v>3.35</v>
      </c>
      <c r="S18" s="63">
        <v>4</v>
      </c>
      <c r="T18" s="63">
        <v>4.75</v>
      </c>
      <c r="U18" s="72">
        <v>2.35</v>
      </c>
      <c r="V18" s="72">
        <v>2.5499999999999998</v>
      </c>
      <c r="W18" s="72">
        <v>2.75</v>
      </c>
      <c r="X18" s="63"/>
      <c r="Y18" s="72">
        <v>0.8</v>
      </c>
      <c r="Z18" s="72">
        <v>1.35</v>
      </c>
    </row>
    <row r="19" spans="1:26">
      <c r="B19" s="63"/>
      <c r="C19" s="64">
        <v>42183</v>
      </c>
      <c r="D19" s="63">
        <v>4.8499999999999996</v>
      </c>
      <c r="E19" s="63">
        <v>4.8499999999999996</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1:26">
      <c r="B20" s="63"/>
      <c r="C20" s="64">
        <v>42135</v>
      </c>
      <c r="D20" s="63">
        <v>5.0999999999999996</v>
      </c>
      <c r="E20" s="63">
        <v>5.0999999999999996</v>
      </c>
      <c r="F20" s="63">
        <v>5.5</v>
      </c>
      <c r="G20" s="63">
        <v>5.5</v>
      </c>
      <c r="H20" s="63">
        <v>5.65</v>
      </c>
      <c r="I20" s="63">
        <v>3.25</v>
      </c>
      <c r="J20" s="63">
        <v>3.75</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1:26">
      <c r="B21" s="63"/>
      <c r="C21" s="64">
        <v>42064</v>
      </c>
      <c r="D21" s="63">
        <v>5.35</v>
      </c>
      <c r="E21" s="63">
        <v>5.35</v>
      </c>
      <c r="F21" s="63">
        <v>5.75</v>
      </c>
      <c r="G21" s="63">
        <v>5.75</v>
      </c>
      <c r="H21" s="63">
        <v>5.9</v>
      </c>
      <c r="I21" s="63"/>
      <c r="J21" s="63"/>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1:26">
      <c r="B22" s="63"/>
      <c r="C22" s="64">
        <v>41965</v>
      </c>
      <c r="D22" s="63">
        <v>5.6</v>
      </c>
      <c r="E22" s="63">
        <v>5.6</v>
      </c>
      <c r="F22" s="63">
        <v>6</v>
      </c>
      <c r="G22" s="63">
        <v>6</v>
      </c>
      <c r="H22" s="63">
        <v>6.15</v>
      </c>
      <c r="I22" s="63"/>
      <c r="J22" s="63"/>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1: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1: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1:26">
      <c r="B25" s="63"/>
      <c r="C25" s="64">
        <v>40731</v>
      </c>
      <c r="D25" s="63">
        <v>6.1</v>
      </c>
      <c r="E25" s="63">
        <v>6.56</v>
      </c>
      <c r="F25" s="63">
        <v>6.65</v>
      </c>
      <c r="G25" s="63">
        <v>6.9</v>
      </c>
      <c r="H25" s="63">
        <v>7.05</v>
      </c>
      <c r="I25" s="63">
        <v>4.45</v>
      </c>
      <c r="J25" s="63">
        <v>4.9000000000000004</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1: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1: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1: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1:26">
      <c r="B29" s="63"/>
      <c r="C29" s="64">
        <v>40471</v>
      </c>
      <c r="D29" s="63">
        <v>5.0999999999999996</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1:26">
      <c r="B30" s="63"/>
      <c r="C30" s="64">
        <v>39805</v>
      </c>
      <c r="D30" s="63">
        <v>4.8600000000000003</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1:26">
      <c r="B31" s="63"/>
      <c r="C31" s="64">
        <v>39779</v>
      </c>
      <c r="D31" s="63">
        <v>5.04</v>
      </c>
      <c r="E31" s="63">
        <v>5.58</v>
      </c>
      <c r="F31" s="63">
        <v>5.67</v>
      </c>
      <c r="G31" s="63">
        <v>5.94</v>
      </c>
      <c r="H31" s="63">
        <v>6.12</v>
      </c>
      <c r="I31" s="63">
        <v>3.51</v>
      </c>
      <c r="J31" s="63">
        <v>4.05</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1: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4.8600000000000003</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39437</v>
      </c>
      <c r="D36" s="63">
        <v>6.57</v>
      </c>
      <c r="E36" s="63">
        <v>7.47</v>
      </c>
      <c r="F36" s="63">
        <v>7.56</v>
      </c>
      <c r="G36" s="63">
        <v>7.74</v>
      </c>
      <c r="H36" s="63">
        <v>7.83</v>
      </c>
      <c r="I36" s="63">
        <v>4.7699999999999996</v>
      </c>
      <c r="J36" s="63">
        <v>5.22</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39340</v>
      </c>
      <c r="D37" s="63">
        <v>6.48</v>
      </c>
      <c r="E37" s="63">
        <v>7.29</v>
      </c>
      <c r="F37" s="63">
        <v>7.47</v>
      </c>
      <c r="G37" s="63">
        <v>7.65</v>
      </c>
      <c r="H37" s="63">
        <v>7.83</v>
      </c>
      <c r="I37" s="63">
        <v>4.7699999999999996</v>
      </c>
      <c r="J37" s="63">
        <v>5.22</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4.8600000000000003</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4.7699999999999996</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38948</v>
      </c>
      <c r="D42" s="63">
        <v>5.58</v>
      </c>
      <c r="E42" s="63">
        <v>6.12</v>
      </c>
      <c r="F42" s="63">
        <v>6.3</v>
      </c>
      <c r="G42" s="63">
        <v>6.48</v>
      </c>
      <c r="H42" s="63">
        <v>6.84</v>
      </c>
      <c r="I42" s="63">
        <v>4.1399999999999997</v>
      </c>
      <c r="J42" s="63">
        <v>4.59</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1767</v>
      </c>
      <c r="Y42" s="63" t="s">
        <v>1767</v>
      </c>
      <c r="Z42" s="63" t="s">
        <v>1767</v>
      </c>
    </row>
    <row r="43" spans="2:26">
      <c r="B43" s="63"/>
      <c r="C43" s="64">
        <v>38835</v>
      </c>
      <c r="D43" s="63">
        <v>5.4</v>
      </c>
      <c r="E43" s="63">
        <v>5.85</v>
      </c>
      <c r="F43" s="63">
        <v>6.03</v>
      </c>
      <c r="G43" s="63">
        <v>6.12</v>
      </c>
      <c r="H43" s="63">
        <v>6.39</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1767</v>
      </c>
      <c r="Y43" s="63" t="s">
        <v>1767</v>
      </c>
      <c r="Z43" s="63" t="s">
        <v>1767</v>
      </c>
    </row>
    <row r="44" spans="2:26">
      <c r="B44" s="63"/>
      <c r="C44" s="64">
        <v>38428</v>
      </c>
      <c r="D44" s="63">
        <v>5.22</v>
      </c>
      <c r="E44" s="63">
        <v>5.58</v>
      </c>
      <c r="F44" s="63">
        <v>5.76</v>
      </c>
      <c r="G44" s="63">
        <v>5.85</v>
      </c>
      <c r="H44" s="63">
        <v>6.12</v>
      </c>
      <c r="I44" s="63">
        <v>3.96</v>
      </c>
      <c r="J44" s="63">
        <v>4.41</v>
      </c>
      <c r="L44" s="63"/>
      <c r="M44" s="64">
        <v>35726</v>
      </c>
      <c r="N44" s="63">
        <v>1.71</v>
      </c>
      <c r="O44" s="63">
        <v>2.88</v>
      </c>
      <c r="P44" s="63">
        <v>4.1399999999999997</v>
      </c>
      <c r="Q44" s="63">
        <v>5.67</v>
      </c>
      <c r="R44" s="63">
        <v>5.94</v>
      </c>
      <c r="S44" s="63">
        <v>6.21</v>
      </c>
      <c r="T44" s="63">
        <v>6.66</v>
      </c>
      <c r="U44" s="63">
        <v>4.1399999999999997</v>
      </c>
      <c r="V44" s="63">
        <v>5.67</v>
      </c>
      <c r="W44" s="63">
        <v>6.21</v>
      </c>
      <c r="X44" s="63" t="s">
        <v>1767</v>
      </c>
      <c r="Y44" s="63" t="s">
        <v>1767</v>
      </c>
      <c r="Z44" s="63" t="s">
        <v>1767</v>
      </c>
    </row>
    <row r="45" spans="2:26">
      <c r="B45" s="63"/>
      <c r="C45" s="64">
        <v>38289</v>
      </c>
      <c r="D45" s="63">
        <v>5.22</v>
      </c>
      <c r="E45" s="63">
        <v>5.58</v>
      </c>
      <c r="F45" s="63">
        <v>5.76</v>
      </c>
      <c r="G45" s="63">
        <v>5.85</v>
      </c>
      <c r="H45" s="63">
        <v>6.12</v>
      </c>
      <c r="I45" s="63">
        <v>3.78</v>
      </c>
      <c r="J45" s="63">
        <v>4.2300000000000004</v>
      </c>
      <c r="L45" s="63"/>
      <c r="M45" s="64">
        <v>35300</v>
      </c>
      <c r="N45" s="63">
        <v>1.98</v>
      </c>
      <c r="O45" s="63">
        <v>3.33</v>
      </c>
      <c r="P45" s="63">
        <v>5.4</v>
      </c>
      <c r="Q45" s="63">
        <v>7.47</v>
      </c>
      <c r="R45" s="63">
        <v>7.92</v>
      </c>
      <c r="S45" s="63">
        <v>8.2799999999999994</v>
      </c>
      <c r="T45" s="63">
        <v>9</v>
      </c>
      <c r="U45" s="63">
        <v>5.4</v>
      </c>
      <c r="V45" s="63">
        <v>7.47</v>
      </c>
      <c r="W45" s="63">
        <v>8.2799999999999994</v>
      </c>
      <c r="X45" s="63" t="s">
        <v>1767</v>
      </c>
      <c r="Y45" s="63" t="s">
        <v>1767</v>
      </c>
      <c r="Z45" s="63" t="s">
        <v>1767</v>
      </c>
    </row>
    <row r="46" spans="2:26">
      <c r="B46" s="63"/>
      <c r="C46" s="64">
        <v>37308</v>
      </c>
      <c r="D46" s="63">
        <v>5.04</v>
      </c>
      <c r="E46" s="63">
        <v>5.31</v>
      </c>
      <c r="F46" s="63">
        <v>5.49</v>
      </c>
      <c r="G46" s="63">
        <v>5.58</v>
      </c>
      <c r="H46" s="63">
        <v>5.76</v>
      </c>
      <c r="I46" s="63">
        <v>3.6</v>
      </c>
      <c r="J46" s="63">
        <v>4.05</v>
      </c>
      <c r="L46" s="63"/>
      <c r="M46" s="64">
        <v>35186</v>
      </c>
      <c r="N46" s="63">
        <v>2.97</v>
      </c>
      <c r="O46" s="63">
        <v>4.8600000000000003</v>
      </c>
      <c r="P46" s="63">
        <v>7.2</v>
      </c>
      <c r="Q46" s="63">
        <v>9.18</v>
      </c>
      <c r="R46" s="63">
        <v>9.9</v>
      </c>
      <c r="S46" s="63">
        <v>10.8</v>
      </c>
      <c r="T46" s="63">
        <v>12.06</v>
      </c>
      <c r="U46" s="63">
        <v>7.2</v>
      </c>
      <c r="V46" s="63">
        <v>9.18</v>
      </c>
      <c r="W46" s="63">
        <v>10.8</v>
      </c>
      <c r="X46" s="63" t="s">
        <v>1767</v>
      </c>
      <c r="Y46" s="63" t="s">
        <v>1767</v>
      </c>
      <c r="Z46" s="63" t="s">
        <v>1767</v>
      </c>
    </row>
    <row r="47" spans="2:26">
      <c r="B47" s="63"/>
      <c r="C47" s="64">
        <v>36321</v>
      </c>
      <c r="D47" s="63">
        <v>5.58</v>
      </c>
      <c r="E47" s="63">
        <v>5.85</v>
      </c>
      <c r="F47" s="63">
        <v>5.94</v>
      </c>
      <c r="G47" s="63">
        <v>6.03</v>
      </c>
      <c r="H47" s="63">
        <v>6.21</v>
      </c>
      <c r="I47" s="63">
        <v>4.1399999999999997</v>
      </c>
      <c r="J47" s="63">
        <v>4.59</v>
      </c>
      <c r="L47" s="63"/>
      <c r="M47" s="64">
        <v>34161</v>
      </c>
      <c r="N47" s="63">
        <v>3.15</v>
      </c>
      <c r="O47" s="63">
        <v>6.66</v>
      </c>
      <c r="P47" s="63">
        <v>9</v>
      </c>
      <c r="Q47" s="63">
        <v>10.98</v>
      </c>
      <c r="R47" s="63">
        <v>11.7</v>
      </c>
      <c r="S47" s="63">
        <v>12.24</v>
      </c>
      <c r="T47" s="63">
        <v>13.86</v>
      </c>
      <c r="U47" s="63">
        <v>9</v>
      </c>
      <c r="V47" s="63">
        <v>10.98</v>
      </c>
      <c r="W47" s="63">
        <v>12.24</v>
      </c>
      <c r="X47" s="63" t="s">
        <v>1767</v>
      </c>
      <c r="Y47" s="63" t="s">
        <v>1767</v>
      </c>
      <c r="Z47" s="63" t="s">
        <v>1767</v>
      </c>
    </row>
    <row r="48" spans="2:26">
      <c r="B48" s="63"/>
      <c r="C48" s="64">
        <v>36136</v>
      </c>
      <c r="D48" s="63">
        <v>6.12</v>
      </c>
      <c r="E48" s="63">
        <v>6.39</v>
      </c>
      <c r="F48" s="63">
        <v>6.66</v>
      </c>
      <c r="G48" s="63">
        <v>7.2</v>
      </c>
      <c r="H48" s="63">
        <v>7.56</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1767</v>
      </c>
      <c r="Y48" s="63" t="s">
        <v>1767</v>
      </c>
      <c r="Z48" s="63" t="s">
        <v>1767</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1767</v>
      </c>
      <c r="Y49" s="63" t="s">
        <v>1767</v>
      </c>
      <c r="Z49" s="63" t="s">
        <v>1767</v>
      </c>
    </row>
    <row r="50" spans="2:26">
      <c r="B50" s="63"/>
      <c r="C50" s="64">
        <v>35879</v>
      </c>
      <c r="D50" s="63">
        <v>7.02</v>
      </c>
      <c r="E50" s="63">
        <v>7.92</v>
      </c>
      <c r="F50" s="63">
        <v>9</v>
      </c>
      <c r="G50" s="63">
        <v>9.7200000000000006</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1767</v>
      </c>
      <c r="Y50" s="63" t="s">
        <v>1767</v>
      </c>
      <c r="Z50" s="63" t="s">
        <v>1767</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1767</v>
      </c>
      <c r="V51" s="63" t="s">
        <v>1767</v>
      </c>
      <c r="W51" s="63" t="s">
        <v>1767</v>
      </c>
      <c r="X51" s="63" t="s">
        <v>1767</v>
      </c>
      <c r="Y51" s="63" t="s">
        <v>1767</v>
      </c>
      <c r="Z51" s="63" t="s">
        <v>1767</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9.7200000000000006</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26">
      <c r="B58" s="63"/>
      <c r="C58" s="64">
        <v>33349</v>
      </c>
      <c r="D58" s="63">
        <v>8.1</v>
      </c>
      <c r="E58" s="63">
        <v>8.64</v>
      </c>
      <c r="F58" s="63">
        <v>9</v>
      </c>
      <c r="G58" s="63">
        <v>9.5399999999999991</v>
      </c>
      <c r="H58" s="63">
        <v>9.7200000000000006</v>
      </c>
      <c r="I58" s="63">
        <v>0</v>
      </c>
      <c r="J58" s="63">
        <v>0</v>
      </c>
    </row>
    <row r="59" spans="2:26">
      <c r="B59" s="63"/>
      <c r="C59" s="64">
        <v>33318</v>
      </c>
      <c r="D59" s="63">
        <v>9</v>
      </c>
      <c r="E59" s="63">
        <v>10.08</v>
      </c>
      <c r="F59" s="63">
        <v>10.8</v>
      </c>
      <c r="G59" s="63">
        <v>11.52</v>
      </c>
      <c r="H59" s="63">
        <v>11.88</v>
      </c>
      <c r="I59" s="63" t="s">
        <v>1767</v>
      </c>
      <c r="J59" s="63" t="s">
        <v>1767</v>
      </c>
    </row>
    <row r="60" spans="2:26">
      <c r="B60" s="63"/>
      <c r="C60" s="64">
        <v>33106</v>
      </c>
      <c r="D60" s="63">
        <v>8.64</v>
      </c>
      <c r="E60" s="63">
        <v>9.36</v>
      </c>
      <c r="F60" s="63">
        <v>10.08</v>
      </c>
      <c r="G60" s="63">
        <v>10.8</v>
      </c>
      <c r="H60" s="63">
        <v>11.16</v>
      </c>
      <c r="I60" s="63">
        <v>0</v>
      </c>
      <c r="J60" s="63">
        <v>0</v>
      </c>
    </row>
    <row r="61" spans="2:26">
      <c r="B61" s="63"/>
      <c r="C61" s="64">
        <v>32540</v>
      </c>
      <c r="D61" s="63">
        <v>11.34</v>
      </c>
      <c r="E61" s="63">
        <v>11.34</v>
      </c>
      <c r="F61" s="63">
        <v>12.78</v>
      </c>
      <c r="G61" s="63">
        <v>14.4</v>
      </c>
      <c r="H61" s="63">
        <v>19.260000000000002</v>
      </c>
      <c r="I61" s="63">
        <v>0</v>
      </c>
      <c r="J61" s="63">
        <v>0</v>
      </c>
    </row>
    <row r="62" spans="2:26">
      <c r="B62" s="63"/>
      <c r="C62" s="64"/>
      <c r="D62" s="63"/>
      <c r="E62" s="63"/>
      <c r="F62" s="63"/>
      <c r="G62" s="63"/>
      <c r="H62" s="63"/>
      <c r="I62" s="63"/>
      <c r="J62" s="63"/>
    </row>
    <row r="63" spans="2:26">
      <c r="B63" s="67"/>
      <c r="C63" s="68"/>
      <c r="D63" s="67"/>
      <c r="E63" s="67"/>
      <c r="F63" s="67"/>
      <c r="G63" s="67"/>
      <c r="H63" s="67"/>
      <c r="I63" s="67"/>
      <c r="J63" s="67"/>
    </row>
    <row r="64" spans="2:26">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honeticPr fontId="21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ColWidth="9" defaultRowHeight="13.5"/>
  <sheetData>
    <row r="1" spans="1:13" ht="28.5">
      <c r="A1" s="1" t="s">
        <v>2757</v>
      </c>
      <c r="E1" s="2" t="s">
        <v>2758</v>
      </c>
      <c r="F1" s="3" t="s">
        <v>2759</v>
      </c>
    </row>
    <row r="2" spans="1:13" ht="20.25">
      <c r="A2" s="4" t="s">
        <v>2760</v>
      </c>
    </row>
    <row r="3" spans="1:13" ht="16.5">
      <c r="A3" s="5" t="s">
        <v>2761</v>
      </c>
    </row>
    <row r="4" spans="1:13" ht="14.25">
      <c r="A4" s="6" t="s">
        <v>1979</v>
      </c>
      <c r="B4" s="7" t="s">
        <v>465</v>
      </c>
      <c r="C4" s="8"/>
      <c r="D4" s="9"/>
      <c r="E4" s="7" t="s">
        <v>1974</v>
      </c>
      <c r="F4" s="8"/>
      <c r="G4" s="9"/>
      <c r="H4" s="7" t="s">
        <v>2011</v>
      </c>
      <c r="I4" s="8"/>
      <c r="J4" s="9"/>
      <c r="K4" s="7" t="s">
        <v>1975</v>
      </c>
      <c r="L4" s="8"/>
      <c r="M4" s="9"/>
    </row>
    <row r="5" spans="1:13" ht="14.25">
      <c r="A5" s="10" t="s">
        <v>210</v>
      </c>
      <c r="B5" s="6" t="s">
        <v>2762</v>
      </c>
      <c r="C5" s="6" t="s">
        <v>2763</v>
      </c>
      <c r="D5" s="6" t="s">
        <v>2764</v>
      </c>
      <c r="E5" s="6" t="s">
        <v>2762</v>
      </c>
      <c r="F5" s="6" t="s">
        <v>2763</v>
      </c>
      <c r="G5" s="6" t="s">
        <v>2764</v>
      </c>
      <c r="H5" s="6" t="s">
        <v>2762</v>
      </c>
      <c r="I5" s="6" t="s">
        <v>2763</v>
      </c>
      <c r="J5" s="6" t="s">
        <v>2764</v>
      </c>
      <c r="K5" s="6" t="s">
        <v>2762</v>
      </c>
      <c r="L5" s="6" t="s">
        <v>2763</v>
      </c>
      <c r="M5" s="6" t="s">
        <v>2764</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3:K84"/>
  <sheetViews>
    <sheetView topLeftCell="A66" workbookViewId="0">
      <selection activeCell="H76" sqref="H76"/>
    </sheetView>
  </sheetViews>
  <sheetFormatPr defaultRowHeight="13.5"/>
  <sheetData>
    <row r="3" spans="11:11">
      <c r="K3">
        <f>202.18+213.09+202.71+213.09+202.71+215.36+204.98+213.09+202.71+213.09+202.71+212.61</f>
        <v>2498.33</v>
      </c>
    </row>
    <row r="52" spans="1:3">
      <c r="C52">
        <v>15547.54</v>
      </c>
    </row>
    <row r="54" spans="1:3">
      <c r="A54">
        <f>15618.67-53.8-17.33</f>
        <v>15547.54</v>
      </c>
    </row>
    <row r="55" spans="1:3">
      <c r="A55">
        <f>16115.91</f>
        <v>16115.91</v>
      </c>
    </row>
    <row r="56" spans="1:3">
      <c r="A56">
        <f>A55-A54</f>
        <v>568.36999999999898</v>
      </c>
    </row>
    <row r="68" spans="1:7">
      <c r="A68" s="3077" t="s">
        <v>2865</v>
      </c>
      <c r="D68" s="3077" t="s">
        <v>2866</v>
      </c>
      <c r="G68" s="3077" t="s">
        <v>2868</v>
      </c>
    </row>
    <row r="69" spans="1:7">
      <c r="A69" s="3077" t="s">
        <v>2862</v>
      </c>
      <c r="D69">
        <v>171.78</v>
      </c>
    </row>
    <row r="70" spans="1:7">
      <c r="A70">
        <v>180.89</v>
      </c>
      <c r="D70">
        <f>259.75-6.36-6.48-7.42-7.7-7.16-7.43</f>
        <v>217.20000000000002</v>
      </c>
    </row>
    <row r="71" spans="1:7">
      <c r="A71">
        <f>16.75</f>
        <v>16.75</v>
      </c>
      <c r="D71">
        <f>1426.02-D69-D70-67.55-183.16</f>
        <v>786.33</v>
      </c>
      <c r="E71" s="3077" t="s">
        <v>2867</v>
      </c>
    </row>
    <row r="72" spans="1:7">
      <c r="A72">
        <f>A71</f>
        <v>16.75</v>
      </c>
      <c r="D72">
        <f>2129.85-D71</f>
        <v>1343.52</v>
      </c>
      <c r="E72" s="3077" t="s">
        <v>2864</v>
      </c>
    </row>
    <row r="73" spans="1:7">
      <c r="A73">
        <f>A71</f>
        <v>16.75</v>
      </c>
    </row>
    <row r="74" spans="1:7">
      <c r="A74">
        <v>13</v>
      </c>
    </row>
    <row r="75" spans="1:7">
      <c r="A75">
        <v>13</v>
      </c>
    </row>
    <row r="76" spans="1:7">
      <c r="A76">
        <v>13</v>
      </c>
    </row>
    <row r="77" spans="1:7">
      <c r="A77">
        <v>12.86</v>
      </c>
    </row>
    <row r="78" spans="1:7">
      <c r="A78">
        <v>12.86</v>
      </c>
    </row>
    <row r="79" spans="1:7">
      <c r="A79">
        <v>12.86</v>
      </c>
    </row>
    <row r="80" spans="1:7">
      <c r="A80">
        <v>7.69</v>
      </c>
    </row>
    <row r="81" spans="1:6">
      <c r="A81">
        <v>158.97999999999999</v>
      </c>
    </row>
    <row r="82" spans="1:6">
      <c r="A82">
        <f>SUM(A70:A81)</f>
        <v>475.39</v>
      </c>
      <c r="F82">
        <f>-6.62-7.83-7.43</f>
        <v>-21.88</v>
      </c>
    </row>
    <row r="83" spans="1:6">
      <c r="A83">
        <f>1662.66-A82-53.8-232.49-17.33</f>
        <v>883.65</v>
      </c>
      <c r="B83" s="3077" t="s">
        <v>2863</v>
      </c>
    </row>
    <row r="84" spans="1:6">
      <c r="A84">
        <f>2498.33-A83</f>
        <v>1614.6799999999998</v>
      </c>
      <c r="B84" s="3077" t="s">
        <v>2864</v>
      </c>
    </row>
  </sheetData>
  <phoneticPr fontId="212"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488" customWidth="1"/>
    <col min="2" max="9" width="12.125" style="488" customWidth="1"/>
    <col min="10" max="16384" width="9" style="488"/>
  </cols>
  <sheetData>
    <row r="1" spans="1:9" ht="18">
      <c r="A1" s="3098" t="str">
        <f>IF(项目基本情况!B9="房地产市场价值","估价结果一览表","结果表-2")</f>
        <v>结果表-2</v>
      </c>
      <c r="B1" s="3098"/>
      <c r="C1" s="3098"/>
      <c r="D1" s="3098"/>
      <c r="E1" s="3098"/>
      <c r="F1" s="3098"/>
      <c r="G1" s="3098"/>
      <c r="H1" s="3098"/>
      <c r="I1" s="3098"/>
    </row>
    <row r="2" spans="1:9" ht="30" customHeight="1">
      <c r="A2" s="3099" t="s">
        <v>107</v>
      </c>
      <c r="B2" s="3099" t="s">
        <v>108</v>
      </c>
      <c r="C2" s="3099" t="s">
        <v>109</v>
      </c>
      <c r="D2" s="3099" t="str">
        <f>结果表!D116</f>
        <v>出让国有建设用地使用权价值</v>
      </c>
      <c r="E2" s="3099"/>
      <c r="F2" s="3099" t="str">
        <f>结果表!F116</f>
        <v>在建建筑物价值</v>
      </c>
      <c r="G2" s="3099"/>
      <c r="H2" s="3099" t="str">
        <f>IF(项目基本情况!B9="房地产市场价值","房地产市场价值","房地产价值")</f>
        <v>房地产价值</v>
      </c>
      <c r="I2" s="3099"/>
    </row>
    <row r="3" spans="1:9" ht="15">
      <c r="A3" s="3093"/>
      <c r="B3" s="3093"/>
      <c r="C3" s="3093"/>
      <c r="D3" s="2994" t="s">
        <v>110</v>
      </c>
      <c r="E3" s="2994" t="s">
        <v>111</v>
      </c>
      <c r="F3" s="2994" t="s">
        <v>110</v>
      </c>
      <c r="G3" s="2994" t="s">
        <v>111</v>
      </c>
      <c r="H3" s="2994" t="s">
        <v>110</v>
      </c>
      <c r="I3" s="2994" t="s">
        <v>111</v>
      </c>
    </row>
    <row r="4" spans="1:9" ht="15">
      <c r="A4" s="2995" t="str">
        <f>项目基本情况!S2</f>
        <v>北京市房地产</v>
      </c>
      <c r="B4" s="2994">
        <f>项目基本情况!C17</f>
        <v>39222.729999999996</v>
      </c>
      <c r="C4" s="2994">
        <f>项目基本情况!C18</f>
        <v>11660.67</v>
      </c>
      <c r="D4" s="2994">
        <f ca="1">结果表!D118</f>
        <v>325448</v>
      </c>
      <c r="E4" s="2994">
        <f ca="1">结果表!E118</f>
        <v>82974</v>
      </c>
      <c r="F4" s="2994">
        <f ca="1">结果表!F118</f>
        <v>12856</v>
      </c>
      <c r="G4" s="2994">
        <f ca="1">结果表!G118</f>
        <v>3278</v>
      </c>
      <c r="H4" s="2994">
        <f ca="1">结果表!H118</f>
        <v>338304</v>
      </c>
      <c r="I4" s="2994">
        <f ca="1">结果表!I118</f>
        <v>86252</v>
      </c>
    </row>
    <row r="5" spans="1:9" ht="30" customHeight="1">
      <c r="A5" s="3093" t="s">
        <v>112</v>
      </c>
      <c r="B5" s="3093"/>
      <c r="C5" s="3093"/>
      <c r="D5" s="3094" t="str">
        <f ca="1">结果表!D119</f>
        <v>叁拾贰亿伍仟肆佰肆拾捌万元整</v>
      </c>
      <c r="E5" s="3094"/>
      <c r="F5" s="3094" t="str">
        <f ca="1">结果表!F119</f>
        <v>壹亿贰仟捌佰伍拾陆万元整</v>
      </c>
      <c r="G5" s="3094"/>
      <c r="H5" s="3094" t="str">
        <f ca="1">结果表!H119</f>
        <v>叁拾叁亿捌仟叁佰零肆万元整</v>
      </c>
      <c r="I5" s="3094"/>
    </row>
    <row r="6" spans="1:9" ht="15.75">
      <c r="A6" s="3089" t="str">
        <f>结果表!A120</f>
        <v>估价师知悉的法定优先受偿款</v>
      </c>
      <c r="B6" s="3089"/>
      <c r="C6" s="3089"/>
      <c r="D6" s="3089">
        <f>结果表!D120</f>
        <v>0</v>
      </c>
      <c r="E6" s="3089"/>
      <c r="F6" s="3089"/>
      <c r="G6" s="3089"/>
      <c r="H6" s="3089"/>
      <c r="I6" s="3089"/>
    </row>
    <row r="7" spans="1:9" ht="15">
      <c r="A7" s="3093" t="s">
        <v>112</v>
      </c>
      <c r="B7" s="3093"/>
      <c r="C7" s="3093"/>
      <c r="D7" s="3095" t="str">
        <f>结果表!D121</f>
        <v>零元整</v>
      </c>
      <c r="E7" s="3096"/>
      <c r="F7" s="3096"/>
      <c r="G7" s="3096"/>
      <c r="H7" s="3096"/>
      <c r="I7" s="3097"/>
    </row>
    <row r="8" spans="1:9" ht="15.75">
      <c r="A8" s="3089" t="str">
        <f>结果表!A122</f>
        <v>房地产抵押价值</v>
      </c>
      <c r="B8" s="3089"/>
      <c r="C8" s="3089"/>
      <c r="D8" s="3089">
        <f ca="1">结果表!D122</f>
        <v>338304</v>
      </c>
      <c r="E8" s="3089"/>
      <c r="F8" s="3089"/>
      <c r="G8" s="3089"/>
      <c r="H8" s="3089"/>
      <c r="I8" s="3089"/>
    </row>
    <row r="9" spans="1:9" ht="15">
      <c r="A9" s="3093" t="s">
        <v>112</v>
      </c>
      <c r="B9" s="3093"/>
      <c r="C9" s="3093"/>
      <c r="D9" s="3094" t="str">
        <f ca="1">结果表!D123</f>
        <v>叁拾叁亿捌仟叁佰零肆万元整</v>
      </c>
      <c r="E9" s="3094"/>
      <c r="F9" s="3094"/>
      <c r="G9" s="3094"/>
      <c r="H9" s="3094"/>
      <c r="I9" s="3094"/>
    </row>
    <row r="10" spans="1:9" ht="15.75">
      <c r="A10" s="3089" t="str">
        <f>结果表!A124</f>
        <v/>
      </c>
      <c r="B10" s="3089"/>
      <c r="C10" s="3089"/>
      <c r="D10" s="3089" t="str">
        <f>结果表!D124</f>
        <v>——</v>
      </c>
      <c r="E10" s="3089"/>
      <c r="F10" s="3089"/>
      <c r="G10" s="3089"/>
      <c r="H10" s="3089"/>
      <c r="I10" s="3089"/>
    </row>
    <row r="11" spans="1:9" ht="15">
      <c r="A11" s="3093" t="s">
        <v>112</v>
      </c>
      <c r="B11" s="3093"/>
      <c r="C11" s="3093"/>
      <c r="D11" s="3094" t="e">
        <f>结果表!D125</f>
        <v>#VALUE!</v>
      </c>
      <c r="E11" s="3094"/>
      <c r="F11" s="3094"/>
      <c r="G11" s="3094"/>
      <c r="H11" s="3094"/>
      <c r="I11" s="3094"/>
    </row>
    <row r="12" spans="1:9" ht="15.75">
      <c r="A12" s="3089" t="str">
        <f>结果表!A126</f>
        <v/>
      </c>
      <c r="B12" s="3089"/>
      <c r="C12" s="3089"/>
      <c r="D12" s="3089" t="str">
        <f>结果表!D126</f>
        <v>——</v>
      </c>
      <c r="E12" s="3089"/>
      <c r="F12" s="3089"/>
      <c r="G12" s="3089"/>
      <c r="H12" s="3089"/>
      <c r="I12" s="3089"/>
    </row>
    <row r="13" spans="1:9" ht="15">
      <c r="A13" s="3090" t="s">
        <v>112</v>
      </c>
      <c r="B13" s="3090"/>
      <c r="C13" s="3090"/>
      <c r="D13" s="3091" t="e">
        <f>结果表!D127</f>
        <v>#VALUE!</v>
      </c>
      <c r="E13" s="3091"/>
      <c r="F13" s="3091"/>
      <c r="G13" s="3091"/>
      <c r="H13" s="3091"/>
      <c r="I13" s="3091"/>
    </row>
    <row r="14" spans="1:9">
      <c r="A14" s="3092" t="s">
        <v>113</v>
      </c>
      <c r="B14" s="3092"/>
      <c r="C14" s="3092"/>
      <c r="D14" s="3092"/>
      <c r="E14" s="3092"/>
      <c r="F14" s="3092"/>
      <c r="G14" s="3092"/>
      <c r="H14" s="3092"/>
      <c r="I14" s="3092"/>
    </row>
    <row r="16" spans="1:9" ht="18.75">
      <c r="A16" s="2996" t="s">
        <v>106</v>
      </c>
      <c r="B16" s="1603"/>
      <c r="C16" s="1603"/>
      <c r="D16" s="1603"/>
      <c r="E16" s="1603"/>
      <c r="F16" s="1603"/>
      <c r="G16" s="1603"/>
      <c r="H16" s="1603"/>
      <c r="I16" s="1603"/>
    </row>
    <row r="17" spans="1:9">
      <c r="A17" s="1603"/>
      <c r="B17" s="1603"/>
      <c r="C17" s="1603"/>
      <c r="D17" s="1603"/>
      <c r="E17" s="1603"/>
      <c r="F17" s="1603"/>
      <c r="G17" s="1603"/>
      <c r="H17" s="1603"/>
      <c r="I17" s="1603"/>
    </row>
    <row r="18" spans="1:9">
      <c r="A18" s="1603"/>
      <c r="B18" s="1603"/>
      <c r="C18" s="1603"/>
      <c r="D18" s="1603"/>
      <c r="E18" s="1603"/>
      <c r="F18" s="1603"/>
      <c r="G18" s="1603"/>
      <c r="H18" s="1603"/>
      <c r="I18" s="1603"/>
    </row>
    <row r="19" spans="1:9">
      <c r="A19" s="1603"/>
      <c r="B19" s="1603"/>
      <c r="C19" s="1603"/>
      <c r="D19" s="1603"/>
      <c r="E19" s="1603"/>
      <c r="F19" s="1603"/>
      <c r="G19" s="1603"/>
      <c r="H19" s="1603"/>
      <c r="I19" s="1603"/>
    </row>
    <row r="20" spans="1:9">
      <c r="A20" s="1603"/>
      <c r="B20" s="1603"/>
      <c r="C20" s="1603"/>
      <c r="D20" s="1603"/>
      <c r="E20" s="1603"/>
      <c r="F20" s="1603"/>
      <c r="G20" s="1603"/>
      <c r="H20" s="1603"/>
      <c r="I20" s="1603"/>
    </row>
    <row r="21" spans="1:9">
      <c r="A21" s="1603"/>
      <c r="B21" s="1603"/>
      <c r="C21" s="1603"/>
      <c r="D21" s="1603"/>
      <c r="E21" s="1603"/>
      <c r="F21" s="1603"/>
      <c r="G21" s="1603"/>
      <c r="H21" s="1603"/>
      <c r="I21" s="1603"/>
    </row>
    <row r="22" spans="1:9">
      <c r="A22" s="1603"/>
      <c r="B22" s="1603"/>
      <c r="C22" s="1603"/>
      <c r="D22" s="1603"/>
      <c r="E22" s="1603"/>
      <c r="F22" s="1603"/>
      <c r="G22" s="1603"/>
      <c r="H22" s="1603"/>
      <c r="I22" s="160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8" customWidth="1"/>
    <col min="2" max="3" width="22.375" style="488" customWidth="1"/>
    <col min="4" max="4" width="23" style="488" customWidth="1"/>
    <col min="5" max="16384" width="9" style="488"/>
  </cols>
  <sheetData>
    <row r="1" spans="1:4" ht="18.75">
      <c r="A1" s="3106" t="s">
        <v>114</v>
      </c>
      <c r="B1" s="3106"/>
      <c r="C1" s="3106"/>
      <c r="D1" s="3106"/>
    </row>
    <row r="2" spans="1:4" ht="18">
      <c r="A2" s="3107" t="s">
        <v>115</v>
      </c>
      <c r="B2" s="3107"/>
      <c r="C2" s="3107"/>
      <c r="D2" s="3107"/>
    </row>
    <row r="3" spans="1:4" ht="18.75">
      <c r="A3" s="2983" t="s">
        <v>116</v>
      </c>
      <c r="B3" s="2983" t="s">
        <v>117</v>
      </c>
      <c r="C3" s="2983" t="s">
        <v>118</v>
      </c>
      <c r="D3" s="2983" t="s">
        <v>119</v>
      </c>
    </row>
    <row r="4" spans="1:4" ht="56.25" customHeight="1">
      <c r="A4" s="2984">
        <f>项目基本情况!B4</f>
        <v>0</v>
      </c>
      <c r="B4" s="2985">
        <f>项目基本情况!C4</f>
        <v>0</v>
      </c>
      <c r="C4" s="2986"/>
      <c r="D4" s="2987" t="s">
        <v>120</v>
      </c>
    </row>
    <row r="5" spans="1:4" ht="56.25" customHeight="1">
      <c r="A5" s="2984">
        <f>项目基本情况!D4</f>
        <v>0</v>
      </c>
      <c r="B5" s="2985">
        <f>项目基本情况!E4</f>
        <v>0</v>
      </c>
      <c r="C5" s="2988"/>
      <c r="D5" s="2987" t="s">
        <v>120</v>
      </c>
    </row>
    <row r="6" spans="1:4" ht="18">
      <c r="A6" s="3107" t="s">
        <v>121</v>
      </c>
      <c r="B6" s="3107"/>
      <c r="C6" s="3107"/>
      <c r="D6" s="3107"/>
    </row>
    <row r="7" spans="1:4" ht="18.75">
      <c r="A7" s="2983" t="s">
        <v>116</v>
      </c>
      <c r="B7" s="2985" t="s">
        <v>122</v>
      </c>
      <c r="C7" s="2983" t="s">
        <v>118</v>
      </c>
      <c r="D7" s="2983" t="s">
        <v>119</v>
      </c>
    </row>
    <row r="8" spans="1:4" ht="56.25" customHeight="1">
      <c r="A8" s="2989" t="s">
        <v>123</v>
      </c>
      <c r="B8" s="2989" t="s">
        <v>124</v>
      </c>
      <c r="C8" s="2986"/>
      <c r="D8" s="2987" t="s">
        <v>120</v>
      </c>
    </row>
    <row r="9" spans="1:4">
      <c r="A9" s="2990"/>
      <c r="B9" s="2990"/>
      <c r="C9" s="2990"/>
      <c r="D9" s="2990"/>
    </row>
    <row r="10" spans="1:4" ht="18.75">
      <c r="A10" s="2982" t="s">
        <v>125</v>
      </c>
      <c r="B10" s="2990"/>
      <c r="C10" s="2990"/>
      <c r="D10" s="2990"/>
    </row>
    <row r="11" spans="1:4" ht="30" customHeight="1">
      <c r="A11" s="3108" t="s">
        <v>126</v>
      </c>
      <c r="B11" s="3101"/>
      <c r="C11" s="3101"/>
      <c r="D11" s="3101"/>
    </row>
    <row r="12" spans="1:4" ht="15.75">
      <c r="A12" s="31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4"/>
      <c r="C12" s="3104"/>
      <c r="D12" s="3104"/>
    </row>
    <row r="13" spans="1:4" ht="30" customHeight="1">
      <c r="A13" s="31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4"/>
      <c r="C13" s="3104"/>
      <c r="D13" s="3104"/>
    </row>
    <row r="14" spans="1:4" ht="15.75" customHeight="1">
      <c r="A14" s="3101" t="str">
        <f>IF(项目基本情况!B8="抵押","4.本次评估估价师所知悉的法定优先受偿款情况说明如下：","——")</f>
        <v>4.本次评估估价师所知悉的法定优先受偿款情况说明如下：</v>
      </c>
      <c r="B14" s="3104"/>
      <c r="C14" s="3104"/>
      <c r="D14" s="3104"/>
    </row>
    <row r="15" spans="1:4" ht="42" customHeight="1">
      <c r="A15" s="3101" t="str">
        <f>IF(项目基本情况!B8="抵押","（1）"&amp;CONCATENATE(项目基本情况!L20,项目基本情况!L21,项目基本情况!L22),"——")</f>
        <v>（1）根据估价对象《房屋所有权证》原件、《国有土地使用权》复印件，截至价值时点，估价对象抵押权未见登记。</v>
      </c>
      <c r="B15" s="3101"/>
      <c r="C15" s="3101"/>
      <c r="D15" s="3101"/>
    </row>
    <row r="16" spans="1:4" ht="30" customHeight="1">
      <c r="A16" s="3105" t="s">
        <v>127</v>
      </c>
      <c r="B16" s="3105"/>
      <c r="C16" s="3105"/>
      <c r="D16" s="3105"/>
    </row>
    <row r="17" spans="1:4" ht="144" customHeight="1">
      <c r="A17" s="3105" t="s">
        <v>128</v>
      </c>
      <c r="B17" s="3105"/>
      <c r="C17" s="3105"/>
      <c r="D17" s="3105"/>
    </row>
    <row r="18" spans="1:4" ht="15.75" customHeight="1">
      <c r="A18" s="3101" t="str">
        <f>IF(项目基本情况!B8="抵押",结果表!K120,"——")</f>
        <v>故，本次评估不存在估价师知悉的法定优先受偿款</v>
      </c>
      <c r="B18" s="3101"/>
      <c r="C18" s="3101"/>
      <c r="D18" s="3101"/>
    </row>
    <row r="19" spans="1:4" ht="46.5" customHeight="1">
      <c r="A19" s="31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1"/>
      <c r="C19" s="3101"/>
      <c r="D19" s="3101"/>
    </row>
    <row r="20" spans="1:4" ht="57.75" customHeight="1">
      <c r="A20" s="31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1"/>
      <c r="C20" s="3101"/>
      <c r="D20" s="3101"/>
    </row>
    <row r="21" spans="1:4" ht="57.75" customHeight="1">
      <c r="A21" s="31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2"/>
      <c r="C21" s="3102"/>
      <c r="D21" s="3102"/>
    </row>
    <row r="22" spans="1:4" ht="18.75" customHeight="1">
      <c r="A22" s="3103" t="s">
        <v>129</v>
      </c>
      <c r="B22" s="3103"/>
      <c r="C22" s="3103"/>
      <c r="D22" s="3103"/>
    </row>
    <row r="23" spans="1:4">
      <c r="A23" s="2991"/>
      <c r="B23" s="1603"/>
      <c r="C23" s="1603"/>
      <c r="D23" s="1603"/>
    </row>
    <row r="24" spans="1:4">
      <c r="A24" s="2991"/>
      <c r="B24" s="1603"/>
      <c r="C24" s="1603"/>
      <c r="D24" s="1603"/>
    </row>
    <row r="25" spans="1:4" ht="18.75">
      <c r="A25" s="2992" t="s">
        <v>130</v>
      </c>
    </row>
    <row r="26" spans="1:4" ht="18">
      <c r="A26" s="2993"/>
    </row>
    <row r="27" spans="1:4" ht="18.75">
      <c r="A27" s="2993" t="s">
        <v>131</v>
      </c>
    </row>
    <row r="30" spans="1:4" ht="18.75">
      <c r="D30" s="2992" t="s">
        <v>132</v>
      </c>
    </row>
    <row r="31" spans="1:4" ht="13.5" customHeight="1">
      <c r="C31" s="3100">
        <v>42551</v>
      </c>
      <c r="D31" s="31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78" customWidth="1"/>
    <col min="3" max="10" width="12.5" style="2978" customWidth="1"/>
    <col min="11" max="16384" width="9" style="2978"/>
  </cols>
  <sheetData>
    <row r="1" spans="1:10" ht="18.75">
      <c r="A1" s="2979" t="s">
        <v>133</v>
      </c>
      <c r="B1" s="2980"/>
      <c r="C1" s="2980"/>
      <c r="D1" s="2980"/>
      <c r="E1" s="2980"/>
      <c r="F1" s="2980"/>
      <c r="G1" s="2980"/>
      <c r="H1" s="2980"/>
      <c r="I1" s="2980"/>
      <c r="J1" s="2980"/>
    </row>
    <row r="2" spans="1:10" ht="18.75">
      <c r="A2" s="2981"/>
      <c r="B2" s="2980"/>
      <c r="C2" s="2980"/>
      <c r="D2" s="2980"/>
      <c r="E2" s="2980"/>
      <c r="F2" s="2980"/>
      <c r="G2" s="2980"/>
      <c r="H2" s="2980"/>
      <c r="I2" s="2980"/>
      <c r="J2" s="2980"/>
    </row>
    <row r="3" spans="1:10">
      <c r="A3" s="2980"/>
      <c r="B3" s="2980"/>
      <c r="C3" s="2980"/>
      <c r="D3" s="2980"/>
      <c r="E3" s="2980"/>
      <c r="F3" s="2980"/>
      <c r="G3" s="2980"/>
      <c r="H3" s="2980"/>
      <c r="I3" s="2980"/>
      <c r="J3" s="2980"/>
    </row>
    <row r="4" spans="1:10">
      <c r="A4" s="2980"/>
      <c r="B4" s="2980"/>
      <c r="C4" s="2980"/>
      <c r="D4" s="2980"/>
      <c r="E4" s="2980"/>
      <c r="F4" s="2980"/>
      <c r="G4" s="2980"/>
      <c r="H4" s="2980"/>
      <c r="I4" s="2980"/>
      <c r="J4" s="2980"/>
    </row>
    <row r="5" spans="1:10">
      <c r="A5" s="2980"/>
      <c r="B5" s="2980"/>
      <c r="C5" s="2980"/>
      <c r="D5" s="2980"/>
      <c r="E5" s="2980"/>
      <c r="F5" s="2980"/>
      <c r="G5" s="2980"/>
      <c r="H5" s="2980"/>
      <c r="I5" s="2980"/>
      <c r="J5" s="2980"/>
    </row>
    <row r="6" spans="1:10">
      <c r="A6" s="2980"/>
      <c r="B6" s="2980"/>
      <c r="C6" s="2980"/>
      <c r="D6" s="2980"/>
      <c r="E6" s="2980"/>
      <c r="F6" s="2980"/>
      <c r="G6" s="2980"/>
      <c r="H6" s="2980"/>
      <c r="I6" s="2980"/>
      <c r="J6" s="2980"/>
    </row>
    <row r="7" spans="1:10">
      <c r="A7" s="2980"/>
      <c r="B7" s="2980"/>
      <c r="C7" s="2980"/>
      <c r="D7" s="2980"/>
      <c r="E7" s="2980"/>
      <c r="F7" s="2980"/>
      <c r="G7" s="2980"/>
      <c r="H7" s="2980"/>
      <c r="I7" s="2980"/>
      <c r="J7" s="2980"/>
    </row>
    <row r="8" spans="1:10">
      <c r="A8" s="2980"/>
      <c r="B8" s="2980"/>
      <c r="C8" s="2980"/>
      <c r="D8" s="2980"/>
      <c r="E8" s="2980"/>
      <c r="F8" s="2980"/>
      <c r="G8" s="2980"/>
      <c r="H8" s="2980"/>
      <c r="I8" s="2980"/>
      <c r="J8" s="2980"/>
    </row>
    <row r="9" spans="1:10">
      <c r="A9" s="2980"/>
      <c r="B9" s="2980"/>
      <c r="C9" s="2980"/>
      <c r="D9" s="2980"/>
      <c r="E9" s="2980"/>
      <c r="F9" s="2980"/>
      <c r="G9" s="2980"/>
      <c r="H9" s="2980"/>
      <c r="I9" s="2980"/>
      <c r="J9" s="2980"/>
    </row>
    <row r="10" spans="1:10">
      <c r="A10" s="2980"/>
      <c r="B10" s="2980"/>
      <c r="C10" s="2980"/>
      <c r="D10" s="2980"/>
      <c r="E10" s="2980"/>
      <c r="F10" s="2980"/>
      <c r="G10" s="2980"/>
      <c r="H10" s="2980"/>
      <c r="I10" s="2980"/>
      <c r="J10" s="2980"/>
    </row>
    <row r="11" spans="1:10">
      <c r="A11" s="2980"/>
      <c r="B11" s="2980"/>
      <c r="C11" s="2980"/>
      <c r="D11" s="2980"/>
      <c r="E11" s="2980"/>
      <c r="F11" s="2980"/>
      <c r="G11" s="2980"/>
      <c r="H11" s="2980"/>
      <c r="I11" s="2980"/>
      <c r="J11" s="2980"/>
    </row>
    <row r="12" spans="1:10">
      <c r="A12" s="2980"/>
      <c r="B12" s="2980"/>
      <c r="C12" s="2980"/>
      <c r="D12" s="2980"/>
      <c r="E12" s="2980"/>
      <c r="F12" s="2980"/>
      <c r="G12" s="2980"/>
      <c r="H12" s="2980"/>
      <c r="I12" s="2980"/>
      <c r="J12" s="2980"/>
    </row>
    <row r="13" spans="1:10">
      <c r="A13" s="2980"/>
      <c r="B13" s="2980"/>
      <c r="C13" s="2980"/>
      <c r="D13" s="2980"/>
      <c r="E13" s="2980"/>
      <c r="F13" s="2980"/>
      <c r="G13" s="2980"/>
      <c r="H13" s="2980"/>
      <c r="I13" s="2980"/>
      <c r="J13" s="2980"/>
    </row>
    <row r="14" spans="1:10">
      <c r="A14" s="2980"/>
      <c r="B14" s="2980"/>
      <c r="C14" s="2980"/>
      <c r="D14" s="2980"/>
      <c r="E14" s="2980"/>
      <c r="F14" s="2980"/>
      <c r="G14" s="2980"/>
      <c r="H14" s="2980"/>
      <c r="I14" s="2980"/>
      <c r="J14" s="2980"/>
    </row>
    <row r="15" spans="1:10">
      <c r="A15" s="2980"/>
      <c r="B15" s="2980"/>
      <c r="C15" s="2980"/>
      <c r="D15" s="2980"/>
      <c r="E15" s="2980"/>
      <c r="F15" s="2980"/>
      <c r="G15" s="2980"/>
      <c r="H15" s="2980"/>
      <c r="I15" s="2980"/>
      <c r="J15" s="2980"/>
    </row>
    <row r="16" spans="1:10">
      <c r="A16" s="2980"/>
      <c r="B16" s="2980"/>
      <c r="C16" s="2980"/>
      <c r="D16" s="2980"/>
      <c r="E16" s="2980"/>
      <c r="F16" s="2980"/>
      <c r="G16" s="2980"/>
      <c r="H16" s="2980"/>
      <c r="I16" s="2980"/>
      <c r="J16" s="2980"/>
    </row>
    <row r="17" spans="1:10">
      <c r="A17" s="2980"/>
      <c r="B17" s="2980"/>
      <c r="C17" s="2980"/>
      <c r="D17" s="2980"/>
      <c r="E17" s="2980"/>
      <c r="F17" s="2980"/>
      <c r="G17" s="2980"/>
      <c r="H17" s="2980"/>
      <c r="I17" s="2980"/>
      <c r="J17" s="2980"/>
    </row>
    <row r="18" spans="1:10">
      <c r="A18" s="2980"/>
      <c r="B18" s="2980"/>
      <c r="C18" s="2980"/>
      <c r="D18" s="2980"/>
      <c r="E18" s="2980"/>
      <c r="F18" s="2980"/>
      <c r="G18" s="2980"/>
      <c r="H18" s="2980"/>
      <c r="I18" s="2980"/>
      <c r="J18" s="2980"/>
    </row>
    <row r="19" spans="1:10">
      <c r="A19" s="2980"/>
      <c r="B19" s="2980"/>
      <c r="C19" s="2980"/>
      <c r="D19" s="2980"/>
      <c r="E19" s="2980"/>
      <c r="F19" s="2980"/>
      <c r="G19" s="2980"/>
      <c r="H19" s="2980"/>
      <c r="I19" s="2980"/>
      <c r="J19" s="2980"/>
    </row>
    <row r="20" spans="1:10">
      <c r="A20" s="2980"/>
      <c r="B20" s="2980"/>
      <c r="C20" s="2980"/>
      <c r="D20" s="2980"/>
      <c r="E20" s="2980"/>
      <c r="F20" s="2980"/>
      <c r="G20" s="2980"/>
      <c r="H20" s="2980"/>
      <c r="I20" s="2980"/>
      <c r="J20" s="2980"/>
    </row>
    <row r="21" spans="1:10">
      <c r="A21" s="2980"/>
      <c r="B21" s="2980"/>
      <c r="C21" s="2980"/>
      <c r="D21" s="2980"/>
      <c r="E21" s="2980"/>
      <c r="F21" s="2980"/>
      <c r="G21" s="2980"/>
      <c r="H21" s="2980"/>
      <c r="I21" s="2980"/>
      <c r="J21" s="2980"/>
    </row>
    <row r="22" spans="1:10">
      <c r="A22" s="2980"/>
      <c r="B22" s="2980"/>
      <c r="C22" s="2980"/>
      <c r="D22" s="2980"/>
      <c r="E22" s="2980"/>
      <c r="F22" s="2980"/>
      <c r="G22" s="2980"/>
      <c r="H22" s="2980"/>
      <c r="I22" s="2980"/>
      <c r="J22" s="2980"/>
    </row>
    <row r="23" spans="1:10">
      <c r="A23" s="2980"/>
      <c r="B23" s="2980"/>
      <c r="C23" s="2980"/>
      <c r="D23" s="2980"/>
      <c r="E23" s="2980"/>
      <c r="F23" s="2980"/>
      <c r="G23" s="2980"/>
      <c r="H23" s="2980"/>
      <c r="I23" s="2980"/>
      <c r="J23" s="2980"/>
    </row>
    <row r="24" spans="1:10">
      <c r="A24" s="2980"/>
      <c r="B24" s="2980"/>
      <c r="C24" s="2980"/>
      <c r="D24" s="2980"/>
      <c r="E24" s="2980"/>
      <c r="F24" s="2980"/>
      <c r="G24" s="2980"/>
      <c r="H24" s="2980"/>
      <c r="I24" s="2980"/>
      <c r="J24" s="2980"/>
    </row>
    <row r="25" spans="1:10">
      <c r="A25" s="2980"/>
      <c r="B25" s="2980"/>
      <c r="C25" s="2980"/>
      <c r="D25" s="2980"/>
      <c r="E25" s="2980"/>
      <c r="F25" s="2980"/>
      <c r="G25" s="2980"/>
      <c r="H25" s="2980"/>
      <c r="I25" s="2980"/>
      <c r="J25" s="2980"/>
    </row>
    <row r="26" spans="1:10">
      <c r="A26" s="2980"/>
      <c r="B26" s="2980"/>
      <c r="C26" s="2980"/>
      <c r="D26" s="2980"/>
      <c r="E26" s="2980"/>
      <c r="F26" s="2980"/>
      <c r="G26" s="2980"/>
      <c r="H26" s="2980"/>
      <c r="I26" s="2980"/>
      <c r="J26" s="2980"/>
    </row>
    <row r="27" spans="1:10">
      <c r="A27" s="2980"/>
      <c r="B27" s="2980"/>
      <c r="C27" s="2980"/>
      <c r="D27" s="2980"/>
      <c r="E27" s="2980"/>
      <c r="F27" s="2980"/>
      <c r="G27" s="2980"/>
      <c r="H27" s="2980"/>
      <c r="I27" s="2980"/>
      <c r="J27" s="2980"/>
    </row>
    <row r="28" spans="1:10">
      <c r="A28" s="2980"/>
      <c r="B28" s="2980"/>
      <c r="C28" s="2980"/>
      <c r="D28" s="2980"/>
      <c r="E28" s="2980"/>
      <c r="F28" s="2980"/>
      <c r="G28" s="2980"/>
      <c r="H28" s="2980"/>
      <c r="I28" s="2980"/>
      <c r="J28" s="2980"/>
    </row>
    <row r="29" spans="1:10">
      <c r="A29" s="2980"/>
      <c r="B29" s="2980"/>
      <c r="C29" s="2980"/>
      <c r="D29" s="2980"/>
      <c r="E29" s="2980"/>
      <c r="F29" s="2980"/>
      <c r="G29" s="2980"/>
      <c r="H29" s="2980"/>
      <c r="I29" s="2980"/>
      <c r="J29" s="2980"/>
    </row>
    <row r="30" spans="1:10">
      <c r="A30" s="2980"/>
      <c r="B30" s="2980"/>
      <c r="C30" s="2980"/>
      <c r="D30" s="2980"/>
      <c r="E30" s="2980"/>
      <c r="F30" s="2980"/>
      <c r="G30" s="2980"/>
      <c r="H30" s="2980"/>
      <c r="I30" s="2980"/>
      <c r="J30" s="2980"/>
    </row>
    <row r="31" spans="1:10">
      <c r="A31" s="2980"/>
      <c r="B31" s="2980"/>
      <c r="C31" s="2980"/>
      <c r="D31" s="2980"/>
      <c r="E31" s="2980"/>
      <c r="F31" s="2980"/>
      <c r="G31" s="2980"/>
      <c r="H31" s="2980"/>
      <c r="I31" s="2980"/>
      <c r="J31" s="2980"/>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1" customWidth="1"/>
    <col min="2" max="16384" width="14.5" style="2911"/>
  </cols>
  <sheetData>
    <row r="1" spans="1:7" s="2960" customFormat="1" ht="18.75">
      <c r="A1" s="2962" t="s">
        <v>134</v>
      </c>
    </row>
    <row r="3" spans="1:7">
      <c r="A3" s="2963" t="s">
        <v>135</v>
      </c>
      <c r="B3" s="2911" t="s">
        <v>136</v>
      </c>
      <c r="G3" s="2964"/>
    </row>
    <row r="4" spans="1:7">
      <c r="G4" s="2964"/>
    </row>
    <row r="5" spans="1:7">
      <c r="A5" s="2965" t="s">
        <v>137</v>
      </c>
      <c r="B5" s="2911" t="s">
        <v>138</v>
      </c>
      <c r="G5" s="2964"/>
    </row>
    <row r="6" spans="1:7">
      <c r="G6" s="2964"/>
    </row>
    <row r="7" spans="1:7">
      <c r="A7" s="2966" t="s">
        <v>139</v>
      </c>
      <c r="B7" s="2911" t="s">
        <v>140</v>
      </c>
      <c r="G7" s="2964"/>
    </row>
    <row r="8" spans="1:7">
      <c r="G8" s="2964"/>
    </row>
    <row r="9" spans="1:7">
      <c r="A9" s="2967" t="s">
        <v>141</v>
      </c>
      <c r="B9" s="2911" t="s">
        <v>142</v>
      </c>
    </row>
    <row r="11" spans="1:7">
      <c r="A11" s="2968" t="s">
        <v>143</v>
      </c>
      <c r="B11" s="2969" t="s">
        <v>144</v>
      </c>
    </row>
    <row r="13" spans="1:7">
      <c r="A13" s="2970" t="s">
        <v>145</v>
      </c>
    </row>
    <row r="15" spans="1:7" ht="13.5">
      <c r="A15" s="3111" t="s">
        <v>146</v>
      </c>
      <c r="B15" s="3116" t="s">
        <v>147</v>
      </c>
      <c r="C15" s="3110"/>
    </row>
    <row r="16" spans="1:7" ht="13.5">
      <c r="A16" s="3112"/>
      <c r="B16" s="3116" t="s">
        <v>148</v>
      </c>
      <c r="C16" s="3110"/>
    </row>
    <row r="17" spans="1:3" ht="13.5">
      <c r="A17" s="3112"/>
      <c r="B17" s="3115" t="s">
        <v>149</v>
      </c>
      <c r="C17" s="2971" t="s">
        <v>146</v>
      </c>
    </row>
    <row r="18" spans="1:3" ht="13.5">
      <c r="A18" s="3112"/>
      <c r="B18" s="3115"/>
      <c r="C18" s="2971" t="s">
        <v>150</v>
      </c>
    </row>
    <row r="19" spans="1:3" ht="13.5">
      <c r="A19" s="3112"/>
      <c r="B19" s="3115"/>
      <c r="C19" s="2971" t="s">
        <v>151</v>
      </c>
    </row>
    <row r="20" spans="1:3" ht="13.5">
      <c r="A20" s="3113"/>
      <c r="B20" s="3109" t="s">
        <v>152</v>
      </c>
      <c r="C20" s="3110"/>
    </row>
    <row r="21" spans="1:3" ht="13.5">
      <c r="A21" s="2972" t="s">
        <v>153</v>
      </c>
      <c r="B21" s="2973"/>
      <c r="C21" s="2974"/>
    </row>
    <row r="22" spans="1:3" ht="13.5">
      <c r="A22" s="3114" t="s">
        <v>154</v>
      </c>
      <c r="B22" s="3109" t="s">
        <v>155</v>
      </c>
      <c r="C22" s="3110"/>
    </row>
    <row r="23" spans="1:3" ht="13.5">
      <c r="A23" s="3114"/>
      <c r="B23" s="3109" t="s">
        <v>156</v>
      </c>
      <c r="C23" s="3110"/>
    </row>
    <row r="24" spans="1:3" ht="13.5">
      <c r="A24" s="3114"/>
      <c r="B24" s="3109" t="s">
        <v>157</v>
      </c>
      <c r="C24" s="3110"/>
    </row>
    <row r="25" spans="1:3" ht="13.5">
      <c r="A25" s="3114"/>
      <c r="B25" s="3115" t="s">
        <v>158</v>
      </c>
      <c r="C25" s="2971" t="s">
        <v>159</v>
      </c>
    </row>
    <row r="26" spans="1:3" ht="13.5">
      <c r="A26" s="3114"/>
      <c r="B26" s="3115"/>
      <c r="C26" s="2971" t="s">
        <v>160</v>
      </c>
    </row>
    <row r="27" spans="1:3" ht="13.5">
      <c r="A27" s="3114"/>
      <c r="B27" s="3115"/>
      <c r="C27" s="2971" t="s">
        <v>161</v>
      </c>
    </row>
    <row r="28" spans="1:3" ht="13.5">
      <c r="A28" s="3114"/>
      <c r="B28" s="3115"/>
      <c r="C28" s="2971" t="s">
        <v>162</v>
      </c>
    </row>
    <row r="29" spans="1:3" ht="13.5">
      <c r="A29" s="3114"/>
      <c r="B29" s="3115"/>
      <c r="C29" s="2971" t="s">
        <v>163</v>
      </c>
    </row>
    <row r="30" spans="1:3" ht="13.5">
      <c r="A30" s="3114"/>
      <c r="B30" s="3115"/>
      <c r="C30" s="2971" t="s">
        <v>164</v>
      </c>
    </row>
    <row r="31" spans="1:3" ht="13.5">
      <c r="A31" s="3114"/>
      <c r="B31" s="3115"/>
      <c r="C31" s="2971" t="s">
        <v>165</v>
      </c>
    </row>
    <row r="32" spans="1:3" ht="13.5">
      <c r="A32" s="3114"/>
      <c r="B32" s="3115"/>
      <c r="C32" s="2971" t="s">
        <v>166</v>
      </c>
    </row>
    <row r="33" spans="1:3" ht="13.5">
      <c r="A33" s="3114"/>
      <c r="B33" s="3115"/>
      <c r="C33" s="2971" t="s">
        <v>167</v>
      </c>
    </row>
    <row r="34" spans="1:3">
      <c r="A34" s="2975" t="s">
        <v>168</v>
      </c>
    </row>
    <row r="37" spans="1:3">
      <c r="A37" s="2975" t="s">
        <v>169</v>
      </c>
    </row>
    <row r="38" spans="1:3" ht="13.5">
      <c r="A38" s="2976" t="s">
        <v>170</v>
      </c>
    </row>
    <row r="39" spans="1:3" ht="13.5">
      <c r="A39" s="2976" t="s">
        <v>171</v>
      </c>
    </row>
    <row r="40" spans="1:3" ht="13.5">
      <c r="A40" s="2976" t="s">
        <v>172</v>
      </c>
    </row>
    <row r="41" spans="1:3" ht="13.5">
      <c r="A41" s="2977" t="s">
        <v>173</v>
      </c>
    </row>
    <row r="42" spans="1:3" ht="13.5">
      <c r="A42" s="297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0" customWidth="1"/>
    <col min="2" max="2" width="38.625" style="2930" customWidth="1"/>
    <col min="3" max="3" width="26" style="2930" customWidth="1"/>
    <col min="4" max="4" width="35" style="2930" hidden="1" customWidth="1"/>
    <col min="5" max="5" width="30.125" style="2930" customWidth="1"/>
    <col min="6" max="6" width="35.5" style="2930" customWidth="1"/>
    <col min="7" max="7" width="31" style="2930" customWidth="1"/>
    <col min="8" max="8" width="37.5" style="2930" hidden="1" customWidth="1"/>
    <col min="9" max="16384" width="22.625" style="2930"/>
  </cols>
  <sheetData>
    <row r="1" spans="1:8" ht="24" customHeight="1">
      <c r="A1" s="2931"/>
      <c r="B1" s="2931"/>
      <c r="C1" s="2931"/>
      <c r="D1" s="2931"/>
      <c r="E1" s="2931"/>
      <c r="F1" s="2931"/>
      <c r="G1" s="2931"/>
      <c r="H1" s="2931"/>
    </row>
    <row r="2" spans="1:8" ht="24" customHeight="1">
      <c r="A2" s="2932" t="s">
        <v>175</v>
      </c>
      <c r="B2" s="2933">
        <f ca="1">TODAY()</f>
        <v>44294</v>
      </c>
      <c r="C2" s="2934" t="s">
        <v>176</v>
      </c>
      <c r="D2" s="2934"/>
      <c r="E2" s="2934"/>
      <c r="F2" s="2931"/>
      <c r="G2" s="2931"/>
      <c r="H2" s="2931"/>
    </row>
    <row r="3" spans="1:8" ht="24" customHeight="1">
      <c r="A3" s="2935" t="s">
        <v>177</v>
      </c>
      <c r="B3" s="2936" t="s">
        <v>178</v>
      </c>
      <c r="C3" s="2936" t="s">
        <v>179</v>
      </c>
      <c r="D3" s="2937" t="s">
        <v>180</v>
      </c>
      <c r="E3" s="2938" t="s">
        <v>181</v>
      </c>
      <c r="F3" s="2939" t="s">
        <v>182</v>
      </c>
      <c r="G3" s="2936" t="s">
        <v>179</v>
      </c>
      <c r="H3" s="2937" t="s">
        <v>183</v>
      </c>
    </row>
    <row r="4" spans="1:8" ht="24" customHeight="1">
      <c r="A4" s="2939" t="s">
        <v>184</v>
      </c>
      <c r="B4" s="2939">
        <f ca="1">IF(C4&lt;B2,"已过期",1119970066)</f>
        <v>1119970066</v>
      </c>
      <c r="C4" s="2940">
        <v>44876</v>
      </c>
      <c r="D4" s="2941" t="str">
        <f ca="1">A4&amp;"（注册号："&amp;B4&amp;"）"</f>
        <v>梁津（注册号：1119970066）</v>
      </c>
      <c r="E4" s="2942" t="s">
        <v>184</v>
      </c>
      <c r="F4" s="2939">
        <f ca="1">IF(G4&lt;B2,"已过期",96010014)</f>
        <v>96010014</v>
      </c>
      <c r="G4" s="2943">
        <v>47118</v>
      </c>
      <c r="H4" s="2944" t="str">
        <f ca="1">E4&amp;"（注册号："&amp;F4&amp;"）"</f>
        <v>梁津（注册号：96010014）</v>
      </c>
    </row>
    <row r="5" spans="1:8" ht="24" customHeight="1">
      <c r="A5" s="2939" t="s">
        <v>185</v>
      </c>
      <c r="B5" s="2939">
        <f ca="1">IF(C5&lt;B2,"已过期",1119970111)</f>
        <v>1119970111</v>
      </c>
      <c r="C5" s="2940">
        <v>44876</v>
      </c>
      <c r="D5" s="2941" t="str">
        <f t="shared" ref="D5:D16" ca="1" si="0">A5&amp;"（注册号："&amp;B5&amp;"）"</f>
        <v>叶凌（注册号：1119970111）</v>
      </c>
      <c r="E5" s="2942" t="s">
        <v>185</v>
      </c>
      <c r="F5" s="2939">
        <f ca="1">IF(G5&lt;B2,"已过期",94010078)</f>
        <v>94010078</v>
      </c>
      <c r="G5" s="2943">
        <v>46387</v>
      </c>
      <c r="H5" s="2944" t="str">
        <f t="shared" ref="H5:H16" ca="1" si="1">E5&amp;"（注册号："&amp;F5&amp;"）"</f>
        <v>叶凌（注册号：94010078）</v>
      </c>
    </row>
    <row r="6" spans="1:8" ht="24" customHeight="1">
      <c r="A6" s="2939" t="s">
        <v>186</v>
      </c>
      <c r="B6" s="2939">
        <f ca="1">IF(C6&lt;B2,"已过期",1120050019)</f>
        <v>1120050019</v>
      </c>
      <c r="C6" s="2940">
        <v>44395</v>
      </c>
      <c r="D6" s="2941" t="str">
        <f t="shared" ca="1" si="0"/>
        <v>王鹏（注册号：1120050019）</v>
      </c>
      <c r="E6" s="2942" t="s">
        <v>186</v>
      </c>
      <c r="F6" s="2939">
        <f ca="1">IF(G6&lt;B2,"已过期",2002110030)</f>
        <v>2002110030</v>
      </c>
      <c r="G6" s="2943">
        <v>46387</v>
      </c>
      <c r="H6" s="2944" t="str">
        <f t="shared" ca="1" si="1"/>
        <v>王鹏（注册号：2002110030）</v>
      </c>
    </row>
    <row r="7" spans="1:8" ht="24" customHeight="1">
      <c r="A7" s="2939" t="s">
        <v>187</v>
      </c>
      <c r="B7" s="2939">
        <f ca="1">IF(C7&lt;B2,"已过期",1120000080)</f>
        <v>1120000080</v>
      </c>
      <c r="C7" s="2940">
        <v>44876</v>
      </c>
      <c r="D7" s="2941" t="str">
        <f t="shared" ca="1" si="0"/>
        <v>欧红伟（注册号：1120000080）</v>
      </c>
      <c r="E7" s="2942" t="s">
        <v>187</v>
      </c>
      <c r="F7" s="2939">
        <f ca="1">IF(G7&lt;B2,"已过期",2000110082)</f>
        <v>2000110082</v>
      </c>
      <c r="G7" s="2943">
        <v>46387</v>
      </c>
      <c r="H7" s="2944" t="str">
        <f t="shared" ca="1" si="1"/>
        <v>欧红伟（注册号：2000110082）</v>
      </c>
    </row>
    <row r="8" spans="1:8" ht="24" customHeight="1">
      <c r="A8" s="2939" t="s">
        <v>188</v>
      </c>
      <c r="B8" s="2939">
        <f ca="1">IF(C8&lt;B2,"已过期",1419970001)</f>
        <v>1419970001</v>
      </c>
      <c r="C8" s="2940">
        <v>44899</v>
      </c>
      <c r="D8" s="2941" t="str">
        <f t="shared" ca="1" si="0"/>
        <v>吴薇（注册号：1419970001）</v>
      </c>
      <c r="E8" s="2942" t="s">
        <v>188</v>
      </c>
      <c r="F8" s="2939">
        <f ca="1">IF(G8&lt;B2,"已过期",2002110125)</f>
        <v>2002110125</v>
      </c>
      <c r="G8" s="2943">
        <v>47118</v>
      </c>
      <c r="H8" s="2944" t="str">
        <f t="shared" ca="1" si="1"/>
        <v>吴薇（注册号：2002110125）</v>
      </c>
    </row>
    <row r="9" spans="1:8" ht="24" customHeight="1">
      <c r="A9" s="2939" t="s">
        <v>189</v>
      </c>
      <c r="B9" s="2939">
        <f ca="1">IF(C9&lt;B2,"已过期",1120060040)</f>
        <v>1120060040</v>
      </c>
      <c r="C9" s="2945">
        <v>44554</v>
      </c>
      <c r="D9" s="2941" t="str">
        <f t="shared" ca="1" si="0"/>
        <v>陈颖（注册号：1120060040）</v>
      </c>
      <c r="E9" s="2942" t="s">
        <v>189</v>
      </c>
      <c r="F9" s="2939">
        <f ca="1">IF(G9&lt;B2,"已过期",2004110096)</f>
        <v>2004110096</v>
      </c>
      <c r="G9" s="2943">
        <v>47118</v>
      </c>
      <c r="H9" s="2944" t="str">
        <f t="shared" ca="1" si="1"/>
        <v>陈颖（注册号：2004110096）</v>
      </c>
    </row>
    <row r="10" spans="1:8" ht="24" customHeight="1">
      <c r="A10" s="2939" t="s">
        <v>190</v>
      </c>
      <c r="B10" s="2939">
        <f ca="1">IF(C10&lt;B2,"已过期",1120100036)</f>
        <v>1120100036</v>
      </c>
      <c r="C10" s="2945">
        <v>44675</v>
      </c>
      <c r="D10" s="2941" t="str">
        <f t="shared" ca="1" si="0"/>
        <v>崔锴（注册号：1120100036）</v>
      </c>
      <c r="E10" s="2942" t="s">
        <v>190</v>
      </c>
      <c r="F10" s="2939">
        <f ca="1">IF(G10&lt;B2,"已过期",2010110070)</f>
        <v>2010110070</v>
      </c>
      <c r="G10" s="2943">
        <v>47907</v>
      </c>
      <c r="H10" s="2944" t="str">
        <f t="shared" ca="1" si="1"/>
        <v>崔锴（注册号：2010110070）</v>
      </c>
    </row>
    <row r="11" spans="1:8" ht="24" customHeight="1">
      <c r="A11" s="2939" t="s">
        <v>191</v>
      </c>
      <c r="B11" s="2939">
        <f ca="1">IF(C11&lt;B2,"已过期",1120070131)</f>
        <v>1120070131</v>
      </c>
      <c r="C11" s="2940">
        <v>44849</v>
      </c>
      <c r="D11" s="2941" t="str">
        <f t="shared" ca="1" si="0"/>
        <v>郑燚（注册号：1120070131）</v>
      </c>
      <c r="E11" s="2942" t="s">
        <v>191</v>
      </c>
      <c r="F11" s="2939">
        <f ca="1">IF(G11&lt;B2,"已过期",2014110011)</f>
        <v>2014110011</v>
      </c>
      <c r="G11" s="2943">
        <v>49302</v>
      </c>
      <c r="H11" s="2944" t="str">
        <f t="shared" ca="1" si="1"/>
        <v>郑燚（注册号：2014110011）</v>
      </c>
    </row>
    <row r="12" spans="1:8" ht="24" customHeight="1">
      <c r="A12" s="2939" t="s">
        <v>192</v>
      </c>
      <c r="B12" s="2939">
        <f ca="1">IF(C12&lt;B2,"已过期",1120040230)</f>
        <v>1120040230</v>
      </c>
      <c r="C12" s="2945">
        <v>44864</v>
      </c>
      <c r="D12" s="2941" t="str">
        <f t="shared" ca="1" si="0"/>
        <v>苏海（注册号：1120040230）</v>
      </c>
      <c r="E12" s="2942" t="s">
        <v>192</v>
      </c>
      <c r="F12" s="2939">
        <f ca="1">IF(G12&lt;B2,"已过期",98030020)</f>
        <v>98030020</v>
      </c>
      <c r="G12" s="2943">
        <v>47118</v>
      </c>
      <c r="H12" s="2944" t="str">
        <f t="shared" ca="1" si="1"/>
        <v>苏海（注册号：98030020）</v>
      </c>
    </row>
    <row r="13" spans="1:8" ht="24" customHeight="1">
      <c r="A13" s="2939" t="s">
        <v>193</v>
      </c>
      <c r="B13" s="2939">
        <f ca="1">IF(C13&lt;B2,"已过期",1120020033)</f>
        <v>1120020033</v>
      </c>
      <c r="C13" s="2940">
        <v>44339</v>
      </c>
      <c r="D13" s="2941" t="str">
        <f t="shared" ca="1" si="0"/>
        <v>刘敬东（注册号：1120020033）</v>
      </c>
      <c r="E13" s="2942" t="s">
        <v>193</v>
      </c>
      <c r="F13" s="2939">
        <f ca="1">IF(G13&lt;B2,"已过期",2000110137)</f>
        <v>2000110137</v>
      </c>
      <c r="G13" s="2943">
        <v>46387</v>
      </c>
      <c r="H13" s="2944" t="str">
        <f t="shared" ca="1" si="1"/>
        <v>刘敬东（注册号：2000110137）</v>
      </c>
    </row>
    <row r="14" spans="1:8" ht="24" customHeight="1">
      <c r="A14" s="2939" t="s">
        <v>194</v>
      </c>
      <c r="B14" s="2939">
        <f ca="1">IF(C14&lt;B2,"已过期",1119980106)</f>
        <v>1119980106</v>
      </c>
      <c r="C14" s="2945">
        <v>44969</v>
      </c>
      <c r="D14" s="2941" t="str">
        <f t="shared" ca="1" si="0"/>
        <v>刘俊财（注册号：1119980106）</v>
      </c>
      <c r="E14" s="2942" t="s">
        <v>194</v>
      </c>
      <c r="F14" s="2939">
        <f ca="1">IF(G14&lt;B2,"已过期",96010063)</f>
        <v>96010063</v>
      </c>
      <c r="G14" s="2943">
        <v>47483</v>
      </c>
      <c r="H14" s="2944" t="str">
        <f t="shared" ca="1" si="1"/>
        <v>刘俊财（注册号：96010063）</v>
      </c>
    </row>
    <row r="15" spans="1:8" ht="24" customHeight="1">
      <c r="A15" s="2939"/>
      <c r="B15" s="2939"/>
      <c r="C15" s="2945"/>
      <c r="D15" s="2941" t="str">
        <f t="shared" si="0"/>
        <v>（注册号：）</v>
      </c>
      <c r="E15" s="2942" t="s">
        <v>195</v>
      </c>
      <c r="F15" s="2939">
        <f ca="1">IF(G15&lt;B2,"已过期",2011110090)</f>
        <v>2011110090</v>
      </c>
      <c r="G15" s="2943">
        <v>48302</v>
      </c>
      <c r="H15" s="2944" t="str">
        <f t="shared" ca="1" si="1"/>
        <v>赵雯（注册号：2011110090）</v>
      </c>
    </row>
    <row r="16" spans="1:8" s="2928" customFormat="1" ht="24" customHeight="1">
      <c r="A16" s="2939"/>
      <c r="B16" s="2939"/>
      <c r="C16" s="2939"/>
      <c r="D16" s="2941" t="str">
        <f t="shared" si="0"/>
        <v>（注册号：）</v>
      </c>
      <c r="E16" s="2942"/>
      <c r="F16" s="2939"/>
      <c r="G16" s="2939"/>
      <c r="H16" s="2946" t="str">
        <f t="shared" si="1"/>
        <v>（注册号：）</v>
      </c>
    </row>
    <row r="17" spans="1:8" ht="24" customHeight="1">
      <c r="A17" s="3117" t="s">
        <v>196</v>
      </c>
      <c r="B17" s="3117"/>
      <c r="C17" s="3117"/>
      <c r="D17" s="3117"/>
      <c r="E17" s="3117"/>
      <c r="F17" s="3117"/>
      <c r="G17" s="3117"/>
      <c r="H17" s="3117"/>
    </row>
    <row r="18" spans="1:8" ht="24" customHeight="1">
      <c r="A18" s="3118" t="s">
        <v>197</v>
      </c>
      <c r="B18" s="3118"/>
      <c r="C18" s="3118"/>
      <c r="D18" s="2937"/>
      <c r="E18" s="3119" t="s">
        <v>198</v>
      </c>
      <c r="F18" s="3118"/>
      <c r="G18" s="3118"/>
    </row>
    <row r="19" spans="1:8" s="2929" customFormat="1" ht="24" customHeight="1">
      <c r="A19" s="2947" t="s">
        <v>199</v>
      </c>
      <c r="B19" s="2936" t="s">
        <v>200</v>
      </c>
      <c r="C19" s="2936" t="s">
        <v>179</v>
      </c>
      <c r="D19" s="2937"/>
      <c r="E19" s="2942" t="s">
        <v>199</v>
      </c>
      <c r="F19" s="2936" t="s">
        <v>200</v>
      </c>
      <c r="G19" s="2936" t="s">
        <v>179</v>
      </c>
    </row>
    <row r="20" spans="1:8" s="2929" customFormat="1" ht="24" customHeight="1">
      <c r="A20" s="2948" t="s">
        <v>201</v>
      </c>
      <c r="B20" s="2948" t="s">
        <v>202</v>
      </c>
      <c r="C20" s="2943">
        <v>44820</v>
      </c>
      <c r="D20" s="2949"/>
      <c r="E20" s="2950" t="s">
        <v>203</v>
      </c>
      <c r="F20" s="2948" t="s">
        <v>204</v>
      </c>
      <c r="G20" s="2951">
        <v>44377</v>
      </c>
    </row>
    <row r="21" spans="1:8" s="2929" customFormat="1" ht="24" customHeight="1">
      <c r="A21" s="2948"/>
      <c r="B21" s="2948"/>
      <c r="C21" s="2952"/>
      <c r="D21" s="2953"/>
      <c r="E21" s="2950" t="s">
        <v>205</v>
      </c>
      <c r="F21" s="2954" t="s">
        <v>206</v>
      </c>
      <c r="G21" s="2955">
        <v>44012</v>
      </c>
    </row>
    <row r="22" spans="1:8" ht="24" customHeight="1">
      <c r="C22" s="2956"/>
      <c r="D22" s="2956"/>
      <c r="E22" s="2957"/>
      <c r="F22" s="2958"/>
      <c r="G22" s="2959" t="s">
        <v>207</v>
      </c>
    </row>
  </sheetData>
  <sheetProtection password="CEE9" sheet="1" objects="1" scenarios="1"/>
  <mergeCells count="3">
    <mergeCell ref="A17:H17"/>
    <mergeCell ref="A18:C18"/>
    <mergeCell ref="E18:G18"/>
  </mergeCells>
  <phoneticPr fontId="212" type="noConversion"/>
  <conditionalFormatting sqref="C7">
    <cfRule type="expression" dxfId="248" priority="35">
      <formula>AND($C7-TODAY()&lt;30,TODAY()&lt;$C7)</formula>
    </cfRule>
    <cfRule type="cellIs" dxfId="247" priority="36" stopIfTrue="1" operator="lessThan">
      <formula>$B$2</formula>
    </cfRule>
  </conditionalFormatting>
  <conditionalFormatting sqref="C8">
    <cfRule type="expression" dxfId="246" priority="33">
      <formula>AND($C8-TODAY()&lt;30,TODAY()&lt;$C8)</formula>
    </cfRule>
    <cfRule type="cellIs" dxfId="245" priority="34" stopIfTrue="1" operator="lessThan">
      <formula>$B$2</formula>
    </cfRule>
  </conditionalFormatting>
  <conditionalFormatting sqref="C11">
    <cfRule type="expression" dxfId="244" priority="31">
      <formula>AND($C11-TODAY()&lt;30,TODAY()&lt;$C11)</formula>
    </cfRule>
    <cfRule type="cellIs" dxfId="243" priority="32" stopIfTrue="1" operator="lessThan">
      <formula>$B$2</formula>
    </cfRule>
  </conditionalFormatting>
  <conditionalFormatting sqref="G11">
    <cfRule type="cellIs" dxfId="242" priority="28" stopIfTrue="1" operator="lessThan">
      <formula>$B$2</formula>
    </cfRule>
  </conditionalFormatting>
  <conditionalFormatting sqref="B12">
    <cfRule type="cellIs" dxfId="241" priority="22" stopIfTrue="1" operator="equal">
      <formula>"已过期"</formula>
    </cfRule>
  </conditionalFormatting>
  <conditionalFormatting sqref="C12">
    <cfRule type="expression" dxfId="240" priority="23">
      <formula>AND($C12-TODAY()&lt;30,TODAY()&lt;$C12)</formula>
    </cfRule>
    <cfRule type="cellIs" dxfId="239" priority="24" stopIfTrue="1" operator="lessThan">
      <formula>$B$2</formula>
    </cfRule>
    <cfRule type="cellIs" dxfId="238" priority="25" stopIfTrue="1" operator="lessThan">
      <formula>$B$2</formula>
    </cfRule>
  </conditionalFormatting>
  <conditionalFormatting sqref="D12">
    <cfRule type="expression" dxfId="237" priority="45">
      <formula>AND($C12-TODAY()&lt;30,TODAY()&lt;$C12)</formula>
    </cfRule>
    <cfRule type="cellIs" dxfId="236" priority="46" stopIfTrue="1" operator="lessThan">
      <formula>$B$2</formula>
    </cfRule>
  </conditionalFormatting>
  <conditionalFormatting sqref="F12">
    <cfRule type="cellIs" dxfId="235" priority="27" stopIfTrue="1" operator="equal">
      <formula>"已过期"</formula>
    </cfRule>
  </conditionalFormatting>
  <conditionalFormatting sqref="G12">
    <cfRule type="cellIs" dxfId="234" priority="26" stopIfTrue="1" operator="lessThan">
      <formula>$B$2</formula>
    </cfRule>
  </conditionalFormatting>
  <conditionalFormatting sqref="C13:D13">
    <cfRule type="expression" dxfId="233" priority="43">
      <formula>AND($C13-TODAY()&lt;30,TODAY()&lt;$C13)</formula>
    </cfRule>
    <cfRule type="cellIs" dxfId="232" priority="44" stopIfTrue="1" operator="lessThan">
      <formula>$B$2</formula>
    </cfRule>
  </conditionalFormatting>
  <conditionalFormatting sqref="G13">
    <cfRule type="cellIs" dxfId="231" priority="40" stopIfTrue="1" operator="lessThan">
      <formula>$B$2</formula>
    </cfRule>
  </conditionalFormatting>
  <conditionalFormatting sqref="B14">
    <cfRule type="cellIs" dxfId="230" priority="13" stopIfTrue="1" operator="equal">
      <formula>"已过期"</formula>
    </cfRule>
  </conditionalFormatting>
  <conditionalFormatting sqref="C14">
    <cfRule type="expression" dxfId="229" priority="14">
      <formula>AND($C14-TODAY()&lt;30,TODAY()&lt;$C14)</formula>
    </cfRule>
    <cfRule type="cellIs" dxfId="228" priority="15" stopIfTrue="1" operator="lessThan">
      <formula>$B$2</formula>
    </cfRule>
    <cfRule type="expression" dxfId="227" priority="16">
      <formula>AND($C14-TODAY()&lt;30,TODAY()&lt;$C14)</formula>
    </cfRule>
    <cfRule type="cellIs" dxfId="226" priority="17" stopIfTrue="1" operator="lessThan">
      <formula>$B$2</formula>
    </cfRule>
  </conditionalFormatting>
  <conditionalFormatting sqref="D14">
    <cfRule type="expression" dxfId="225" priority="41">
      <formula>AND($C14-TODAY()&lt;30,TODAY()&lt;$C14)</formula>
    </cfRule>
    <cfRule type="cellIs" dxfId="224" priority="42" stopIfTrue="1" operator="lessThan">
      <formula>$B$2</formula>
    </cfRule>
  </conditionalFormatting>
  <conditionalFormatting sqref="G14">
    <cfRule type="cellIs" dxfId="223" priority="12" stopIfTrue="1" operator="lessThan">
      <formula>$B$2</formula>
    </cfRule>
  </conditionalFormatting>
  <conditionalFormatting sqref="B15">
    <cfRule type="cellIs" dxfId="222" priority="2" stopIfTrue="1" operator="equal">
      <formula>"已过期"</formula>
    </cfRule>
  </conditionalFormatting>
  <conditionalFormatting sqref="C15">
    <cfRule type="expression" dxfId="221" priority="3">
      <formula>AND($C15-TODAY()&lt;30,TODAY()&lt;$C15)</formula>
    </cfRule>
    <cfRule type="cellIs" dxfId="220" priority="4" stopIfTrue="1" operator="lessThan">
      <formula>$B$2</formula>
    </cfRule>
    <cfRule type="expression" dxfId="219" priority="5">
      <formula>AND($C15-TODAY()&lt;30,TODAY()&lt;$C15)</formula>
    </cfRule>
    <cfRule type="cellIs" dxfId="218" priority="6" stopIfTrue="1" operator="lessThan">
      <formula>$B$2</formula>
    </cfRule>
  </conditionalFormatting>
  <conditionalFormatting sqref="D15">
    <cfRule type="expression" dxfId="217" priority="8">
      <formula>AND($C15-TODAY()&lt;30,TODAY()&lt;$C15)</formula>
    </cfRule>
    <cfRule type="cellIs" dxfId="216" priority="9" stopIfTrue="1" operator="lessThan">
      <formula>$B$2</formula>
    </cfRule>
    <cfRule type="expression" dxfId="215" priority="10">
      <formula>AND($C15-TODAY()&lt;30,TODAY()&lt;$C15)</formula>
    </cfRule>
    <cfRule type="cellIs" dxfId="214" priority="11" stopIfTrue="1" operator="lessThan">
      <formula>$B$2</formula>
    </cfRule>
  </conditionalFormatting>
  <conditionalFormatting sqref="F15">
    <cfRule type="cellIs" dxfId="213" priority="7" stopIfTrue="1" operator="equal">
      <formula>"已过期"</formula>
    </cfRule>
  </conditionalFormatting>
  <conditionalFormatting sqref="G15">
    <cfRule type="cellIs" dxfId="212" priority="1" stopIfTrue="1" operator="lessThan">
      <formula>$B$2</formula>
    </cfRule>
  </conditionalFormatting>
  <conditionalFormatting sqref="A16:C16">
    <cfRule type="cellIs" dxfId="211" priority="30" stopIfTrue="1" operator="equal">
      <formula>"已过期"</formula>
    </cfRule>
  </conditionalFormatting>
  <conditionalFormatting sqref="E16:G16">
    <cfRule type="cellIs" dxfId="210" priority="29" stopIfTrue="1" operator="equal">
      <formula>"已过期"</formula>
    </cfRule>
  </conditionalFormatting>
  <conditionalFormatting sqref="C20:D20">
    <cfRule type="expression" dxfId="209" priority="50">
      <formula>AND($C20-TODAY()&lt;30,TODAY()&lt;$C20)</formula>
    </cfRule>
  </conditionalFormatting>
  <conditionalFormatting sqref="G20">
    <cfRule type="expression" dxfId="208" priority="37">
      <formula>AND($E20-TODAY()&lt;30,TODAY()&lt;$E20)</formula>
    </cfRule>
    <cfRule type="cellIs" dxfId="207" priority="38" stopIfTrue="1" operator="lessThan">
      <formula>$B$2</formula>
    </cfRule>
  </conditionalFormatting>
  <conditionalFormatting sqref="G21">
    <cfRule type="expression" dxfId="206" priority="18" stopIfTrue="1">
      <formula>AND(#REF!-TODAY()&lt;30,TODAY()&lt;#REF!)</formula>
    </cfRule>
    <cfRule type="cellIs" dxfId="205" priority="19" stopIfTrue="1" operator="lessThan">
      <formula>$B$2</formula>
    </cfRule>
  </conditionalFormatting>
  <conditionalFormatting sqref="C9:C10">
    <cfRule type="expression" dxfId="204" priority="20">
      <formula>AND($C9-TODAY()&lt;30,TODAY()&lt;$C9)</formula>
    </cfRule>
    <cfRule type="cellIs" dxfId="203" priority="21" stopIfTrue="1" operator="lessThan">
      <formula>$B$2</formula>
    </cfRule>
  </conditionalFormatting>
  <conditionalFormatting sqref="B4:B11 F4:F11 B13 F13:F14">
    <cfRule type="cellIs" dxfId="202" priority="39" stopIfTrue="1" operator="equal">
      <formula>"已过期"</formula>
    </cfRule>
  </conditionalFormatting>
  <conditionalFormatting sqref="D16 C4:D5 D7:D12 C13:D13 C12">
    <cfRule type="expression" dxfId="201" priority="51">
      <formula>AND($C4-TODAY()&lt;30,TODAY()&lt;$C4)</formula>
    </cfRule>
  </conditionalFormatting>
  <conditionalFormatting sqref="C20:D20 G4 C4:D5 C13:D13">
    <cfRule type="cellIs" dxfId="200" priority="52" stopIfTrue="1" operator="lessThan">
      <formula>$B$2</formula>
    </cfRule>
  </conditionalFormatting>
  <conditionalFormatting sqref="G5 G7 G9">
    <cfRule type="cellIs" dxfId="199" priority="49" stopIfTrue="1" operator="lessThan">
      <formula>$B$2</formula>
    </cfRule>
  </conditionalFormatting>
  <conditionalFormatting sqref="C6:D6 D14 D16">
    <cfRule type="expression" dxfId="198" priority="47">
      <formula>AND($C6-TODAY()&lt;30,TODAY()&lt;$C6)</formula>
    </cfRule>
  </conditionalFormatting>
  <conditionalFormatting sqref="G6 G8 G10 C6:D6 D7:D12 D14 D16">
    <cfRule type="cellIs" dxfId="197"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162</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土地比较法-住宅、综合废弃 (2)</vt:lpstr>
      <vt:lpstr>土地比较法-工业</vt:lpstr>
      <vt:lpstr>基准地价修正</vt:lpstr>
      <vt:lpstr>土地案例</vt:lpstr>
      <vt:lpstr>销售案例</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'土地比较法-住宅、综合废弃 (2)'!Print_Area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'土地比较法-住宅、综合废弃 (2)'!套工交易情况</vt:lpstr>
      <vt:lpstr>套工交易情况</vt:lpstr>
      <vt:lpstr>套工土地级别</vt:lpstr>
      <vt:lpstr>套工用途</vt:lpstr>
      <vt:lpstr>套工宗地开发程度</vt:lpstr>
      <vt:lpstr>套工宗地形状</vt:lpstr>
      <vt:lpstr>'土地比较法-住宅、综合废弃 (2)'!套综道路等级</vt:lpstr>
      <vt:lpstr>套综道路等级</vt:lpstr>
      <vt:lpstr>'土地比较法-住宅、综合废弃 (2)'!套综工程地质条件</vt:lpstr>
      <vt:lpstr>套综工程地质条件</vt:lpstr>
      <vt:lpstr>'土地比较法-住宅、综合废弃 (2)'!套综交易情况</vt:lpstr>
      <vt:lpstr>套综交易情况</vt:lpstr>
      <vt:lpstr>'土地比较法-住宅、综合废弃 (2)'!套综临街宽度及深度</vt:lpstr>
      <vt:lpstr>套综临街宽度及深度</vt:lpstr>
      <vt:lpstr>'土地比较法-住宅、综合废弃 (2)'!套综土地级别</vt:lpstr>
      <vt:lpstr>套综土地级别</vt:lpstr>
      <vt:lpstr>'土地比较法-住宅、综合废弃 (2)'!套综用途</vt:lpstr>
      <vt:lpstr>套综用途</vt:lpstr>
      <vt:lpstr>'土地比较法-住宅、综合废弃 (2)'!套综宗地内开发程度</vt:lpstr>
      <vt:lpstr>套综宗地内开发程度</vt:lpstr>
      <vt:lpstr>'土地比较法-住宅、综合废弃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2021-04-08T03:22:28Z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