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11625" yWindow="165" windowWidth="11385" windowHeight="9465"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收益法" sheetId="15" r:id="rId23"/>
    <sheet name="案例" sheetId="77" r:id="rId24"/>
    <sheet name="租金" sheetId="78"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5">'收益法 (元)'!$A$1:$AK$69</definedName>
    <definedName name="_xlnm.Print_Area" localSheetId="13">'数据-汇总表'!$A$1:$P$32</definedName>
    <definedName name="_xlnm.Print_Area" localSheetId="11">'数据-基础表'!$A$1:$I$13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V18" i="1" l="1"/>
  <c r="E10" i="78"/>
  <c r="F10" i="78"/>
  <c r="D10" i="78"/>
  <c r="C3" i="78"/>
  <c r="Z6" i="1"/>
  <c r="C30" i="37" l="1"/>
  <c r="E33" i="37"/>
  <c r="G33" i="37" s="1"/>
  <c r="I33" i="37" s="1"/>
  <c r="C33" i="37"/>
  <c r="F34" i="6" l="1"/>
  <c r="B7" i="78"/>
  <c r="B6" i="78"/>
  <c r="B5" i="78"/>
  <c r="Y6" i="1"/>
  <c r="F19" i="6"/>
  <c r="D3" i="4"/>
  <c r="A6" i="1"/>
  <c r="F7" i="1"/>
  <c r="M47" i="67"/>
  <c r="B24" i="1"/>
  <c r="J50" i="67"/>
  <c r="J51" i="67" s="1"/>
  <c r="G1" i="15"/>
  <c r="M47" i="15"/>
  <c r="J50" i="15"/>
  <c r="AH5" i="71"/>
  <c r="AG5" i="71"/>
  <c r="AE5" i="71"/>
  <c r="AF5" i="71"/>
  <c r="AD5" i="71"/>
  <c r="Q5" i="71"/>
  <c r="AB5" i="71" s="1"/>
  <c r="P5" i="71"/>
  <c r="O5" i="71"/>
  <c r="Y5" i="71" s="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P6" i="71"/>
  <c r="AA5" i="71" s="1"/>
  <c r="P7" i="71"/>
  <c r="P8" i="71"/>
  <c r="AA8" i="71" s="1"/>
  <c r="P9" i="71"/>
  <c r="P10" i="71"/>
  <c r="AA9" i="71" s="1"/>
  <c r="P11" i="71"/>
  <c r="P12" i="71"/>
  <c r="P13" i="71"/>
  <c r="P14" i="71"/>
  <c r="P15" i="71"/>
  <c r="P16" i="71"/>
  <c r="P17" i="71"/>
  <c r="P18" i="71"/>
  <c r="P19" i="71"/>
  <c r="P20" i="71"/>
  <c r="P21" i="71"/>
  <c r="P22" i="71"/>
  <c r="P23" i="71"/>
  <c r="P24" i="71"/>
  <c r="P25" i="71"/>
  <c r="P26" i="71"/>
  <c r="O6" i="71"/>
  <c r="O7" i="71"/>
  <c r="O8" i="71"/>
  <c r="O9" i="71"/>
  <c r="O10" i="71"/>
  <c r="O11" i="71"/>
  <c r="O12" i="71"/>
  <c r="O13" i="71"/>
  <c r="O14" i="71"/>
  <c r="O15" i="71"/>
  <c r="O16" i="71"/>
  <c r="O17" i="71"/>
  <c r="O18" i="71"/>
  <c r="O19" i="71"/>
  <c r="O20" i="71"/>
  <c r="O21" i="71"/>
  <c r="O22" i="71"/>
  <c r="O23" i="71"/>
  <c r="O24" i="71"/>
  <c r="O25" i="71"/>
  <c r="O26" i="71"/>
  <c r="N6" i="71"/>
  <c r="X5" i="71" s="1"/>
  <c r="N7" i="71"/>
  <c r="N8" i="71"/>
  <c r="N9" i="71"/>
  <c r="N10" i="71"/>
  <c r="N11" i="71"/>
  <c r="N12" i="71"/>
  <c r="N13" i="71"/>
  <c r="N14" i="71"/>
  <c r="N15" i="71"/>
  <c r="N16" i="71"/>
  <c r="N17" i="71"/>
  <c r="N18" i="71"/>
  <c r="N19" i="71"/>
  <c r="N20" i="71"/>
  <c r="N21" i="71"/>
  <c r="N22" i="71"/>
  <c r="N23" i="71"/>
  <c r="N24" i="71"/>
  <c r="N25" i="71"/>
  <c r="N26" i="71"/>
  <c r="AD7" i="71"/>
  <c r="AH7" i="71"/>
  <c r="AG7" i="71"/>
  <c r="AE7" i="71"/>
  <c r="AF7" i="71"/>
  <c r="L3" i="71"/>
  <c r="AH3" i="71"/>
  <c r="K3" i="71"/>
  <c r="AG3" i="71"/>
  <c r="J3" i="71"/>
  <c r="AE3" i="71"/>
  <c r="I3" i="71"/>
  <c r="AH8" i="71"/>
  <c r="AG8" i="71"/>
  <c r="AE8" i="71"/>
  <c r="AF8" i="71" s="1"/>
  <c r="AD8" i="71"/>
  <c r="X8" i="71"/>
  <c r="AH9" i="71"/>
  <c r="AG9" i="71"/>
  <c r="AE9" i="71"/>
  <c r="AF9" i="71"/>
  <c r="AD9" i="71"/>
  <c r="AB8" i="71"/>
  <c r="Y8" i="71"/>
  <c r="Z8" i="71" s="1"/>
  <c r="M19" i="43"/>
  <c r="D12" i="71"/>
  <c r="AH10" i="71"/>
  <c r="AG10" i="71"/>
  <c r="AE10" i="71"/>
  <c r="AF10" i="71" s="1"/>
  <c r="AD10" i="71"/>
  <c r="BB13" i="3"/>
  <c r="BC13" i="3"/>
  <c r="BA13" i="3" s="1"/>
  <c r="AZ13"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L14" i="3" s="1"/>
  <c r="AZ14" i="3" s="1"/>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A68" i="3" s="1"/>
  <c r="AZ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L85" i="3" s="1"/>
  <c r="AZ85" i="3" s="1"/>
  <c r="BO85" i="3"/>
  <c r="BP85" i="3"/>
  <c r="BQ85" i="3"/>
  <c r="BR85" i="3"/>
  <c r="BS85" i="3"/>
  <c r="BT85" i="3"/>
  <c r="BB86" i="3"/>
  <c r="BC86" i="3"/>
  <c r="BA86" i="3" s="1"/>
  <c r="AZ86" i="3" s="1"/>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L87" i="3" s="1"/>
  <c r="AZ87" i="3" s="1"/>
  <c r="BO87" i="3"/>
  <c r="BP87" i="3"/>
  <c r="BQ87" i="3"/>
  <c r="BR87" i="3"/>
  <c r="BS87" i="3"/>
  <c r="BT87" i="3"/>
  <c r="BB88" i="3"/>
  <c r="BC88" i="3"/>
  <c r="BA88" i="3" s="1"/>
  <c r="AZ88" i="3" s="1"/>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L89" i="3" s="1"/>
  <c r="AZ89" i="3" s="1"/>
  <c r="BO89" i="3"/>
  <c r="BP89" i="3"/>
  <c r="BQ89" i="3"/>
  <c r="BR89" i="3"/>
  <c r="BS89" i="3"/>
  <c r="BT89" i="3"/>
  <c r="BB90" i="3"/>
  <c r="BC90" i="3"/>
  <c r="BA90" i="3" s="1"/>
  <c r="AZ90" i="3" s="1"/>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L91" i="3" s="1"/>
  <c r="AZ91" i="3" s="1"/>
  <c r="BO91" i="3"/>
  <c r="BP91" i="3"/>
  <c r="BQ91" i="3"/>
  <c r="BR91" i="3"/>
  <c r="BS91" i="3"/>
  <c r="BT91" i="3"/>
  <c r="BB92" i="3"/>
  <c r="BC92" i="3"/>
  <c r="BA92" i="3" s="1"/>
  <c r="AZ92" i="3" s="1"/>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L93" i="3" s="1"/>
  <c r="AZ93" i="3" s="1"/>
  <c r="BO93" i="3"/>
  <c r="BP93" i="3"/>
  <c r="BQ93" i="3"/>
  <c r="BR93" i="3"/>
  <c r="BS93" i="3"/>
  <c r="BT93" i="3"/>
  <c r="BB94" i="3"/>
  <c r="BC94" i="3"/>
  <c r="BA94" i="3" s="1"/>
  <c r="AZ94" i="3" s="1"/>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L95" i="3" s="1"/>
  <c r="AZ95" i="3" s="1"/>
  <c r="BO95" i="3"/>
  <c r="BP95" i="3"/>
  <c r="BQ95" i="3"/>
  <c r="BR95" i="3"/>
  <c r="BS95" i="3"/>
  <c r="BT95" i="3"/>
  <c r="BB96" i="3"/>
  <c r="BC96" i="3"/>
  <c r="BA96" i="3" s="1"/>
  <c r="AZ96" i="3" s="1"/>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L97" i="3" s="1"/>
  <c r="AZ97" i="3" s="1"/>
  <c r="BO97" i="3"/>
  <c r="BP97" i="3"/>
  <c r="BQ97" i="3"/>
  <c r="BR97" i="3"/>
  <c r="BS97" i="3"/>
  <c r="BT97" i="3"/>
  <c r="BB98" i="3"/>
  <c r="BC98" i="3"/>
  <c r="BA98" i="3" s="1"/>
  <c r="AZ98" i="3" s="1"/>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L99" i="3" s="1"/>
  <c r="AZ99" i="3" s="1"/>
  <c r="BO99" i="3"/>
  <c r="BP99" i="3"/>
  <c r="BQ99" i="3"/>
  <c r="BR99" i="3"/>
  <c r="BS99" i="3"/>
  <c r="BT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s="1"/>
  <c r="AZ101" i="3" s="1"/>
  <c r="BO101" i="3"/>
  <c r="BP101" i="3"/>
  <c r="BQ101" i="3"/>
  <c r="BR101" i="3"/>
  <c r="BS101" i="3"/>
  <c r="BT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s="1"/>
  <c r="AZ103" i="3" s="1"/>
  <c r="BO103" i="3"/>
  <c r="BP103" i="3"/>
  <c r="BQ103" i="3"/>
  <c r="BR103" i="3"/>
  <c r="BS103" i="3"/>
  <c r="BT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s="1"/>
  <c r="AZ113" i="3" s="1"/>
  <c r="BO113" i="3"/>
  <c r="BP113" i="3"/>
  <c r="BQ113" i="3"/>
  <c r="BR113" i="3"/>
  <c r="BS113" i="3"/>
  <c r="BT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L115" i="3" s="1"/>
  <c r="AZ115" i="3" s="1"/>
  <c r="BO115" i="3"/>
  <c r="BP115" i="3"/>
  <c r="BQ115" i="3"/>
  <c r="BR115" i="3"/>
  <c r="BS115" i="3"/>
  <c r="BT115" i="3"/>
  <c r="BB116" i="3"/>
  <c r="BC116" i="3"/>
  <c r="BA116" i="3" s="1"/>
  <c r="AZ116" i="3" s="1"/>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L117" i="3" s="1"/>
  <c r="AZ117" i="3" s="1"/>
  <c r="BO117" i="3"/>
  <c r="BP117" i="3"/>
  <c r="BQ117" i="3"/>
  <c r="BR117" i="3"/>
  <c r="BS117" i="3"/>
  <c r="BT117" i="3"/>
  <c r="BB118" i="3"/>
  <c r="BC118" i="3"/>
  <c r="BA118" i="3" s="1"/>
  <c r="AZ118" i="3" s="1"/>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L119" i="3" s="1"/>
  <c r="AZ119" i="3" s="1"/>
  <c r="BO119" i="3"/>
  <c r="BP119" i="3"/>
  <c r="BQ119" i="3"/>
  <c r="BR119" i="3"/>
  <c r="BS119" i="3"/>
  <c r="BT119" i="3"/>
  <c r="BB120" i="3"/>
  <c r="BC120" i="3"/>
  <c r="BA120" i="3" s="1"/>
  <c r="AZ120" i="3" s="1"/>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L121" i="3" s="1"/>
  <c r="AZ121" i="3" s="1"/>
  <c r="BO121" i="3"/>
  <c r="BP121" i="3"/>
  <c r="BQ121" i="3"/>
  <c r="BR121" i="3"/>
  <c r="BS121" i="3"/>
  <c r="BT121" i="3"/>
  <c r="BB122" i="3"/>
  <c r="BC122" i="3"/>
  <c r="BA122" i="3" s="1"/>
  <c r="AZ122" i="3" s="1"/>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s="1"/>
  <c r="AZ123" i="3" s="1"/>
  <c r="BO123" i="3"/>
  <c r="BP123" i="3"/>
  <c r="BQ123" i="3"/>
  <c r="BR123" i="3"/>
  <c r="BS123" i="3"/>
  <c r="BT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s="1"/>
  <c r="AZ125" i="3" s="1"/>
  <c r="BO125" i="3"/>
  <c r="BP125" i="3"/>
  <c r="BQ125" i="3"/>
  <c r="BR125" i="3"/>
  <c r="BS125" i="3"/>
  <c r="BT125" i="3"/>
  <c r="BB126" i="3"/>
  <c r="BC126" i="3"/>
  <c r="BA126" i="3" s="1"/>
  <c r="AZ126" i="3" s="1"/>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AZ128" i="3" s="1"/>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A130" i="3" s="1"/>
  <c r="AZ130" i="3" s="1"/>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D195" i="3"/>
  <c r="BE195" i="3"/>
  <c r="BA195" i="3" s="1"/>
  <c r="AZ195" i="3" s="1"/>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D199" i="3"/>
  <c r="BE199" i="3"/>
  <c r="BF199" i="3"/>
  <c r="BG199" i="3"/>
  <c r="BA199" i="3" s="1"/>
  <c r="AZ199" i="3" s="1"/>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D201" i="3"/>
  <c r="BE201" i="3"/>
  <c r="BF201" i="3"/>
  <c r="BG201" i="3"/>
  <c r="BA201" i="3" s="1"/>
  <c r="AZ201" i="3" s="1"/>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s="1"/>
  <c r="AZ202" i="3" s="1"/>
  <c r="BO202" i="3"/>
  <c r="BP202" i="3"/>
  <c r="BQ202" i="3"/>
  <c r="BR202" i="3"/>
  <c r="BS202" i="3"/>
  <c r="BT202" i="3"/>
  <c r="BB203" i="3"/>
  <c r="BC203" i="3"/>
  <c r="BD203" i="3"/>
  <c r="BE203" i="3"/>
  <c r="BA203" i="3" s="1"/>
  <c r="AZ203" i="3" s="1"/>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s="1"/>
  <c r="AZ204" i="3" s="1"/>
  <c r="BO204" i="3"/>
  <c r="BP204" i="3"/>
  <c r="BQ204" i="3"/>
  <c r="BR204" i="3"/>
  <c r="BS204" i="3"/>
  <c r="BT204" i="3"/>
  <c r="BB205" i="3"/>
  <c r="BC205" i="3"/>
  <c r="BD205" i="3"/>
  <c r="BE205" i="3"/>
  <c r="BF205" i="3"/>
  <c r="BG205" i="3"/>
  <c r="BA205" i="3" s="1"/>
  <c r="AZ205" i="3" s="1"/>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L206" i="3" s="1"/>
  <c r="AZ206" i="3" s="1"/>
  <c r="BS206" i="3"/>
  <c r="BT206" i="3"/>
  <c r="BB207" i="3"/>
  <c r="BC207" i="3"/>
  <c r="BD207" i="3"/>
  <c r="BE207" i="3"/>
  <c r="BF207" i="3"/>
  <c r="BG207" i="3"/>
  <c r="BH207" i="3"/>
  <c r="BI207" i="3"/>
  <c r="BJ207" i="3"/>
  <c r="BK207" i="3"/>
  <c r="BA207" i="3" s="1"/>
  <c r="AZ207" i="3" s="1"/>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L208" i="3"/>
  <c r="AZ208" i="3" s="1"/>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D210" i="3"/>
  <c r="BE210" i="3"/>
  <c r="BF210" i="3"/>
  <c r="BG210" i="3"/>
  <c r="BA210" i="3" s="1"/>
  <c r="AZ210" i="3" s="1"/>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L211" i="3" s="1"/>
  <c r="AZ211" i="3" s="1"/>
  <c r="BQ211" i="3"/>
  <c r="BR211" i="3"/>
  <c r="BS211" i="3"/>
  <c r="BT211" i="3"/>
  <c r="BB212" i="3"/>
  <c r="BC212" i="3"/>
  <c r="BD212" i="3"/>
  <c r="BE212" i="3"/>
  <c r="BF212" i="3"/>
  <c r="BG212" i="3"/>
  <c r="BH212" i="3"/>
  <c r="BI212" i="3"/>
  <c r="BJ212" i="3"/>
  <c r="BK212" i="3"/>
  <c r="BA212" i="3" s="1"/>
  <c r="AZ212" i="3" s="1"/>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L213" i="3" s="1"/>
  <c r="AZ213" i="3" s="1"/>
  <c r="BS213" i="3"/>
  <c r="BT213" i="3"/>
  <c r="BB214" i="3"/>
  <c r="BC214" i="3"/>
  <c r="BD214" i="3"/>
  <c r="BE214" i="3"/>
  <c r="BF214" i="3"/>
  <c r="BG214" i="3"/>
  <c r="BH214" i="3"/>
  <c r="BI214" i="3"/>
  <c r="BJ214" i="3"/>
  <c r="BK214" i="3"/>
  <c r="BA214" i="3" s="1"/>
  <c r="AZ214" i="3" s="1"/>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L215" i="3" s="1"/>
  <c r="AZ215" i="3" s="1"/>
  <c r="BB216" i="3"/>
  <c r="BC216" i="3"/>
  <c r="BD216" i="3"/>
  <c r="BE216" i="3"/>
  <c r="BF216" i="3"/>
  <c r="BG216" i="3"/>
  <c r="BH216" i="3"/>
  <c r="BI216" i="3"/>
  <c r="BJ216" i="3"/>
  <c r="BK216" i="3"/>
  <c r="BA216" i="3"/>
  <c r="BM216" i="3"/>
  <c r="BN216" i="3"/>
  <c r="BO216" i="3"/>
  <c r="BP216" i="3"/>
  <c r="BQ216" i="3"/>
  <c r="BR216" i="3"/>
  <c r="BS216" i="3"/>
  <c r="BT216" i="3"/>
  <c r="BL216" i="3"/>
  <c r="AZ216" i="3" s="1"/>
  <c r="BB217" i="3"/>
  <c r="BC217" i="3"/>
  <c r="BD217" i="3"/>
  <c r="BE217" i="3"/>
  <c r="BF217" i="3"/>
  <c r="BG217" i="3"/>
  <c r="BH217" i="3"/>
  <c r="BI217" i="3"/>
  <c r="BJ217" i="3"/>
  <c r="BK217" i="3"/>
  <c r="BA217" i="3"/>
  <c r="BM217" i="3"/>
  <c r="BN217" i="3"/>
  <c r="BO217" i="3"/>
  <c r="BP217" i="3"/>
  <c r="BQ217" i="3"/>
  <c r="BR217" i="3"/>
  <c r="BS217" i="3"/>
  <c r="BT217" i="3"/>
  <c r="BL217" i="3" s="1"/>
  <c r="AZ217" i="3" s="1"/>
  <c r="BB218" i="3"/>
  <c r="BC218" i="3"/>
  <c r="BD218" i="3"/>
  <c r="BE218" i="3"/>
  <c r="BF218" i="3"/>
  <c r="BG218" i="3"/>
  <c r="BH218" i="3"/>
  <c r="BI218" i="3"/>
  <c r="BJ218" i="3"/>
  <c r="BK218" i="3"/>
  <c r="BA218" i="3"/>
  <c r="BM218" i="3"/>
  <c r="BN218" i="3"/>
  <c r="BO218" i="3"/>
  <c r="BP218" i="3"/>
  <c r="BQ218" i="3"/>
  <c r="BR218" i="3"/>
  <c r="BS218" i="3"/>
  <c r="BT218" i="3"/>
  <c r="BL218" i="3"/>
  <c r="AZ218" i="3" s="1"/>
  <c r="BB219" i="3"/>
  <c r="BC219" i="3"/>
  <c r="BD219" i="3"/>
  <c r="BE219" i="3"/>
  <c r="BF219" i="3"/>
  <c r="BG219" i="3"/>
  <c r="BH219" i="3"/>
  <c r="BI219" i="3"/>
  <c r="BJ219" i="3"/>
  <c r="BK219" i="3"/>
  <c r="BA219" i="3"/>
  <c r="BM219" i="3"/>
  <c r="BN219" i="3"/>
  <c r="BO219" i="3"/>
  <c r="BP219" i="3"/>
  <c r="BQ219" i="3"/>
  <c r="BR219" i="3"/>
  <c r="BS219" i="3"/>
  <c r="BT219" i="3"/>
  <c r="BL219" i="3" s="1"/>
  <c r="AZ219" i="3" s="1"/>
  <c r="BB220" i="3"/>
  <c r="BC220" i="3"/>
  <c r="BD220" i="3"/>
  <c r="BE220" i="3"/>
  <c r="BF220" i="3"/>
  <c r="BG220" i="3"/>
  <c r="BH220" i="3"/>
  <c r="BI220" i="3"/>
  <c r="BJ220" i="3"/>
  <c r="BK220" i="3"/>
  <c r="BA220" i="3"/>
  <c r="BM220" i="3"/>
  <c r="BN220" i="3"/>
  <c r="BO220" i="3"/>
  <c r="BP220" i="3"/>
  <c r="BQ220" i="3"/>
  <c r="BR220" i="3"/>
  <c r="BS220" i="3"/>
  <c r="BT220" i="3"/>
  <c r="BL220" i="3" s="1"/>
  <c r="AZ220" i="3" s="1"/>
  <c r="BB221" i="3"/>
  <c r="BC221" i="3"/>
  <c r="BD221" i="3"/>
  <c r="BE221" i="3"/>
  <c r="BF221" i="3"/>
  <c r="BG221" i="3"/>
  <c r="BH221" i="3"/>
  <c r="BI221" i="3"/>
  <c r="BJ221" i="3"/>
  <c r="BK221" i="3"/>
  <c r="BA221" i="3"/>
  <c r="BM221" i="3"/>
  <c r="BN221" i="3"/>
  <c r="BO221" i="3"/>
  <c r="BP221" i="3"/>
  <c r="BQ221" i="3"/>
  <c r="BR221" i="3"/>
  <c r="BS221" i="3"/>
  <c r="BT221" i="3"/>
  <c r="BL221" i="3" s="1"/>
  <c r="AZ221" i="3" s="1"/>
  <c r="BB222" i="3"/>
  <c r="BC222" i="3"/>
  <c r="BD222" i="3"/>
  <c r="BE222" i="3"/>
  <c r="BF222" i="3"/>
  <c r="BG222" i="3"/>
  <c r="BH222" i="3"/>
  <c r="BI222" i="3"/>
  <c r="BJ222" i="3"/>
  <c r="BK222" i="3"/>
  <c r="BA222" i="3"/>
  <c r="BM222" i="3"/>
  <c r="BN222" i="3"/>
  <c r="BO222" i="3"/>
  <c r="BP222" i="3"/>
  <c r="BQ222" i="3"/>
  <c r="BR222" i="3"/>
  <c r="BS222" i="3"/>
  <c r="BT222" i="3"/>
  <c r="BL222" i="3"/>
  <c r="AZ222" i="3" s="1"/>
  <c r="BB223" i="3"/>
  <c r="BC223" i="3"/>
  <c r="BD223" i="3"/>
  <c r="BE223" i="3"/>
  <c r="BF223" i="3"/>
  <c r="BG223" i="3"/>
  <c r="BH223" i="3"/>
  <c r="BI223" i="3"/>
  <c r="BJ223" i="3"/>
  <c r="BK223" i="3"/>
  <c r="BA223" i="3"/>
  <c r="BM223" i="3"/>
  <c r="BN223" i="3"/>
  <c r="BO223" i="3"/>
  <c r="BP223" i="3"/>
  <c r="BQ223" i="3"/>
  <c r="BR223" i="3"/>
  <c r="BS223" i="3"/>
  <c r="BT223" i="3"/>
  <c r="BL223" i="3" s="1"/>
  <c r="AZ223" i="3" s="1"/>
  <c r="BB224" i="3"/>
  <c r="BC224" i="3"/>
  <c r="BD224" i="3"/>
  <c r="BE224" i="3"/>
  <c r="BF224" i="3"/>
  <c r="BG224" i="3"/>
  <c r="BH224" i="3"/>
  <c r="BI224" i="3"/>
  <c r="BJ224" i="3"/>
  <c r="BK224" i="3"/>
  <c r="BA224" i="3" s="1"/>
  <c r="AZ224" i="3" s="1"/>
  <c r="BM224" i="3"/>
  <c r="BN224" i="3"/>
  <c r="BO224" i="3"/>
  <c r="BP224" i="3"/>
  <c r="BQ224" i="3"/>
  <c r="BR224" i="3"/>
  <c r="BS224" i="3"/>
  <c r="BT224" i="3"/>
  <c r="BL224" i="3"/>
  <c r="BB225" i="3"/>
  <c r="BC225" i="3"/>
  <c r="BD225" i="3"/>
  <c r="BE225" i="3"/>
  <c r="BF225" i="3"/>
  <c r="BG225" i="3"/>
  <c r="BH225" i="3"/>
  <c r="BI225" i="3"/>
  <c r="BJ225" i="3"/>
  <c r="BK225" i="3"/>
  <c r="BA225" i="3"/>
  <c r="BM225" i="3"/>
  <c r="BN225" i="3"/>
  <c r="BO225" i="3"/>
  <c r="BP225" i="3"/>
  <c r="BQ225" i="3"/>
  <c r="BR225" i="3"/>
  <c r="BS225" i="3"/>
  <c r="BT225" i="3"/>
  <c r="BL225" i="3" s="1"/>
  <c r="AZ225" i="3" s="1"/>
  <c r="BB226" i="3"/>
  <c r="BC226" i="3"/>
  <c r="BD226" i="3"/>
  <c r="BE226" i="3"/>
  <c r="BF226" i="3"/>
  <c r="BG226" i="3"/>
  <c r="BH226" i="3"/>
  <c r="BI226" i="3"/>
  <c r="BJ226" i="3"/>
  <c r="BK226" i="3"/>
  <c r="BA226" i="3"/>
  <c r="BM226" i="3"/>
  <c r="BN226" i="3"/>
  <c r="BO226" i="3"/>
  <c r="BP226" i="3"/>
  <c r="BQ226" i="3"/>
  <c r="BR226" i="3"/>
  <c r="BS226" i="3"/>
  <c r="BT226" i="3"/>
  <c r="BL226" i="3" s="1"/>
  <c r="AZ226" i="3" s="1"/>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s="1"/>
  <c r="BB229" i="3"/>
  <c r="BC229" i="3"/>
  <c r="BD229" i="3"/>
  <c r="BE229" i="3"/>
  <c r="BF229" i="3"/>
  <c r="BG229" i="3"/>
  <c r="BH229" i="3"/>
  <c r="BI229" i="3"/>
  <c r="BJ229" i="3"/>
  <c r="BK229" i="3"/>
  <c r="BA229" i="3"/>
  <c r="BM229" i="3"/>
  <c r="BN229" i="3"/>
  <c r="BO229" i="3"/>
  <c r="BP229" i="3"/>
  <c r="BQ229" i="3"/>
  <c r="BR229" i="3"/>
  <c r="BL229" i="3" s="1"/>
  <c r="AZ229" i="3" s="1"/>
  <c r="BS229" i="3"/>
  <c r="BT229" i="3"/>
  <c r="BB230" i="3"/>
  <c r="BC230" i="3"/>
  <c r="BD230" i="3"/>
  <c r="BE230" i="3"/>
  <c r="BF230" i="3"/>
  <c r="BG230" i="3"/>
  <c r="BH230" i="3"/>
  <c r="BI230" i="3"/>
  <c r="BJ230" i="3"/>
  <c r="BK230" i="3"/>
  <c r="BA230" i="3"/>
  <c r="BM230" i="3"/>
  <c r="BN230" i="3"/>
  <c r="BO230" i="3"/>
  <c r="BP230" i="3"/>
  <c r="BQ230" i="3"/>
  <c r="BR230" i="3"/>
  <c r="BS230" i="3"/>
  <c r="BT230" i="3"/>
  <c r="BL230" i="3" s="1"/>
  <c r="AZ230" i="3" s="1"/>
  <c r="BB231" i="3"/>
  <c r="BC231" i="3"/>
  <c r="BD231" i="3"/>
  <c r="BE231" i="3"/>
  <c r="BF231" i="3"/>
  <c r="BG231" i="3"/>
  <c r="BH231" i="3"/>
  <c r="BI231" i="3"/>
  <c r="BJ231" i="3"/>
  <c r="BK231" i="3"/>
  <c r="BA231" i="3"/>
  <c r="BM231" i="3"/>
  <c r="BN231" i="3"/>
  <c r="BO231" i="3"/>
  <c r="BP231" i="3"/>
  <c r="BQ231" i="3"/>
  <c r="BR231" i="3"/>
  <c r="BS231" i="3"/>
  <c r="BT231" i="3"/>
  <c r="BL231" i="3"/>
  <c r="AZ231" i="3" s="1"/>
  <c r="BB232" i="3"/>
  <c r="BC232" i="3"/>
  <c r="BD232" i="3"/>
  <c r="BE232" i="3"/>
  <c r="BF232" i="3"/>
  <c r="BG232" i="3"/>
  <c r="BH232" i="3"/>
  <c r="BI232" i="3"/>
  <c r="BJ232" i="3"/>
  <c r="BK232" i="3"/>
  <c r="BA232" i="3"/>
  <c r="BM232" i="3"/>
  <c r="BN232" i="3"/>
  <c r="BO232" i="3"/>
  <c r="BP232" i="3"/>
  <c r="BQ232" i="3"/>
  <c r="BR232" i="3"/>
  <c r="BL232" i="3" s="1"/>
  <c r="AZ232" i="3" s="1"/>
  <c r="BS232" i="3"/>
  <c r="BT232" i="3"/>
  <c r="BB233" i="3"/>
  <c r="BC233" i="3"/>
  <c r="BD233" i="3"/>
  <c r="BE233" i="3"/>
  <c r="BF233" i="3"/>
  <c r="BG233" i="3"/>
  <c r="BH233" i="3"/>
  <c r="BI233" i="3"/>
  <c r="BJ233" i="3"/>
  <c r="BK233" i="3"/>
  <c r="BA233" i="3"/>
  <c r="BM233" i="3"/>
  <c r="BN233" i="3"/>
  <c r="BO233" i="3"/>
  <c r="BP233" i="3"/>
  <c r="BQ233" i="3"/>
  <c r="BR233" i="3"/>
  <c r="BS233" i="3"/>
  <c r="BT233" i="3"/>
  <c r="BL233" i="3"/>
  <c r="AZ233" i="3" s="1"/>
  <c r="BB234" i="3"/>
  <c r="BC234" i="3"/>
  <c r="BD234" i="3"/>
  <c r="BE234" i="3"/>
  <c r="BF234" i="3"/>
  <c r="BG234" i="3"/>
  <c r="BH234" i="3"/>
  <c r="BI234" i="3"/>
  <c r="BJ234" i="3"/>
  <c r="BK234" i="3"/>
  <c r="BA234" i="3"/>
  <c r="BM234" i="3"/>
  <c r="BN234" i="3"/>
  <c r="BO234" i="3"/>
  <c r="BP234" i="3"/>
  <c r="BQ234" i="3"/>
  <c r="BR234" i="3"/>
  <c r="BS234" i="3"/>
  <c r="BT234" i="3"/>
  <c r="BL234" i="3" s="1"/>
  <c r="AZ234" i="3" s="1"/>
  <c r="BB235" i="3"/>
  <c r="BC235" i="3"/>
  <c r="BD235" i="3"/>
  <c r="BE235" i="3"/>
  <c r="BF235" i="3"/>
  <c r="BG235" i="3"/>
  <c r="BH235" i="3"/>
  <c r="BI235" i="3"/>
  <c r="BJ235" i="3"/>
  <c r="BK235" i="3"/>
  <c r="BA235" i="3"/>
  <c r="BM235" i="3"/>
  <c r="BN235" i="3"/>
  <c r="BO235" i="3"/>
  <c r="BP235" i="3"/>
  <c r="BQ235" i="3"/>
  <c r="BR235" i="3"/>
  <c r="BS235" i="3"/>
  <c r="BT235" i="3"/>
  <c r="BL235" i="3" s="1"/>
  <c r="AZ235" i="3" s="1"/>
  <c r="BB236" i="3"/>
  <c r="BC236" i="3"/>
  <c r="BD236" i="3"/>
  <c r="BE236" i="3"/>
  <c r="BF236" i="3"/>
  <c r="BG236" i="3"/>
  <c r="BH236" i="3"/>
  <c r="BI236" i="3"/>
  <c r="BJ236" i="3"/>
  <c r="BK236" i="3"/>
  <c r="BA236" i="3"/>
  <c r="BM236" i="3"/>
  <c r="BN236" i="3"/>
  <c r="BO236" i="3"/>
  <c r="BP236" i="3"/>
  <c r="BQ236" i="3"/>
  <c r="BR236" i="3"/>
  <c r="BS236" i="3"/>
  <c r="BT236" i="3"/>
  <c r="BL236" i="3"/>
  <c r="AZ236" i="3" s="1"/>
  <c r="BB237" i="3"/>
  <c r="BC237" i="3"/>
  <c r="BD237" i="3"/>
  <c r="BE237" i="3"/>
  <c r="BF237" i="3"/>
  <c r="BG237" i="3"/>
  <c r="BH237" i="3"/>
  <c r="BI237" i="3"/>
  <c r="BJ237" i="3"/>
  <c r="BK237" i="3"/>
  <c r="BA237" i="3"/>
  <c r="BM237" i="3"/>
  <c r="BN237" i="3"/>
  <c r="BO237" i="3"/>
  <c r="BP237" i="3"/>
  <c r="BL237" i="3" s="1"/>
  <c r="AZ237" i="3" s="1"/>
  <c r="BQ237" i="3"/>
  <c r="BR237" i="3"/>
  <c r="BS237" i="3"/>
  <c r="BT237" i="3"/>
  <c r="BB238" i="3"/>
  <c r="BC238" i="3"/>
  <c r="BD238" i="3"/>
  <c r="BE238" i="3"/>
  <c r="BF238" i="3"/>
  <c r="BG238" i="3"/>
  <c r="BA238" i="3" s="1"/>
  <c r="AZ238" i="3" s="1"/>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D240" i="3"/>
  <c r="BE240" i="3"/>
  <c r="BF240" i="3"/>
  <c r="BG240" i="3"/>
  <c r="BH240" i="3"/>
  <c r="BI240" i="3"/>
  <c r="BA240" i="3" s="1"/>
  <c r="AZ240" i="3" s="1"/>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L241" i="3" s="1"/>
  <c r="AZ241" i="3" s="1"/>
  <c r="BQ241" i="3"/>
  <c r="BR241" i="3"/>
  <c r="BS241" i="3"/>
  <c r="BT241" i="3"/>
  <c r="BB242" i="3"/>
  <c r="BC242" i="3"/>
  <c r="BD242" i="3"/>
  <c r="BE242" i="3"/>
  <c r="BF242" i="3"/>
  <c r="BG242" i="3"/>
  <c r="BH242" i="3"/>
  <c r="BI242" i="3"/>
  <c r="BA242" i="3" s="1"/>
  <c r="AZ242" i="3" s="1"/>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D244" i="3"/>
  <c r="BE244" i="3"/>
  <c r="BF244" i="3"/>
  <c r="BG244" i="3"/>
  <c r="BA244" i="3" s="1"/>
  <c r="AZ244" i="3" s="1"/>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s="1"/>
  <c r="AZ247" i="3" s="1"/>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s="1"/>
  <c r="BB250" i="3"/>
  <c r="BC250" i="3"/>
  <c r="BD250" i="3"/>
  <c r="BE250" i="3"/>
  <c r="BF250" i="3"/>
  <c r="BG250" i="3"/>
  <c r="BH250" i="3"/>
  <c r="BI250" i="3"/>
  <c r="BJ250" i="3"/>
  <c r="BK250" i="3"/>
  <c r="BA250" i="3"/>
  <c r="BM250" i="3"/>
  <c r="BN250" i="3"/>
  <c r="BO250" i="3"/>
  <c r="BP250" i="3"/>
  <c r="BQ250" i="3"/>
  <c r="BR250" i="3"/>
  <c r="BS250" i="3"/>
  <c r="BT250" i="3"/>
  <c r="BL250" i="3" s="1"/>
  <c r="AZ250" i="3" s="1"/>
  <c r="BB251" i="3"/>
  <c r="BC251" i="3"/>
  <c r="BD251" i="3"/>
  <c r="BE251" i="3"/>
  <c r="BF251" i="3"/>
  <c r="BG251" i="3"/>
  <c r="BH251" i="3"/>
  <c r="BI251" i="3"/>
  <c r="BJ251" i="3"/>
  <c r="BK251" i="3"/>
  <c r="BA251" i="3"/>
  <c r="BM251" i="3"/>
  <c r="BN251" i="3"/>
  <c r="BO251" i="3"/>
  <c r="BP251" i="3"/>
  <c r="BQ251" i="3"/>
  <c r="BR251" i="3"/>
  <c r="BS251" i="3"/>
  <c r="BT251" i="3"/>
  <c r="BL251" i="3" s="1"/>
  <c r="AZ251" i="3" s="1"/>
  <c r="BB252" i="3"/>
  <c r="BC252" i="3"/>
  <c r="BD252" i="3"/>
  <c r="BE252" i="3"/>
  <c r="BF252" i="3"/>
  <c r="BG252" i="3"/>
  <c r="BH252" i="3"/>
  <c r="BI252" i="3"/>
  <c r="BJ252" i="3"/>
  <c r="BK252" i="3"/>
  <c r="BA252" i="3"/>
  <c r="BM252" i="3"/>
  <c r="BN252" i="3"/>
  <c r="BO252" i="3"/>
  <c r="BP252" i="3"/>
  <c r="BQ252" i="3"/>
  <c r="BR252" i="3"/>
  <c r="BS252" i="3"/>
  <c r="BT252" i="3"/>
  <c r="BL252" i="3" s="1"/>
  <c r="AZ252" i="3" s="1"/>
  <c r="BB253" i="3"/>
  <c r="BC253" i="3"/>
  <c r="BD253" i="3"/>
  <c r="BE253" i="3"/>
  <c r="BF253" i="3"/>
  <c r="BG253" i="3"/>
  <c r="BH253" i="3"/>
  <c r="BI253" i="3"/>
  <c r="BJ253" i="3"/>
  <c r="BK253" i="3"/>
  <c r="BA253" i="3"/>
  <c r="BM253" i="3"/>
  <c r="BN253" i="3"/>
  <c r="BO253" i="3"/>
  <c r="BP253" i="3"/>
  <c r="BQ253" i="3"/>
  <c r="BR253" i="3"/>
  <c r="BS253" i="3"/>
  <c r="BT253" i="3"/>
  <c r="BL253" i="3" s="1"/>
  <c r="AZ253" i="3" s="1"/>
  <c r="BB254" i="3"/>
  <c r="BC254" i="3"/>
  <c r="BD254" i="3"/>
  <c r="BE254" i="3"/>
  <c r="BF254" i="3"/>
  <c r="BG254" i="3"/>
  <c r="BH254" i="3"/>
  <c r="BI254" i="3"/>
  <c r="BJ254" i="3"/>
  <c r="BK254" i="3"/>
  <c r="BA254" i="3"/>
  <c r="BM254" i="3"/>
  <c r="BN254" i="3"/>
  <c r="BO254" i="3"/>
  <c r="BP254" i="3"/>
  <c r="BQ254" i="3"/>
  <c r="BR254" i="3"/>
  <c r="BS254" i="3"/>
  <c r="BT254" i="3"/>
  <c r="BL254" i="3" s="1"/>
  <c r="AZ254" i="3" s="1"/>
  <c r="BB255" i="3"/>
  <c r="BC255" i="3"/>
  <c r="BD255" i="3"/>
  <c r="BE255" i="3"/>
  <c r="BF255" i="3"/>
  <c r="BG255" i="3"/>
  <c r="BH255" i="3"/>
  <c r="BI255" i="3"/>
  <c r="BJ255" i="3"/>
  <c r="BK255" i="3"/>
  <c r="BA255" i="3"/>
  <c r="BM255" i="3"/>
  <c r="BN255" i="3"/>
  <c r="BO255" i="3"/>
  <c r="BP255" i="3"/>
  <c r="BQ255" i="3"/>
  <c r="BR255" i="3"/>
  <c r="BS255" i="3"/>
  <c r="BT255" i="3"/>
  <c r="BL255" i="3"/>
  <c r="AZ255" i="3" s="1"/>
  <c r="BB256" i="3"/>
  <c r="BC256" i="3"/>
  <c r="BD256" i="3"/>
  <c r="BE256" i="3"/>
  <c r="BF256" i="3"/>
  <c r="BG256" i="3"/>
  <c r="BH256" i="3"/>
  <c r="BI256" i="3"/>
  <c r="BJ256" i="3"/>
  <c r="BK256" i="3"/>
  <c r="BA256" i="3"/>
  <c r="BM256" i="3"/>
  <c r="BN256" i="3"/>
  <c r="BO256" i="3"/>
  <c r="BP256" i="3"/>
  <c r="BQ256" i="3"/>
  <c r="BR256" i="3"/>
  <c r="BS256" i="3"/>
  <c r="BT256" i="3"/>
  <c r="BL256" i="3" s="1"/>
  <c r="AZ256" i="3" s="1"/>
  <c r="BB257" i="3"/>
  <c r="BC257" i="3"/>
  <c r="BD257" i="3"/>
  <c r="BE257" i="3"/>
  <c r="BF257" i="3"/>
  <c r="BG257" i="3"/>
  <c r="BH257" i="3"/>
  <c r="BI257" i="3"/>
  <c r="BJ257" i="3"/>
  <c r="BK257" i="3"/>
  <c r="BA257" i="3"/>
  <c r="BM257" i="3"/>
  <c r="BN257" i="3"/>
  <c r="BO257" i="3"/>
  <c r="BP257" i="3"/>
  <c r="BQ257" i="3"/>
  <c r="BR257" i="3"/>
  <c r="BS257" i="3"/>
  <c r="BT257" i="3"/>
  <c r="BL257" i="3"/>
  <c r="AZ257" i="3" s="1"/>
  <c r="BB258" i="3"/>
  <c r="BC258" i="3"/>
  <c r="BD258" i="3"/>
  <c r="BE258" i="3"/>
  <c r="BF258" i="3"/>
  <c r="BG258" i="3"/>
  <c r="BH258" i="3"/>
  <c r="BI258" i="3"/>
  <c r="BJ258" i="3"/>
  <c r="BK258" i="3"/>
  <c r="BA258" i="3"/>
  <c r="BM258" i="3"/>
  <c r="BN258" i="3"/>
  <c r="BO258" i="3"/>
  <c r="BP258" i="3"/>
  <c r="BQ258" i="3"/>
  <c r="BR258" i="3"/>
  <c r="BS258" i="3"/>
  <c r="BT258" i="3"/>
  <c r="BL258" i="3"/>
  <c r="AZ258" i="3" s="1"/>
  <c r="BB259" i="3"/>
  <c r="BC259" i="3"/>
  <c r="BD259" i="3"/>
  <c r="BE259" i="3"/>
  <c r="BF259" i="3"/>
  <c r="BG259" i="3"/>
  <c r="BH259" i="3"/>
  <c r="BI259" i="3"/>
  <c r="BJ259" i="3"/>
  <c r="BK259" i="3"/>
  <c r="BA259" i="3"/>
  <c r="BM259" i="3"/>
  <c r="BN259" i="3"/>
  <c r="BO259" i="3"/>
  <c r="BP259" i="3"/>
  <c r="BQ259" i="3"/>
  <c r="BR259" i="3"/>
  <c r="BS259" i="3"/>
  <c r="BT259" i="3"/>
  <c r="BL259" i="3"/>
  <c r="AZ259" i="3" s="1"/>
  <c r="BB260" i="3"/>
  <c r="BC260" i="3"/>
  <c r="BD260" i="3"/>
  <c r="BE260" i="3"/>
  <c r="BF260" i="3"/>
  <c r="BG260" i="3"/>
  <c r="BH260" i="3"/>
  <c r="BI260" i="3"/>
  <c r="BJ260" i="3"/>
  <c r="BK260" i="3"/>
  <c r="BA260" i="3"/>
  <c r="BM260" i="3"/>
  <c r="BN260" i="3"/>
  <c r="BO260" i="3"/>
  <c r="BP260" i="3"/>
  <c r="BQ260" i="3"/>
  <c r="BR260" i="3"/>
  <c r="BL260" i="3" s="1"/>
  <c r="AZ260" i="3" s="1"/>
  <c r="BS260" i="3"/>
  <c r="BT260" i="3"/>
  <c r="BB261" i="3"/>
  <c r="BC261" i="3"/>
  <c r="BD261" i="3"/>
  <c r="BE261" i="3"/>
  <c r="BF261" i="3"/>
  <c r="BG261" i="3"/>
  <c r="BH261" i="3"/>
  <c r="BI261" i="3"/>
  <c r="BJ261" i="3"/>
  <c r="BK261" i="3"/>
  <c r="BA261" i="3"/>
  <c r="BM261" i="3"/>
  <c r="BN261" i="3"/>
  <c r="BO261" i="3"/>
  <c r="BP261" i="3"/>
  <c r="BQ261" i="3"/>
  <c r="BR261" i="3"/>
  <c r="BS261" i="3"/>
  <c r="BT261" i="3"/>
  <c r="BL261" i="3"/>
  <c r="AZ261" i="3" s="1"/>
  <c r="BB262" i="3"/>
  <c r="BC262" i="3"/>
  <c r="BD262" i="3"/>
  <c r="BE262" i="3"/>
  <c r="BF262" i="3"/>
  <c r="BG262" i="3"/>
  <c r="BH262" i="3"/>
  <c r="BI262" i="3"/>
  <c r="BJ262" i="3"/>
  <c r="BK262" i="3"/>
  <c r="BA262" i="3"/>
  <c r="BM262" i="3"/>
  <c r="BN262" i="3"/>
  <c r="BO262" i="3"/>
  <c r="BP262" i="3"/>
  <c r="BQ262" i="3"/>
  <c r="BR262" i="3"/>
  <c r="BS262" i="3"/>
  <c r="BT262" i="3"/>
  <c r="BL262" i="3" s="1"/>
  <c r="AZ262" i="3" s="1"/>
  <c r="BB263" i="3"/>
  <c r="BC263" i="3"/>
  <c r="BD263" i="3"/>
  <c r="BE263" i="3"/>
  <c r="BF263" i="3"/>
  <c r="BG263" i="3"/>
  <c r="BH263" i="3"/>
  <c r="BI263" i="3"/>
  <c r="BJ263" i="3"/>
  <c r="BK263" i="3"/>
  <c r="BA263" i="3"/>
  <c r="BM263" i="3"/>
  <c r="BN263" i="3"/>
  <c r="BO263" i="3"/>
  <c r="BP263" i="3"/>
  <c r="BQ263" i="3"/>
  <c r="BR263" i="3"/>
  <c r="BS263" i="3"/>
  <c r="BT263" i="3"/>
  <c r="BL263" i="3" s="1"/>
  <c r="AZ263" i="3" s="1"/>
  <c r="BB264" i="3"/>
  <c r="BC264" i="3"/>
  <c r="BD264" i="3"/>
  <c r="BE264" i="3"/>
  <c r="BF264" i="3"/>
  <c r="BG264" i="3"/>
  <c r="BH264" i="3"/>
  <c r="BI264" i="3"/>
  <c r="BJ264" i="3"/>
  <c r="BK264" i="3"/>
  <c r="BA264" i="3"/>
  <c r="BM264" i="3"/>
  <c r="BN264" i="3"/>
  <c r="BO264" i="3"/>
  <c r="BP264" i="3"/>
  <c r="BQ264" i="3"/>
  <c r="BR264" i="3"/>
  <c r="BS264" i="3"/>
  <c r="BT264" i="3"/>
  <c r="BL264" i="3"/>
  <c r="AZ264" i="3" s="1"/>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D270" i="3"/>
  <c r="BE270" i="3"/>
  <c r="BA270" i="3" s="1"/>
  <c r="AZ270" i="3" s="1"/>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D278" i="3"/>
  <c r="BE278" i="3"/>
  <c r="BA278" i="3" s="1"/>
  <c r="AZ278" i="3" s="1"/>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D284" i="3"/>
  <c r="BE284" i="3"/>
  <c r="BA284" i="3" s="1"/>
  <c r="AZ284" i="3" s="1"/>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D286" i="3"/>
  <c r="BE286" i="3"/>
  <c r="BF286" i="3"/>
  <c r="BG286" i="3"/>
  <c r="BA286" i="3" s="1"/>
  <c r="AZ286" i="3" s="1"/>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D288" i="3"/>
  <c r="BE288" i="3"/>
  <c r="BA288" i="3" s="1"/>
  <c r="AZ288" i="3" s="1"/>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O289" i="3"/>
  <c r="BP289" i="3"/>
  <c r="BL289" i="3" s="1"/>
  <c r="AZ289" i="3" s="1"/>
  <c r="BQ289" i="3"/>
  <c r="BR289" i="3"/>
  <c r="BS289" i="3"/>
  <c r="BT289" i="3"/>
  <c r="BB290" i="3"/>
  <c r="BC290" i="3"/>
  <c r="BD290" i="3"/>
  <c r="BE290" i="3"/>
  <c r="BF290" i="3"/>
  <c r="BG290" i="3"/>
  <c r="BH290" i="3"/>
  <c r="BI290" i="3"/>
  <c r="BJ290" i="3"/>
  <c r="BK290" i="3"/>
  <c r="BA290" i="3" s="1"/>
  <c r="AZ290" i="3" s="1"/>
  <c r="BM290" i="3"/>
  <c r="BN290" i="3"/>
  <c r="BO290" i="3"/>
  <c r="BP290" i="3"/>
  <c r="BQ290" i="3"/>
  <c r="BR290" i="3"/>
  <c r="BS290" i="3"/>
  <c r="BT290" i="3"/>
  <c r="BL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s="1"/>
  <c r="AZ292" i="3" s="1"/>
  <c r="BB293" i="3"/>
  <c r="BC293" i="3"/>
  <c r="BD293" i="3"/>
  <c r="BE293" i="3"/>
  <c r="BF293" i="3"/>
  <c r="BG293" i="3"/>
  <c r="BH293" i="3"/>
  <c r="BI293" i="3"/>
  <c r="BJ293" i="3"/>
  <c r="BK293" i="3"/>
  <c r="BA293" i="3"/>
  <c r="BM293" i="3"/>
  <c r="BN293" i="3"/>
  <c r="BO293" i="3"/>
  <c r="BP293" i="3"/>
  <c r="BQ293" i="3"/>
  <c r="BR293" i="3"/>
  <c r="BS293" i="3"/>
  <c r="BT293" i="3"/>
  <c r="BL293" i="3" s="1"/>
  <c r="AZ293" i="3" s="1"/>
  <c r="BB294" i="3"/>
  <c r="BC294" i="3"/>
  <c r="BD294" i="3"/>
  <c r="BE294" i="3"/>
  <c r="BF294" i="3"/>
  <c r="BG294" i="3"/>
  <c r="BH294" i="3"/>
  <c r="BI294" i="3"/>
  <c r="BJ294" i="3"/>
  <c r="BK294" i="3"/>
  <c r="BA294" i="3"/>
  <c r="BM294" i="3"/>
  <c r="BN294" i="3"/>
  <c r="BO294" i="3"/>
  <c r="BP294" i="3"/>
  <c r="BQ294" i="3"/>
  <c r="BR294" i="3"/>
  <c r="BS294" i="3"/>
  <c r="BT294" i="3"/>
  <c r="BL294" i="3" s="1"/>
  <c r="AZ294" i="3" s="1"/>
  <c r="BB295" i="3"/>
  <c r="BC295" i="3"/>
  <c r="BD295" i="3"/>
  <c r="BE295" i="3"/>
  <c r="BF295" i="3"/>
  <c r="BG295" i="3"/>
  <c r="BH295" i="3"/>
  <c r="BI295" i="3"/>
  <c r="BJ295" i="3"/>
  <c r="BK295" i="3"/>
  <c r="BA295" i="3"/>
  <c r="BM295" i="3"/>
  <c r="BN295" i="3"/>
  <c r="BO295" i="3"/>
  <c r="BP295" i="3"/>
  <c r="BQ295" i="3"/>
  <c r="BR295" i="3"/>
  <c r="BS295" i="3"/>
  <c r="BT295" i="3"/>
  <c r="BL295" i="3" s="1"/>
  <c r="AZ295" i="3" s="1"/>
  <c r="BB296" i="3"/>
  <c r="BC296" i="3"/>
  <c r="BD296" i="3"/>
  <c r="BE296" i="3"/>
  <c r="BF296" i="3"/>
  <c r="BG296" i="3"/>
  <c r="BH296" i="3"/>
  <c r="BI296" i="3"/>
  <c r="BJ296" i="3"/>
  <c r="BK296" i="3"/>
  <c r="BA296" i="3"/>
  <c r="BM296" i="3"/>
  <c r="BN296" i="3"/>
  <c r="BO296" i="3"/>
  <c r="BP296" i="3"/>
  <c r="BQ296" i="3"/>
  <c r="BR296" i="3"/>
  <c r="BS296" i="3"/>
  <c r="BT296" i="3"/>
  <c r="BL296" i="3" s="1"/>
  <c r="AZ296" i="3" s="1"/>
  <c r="BB297" i="3"/>
  <c r="BC297" i="3"/>
  <c r="BD297" i="3"/>
  <c r="BE297" i="3"/>
  <c r="BF297" i="3"/>
  <c r="BG297" i="3"/>
  <c r="BH297" i="3"/>
  <c r="BI297" i="3"/>
  <c r="BJ297" i="3"/>
  <c r="BK297" i="3"/>
  <c r="BA297" i="3" s="1"/>
  <c r="AZ297" i="3" s="1"/>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L298" i="3" s="1"/>
  <c r="AZ298" i="3" s="1"/>
  <c r="BQ298" i="3"/>
  <c r="BR298" i="3"/>
  <c r="BS298" i="3"/>
  <c r="BT298" i="3"/>
  <c r="BB299" i="3"/>
  <c r="BC299" i="3"/>
  <c r="BD299" i="3"/>
  <c r="BE299" i="3"/>
  <c r="BF299" i="3"/>
  <c r="BG299" i="3"/>
  <c r="BH299" i="3"/>
  <c r="BI299" i="3"/>
  <c r="BJ299" i="3"/>
  <c r="BK299" i="3"/>
  <c r="BA299" i="3" s="1"/>
  <c r="AZ299" i="3" s="1"/>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L300" i="3" s="1"/>
  <c r="AZ300" i="3" s="1"/>
  <c r="BB301" i="3"/>
  <c r="BC301" i="3"/>
  <c r="BD301" i="3"/>
  <c r="BE301" i="3"/>
  <c r="BF301" i="3"/>
  <c r="BG301" i="3"/>
  <c r="BH301" i="3"/>
  <c r="BI301" i="3"/>
  <c r="BJ301" i="3"/>
  <c r="BK301" i="3"/>
  <c r="BA301" i="3"/>
  <c r="BM301" i="3"/>
  <c r="BN301" i="3"/>
  <c r="BO301" i="3"/>
  <c r="BP301" i="3"/>
  <c r="BQ301" i="3"/>
  <c r="BR301" i="3"/>
  <c r="BS301" i="3"/>
  <c r="BT301" i="3"/>
  <c r="BL301" i="3" s="1"/>
  <c r="AZ301" i="3" s="1"/>
  <c r="BB302" i="3"/>
  <c r="BC302" i="3"/>
  <c r="BD302" i="3"/>
  <c r="BE302" i="3"/>
  <c r="BF302" i="3"/>
  <c r="BG302" i="3"/>
  <c r="BH302" i="3"/>
  <c r="BI302" i="3"/>
  <c r="BJ302" i="3"/>
  <c r="BK302" i="3"/>
  <c r="BA302" i="3"/>
  <c r="BM302" i="3"/>
  <c r="BN302" i="3"/>
  <c r="BO302" i="3"/>
  <c r="BP302" i="3"/>
  <c r="BQ302" i="3"/>
  <c r="BR302" i="3"/>
  <c r="BS302" i="3"/>
  <c r="BT302" i="3"/>
  <c r="BL302" i="3"/>
  <c r="AZ302" i="3" s="1"/>
  <c r="BB303" i="3"/>
  <c r="BC303" i="3"/>
  <c r="BD303" i="3"/>
  <c r="BE303" i="3"/>
  <c r="BF303" i="3"/>
  <c r="BG303" i="3"/>
  <c r="BH303" i="3"/>
  <c r="BI303" i="3"/>
  <c r="BJ303" i="3"/>
  <c r="BK303" i="3"/>
  <c r="BA303" i="3"/>
  <c r="BM303" i="3"/>
  <c r="BN303" i="3"/>
  <c r="BO303" i="3"/>
  <c r="BP303" i="3"/>
  <c r="BQ303" i="3"/>
  <c r="BR303" i="3"/>
  <c r="BS303" i="3"/>
  <c r="BT303" i="3"/>
  <c r="BL303" i="3" s="1"/>
  <c r="AZ303" i="3" s="1"/>
  <c r="BB304" i="3"/>
  <c r="BC304" i="3"/>
  <c r="BD304" i="3"/>
  <c r="BE304" i="3"/>
  <c r="BF304" i="3"/>
  <c r="BG304" i="3"/>
  <c r="BH304" i="3"/>
  <c r="BI304" i="3"/>
  <c r="BJ304" i="3"/>
  <c r="BK304" i="3"/>
  <c r="BA304" i="3"/>
  <c r="BM304" i="3"/>
  <c r="BN304" i="3"/>
  <c r="BO304" i="3"/>
  <c r="BP304" i="3"/>
  <c r="BQ304" i="3"/>
  <c r="BR304" i="3"/>
  <c r="BS304" i="3"/>
  <c r="BT304" i="3"/>
  <c r="BL304" i="3"/>
  <c r="AZ304" i="3" s="1"/>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D306" i="3"/>
  <c r="BE306" i="3"/>
  <c r="BF306" i="3"/>
  <c r="BG306" i="3"/>
  <c r="BA306" i="3" s="1"/>
  <c r="AZ306" i="3" s="1"/>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O307" i="3"/>
  <c r="BP307" i="3"/>
  <c r="BQ307" i="3"/>
  <c r="BR307" i="3"/>
  <c r="BS307" i="3"/>
  <c r="BT307" i="3"/>
  <c r="BL307" i="3" s="1"/>
  <c r="AZ307" i="3" s="1"/>
  <c r="BB308" i="3"/>
  <c r="BC308" i="3"/>
  <c r="BD308" i="3"/>
  <c r="BE308" i="3"/>
  <c r="BF308" i="3"/>
  <c r="BG308" i="3"/>
  <c r="BH308" i="3"/>
  <c r="BI308" i="3"/>
  <c r="BJ308" i="3"/>
  <c r="BK308" i="3"/>
  <c r="BA308" i="3"/>
  <c r="BM308" i="3"/>
  <c r="BN308" i="3"/>
  <c r="BO308" i="3"/>
  <c r="BP308" i="3"/>
  <c r="BQ308" i="3"/>
  <c r="BR308" i="3"/>
  <c r="BS308" i="3"/>
  <c r="BT308" i="3"/>
  <c r="BL308" i="3" s="1"/>
  <c r="AZ308" i="3" s="1"/>
  <c r="BB309" i="3"/>
  <c r="BC309" i="3"/>
  <c r="BD309" i="3"/>
  <c r="BE309" i="3"/>
  <c r="BF309" i="3"/>
  <c r="BG309" i="3"/>
  <c r="BH309" i="3"/>
  <c r="BI309" i="3"/>
  <c r="BJ309" i="3"/>
  <c r="BK309" i="3"/>
  <c r="BA309" i="3"/>
  <c r="BM309" i="3"/>
  <c r="BN309" i="3"/>
  <c r="BO309" i="3"/>
  <c r="BP309" i="3"/>
  <c r="BQ309" i="3"/>
  <c r="BR309" i="3"/>
  <c r="BS309" i="3"/>
  <c r="BT309" i="3"/>
  <c r="BL309" i="3"/>
  <c r="AZ309" i="3" s="1"/>
  <c r="BB310" i="3"/>
  <c r="BC310" i="3"/>
  <c r="BD310" i="3"/>
  <c r="BE310" i="3"/>
  <c r="BF310" i="3"/>
  <c r="BG310" i="3"/>
  <c r="BH310" i="3"/>
  <c r="BI310" i="3"/>
  <c r="BJ310" i="3"/>
  <c r="BK310" i="3"/>
  <c r="BA310" i="3"/>
  <c r="BM310" i="3"/>
  <c r="BN310" i="3"/>
  <c r="BO310" i="3"/>
  <c r="BP310" i="3"/>
  <c r="BQ310" i="3"/>
  <c r="BR310" i="3"/>
  <c r="BS310" i="3"/>
  <c r="BT310" i="3"/>
  <c r="BL310" i="3" s="1"/>
  <c r="AZ310" i="3" s="1"/>
  <c r="BB311" i="3"/>
  <c r="BC311" i="3"/>
  <c r="BD311" i="3"/>
  <c r="BE311" i="3"/>
  <c r="BF311" i="3"/>
  <c r="BG311" i="3"/>
  <c r="BH311" i="3"/>
  <c r="BI311" i="3"/>
  <c r="BJ311" i="3"/>
  <c r="BK311" i="3"/>
  <c r="BA311" i="3"/>
  <c r="BM311" i="3"/>
  <c r="BN311" i="3"/>
  <c r="BO311" i="3"/>
  <c r="BP311" i="3"/>
  <c r="BQ311" i="3"/>
  <c r="BR311" i="3"/>
  <c r="BS311" i="3"/>
  <c r="BT311" i="3"/>
  <c r="BL311" i="3" s="1"/>
  <c r="AZ311" i="3" s="1"/>
  <c r="BB312" i="3"/>
  <c r="BC312" i="3"/>
  <c r="BD312" i="3"/>
  <c r="BE312" i="3"/>
  <c r="BF312" i="3"/>
  <c r="BG312" i="3"/>
  <c r="BH312" i="3"/>
  <c r="BI312" i="3"/>
  <c r="BJ312" i="3"/>
  <c r="BK312" i="3"/>
  <c r="BA312" i="3"/>
  <c r="BM312" i="3"/>
  <c r="BN312" i="3"/>
  <c r="BO312" i="3"/>
  <c r="BP312" i="3"/>
  <c r="BQ312" i="3"/>
  <c r="BR312" i="3"/>
  <c r="BS312" i="3"/>
  <c r="BT312" i="3"/>
  <c r="BL312" i="3"/>
  <c r="AZ312" i="3" s="1"/>
  <c r="BB313" i="3"/>
  <c r="BC313" i="3"/>
  <c r="BD313" i="3"/>
  <c r="BE313" i="3"/>
  <c r="BF313" i="3"/>
  <c r="BG313" i="3"/>
  <c r="BH313" i="3"/>
  <c r="BI313" i="3"/>
  <c r="BJ313" i="3"/>
  <c r="BK313" i="3"/>
  <c r="BA313" i="3"/>
  <c r="BM313" i="3"/>
  <c r="BN313" i="3"/>
  <c r="BO313" i="3"/>
  <c r="BP313" i="3"/>
  <c r="BQ313" i="3"/>
  <c r="BR313" i="3"/>
  <c r="BS313" i="3"/>
  <c r="BT313" i="3"/>
  <c r="BL313" i="3" s="1"/>
  <c r="AZ313" i="3" s="1"/>
  <c r="BB314" i="3"/>
  <c r="BC314" i="3"/>
  <c r="BD314" i="3"/>
  <c r="BE314" i="3"/>
  <c r="BF314" i="3"/>
  <c r="BG314" i="3"/>
  <c r="BH314" i="3"/>
  <c r="BI314" i="3"/>
  <c r="BJ314" i="3"/>
  <c r="BK314" i="3"/>
  <c r="BA314" i="3"/>
  <c r="BM314" i="3"/>
  <c r="BN314" i="3"/>
  <c r="BO314" i="3"/>
  <c r="BP314" i="3"/>
  <c r="BQ314" i="3"/>
  <c r="BR314" i="3"/>
  <c r="BS314" i="3"/>
  <c r="BT314" i="3"/>
  <c r="BL314" i="3" s="1"/>
  <c r="AZ314" i="3" s="1"/>
  <c r="BB315" i="3"/>
  <c r="BC315" i="3"/>
  <c r="BD315" i="3"/>
  <c r="BE315" i="3"/>
  <c r="BF315" i="3"/>
  <c r="BG315" i="3"/>
  <c r="BH315" i="3"/>
  <c r="BI315" i="3"/>
  <c r="BJ315" i="3"/>
  <c r="BK315" i="3"/>
  <c r="BA315" i="3"/>
  <c r="BM315" i="3"/>
  <c r="BN315" i="3"/>
  <c r="BO315" i="3"/>
  <c r="BP315" i="3"/>
  <c r="BQ315" i="3"/>
  <c r="BR315" i="3"/>
  <c r="BS315" i="3"/>
  <c r="BT315" i="3"/>
  <c r="BL315" i="3" s="1"/>
  <c r="AZ315" i="3" s="1"/>
  <c r="BB316" i="3"/>
  <c r="BC316" i="3"/>
  <c r="BD316" i="3"/>
  <c r="BE316" i="3"/>
  <c r="BF316" i="3"/>
  <c r="BG316" i="3"/>
  <c r="BH316" i="3"/>
  <c r="BI316" i="3"/>
  <c r="BJ316" i="3"/>
  <c r="BK316" i="3"/>
  <c r="BA316" i="3"/>
  <c r="BM316" i="3"/>
  <c r="BN316" i="3"/>
  <c r="BO316" i="3"/>
  <c r="BP316" i="3"/>
  <c r="BQ316" i="3"/>
  <c r="BR316" i="3"/>
  <c r="BL316" i="3" s="1"/>
  <c r="AZ316" i="3" s="1"/>
  <c r="BS316" i="3"/>
  <c r="BT316" i="3"/>
  <c r="BB317" i="3"/>
  <c r="BC317" i="3"/>
  <c r="BD317" i="3"/>
  <c r="BE317" i="3"/>
  <c r="BF317" i="3"/>
  <c r="BG317" i="3"/>
  <c r="BH317" i="3"/>
  <c r="BI317" i="3"/>
  <c r="BJ317" i="3"/>
  <c r="BK317" i="3"/>
  <c r="BA317" i="3"/>
  <c r="BM317" i="3"/>
  <c r="BN317" i="3"/>
  <c r="BO317" i="3"/>
  <c r="BP317" i="3"/>
  <c r="BQ317" i="3"/>
  <c r="BR317" i="3"/>
  <c r="BS317" i="3"/>
  <c r="BT317" i="3"/>
  <c r="BL317" i="3" s="1"/>
  <c r="AZ317" i="3" s="1"/>
  <c r="BB318" i="3"/>
  <c r="BC318" i="3"/>
  <c r="BD318" i="3"/>
  <c r="BE318" i="3"/>
  <c r="BF318" i="3"/>
  <c r="BG318" i="3"/>
  <c r="BH318" i="3"/>
  <c r="BI318" i="3"/>
  <c r="BJ318" i="3"/>
  <c r="BK318" i="3"/>
  <c r="BA318" i="3"/>
  <c r="BM318" i="3"/>
  <c r="BN318" i="3"/>
  <c r="BO318" i="3"/>
  <c r="BP318" i="3"/>
  <c r="BQ318" i="3"/>
  <c r="BR318" i="3"/>
  <c r="BS318" i="3"/>
  <c r="BT318" i="3"/>
  <c r="BL318" i="3"/>
  <c r="AZ318" i="3" s="1"/>
  <c r="BB319" i="3"/>
  <c r="BC319" i="3"/>
  <c r="BD319" i="3"/>
  <c r="BE319" i="3"/>
  <c r="BF319" i="3"/>
  <c r="BG319" i="3"/>
  <c r="BH319" i="3"/>
  <c r="BI319" i="3"/>
  <c r="BJ319" i="3"/>
  <c r="BK319" i="3"/>
  <c r="BA319" i="3"/>
  <c r="BM319" i="3"/>
  <c r="BN319" i="3"/>
  <c r="BO319" i="3"/>
  <c r="BP319" i="3"/>
  <c r="BQ319" i="3"/>
  <c r="BR319" i="3"/>
  <c r="BS319" i="3"/>
  <c r="BT319" i="3"/>
  <c r="BL319" i="3" s="1"/>
  <c r="AZ319" i="3" s="1"/>
  <c r="BB320" i="3"/>
  <c r="BC320" i="3"/>
  <c r="BD320" i="3"/>
  <c r="BE320" i="3"/>
  <c r="BF320" i="3"/>
  <c r="BG320" i="3"/>
  <c r="BH320" i="3"/>
  <c r="BI320" i="3"/>
  <c r="BJ320" i="3"/>
  <c r="BK320" i="3"/>
  <c r="BA320" i="3"/>
  <c r="BM320" i="3"/>
  <c r="BN320" i="3"/>
  <c r="BO320" i="3"/>
  <c r="BP320" i="3"/>
  <c r="BQ320" i="3"/>
  <c r="BR320" i="3"/>
  <c r="BS320" i="3"/>
  <c r="BT320" i="3"/>
  <c r="BL320" i="3" s="1"/>
  <c r="AZ320" i="3" s="1"/>
  <c r="BB321" i="3"/>
  <c r="BC321" i="3"/>
  <c r="BD321" i="3"/>
  <c r="BE321" i="3"/>
  <c r="BF321" i="3"/>
  <c r="BG321" i="3"/>
  <c r="BH321" i="3"/>
  <c r="BI321" i="3"/>
  <c r="BJ321" i="3"/>
  <c r="BK321" i="3"/>
  <c r="BA321" i="3"/>
  <c r="BM321" i="3"/>
  <c r="BN321" i="3"/>
  <c r="BO321" i="3"/>
  <c r="BP321" i="3"/>
  <c r="BQ321" i="3"/>
  <c r="BR321" i="3"/>
  <c r="BS321" i="3"/>
  <c r="BT321" i="3"/>
  <c r="BL321" i="3"/>
  <c r="AZ321" i="3" s="1"/>
  <c r="BB322" i="3"/>
  <c r="BC322" i="3"/>
  <c r="BD322" i="3"/>
  <c r="BE322" i="3"/>
  <c r="BF322" i="3"/>
  <c r="BG322" i="3"/>
  <c r="BH322" i="3"/>
  <c r="BI322" i="3"/>
  <c r="BJ322" i="3"/>
  <c r="BK322" i="3"/>
  <c r="BA322" i="3"/>
  <c r="BM322" i="3"/>
  <c r="BN322" i="3"/>
  <c r="BO322" i="3"/>
  <c r="BP322" i="3"/>
  <c r="BQ322" i="3"/>
  <c r="BR322" i="3"/>
  <c r="BS322" i="3"/>
  <c r="BT322" i="3"/>
  <c r="BL322" i="3" s="1"/>
  <c r="AZ322" i="3" s="1"/>
  <c r="BB323" i="3"/>
  <c r="BC323" i="3"/>
  <c r="BD323" i="3"/>
  <c r="BE323" i="3"/>
  <c r="BF323" i="3"/>
  <c r="BG323" i="3"/>
  <c r="BH323" i="3"/>
  <c r="BI323" i="3"/>
  <c r="BJ323" i="3"/>
  <c r="BK323" i="3"/>
  <c r="BA323" i="3"/>
  <c r="BM323" i="3"/>
  <c r="BN323" i="3"/>
  <c r="BO323" i="3"/>
  <c r="BP323" i="3"/>
  <c r="BQ323" i="3"/>
  <c r="BR323" i="3"/>
  <c r="BS323" i="3"/>
  <c r="BT323" i="3"/>
  <c r="BL323" i="3" s="1"/>
  <c r="AZ323" i="3" s="1"/>
  <c r="BB324" i="3"/>
  <c r="BC324" i="3"/>
  <c r="BD324" i="3"/>
  <c r="BE324" i="3"/>
  <c r="BF324" i="3"/>
  <c r="BG324" i="3"/>
  <c r="BH324" i="3"/>
  <c r="BI324" i="3"/>
  <c r="BJ324" i="3"/>
  <c r="BK324" i="3"/>
  <c r="BA324" i="3"/>
  <c r="BM324" i="3"/>
  <c r="BN324" i="3"/>
  <c r="BO324" i="3"/>
  <c r="BP324" i="3"/>
  <c r="BQ324" i="3"/>
  <c r="BR324" i="3"/>
  <c r="BS324" i="3"/>
  <c r="BT324" i="3"/>
  <c r="BL324" i="3" s="1"/>
  <c r="AZ324" i="3" s="1"/>
  <c r="BB325" i="3"/>
  <c r="BC325" i="3"/>
  <c r="BD325" i="3"/>
  <c r="BE325" i="3"/>
  <c r="BF325" i="3"/>
  <c r="BG325" i="3"/>
  <c r="BH325" i="3"/>
  <c r="BI325" i="3"/>
  <c r="BJ325" i="3"/>
  <c r="BK325" i="3"/>
  <c r="BA325" i="3"/>
  <c r="BM325" i="3"/>
  <c r="BN325" i="3"/>
  <c r="BO325" i="3"/>
  <c r="BP325" i="3"/>
  <c r="BQ325" i="3"/>
  <c r="BR325" i="3"/>
  <c r="BS325" i="3"/>
  <c r="BT325" i="3"/>
  <c r="BL325" i="3" s="1"/>
  <c r="AZ325" i="3" s="1"/>
  <c r="BB326" i="3"/>
  <c r="BC326" i="3"/>
  <c r="BD326" i="3"/>
  <c r="BE326" i="3"/>
  <c r="BF326" i="3"/>
  <c r="BG326" i="3"/>
  <c r="BH326" i="3"/>
  <c r="BI326" i="3"/>
  <c r="BJ326" i="3"/>
  <c r="BK326" i="3"/>
  <c r="BA326" i="3"/>
  <c r="BM326" i="3"/>
  <c r="BN326" i="3"/>
  <c r="BO326" i="3"/>
  <c r="BP326" i="3"/>
  <c r="BQ326" i="3"/>
  <c r="BR326" i="3"/>
  <c r="BS326" i="3"/>
  <c r="BT326" i="3"/>
  <c r="BL326" i="3"/>
  <c r="AZ326" i="3" s="1"/>
  <c r="BB327" i="3"/>
  <c r="BC327" i="3"/>
  <c r="BD327" i="3"/>
  <c r="BE327" i="3"/>
  <c r="BF327" i="3"/>
  <c r="BG327" i="3"/>
  <c r="BH327" i="3"/>
  <c r="BI327" i="3"/>
  <c r="BJ327" i="3"/>
  <c r="BK327" i="3"/>
  <c r="BA327" i="3"/>
  <c r="BM327" i="3"/>
  <c r="BN327" i="3"/>
  <c r="BO327" i="3"/>
  <c r="BP327" i="3"/>
  <c r="BQ327" i="3"/>
  <c r="BR327" i="3"/>
  <c r="BS327" i="3"/>
  <c r="BT327" i="3"/>
  <c r="BL327" i="3" s="1"/>
  <c r="AZ327" i="3" s="1"/>
  <c r="BB328" i="3"/>
  <c r="BC328" i="3"/>
  <c r="BD328" i="3"/>
  <c r="BE328" i="3"/>
  <c r="BF328" i="3"/>
  <c r="BG328" i="3"/>
  <c r="BH328" i="3"/>
  <c r="BI328" i="3"/>
  <c r="BJ328" i="3"/>
  <c r="BK328" i="3"/>
  <c r="BA328" i="3"/>
  <c r="BM328" i="3"/>
  <c r="BN328" i="3"/>
  <c r="BO328" i="3"/>
  <c r="BP328" i="3"/>
  <c r="BQ328" i="3"/>
  <c r="BR328" i="3"/>
  <c r="BL328" i="3" s="1"/>
  <c r="AZ328" i="3" s="1"/>
  <c r="BS328" i="3"/>
  <c r="BT328" i="3"/>
  <c r="BB329" i="3"/>
  <c r="BC329" i="3"/>
  <c r="BD329" i="3"/>
  <c r="BE329" i="3"/>
  <c r="BF329" i="3"/>
  <c r="BG329" i="3"/>
  <c r="BH329" i="3"/>
  <c r="BI329" i="3"/>
  <c r="BJ329" i="3"/>
  <c r="BK329" i="3"/>
  <c r="BA329" i="3" s="1"/>
  <c r="AZ329" i="3" s="1"/>
  <c r="BM329" i="3"/>
  <c r="BN329" i="3"/>
  <c r="BO329" i="3"/>
  <c r="BP329" i="3"/>
  <c r="BQ329" i="3"/>
  <c r="BR329" i="3"/>
  <c r="BS329" i="3"/>
  <c r="BT329" i="3"/>
  <c r="BL329" i="3"/>
  <c r="BB330" i="3"/>
  <c r="BC330" i="3"/>
  <c r="BD330" i="3"/>
  <c r="BE330" i="3"/>
  <c r="BF330" i="3"/>
  <c r="BG330" i="3"/>
  <c r="BH330" i="3"/>
  <c r="BI330" i="3"/>
  <c r="BJ330" i="3"/>
  <c r="BK330" i="3"/>
  <c r="BA330" i="3"/>
  <c r="BM330" i="3"/>
  <c r="BN330" i="3"/>
  <c r="BO330" i="3"/>
  <c r="BP330" i="3"/>
  <c r="BQ330" i="3"/>
  <c r="BR330" i="3"/>
  <c r="BL330" i="3" s="1"/>
  <c r="AZ330" i="3" s="1"/>
  <c r="BS330" i="3"/>
  <c r="BT330" i="3"/>
  <c r="BB331" i="3"/>
  <c r="BC331" i="3"/>
  <c r="BD331" i="3"/>
  <c r="BE331" i="3"/>
  <c r="BF331" i="3"/>
  <c r="BG331" i="3"/>
  <c r="BH331" i="3"/>
  <c r="BI331" i="3"/>
  <c r="BJ331" i="3"/>
  <c r="BK331" i="3"/>
  <c r="BA331" i="3"/>
  <c r="BM331" i="3"/>
  <c r="BN331" i="3"/>
  <c r="BO331" i="3"/>
  <c r="BP331" i="3"/>
  <c r="BQ331" i="3"/>
  <c r="BR331" i="3"/>
  <c r="BS331" i="3"/>
  <c r="BT331" i="3"/>
  <c r="BL331" i="3"/>
  <c r="AZ331" i="3" s="1"/>
  <c r="BB332" i="3"/>
  <c r="BC332" i="3"/>
  <c r="BD332" i="3"/>
  <c r="BE332" i="3"/>
  <c r="BF332" i="3"/>
  <c r="BG332" i="3"/>
  <c r="BH332" i="3"/>
  <c r="BI332" i="3"/>
  <c r="BJ332" i="3"/>
  <c r="BK332" i="3"/>
  <c r="BA332" i="3"/>
  <c r="BM332" i="3"/>
  <c r="BN332" i="3"/>
  <c r="BO332" i="3"/>
  <c r="BP332" i="3"/>
  <c r="BQ332" i="3"/>
  <c r="BR332" i="3"/>
  <c r="BS332" i="3"/>
  <c r="BT332" i="3"/>
  <c r="BL332" i="3"/>
  <c r="AZ332" i="3" s="1"/>
  <c r="BB333" i="3"/>
  <c r="BC333" i="3"/>
  <c r="BD333" i="3"/>
  <c r="BE333" i="3"/>
  <c r="BF333" i="3"/>
  <c r="BG333" i="3"/>
  <c r="BH333" i="3"/>
  <c r="BI333" i="3"/>
  <c r="BJ333" i="3"/>
  <c r="BK333" i="3"/>
  <c r="BA333" i="3"/>
  <c r="BM333" i="3"/>
  <c r="BN333" i="3"/>
  <c r="BO333" i="3"/>
  <c r="BP333" i="3"/>
  <c r="BQ333" i="3"/>
  <c r="BR333" i="3"/>
  <c r="BS333" i="3"/>
  <c r="BT333" i="3"/>
  <c r="BL333" i="3" s="1"/>
  <c r="AZ333" i="3" s="1"/>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s="1"/>
  <c r="AZ335" i="3" s="1"/>
  <c r="BB336" i="3"/>
  <c r="BC336" i="3"/>
  <c r="BD336" i="3"/>
  <c r="BE336" i="3"/>
  <c r="BF336" i="3"/>
  <c r="BG336" i="3"/>
  <c r="BH336" i="3"/>
  <c r="BI336" i="3"/>
  <c r="BJ336" i="3"/>
  <c r="BK336" i="3"/>
  <c r="BA336" i="3" s="1"/>
  <c r="AZ336" i="3" s="1"/>
  <c r="BM336" i="3"/>
  <c r="BN336" i="3"/>
  <c r="BO336" i="3"/>
  <c r="BP336" i="3"/>
  <c r="BQ336" i="3"/>
  <c r="BR336" i="3"/>
  <c r="BS336" i="3"/>
  <c r="BT336" i="3"/>
  <c r="BL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O406" i="3"/>
  <c r="BP406" i="3"/>
  <c r="BQ406" i="3"/>
  <c r="BR406" i="3"/>
  <c r="BS406" i="3"/>
  <c r="BT406" i="3"/>
  <c r="BL406" i="3"/>
  <c r="AZ406" i="3" s="1"/>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D460" i="3"/>
  <c r="BE460" i="3"/>
  <c r="BA460" i="3" s="1"/>
  <c r="AZ460" i="3" s="1"/>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D462" i="3"/>
  <c r="BE462" i="3"/>
  <c r="BA462" i="3" s="1"/>
  <c r="AZ462" i="3" s="1"/>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D464" i="3"/>
  <c r="BE464" i="3"/>
  <c r="BA464" i="3" s="1"/>
  <c r="AZ464" i="3" s="1"/>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D466" i="3"/>
  <c r="BE466" i="3"/>
  <c r="BA466" i="3" s="1"/>
  <c r="AZ466" i="3" s="1"/>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Q471" i="3"/>
  <c r="BR471" i="3"/>
  <c r="BS471" i="3"/>
  <c r="BT471" i="3"/>
  <c r="BL471" i="3" s="1"/>
  <c r="AZ471" i="3" s="1"/>
  <c r="BB472" i="3"/>
  <c r="BC472" i="3"/>
  <c r="BD472" i="3"/>
  <c r="BE472" i="3"/>
  <c r="BF472" i="3"/>
  <c r="BG472" i="3"/>
  <c r="BH472" i="3"/>
  <c r="BI472" i="3"/>
  <c r="BJ472" i="3"/>
  <c r="BK472" i="3"/>
  <c r="BA472" i="3"/>
  <c r="BM472" i="3"/>
  <c r="BN472" i="3"/>
  <c r="BO472" i="3"/>
  <c r="BP472" i="3"/>
  <c r="BQ472" i="3"/>
  <c r="BR472" i="3"/>
  <c r="BS472" i="3"/>
  <c r="BT472" i="3"/>
  <c r="BL472" i="3" s="1"/>
  <c r="AZ472" i="3" s="1"/>
  <c r="BB473" i="3"/>
  <c r="BC473" i="3"/>
  <c r="BD473" i="3"/>
  <c r="BE473" i="3"/>
  <c r="BF473" i="3"/>
  <c r="BG473" i="3"/>
  <c r="BH473" i="3"/>
  <c r="BI473" i="3"/>
  <c r="BJ473" i="3"/>
  <c r="BK473" i="3"/>
  <c r="BA473" i="3" s="1"/>
  <c r="AZ473" i="3" s="1"/>
  <c r="BM473" i="3"/>
  <c r="BN473" i="3"/>
  <c r="BO473" i="3"/>
  <c r="BP473" i="3"/>
  <c r="BQ473" i="3"/>
  <c r="BR473" i="3"/>
  <c r="BS473" i="3"/>
  <c r="BT473" i="3"/>
  <c r="BL473" i="3"/>
  <c r="BB474" i="3"/>
  <c r="BC474" i="3"/>
  <c r="BD474" i="3"/>
  <c r="BE474" i="3"/>
  <c r="BF474" i="3"/>
  <c r="BG474" i="3"/>
  <c r="BH474" i="3"/>
  <c r="BI474" i="3"/>
  <c r="BJ474" i="3"/>
  <c r="BK474" i="3"/>
  <c r="BA474" i="3"/>
  <c r="BM474" i="3"/>
  <c r="BN474" i="3"/>
  <c r="BO474" i="3"/>
  <c r="BP474" i="3"/>
  <c r="BQ474" i="3"/>
  <c r="BR474" i="3"/>
  <c r="BS474" i="3"/>
  <c r="BT474" i="3"/>
  <c r="BL474" i="3"/>
  <c r="AZ474" i="3" s="1"/>
  <c r="BB475" i="3"/>
  <c r="BC475" i="3"/>
  <c r="BD475" i="3"/>
  <c r="BE475" i="3"/>
  <c r="BF475" i="3"/>
  <c r="BG475" i="3"/>
  <c r="BH475" i="3"/>
  <c r="BI475" i="3"/>
  <c r="BJ475" i="3"/>
  <c r="BK475" i="3"/>
  <c r="BA475" i="3"/>
  <c r="BM475" i="3"/>
  <c r="BN475" i="3"/>
  <c r="BO475" i="3"/>
  <c r="BP475" i="3"/>
  <c r="BQ475" i="3"/>
  <c r="BR475" i="3"/>
  <c r="BS475" i="3"/>
  <c r="BT475" i="3"/>
  <c r="BL475" i="3" s="1"/>
  <c r="AZ475" i="3" s="1"/>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s="1"/>
  <c r="BB478" i="3"/>
  <c r="BC478" i="3"/>
  <c r="BD478" i="3"/>
  <c r="BE478" i="3"/>
  <c r="BF478" i="3"/>
  <c r="BG478" i="3"/>
  <c r="BH478" i="3"/>
  <c r="BI478" i="3"/>
  <c r="BJ478" i="3"/>
  <c r="BK478" i="3"/>
  <c r="BA478" i="3"/>
  <c r="BM478" i="3"/>
  <c r="BN478" i="3"/>
  <c r="BO478" i="3"/>
  <c r="BP478" i="3"/>
  <c r="BQ478" i="3"/>
  <c r="BR478" i="3"/>
  <c r="BS478" i="3"/>
  <c r="BT478" i="3"/>
  <c r="BL478" i="3"/>
  <c r="AZ478" i="3" s="1"/>
  <c r="BB479" i="3"/>
  <c r="BC479" i="3"/>
  <c r="BD479" i="3"/>
  <c r="BE479" i="3"/>
  <c r="BF479" i="3"/>
  <c r="BG479" i="3"/>
  <c r="BH479" i="3"/>
  <c r="BI479" i="3"/>
  <c r="BJ479" i="3"/>
  <c r="BK479" i="3"/>
  <c r="BA479" i="3"/>
  <c r="BM479" i="3"/>
  <c r="BN479" i="3"/>
  <c r="BO479" i="3"/>
  <c r="BP479" i="3"/>
  <c r="BQ479" i="3"/>
  <c r="BR479" i="3"/>
  <c r="BL479" i="3" s="1"/>
  <c r="AZ479" i="3" s="1"/>
  <c r="BS479" i="3"/>
  <c r="BT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D481" i="3"/>
  <c r="BE481" i="3"/>
  <c r="BF481" i="3"/>
  <c r="BG481" i="3"/>
  <c r="BA481" i="3" s="1"/>
  <c r="AZ481" i="3" s="1"/>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O482" i="3"/>
  <c r="BP482" i="3"/>
  <c r="BL482" i="3" s="1"/>
  <c r="AZ482" i="3" s="1"/>
  <c r="BQ482" i="3"/>
  <c r="BR482" i="3"/>
  <c r="BS482" i="3"/>
  <c r="BT482" i="3"/>
  <c r="BB483" i="3"/>
  <c r="BC483" i="3"/>
  <c r="BD483" i="3"/>
  <c r="BE483" i="3"/>
  <c r="BF483" i="3"/>
  <c r="BG483" i="3"/>
  <c r="BH483" i="3"/>
  <c r="BI483" i="3"/>
  <c r="BJ483" i="3"/>
  <c r="BK483" i="3"/>
  <c r="BA483" i="3" s="1"/>
  <c r="AZ483" i="3" s="1"/>
  <c r="BM483" i="3"/>
  <c r="BN483" i="3"/>
  <c r="BO483" i="3"/>
  <c r="BP483" i="3"/>
  <c r="BQ483" i="3"/>
  <c r="BR483" i="3"/>
  <c r="BS483" i="3"/>
  <c r="BT483" i="3"/>
  <c r="BL483" i="3"/>
  <c r="BB484" i="3"/>
  <c r="BC484" i="3"/>
  <c r="BD484" i="3"/>
  <c r="BE484" i="3"/>
  <c r="BF484" i="3"/>
  <c r="BG484" i="3"/>
  <c r="BH484" i="3"/>
  <c r="BI484" i="3"/>
  <c r="BJ484" i="3"/>
  <c r="BK484" i="3"/>
  <c r="BA484" i="3"/>
  <c r="BM484" i="3"/>
  <c r="BN484" i="3"/>
  <c r="BO484" i="3"/>
  <c r="BP484" i="3"/>
  <c r="BL484" i="3" s="1"/>
  <c r="AZ484" i="3" s="1"/>
  <c r="BQ484" i="3"/>
  <c r="BR484" i="3"/>
  <c r="BS484" i="3"/>
  <c r="BT484" i="3"/>
  <c r="BB485" i="3"/>
  <c r="BC485" i="3"/>
  <c r="BD485" i="3"/>
  <c r="BE485" i="3"/>
  <c r="BF485" i="3"/>
  <c r="BG485" i="3"/>
  <c r="BH485" i="3"/>
  <c r="BI485" i="3"/>
  <c r="BJ485" i="3"/>
  <c r="BK485" i="3"/>
  <c r="BA485" i="3" s="1"/>
  <c r="AZ485" i="3" s="1"/>
  <c r="BM485" i="3"/>
  <c r="BN485" i="3"/>
  <c r="BO485" i="3"/>
  <c r="BP485" i="3"/>
  <c r="BQ485" i="3"/>
  <c r="BR485" i="3"/>
  <c r="BS485" i="3"/>
  <c r="BT485" i="3"/>
  <c r="BL485" i="3"/>
  <c r="BB486" i="3"/>
  <c r="BC486" i="3"/>
  <c r="BD486" i="3"/>
  <c r="BE486" i="3"/>
  <c r="BF486" i="3"/>
  <c r="BG486" i="3"/>
  <c r="BH486" i="3"/>
  <c r="BI486" i="3"/>
  <c r="BJ486" i="3"/>
  <c r="BK486" i="3"/>
  <c r="BA486" i="3"/>
  <c r="BM486" i="3"/>
  <c r="BN486" i="3"/>
  <c r="BO486" i="3"/>
  <c r="BP486" i="3"/>
  <c r="BQ486" i="3"/>
  <c r="BR486" i="3"/>
  <c r="BS486" i="3"/>
  <c r="BT486" i="3"/>
  <c r="BL486" i="3" s="1"/>
  <c r="AZ486" i="3" s="1"/>
  <c r="BB487" i="3"/>
  <c r="BC487" i="3"/>
  <c r="BD487" i="3"/>
  <c r="BE487" i="3"/>
  <c r="BF487" i="3"/>
  <c r="BG487" i="3"/>
  <c r="BH487" i="3"/>
  <c r="BI487" i="3"/>
  <c r="BJ487" i="3"/>
  <c r="BK487" i="3"/>
  <c r="BA487" i="3"/>
  <c r="BM487" i="3"/>
  <c r="BN487" i="3"/>
  <c r="BO487" i="3"/>
  <c r="BP487" i="3"/>
  <c r="BQ487" i="3"/>
  <c r="BR487" i="3"/>
  <c r="BS487" i="3"/>
  <c r="BT487" i="3"/>
  <c r="BL487" i="3" s="1"/>
  <c r="AZ487" i="3" s="1"/>
  <c r="BB488" i="3"/>
  <c r="BC488" i="3"/>
  <c r="BD488" i="3"/>
  <c r="BE488" i="3"/>
  <c r="BF488" i="3"/>
  <c r="BG488" i="3"/>
  <c r="BH488" i="3"/>
  <c r="BI488" i="3"/>
  <c r="BJ488" i="3"/>
  <c r="BK488" i="3"/>
  <c r="BA488" i="3"/>
  <c r="BM488" i="3"/>
  <c r="BN488" i="3"/>
  <c r="BO488" i="3"/>
  <c r="BP488" i="3"/>
  <c r="BQ488" i="3"/>
  <c r="BR488" i="3"/>
  <c r="BS488" i="3"/>
  <c r="BT488" i="3"/>
  <c r="BL488" i="3"/>
  <c r="AZ488" i="3" s="1"/>
  <c r="BB489" i="3"/>
  <c r="BC489" i="3"/>
  <c r="BD489" i="3"/>
  <c r="BE489" i="3"/>
  <c r="BF489" i="3"/>
  <c r="BG489" i="3"/>
  <c r="BH489" i="3"/>
  <c r="BI489" i="3"/>
  <c r="BJ489" i="3"/>
  <c r="BK489" i="3"/>
  <c r="BA489" i="3"/>
  <c r="BM489" i="3"/>
  <c r="BN489" i="3"/>
  <c r="BO489" i="3"/>
  <c r="BP489" i="3"/>
  <c r="BQ489" i="3"/>
  <c r="BR489" i="3"/>
  <c r="BS489" i="3"/>
  <c r="BT489" i="3"/>
  <c r="BL489" i="3" s="1"/>
  <c r="AZ489" i="3" s="1"/>
  <c r="BB490" i="3"/>
  <c r="BC490" i="3"/>
  <c r="BD490" i="3"/>
  <c r="BE490" i="3"/>
  <c r="BF490" i="3"/>
  <c r="BG490" i="3"/>
  <c r="BH490" i="3"/>
  <c r="BI490" i="3"/>
  <c r="BJ490" i="3"/>
  <c r="BK490" i="3"/>
  <c r="BA490" i="3"/>
  <c r="BM490" i="3"/>
  <c r="BN490" i="3"/>
  <c r="BO490" i="3"/>
  <c r="BP490" i="3"/>
  <c r="BQ490" i="3"/>
  <c r="BR490" i="3"/>
  <c r="BS490" i="3"/>
  <c r="BT490" i="3"/>
  <c r="BL490" i="3"/>
  <c r="AZ490" i="3" s="1"/>
  <c r="BB491" i="3"/>
  <c r="BC491" i="3"/>
  <c r="BD491" i="3"/>
  <c r="BE491" i="3"/>
  <c r="BF491" i="3"/>
  <c r="BG491" i="3"/>
  <c r="BH491" i="3"/>
  <c r="BI491" i="3"/>
  <c r="BJ491" i="3"/>
  <c r="BK491" i="3"/>
  <c r="BA491" i="3"/>
  <c r="BM491" i="3"/>
  <c r="BN491" i="3"/>
  <c r="BO491" i="3"/>
  <c r="BP491" i="3"/>
  <c r="BQ491" i="3"/>
  <c r="BR491" i="3"/>
  <c r="BS491" i="3"/>
  <c r="BT491" i="3"/>
  <c r="BL491" i="3" s="1"/>
  <c r="AZ491" i="3" s="1"/>
  <c r="BB492" i="3"/>
  <c r="BC492" i="3"/>
  <c r="BD492" i="3"/>
  <c r="BE492" i="3"/>
  <c r="BF492" i="3"/>
  <c r="BG492" i="3"/>
  <c r="BH492" i="3"/>
  <c r="BI492" i="3"/>
  <c r="BJ492" i="3"/>
  <c r="BK492" i="3"/>
  <c r="BA492" i="3"/>
  <c r="BM492" i="3"/>
  <c r="BN492" i="3"/>
  <c r="BO492" i="3"/>
  <c r="BP492" i="3"/>
  <c r="BQ492" i="3"/>
  <c r="BR492" i="3"/>
  <c r="BS492" i="3"/>
  <c r="BT492" i="3"/>
  <c r="BL492" i="3"/>
  <c r="AZ492" i="3" s="1"/>
  <c r="BB493" i="3"/>
  <c r="BC493" i="3"/>
  <c r="BD493" i="3"/>
  <c r="BE493" i="3"/>
  <c r="BF493" i="3"/>
  <c r="BG493" i="3"/>
  <c r="BH493" i="3"/>
  <c r="BI493" i="3"/>
  <c r="BJ493" i="3"/>
  <c r="BK493" i="3"/>
  <c r="BA493" i="3"/>
  <c r="BM493" i="3"/>
  <c r="BN493" i="3"/>
  <c r="BO493" i="3"/>
  <c r="BP493" i="3"/>
  <c r="BQ493" i="3"/>
  <c r="BR493" i="3"/>
  <c r="BS493" i="3"/>
  <c r="BT493" i="3"/>
  <c r="BL493" i="3" s="1"/>
  <c r="AZ493" i="3" s="1"/>
  <c r="BB494" i="3"/>
  <c r="BC494" i="3"/>
  <c r="BD494" i="3"/>
  <c r="BE494" i="3"/>
  <c r="BF494" i="3"/>
  <c r="BG494" i="3"/>
  <c r="BH494" i="3"/>
  <c r="BI494" i="3"/>
  <c r="BJ494" i="3"/>
  <c r="BK494" i="3"/>
  <c r="BA494" i="3"/>
  <c r="BM494" i="3"/>
  <c r="BN494" i="3"/>
  <c r="BO494" i="3"/>
  <c r="BP494" i="3"/>
  <c r="BQ494" i="3"/>
  <c r="BR494" i="3"/>
  <c r="BS494" i="3"/>
  <c r="BT494" i="3"/>
  <c r="BL494" i="3"/>
  <c r="AZ494" i="3" s="1"/>
  <c r="BB495" i="3"/>
  <c r="BC495" i="3"/>
  <c r="BD495" i="3"/>
  <c r="BE495" i="3"/>
  <c r="BF495" i="3"/>
  <c r="BG495" i="3"/>
  <c r="BH495" i="3"/>
  <c r="BI495" i="3"/>
  <c r="BJ495" i="3"/>
  <c r="BK495" i="3"/>
  <c r="BA495" i="3"/>
  <c r="BM495" i="3"/>
  <c r="BN495" i="3"/>
  <c r="BO495" i="3"/>
  <c r="BP495" i="3"/>
  <c r="BQ495" i="3"/>
  <c r="BR495" i="3"/>
  <c r="BS495" i="3"/>
  <c r="BT495" i="3"/>
  <c r="BL495" i="3"/>
  <c r="AZ495" i="3" s="1"/>
  <c r="BB496" i="3"/>
  <c r="BC496" i="3"/>
  <c r="BD496" i="3"/>
  <c r="BE496" i="3"/>
  <c r="BF496" i="3"/>
  <c r="BG496" i="3"/>
  <c r="BH496" i="3"/>
  <c r="BI496" i="3"/>
  <c r="BJ496" i="3"/>
  <c r="BK496" i="3"/>
  <c r="BA496" i="3"/>
  <c r="BM496" i="3"/>
  <c r="BN496" i="3"/>
  <c r="BO496" i="3"/>
  <c r="BP496" i="3"/>
  <c r="BQ496" i="3"/>
  <c r="BR496" i="3"/>
  <c r="BS496" i="3"/>
  <c r="BT496" i="3"/>
  <c r="BL496" i="3"/>
  <c r="AZ496" i="3" s="1"/>
  <c r="BB497" i="3"/>
  <c r="BC497" i="3"/>
  <c r="BD497" i="3"/>
  <c r="BE497" i="3"/>
  <c r="BF497" i="3"/>
  <c r="BG497" i="3"/>
  <c r="BH497" i="3"/>
  <c r="BI497" i="3"/>
  <c r="BJ497" i="3"/>
  <c r="BK497" i="3"/>
  <c r="BA497" i="3"/>
  <c r="BM497" i="3"/>
  <c r="BN497" i="3"/>
  <c r="BO497" i="3"/>
  <c r="BP497" i="3"/>
  <c r="BQ497" i="3"/>
  <c r="BR497" i="3"/>
  <c r="BL497" i="3" s="1"/>
  <c r="AZ497" i="3" s="1"/>
  <c r="BS497" i="3"/>
  <c r="BT497" i="3"/>
  <c r="BB498" i="3"/>
  <c r="BC498" i="3"/>
  <c r="BD498" i="3"/>
  <c r="BE498" i="3"/>
  <c r="BF498" i="3"/>
  <c r="BG498" i="3"/>
  <c r="BH498" i="3"/>
  <c r="BI498" i="3"/>
  <c r="BJ498" i="3"/>
  <c r="BK498" i="3"/>
  <c r="BA498" i="3" s="1"/>
  <c r="AZ498" i="3" s="1"/>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D500" i="3"/>
  <c r="BE500" i="3"/>
  <c r="BA500" i="3" s="1"/>
  <c r="AZ500" i="3" s="1"/>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D504" i="3"/>
  <c r="BE504" i="3"/>
  <c r="BA504" i="3" s="1"/>
  <c r="AZ504" i="3" s="1"/>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D506" i="3"/>
  <c r="BE506" i="3"/>
  <c r="BF506" i="3"/>
  <c r="BG506" i="3"/>
  <c r="BA506" i="3" s="1"/>
  <c r="AZ506" i="3" s="1"/>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D508" i="3"/>
  <c r="BE508" i="3"/>
  <c r="BF508" i="3"/>
  <c r="BG508" i="3"/>
  <c r="BH508" i="3"/>
  <c r="BI508" i="3"/>
  <c r="BA508" i="3" s="1"/>
  <c r="AZ508" i="3" s="1"/>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O509" i="3"/>
  <c r="BP509" i="3"/>
  <c r="BQ509" i="3"/>
  <c r="BR509" i="3"/>
  <c r="BS509" i="3"/>
  <c r="BT509" i="3"/>
  <c r="BL509" i="3" s="1"/>
  <c r="AZ509" i="3" s="1"/>
  <c r="BB510" i="3"/>
  <c r="BC510" i="3"/>
  <c r="BD510" i="3"/>
  <c r="BE510" i="3"/>
  <c r="BF510" i="3"/>
  <c r="BG510" i="3"/>
  <c r="BH510" i="3"/>
  <c r="BI510" i="3"/>
  <c r="BJ510" i="3"/>
  <c r="BK510" i="3"/>
  <c r="BA510" i="3"/>
  <c r="BM510" i="3"/>
  <c r="BN510" i="3"/>
  <c r="BO510" i="3"/>
  <c r="BP510" i="3"/>
  <c r="BQ510" i="3"/>
  <c r="BR510" i="3"/>
  <c r="BS510" i="3"/>
  <c r="BT510" i="3"/>
  <c r="BL510" i="3" s="1"/>
  <c r="AZ510" i="3" s="1"/>
  <c r="BB511" i="3"/>
  <c r="BC511" i="3"/>
  <c r="BD511" i="3"/>
  <c r="BE511" i="3"/>
  <c r="BF511" i="3"/>
  <c r="BG511" i="3"/>
  <c r="BH511" i="3"/>
  <c r="BI511" i="3"/>
  <c r="BJ511" i="3"/>
  <c r="BK511" i="3"/>
  <c r="BA511" i="3"/>
  <c r="BM511" i="3"/>
  <c r="BN511" i="3"/>
  <c r="BO511" i="3"/>
  <c r="BP511" i="3"/>
  <c r="BQ511" i="3"/>
  <c r="BR511" i="3"/>
  <c r="BL511" i="3" s="1"/>
  <c r="AZ511" i="3" s="1"/>
  <c r="BS511" i="3"/>
  <c r="BT511" i="3"/>
  <c r="BB512" i="3"/>
  <c r="BC512" i="3"/>
  <c r="BD512" i="3"/>
  <c r="BE512" i="3"/>
  <c r="BF512" i="3"/>
  <c r="BG512" i="3"/>
  <c r="BH512" i="3"/>
  <c r="BI512" i="3"/>
  <c r="BJ512" i="3"/>
  <c r="BK512" i="3"/>
  <c r="BA512" i="3"/>
  <c r="BM512" i="3"/>
  <c r="BN512" i="3"/>
  <c r="BO512" i="3"/>
  <c r="BP512" i="3"/>
  <c r="BQ512" i="3"/>
  <c r="BR512" i="3"/>
  <c r="BS512" i="3"/>
  <c r="BT512" i="3"/>
  <c r="BL512" i="3"/>
  <c r="AZ512" i="3" s="1"/>
  <c r="BB513" i="3"/>
  <c r="BC513" i="3"/>
  <c r="BD513" i="3"/>
  <c r="BE513" i="3"/>
  <c r="BF513" i="3"/>
  <c r="BG513" i="3"/>
  <c r="BH513" i="3"/>
  <c r="BI513" i="3"/>
  <c r="BJ513" i="3"/>
  <c r="BK513" i="3"/>
  <c r="BA513" i="3"/>
  <c r="BM513" i="3"/>
  <c r="BN513" i="3"/>
  <c r="BO513" i="3"/>
  <c r="BP513" i="3"/>
  <c r="BQ513" i="3"/>
  <c r="BR513" i="3"/>
  <c r="BL513" i="3" s="1"/>
  <c r="AZ513" i="3" s="1"/>
  <c r="BS513" i="3"/>
  <c r="BT513" i="3"/>
  <c r="BB514" i="3"/>
  <c r="BC514" i="3"/>
  <c r="BD514" i="3"/>
  <c r="BE514" i="3"/>
  <c r="BF514" i="3"/>
  <c r="BG514" i="3"/>
  <c r="BH514" i="3"/>
  <c r="BI514" i="3"/>
  <c r="BJ514" i="3"/>
  <c r="BK514" i="3"/>
  <c r="BA514" i="3" s="1"/>
  <c r="AZ514" i="3" s="1"/>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L515" i="3" s="1"/>
  <c r="AZ515" i="3" s="1"/>
  <c r="BS515" i="3"/>
  <c r="BT515" i="3"/>
  <c r="BB516" i="3"/>
  <c r="BC516" i="3"/>
  <c r="BD516" i="3"/>
  <c r="BE516" i="3"/>
  <c r="BF516" i="3"/>
  <c r="BG516" i="3"/>
  <c r="BH516" i="3"/>
  <c r="BI516" i="3"/>
  <c r="BJ516" i="3"/>
  <c r="BK516" i="3"/>
  <c r="BA516" i="3" s="1"/>
  <c r="AZ516" i="3" s="1"/>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L517" i="3" s="1"/>
  <c r="AZ517" i="3" s="1"/>
  <c r="BS517" i="3"/>
  <c r="BT517" i="3"/>
  <c r="BB518" i="3"/>
  <c r="BC518" i="3"/>
  <c r="BD518" i="3"/>
  <c r="BE518" i="3"/>
  <c r="BF518" i="3"/>
  <c r="BG518" i="3"/>
  <c r="BH518" i="3"/>
  <c r="BI518" i="3"/>
  <c r="BJ518" i="3"/>
  <c r="BK518" i="3"/>
  <c r="BA518" i="3"/>
  <c r="BM518" i="3"/>
  <c r="BN518" i="3"/>
  <c r="BO518" i="3"/>
  <c r="BP518" i="3"/>
  <c r="BQ518" i="3"/>
  <c r="BR518" i="3"/>
  <c r="BS518" i="3"/>
  <c r="BT518" i="3"/>
  <c r="BL518" i="3"/>
  <c r="AZ518" i="3" s="1"/>
  <c r="BB519" i="3"/>
  <c r="BC519" i="3"/>
  <c r="BD519" i="3"/>
  <c r="BE519" i="3"/>
  <c r="BF519" i="3"/>
  <c r="BG519" i="3"/>
  <c r="BH519" i="3"/>
  <c r="BI519" i="3"/>
  <c r="BJ519" i="3"/>
  <c r="BK519" i="3"/>
  <c r="BA519" i="3"/>
  <c r="BM519" i="3"/>
  <c r="BN519" i="3"/>
  <c r="BO519" i="3"/>
  <c r="BP519" i="3"/>
  <c r="BQ519" i="3"/>
  <c r="BR519" i="3"/>
  <c r="BL519" i="3" s="1"/>
  <c r="AZ519" i="3" s="1"/>
  <c r="BS519" i="3"/>
  <c r="BT519" i="3"/>
  <c r="BB520" i="3"/>
  <c r="BC520" i="3"/>
  <c r="BD520" i="3"/>
  <c r="BE520" i="3"/>
  <c r="BF520" i="3"/>
  <c r="BG520" i="3"/>
  <c r="BH520" i="3"/>
  <c r="BI520" i="3"/>
  <c r="BJ520" i="3"/>
  <c r="BK520" i="3"/>
  <c r="BA520" i="3"/>
  <c r="BM520" i="3"/>
  <c r="BN520" i="3"/>
  <c r="BO520" i="3"/>
  <c r="BP520" i="3"/>
  <c r="BQ520" i="3"/>
  <c r="BR520" i="3"/>
  <c r="BS520" i="3"/>
  <c r="BT520" i="3"/>
  <c r="BL520" i="3" s="1"/>
  <c r="AZ520" i="3" s="1"/>
  <c r="BB521" i="3"/>
  <c r="BC521" i="3"/>
  <c r="BD521" i="3"/>
  <c r="BE521" i="3"/>
  <c r="BF521" i="3"/>
  <c r="BG521" i="3"/>
  <c r="BH521" i="3"/>
  <c r="BI521" i="3"/>
  <c r="BJ521" i="3"/>
  <c r="BK521" i="3"/>
  <c r="BA521" i="3"/>
  <c r="BM521" i="3"/>
  <c r="BN521" i="3"/>
  <c r="BO521" i="3"/>
  <c r="BP521" i="3"/>
  <c r="BQ521" i="3"/>
  <c r="BR521" i="3"/>
  <c r="BS521" i="3"/>
  <c r="BT521" i="3"/>
  <c r="BL521" i="3"/>
  <c r="AZ521" i="3" s="1"/>
  <c r="BB522" i="3"/>
  <c r="BC522" i="3"/>
  <c r="BD522" i="3"/>
  <c r="BE522" i="3"/>
  <c r="BF522" i="3"/>
  <c r="BG522" i="3"/>
  <c r="BH522" i="3"/>
  <c r="BI522" i="3"/>
  <c r="BJ522" i="3"/>
  <c r="BK522" i="3"/>
  <c r="BA522" i="3"/>
  <c r="BM522" i="3"/>
  <c r="BN522" i="3"/>
  <c r="BO522" i="3"/>
  <c r="BP522" i="3"/>
  <c r="BQ522" i="3"/>
  <c r="BR522" i="3"/>
  <c r="BL522" i="3" s="1"/>
  <c r="AZ522" i="3" s="1"/>
  <c r="BS522" i="3"/>
  <c r="BT522" i="3"/>
  <c r="BB523" i="3"/>
  <c r="BC523" i="3"/>
  <c r="BD523" i="3"/>
  <c r="BE523" i="3"/>
  <c r="BF523" i="3"/>
  <c r="BG523" i="3"/>
  <c r="BH523" i="3"/>
  <c r="BI523" i="3"/>
  <c r="BJ523" i="3"/>
  <c r="BK523" i="3"/>
  <c r="BA523" i="3"/>
  <c r="BM523" i="3"/>
  <c r="BN523" i="3"/>
  <c r="BO523" i="3"/>
  <c r="BP523" i="3"/>
  <c r="BQ523" i="3"/>
  <c r="BR523" i="3"/>
  <c r="BS523" i="3"/>
  <c r="BT523" i="3"/>
  <c r="BL523" i="3"/>
  <c r="AZ523" i="3" s="1"/>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s="1"/>
  <c r="AZ525" i="3" s="1"/>
  <c r="BB526" i="3"/>
  <c r="BC526" i="3"/>
  <c r="BD526" i="3"/>
  <c r="BE526" i="3"/>
  <c r="BF526" i="3"/>
  <c r="BG526" i="3"/>
  <c r="BH526" i="3"/>
  <c r="BI526" i="3"/>
  <c r="BJ526" i="3"/>
  <c r="BK526" i="3"/>
  <c r="BA526" i="3"/>
  <c r="BM526" i="3"/>
  <c r="BN526" i="3"/>
  <c r="BO526" i="3"/>
  <c r="BP526" i="3"/>
  <c r="BQ526" i="3"/>
  <c r="BR526" i="3"/>
  <c r="BS526" i="3"/>
  <c r="BT526" i="3"/>
  <c r="BL526" i="3"/>
  <c r="AZ526" i="3" s="1"/>
  <c r="BB527" i="3"/>
  <c r="BC527" i="3"/>
  <c r="BD527" i="3"/>
  <c r="BE527" i="3"/>
  <c r="BF527" i="3"/>
  <c r="BG527" i="3"/>
  <c r="BH527" i="3"/>
  <c r="BI527" i="3"/>
  <c r="BJ527" i="3"/>
  <c r="BK527" i="3"/>
  <c r="BA527" i="3"/>
  <c r="BM527" i="3"/>
  <c r="BN527" i="3"/>
  <c r="BO527" i="3"/>
  <c r="BP527" i="3"/>
  <c r="BQ527" i="3"/>
  <c r="BR527" i="3"/>
  <c r="BS527" i="3"/>
  <c r="BT527" i="3"/>
  <c r="BL527" i="3" s="1"/>
  <c r="AZ527" i="3" s="1"/>
  <c r="BB528" i="3"/>
  <c r="BC528" i="3"/>
  <c r="BD528" i="3"/>
  <c r="BE528" i="3"/>
  <c r="BF528" i="3"/>
  <c r="BG528" i="3"/>
  <c r="BH528" i="3"/>
  <c r="BI528" i="3"/>
  <c r="BJ528" i="3"/>
  <c r="BK528" i="3"/>
  <c r="BA528" i="3" s="1"/>
  <c r="AZ528" i="3" s="1"/>
  <c r="BM528" i="3"/>
  <c r="BN528" i="3"/>
  <c r="BO528" i="3"/>
  <c r="BP528" i="3"/>
  <c r="BQ528" i="3"/>
  <c r="BR528" i="3"/>
  <c r="BS528" i="3"/>
  <c r="BT528" i="3"/>
  <c r="BL528" i="3"/>
  <c r="BB529" i="3"/>
  <c r="BC529" i="3"/>
  <c r="BD529" i="3"/>
  <c r="BE529" i="3"/>
  <c r="BF529" i="3"/>
  <c r="BG529" i="3"/>
  <c r="BH529" i="3"/>
  <c r="BI529" i="3"/>
  <c r="BJ529" i="3"/>
  <c r="BK529" i="3"/>
  <c r="BA529" i="3"/>
  <c r="BM529" i="3"/>
  <c r="BN529" i="3"/>
  <c r="BO529" i="3"/>
  <c r="BP529" i="3"/>
  <c r="BL529" i="3" s="1"/>
  <c r="AZ529" i="3" s="1"/>
  <c r="BQ529" i="3"/>
  <c r="BR529" i="3"/>
  <c r="BS529" i="3"/>
  <c r="BT529" i="3"/>
  <c r="BB530" i="3"/>
  <c r="BC530" i="3"/>
  <c r="BD530" i="3"/>
  <c r="BE530" i="3"/>
  <c r="BF530" i="3"/>
  <c r="BG530" i="3"/>
  <c r="BA530" i="3" s="1"/>
  <c r="AZ530" i="3" s="1"/>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D532" i="3"/>
  <c r="BE532" i="3"/>
  <c r="BF532" i="3"/>
  <c r="BG532" i="3"/>
  <c r="BA532" i="3" s="1"/>
  <c r="AZ532" i="3" s="1"/>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O533" i="3"/>
  <c r="BP533" i="3"/>
  <c r="BQ533" i="3"/>
  <c r="BR533" i="3"/>
  <c r="BS533" i="3"/>
  <c r="BT533" i="3"/>
  <c r="BL533" i="3" s="1"/>
  <c r="AZ533" i="3" s="1"/>
  <c r="BB534" i="3"/>
  <c r="BC534" i="3"/>
  <c r="BD534" i="3"/>
  <c r="BE534" i="3"/>
  <c r="BF534" i="3"/>
  <c r="BG534" i="3"/>
  <c r="BH534" i="3"/>
  <c r="BI534" i="3"/>
  <c r="BJ534" i="3"/>
  <c r="BK534" i="3"/>
  <c r="BA534" i="3" s="1"/>
  <c r="AZ534" i="3" s="1"/>
  <c r="BM534" i="3"/>
  <c r="BN534" i="3"/>
  <c r="BO534" i="3"/>
  <c r="BP534" i="3"/>
  <c r="BQ534" i="3"/>
  <c r="BR534" i="3"/>
  <c r="BS534" i="3"/>
  <c r="BT534" i="3"/>
  <c r="BL534" i="3"/>
  <c r="BB535" i="3"/>
  <c r="BC535" i="3"/>
  <c r="BD535" i="3"/>
  <c r="BE535" i="3"/>
  <c r="BF535" i="3"/>
  <c r="BG535" i="3"/>
  <c r="BH535" i="3"/>
  <c r="BI535" i="3"/>
  <c r="BJ535" i="3"/>
  <c r="BK535" i="3"/>
  <c r="BA535" i="3"/>
  <c r="BM535" i="3"/>
  <c r="BN535" i="3"/>
  <c r="BO535" i="3"/>
  <c r="BP535" i="3"/>
  <c r="BQ535" i="3"/>
  <c r="BR535" i="3"/>
  <c r="BL535" i="3" s="1"/>
  <c r="AZ535" i="3" s="1"/>
  <c r="BS535" i="3"/>
  <c r="BT535" i="3"/>
  <c r="BB536" i="3"/>
  <c r="BC536" i="3"/>
  <c r="BD536" i="3"/>
  <c r="BE536" i="3"/>
  <c r="BF536" i="3"/>
  <c r="BG536" i="3"/>
  <c r="BH536" i="3"/>
  <c r="BI536" i="3"/>
  <c r="BJ536" i="3"/>
  <c r="BK536" i="3"/>
  <c r="BA536" i="3"/>
  <c r="BM536" i="3"/>
  <c r="BN536" i="3"/>
  <c r="BO536" i="3"/>
  <c r="BP536" i="3"/>
  <c r="BQ536" i="3"/>
  <c r="BR536" i="3"/>
  <c r="BS536" i="3"/>
  <c r="BT536" i="3"/>
  <c r="BL536" i="3" s="1"/>
  <c r="AZ536" i="3" s="1"/>
  <c r="BB537" i="3"/>
  <c r="BC537" i="3"/>
  <c r="BD537" i="3"/>
  <c r="BE537" i="3"/>
  <c r="BF537" i="3"/>
  <c r="BG537" i="3"/>
  <c r="BH537" i="3"/>
  <c r="BI537" i="3"/>
  <c r="BJ537" i="3"/>
  <c r="BK537" i="3"/>
  <c r="BA537" i="3"/>
  <c r="BM537" i="3"/>
  <c r="BN537" i="3"/>
  <c r="BO537" i="3"/>
  <c r="BP537" i="3"/>
  <c r="BQ537" i="3"/>
  <c r="BR537" i="3"/>
  <c r="BS537" i="3"/>
  <c r="BT537" i="3"/>
  <c r="BL537" i="3"/>
  <c r="AZ537" i="3" s="1"/>
  <c r="BB538" i="3"/>
  <c r="BC538" i="3"/>
  <c r="BD538" i="3"/>
  <c r="BE538" i="3"/>
  <c r="BF538" i="3"/>
  <c r="BG538" i="3"/>
  <c r="BH538" i="3"/>
  <c r="BI538" i="3"/>
  <c r="BJ538" i="3"/>
  <c r="BK538" i="3"/>
  <c r="BA538" i="3"/>
  <c r="BM538" i="3"/>
  <c r="BN538" i="3"/>
  <c r="BO538" i="3"/>
  <c r="BP538" i="3"/>
  <c r="BQ538" i="3"/>
  <c r="BR538" i="3"/>
  <c r="BS538" i="3"/>
  <c r="BT538" i="3"/>
  <c r="BL538" i="3"/>
  <c r="AZ538" i="3" s="1"/>
  <c r="BB539" i="3"/>
  <c r="BC539" i="3"/>
  <c r="BD539" i="3"/>
  <c r="BE539" i="3"/>
  <c r="BF539" i="3"/>
  <c r="BG539" i="3"/>
  <c r="BH539" i="3"/>
  <c r="BI539" i="3"/>
  <c r="BJ539" i="3"/>
  <c r="BK539" i="3"/>
  <c r="BA539" i="3"/>
  <c r="BM539" i="3"/>
  <c r="BN539" i="3"/>
  <c r="BO539" i="3"/>
  <c r="BP539" i="3"/>
  <c r="BQ539" i="3"/>
  <c r="BR539" i="3"/>
  <c r="BL539" i="3" s="1"/>
  <c r="AZ539" i="3" s="1"/>
  <c r="BS539" i="3"/>
  <c r="BT539" i="3"/>
  <c r="BB540" i="3"/>
  <c r="BC540" i="3"/>
  <c r="BD540" i="3"/>
  <c r="BE540" i="3"/>
  <c r="BF540" i="3"/>
  <c r="BG540" i="3"/>
  <c r="BH540" i="3"/>
  <c r="BI540" i="3"/>
  <c r="BJ540" i="3"/>
  <c r="BK540" i="3"/>
  <c r="BA540" i="3" s="1"/>
  <c r="AZ540" i="3" s="1"/>
  <c r="BM540" i="3"/>
  <c r="BN540" i="3"/>
  <c r="BO540" i="3"/>
  <c r="BP540" i="3"/>
  <c r="BQ540" i="3"/>
  <c r="BR540" i="3"/>
  <c r="BS540" i="3"/>
  <c r="BT540" i="3"/>
  <c r="BL540" i="3"/>
  <c r="BB541" i="3"/>
  <c r="BC541" i="3"/>
  <c r="BD541" i="3"/>
  <c r="BE541" i="3"/>
  <c r="BF541" i="3"/>
  <c r="BG541" i="3"/>
  <c r="BH541" i="3"/>
  <c r="BI541" i="3"/>
  <c r="BJ541" i="3"/>
  <c r="BK541" i="3"/>
  <c r="BA541" i="3"/>
  <c r="BM541" i="3"/>
  <c r="BN541" i="3"/>
  <c r="BO541" i="3"/>
  <c r="BP541" i="3"/>
  <c r="BQ541" i="3"/>
  <c r="BR541" i="3"/>
  <c r="BL541" i="3" s="1"/>
  <c r="AZ541" i="3" s="1"/>
  <c r="BS541" i="3"/>
  <c r="BT541" i="3"/>
  <c r="BB542" i="3"/>
  <c r="BC542" i="3"/>
  <c r="BD542" i="3"/>
  <c r="BE542" i="3"/>
  <c r="BF542" i="3"/>
  <c r="BG542" i="3"/>
  <c r="BH542" i="3"/>
  <c r="BI542" i="3"/>
  <c r="BJ542" i="3"/>
  <c r="BK542" i="3"/>
  <c r="BA542" i="3"/>
  <c r="BM542" i="3"/>
  <c r="BN542" i="3"/>
  <c r="BO542" i="3"/>
  <c r="BP542" i="3"/>
  <c r="BQ542" i="3"/>
  <c r="BR542" i="3"/>
  <c r="BS542" i="3"/>
  <c r="BT542" i="3"/>
  <c r="BL542" i="3" s="1"/>
  <c r="AZ542" i="3" s="1"/>
  <c r="BB543" i="3"/>
  <c r="BC543" i="3"/>
  <c r="BD543" i="3"/>
  <c r="BE543" i="3"/>
  <c r="BF543" i="3"/>
  <c r="BG543" i="3"/>
  <c r="BH543" i="3"/>
  <c r="BI543" i="3"/>
  <c r="BJ543" i="3"/>
  <c r="BK543" i="3"/>
  <c r="BA543" i="3"/>
  <c r="BM543" i="3"/>
  <c r="BN543" i="3"/>
  <c r="BO543" i="3"/>
  <c r="BP543" i="3"/>
  <c r="BQ543" i="3"/>
  <c r="BR543" i="3"/>
  <c r="BS543" i="3"/>
  <c r="BT543" i="3"/>
  <c r="BL543" i="3" s="1"/>
  <c r="AZ543" i="3" s="1"/>
  <c r="BB544" i="3"/>
  <c r="BC544" i="3"/>
  <c r="BD544" i="3"/>
  <c r="BE544" i="3"/>
  <c r="BF544" i="3"/>
  <c r="BG544" i="3"/>
  <c r="BH544" i="3"/>
  <c r="BI544" i="3"/>
  <c r="BJ544" i="3"/>
  <c r="BK544" i="3"/>
  <c r="BA544" i="3"/>
  <c r="BM544" i="3"/>
  <c r="BN544" i="3"/>
  <c r="BO544" i="3"/>
  <c r="BP544" i="3"/>
  <c r="BQ544" i="3"/>
  <c r="BR544" i="3"/>
  <c r="BS544" i="3"/>
  <c r="BT544" i="3"/>
  <c r="BL544" i="3" s="1"/>
  <c r="AZ544" i="3" s="1"/>
  <c r="BB545" i="3"/>
  <c r="BC545" i="3"/>
  <c r="BD545" i="3"/>
  <c r="BE545" i="3"/>
  <c r="BF545" i="3"/>
  <c r="BG545" i="3"/>
  <c r="BH545" i="3"/>
  <c r="BI545" i="3"/>
  <c r="BJ545" i="3"/>
  <c r="BK545" i="3"/>
  <c r="BA545" i="3"/>
  <c r="BM545" i="3"/>
  <c r="BN545" i="3"/>
  <c r="BO545" i="3"/>
  <c r="BP545" i="3"/>
  <c r="BQ545" i="3"/>
  <c r="BR545" i="3"/>
  <c r="BS545" i="3"/>
  <c r="BT545" i="3"/>
  <c r="BL545" i="3"/>
  <c r="AZ545" i="3" s="1"/>
  <c r="BB546" i="3"/>
  <c r="BC546" i="3"/>
  <c r="BD546" i="3"/>
  <c r="BE546" i="3"/>
  <c r="BF546" i="3"/>
  <c r="BG546" i="3"/>
  <c r="BH546" i="3"/>
  <c r="BI546" i="3"/>
  <c r="BJ546" i="3"/>
  <c r="BK546" i="3"/>
  <c r="BA546" i="3"/>
  <c r="BM546" i="3"/>
  <c r="BN546" i="3"/>
  <c r="BO546" i="3"/>
  <c r="BP546" i="3"/>
  <c r="BQ546" i="3"/>
  <c r="BR546" i="3"/>
  <c r="BS546" i="3"/>
  <c r="BT546" i="3"/>
  <c r="BL546" i="3" s="1"/>
  <c r="AZ546" i="3" s="1"/>
  <c r="BB547" i="3"/>
  <c r="BC547" i="3"/>
  <c r="BD547" i="3"/>
  <c r="BE547" i="3"/>
  <c r="BF547" i="3"/>
  <c r="BG547" i="3"/>
  <c r="BH547" i="3"/>
  <c r="BI547" i="3"/>
  <c r="BJ547" i="3"/>
  <c r="BK547" i="3"/>
  <c r="BA547" i="3"/>
  <c r="BM547" i="3"/>
  <c r="BN547" i="3"/>
  <c r="BO547" i="3"/>
  <c r="BP547" i="3"/>
  <c r="BQ547" i="3"/>
  <c r="BR547" i="3"/>
  <c r="BS547" i="3"/>
  <c r="BT547" i="3"/>
  <c r="BL547" i="3"/>
  <c r="AZ547" i="3" s="1"/>
  <c r="BB548" i="3"/>
  <c r="BC548" i="3"/>
  <c r="BD548" i="3"/>
  <c r="BE548" i="3"/>
  <c r="BF548" i="3"/>
  <c r="BG548" i="3"/>
  <c r="BH548" i="3"/>
  <c r="BI548" i="3"/>
  <c r="BJ548" i="3"/>
  <c r="BK548" i="3"/>
  <c r="BA548" i="3"/>
  <c r="BM548" i="3"/>
  <c r="BN548" i="3"/>
  <c r="BO548" i="3"/>
  <c r="BP548" i="3"/>
  <c r="BQ548" i="3"/>
  <c r="BR548" i="3"/>
  <c r="BS548" i="3"/>
  <c r="BT548" i="3"/>
  <c r="BL548" i="3" s="1"/>
  <c r="AZ548" i="3" s="1"/>
  <c r="BB549" i="3"/>
  <c r="BC549" i="3"/>
  <c r="BD549" i="3"/>
  <c r="BE549" i="3"/>
  <c r="BF549" i="3"/>
  <c r="BG549" i="3"/>
  <c r="BH549" i="3"/>
  <c r="BI549" i="3"/>
  <c r="BJ549" i="3"/>
  <c r="BK549" i="3"/>
  <c r="BA549" i="3"/>
  <c r="BM549" i="3"/>
  <c r="BN549" i="3"/>
  <c r="BO549" i="3"/>
  <c r="BP549" i="3"/>
  <c r="BQ549" i="3"/>
  <c r="BR549" i="3"/>
  <c r="BS549" i="3"/>
  <c r="BT549" i="3"/>
  <c r="BL549" i="3" s="1"/>
  <c r="AZ549" i="3" s="1"/>
  <c r="BB550" i="3"/>
  <c r="BC550" i="3"/>
  <c r="BD550" i="3"/>
  <c r="BE550" i="3"/>
  <c r="BF550" i="3"/>
  <c r="BG550" i="3"/>
  <c r="BH550" i="3"/>
  <c r="BI550" i="3"/>
  <c r="BJ550" i="3"/>
  <c r="BK550" i="3"/>
  <c r="BA550" i="3"/>
  <c r="BM550" i="3"/>
  <c r="BN550" i="3"/>
  <c r="BO550" i="3"/>
  <c r="BP550" i="3"/>
  <c r="BQ550" i="3"/>
  <c r="BR550" i="3"/>
  <c r="BS550" i="3"/>
  <c r="BT550" i="3"/>
  <c r="BL550" i="3" s="1"/>
  <c r="AZ550" i="3" s="1"/>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s="1"/>
  <c r="BB553" i="3"/>
  <c r="BC553" i="3"/>
  <c r="BD553" i="3"/>
  <c r="BE553" i="3"/>
  <c r="BF553" i="3"/>
  <c r="BG553" i="3"/>
  <c r="BH553" i="3"/>
  <c r="BI553" i="3"/>
  <c r="BJ553" i="3"/>
  <c r="BK553" i="3"/>
  <c r="BA553" i="3"/>
  <c r="BM553" i="3"/>
  <c r="BN553" i="3"/>
  <c r="BO553" i="3"/>
  <c r="BP553" i="3"/>
  <c r="BQ553" i="3"/>
  <c r="BR553" i="3"/>
  <c r="BS553" i="3"/>
  <c r="BT553" i="3"/>
  <c r="BL553" i="3" s="1"/>
  <c r="AZ553" i="3" s="1"/>
  <c r="BB554" i="3"/>
  <c r="BC554" i="3"/>
  <c r="BD554" i="3"/>
  <c r="BE554" i="3"/>
  <c r="BF554" i="3"/>
  <c r="BG554" i="3"/>
  <c r="BH554" i="3"/>
  <c r="BI554" i="3"/>
  <c r="BJ554" i="3"/>
  <c r="BK554" i="3"/>
  <c r="BA554" i="3"/>
  <c r="BM554" i="3"/>
  <c r="BN554" i="3"/>
  <c r="BO554" i="3"/>
  <c r="BP554" i="3"/>
  <c r="BQ554" i="3"/>
  <c r="BR554" i="3"/>
  <c r="BS554" i="3"/>
  <c r="BT554" i="3"/>
  <c r="BL554" i="3"/>
  <c r="AZ554" i="3" s="1"/>
  <c r="BB555" i="3"/>
  <c r="BC555" i="3"/>
  <c r="BD555" i="3"/>
  <c r="BE555" i="3"/>
  <c r="BF555" i="3"/>
  <c r="BG555" i="3"/>
  <c r="BH555" i="3"/>
  <c r="BI555" i="3"/>
  <c r="BJ555" i="3"/>
  <c r="BK555" i="3"/>
  <c r="BA555" i="3"/>
  <c r="BM555" i="3"/>
  <c r="BN555" i="3"/>
  <c r="BO555" i="3"/>
  <c r="BP555" i="3"/>
  <c r="BQ555" i="3"/>
  <c r="BR555" i="3"/>
  <c r="BS555" i="3"/>
  <c r="BT555" i="3"/>
  <c r="BL555" i="3" s="1"/>
  <c r="AZ555" i="3" s="1"/>
  <c r="BB556" i="3"/>
  <c r="BC556" i="3"/>
  <c r="BD556" i="3"/>
  <c r="BE556" i="3"/>
  <c r="BF556" i="3"/>
  <c r="BG556" i="3"/>
  <c r="BH556" i="3"/>
  <c r="BI556" i="3"/>
  <c r="BJ556" i="3"/>
  <c r="BK556" i="3"/>
  <c r="BA556" i="3"/>
  <c r="BM556" i="3"/>
  <c r="BN556" i="3"/>
  <c r="BO556" i="3"/>
  <c r="BP556" i="3"/>
  <c r="BQ556" i="3"/>
  <c r="BR556" i="3"/>
  <c r="BS556" i="3"/>
  <c r="BT556" i="3"/>
  <c r="BL556" i="3"/>
  <c r="AZ556" i="3" s="1"/>
  <c r="BB557" i="3"/>
  <c r="BC557" i="3"/>
  <c r="BD557" i="3"/>
  <c r="BE557" i="3"/>
  <c r="BF557" i="3"/>
  <c r="BG557" i="3"/>
  <c r="BH557" i="3"/>
  <c r="BI557" i="3"/>
  <c r="BJ557" i="3"/>
  <c r="BK557" i="3"/>
  <c r="BA557" i="3"/>
  <c r="BM557" i="3"/>
  <c r="BN557" i="3"/>
  <c r="BO557" i="3"/>
  <c r="BP557" i="3"/>
  <c r="BQ557" i="3"/>
  <c r="BR557" i="3"/>
  <c r="BS557" i="3"/>
  <c r="BT557" i="3"/>
  <c r="BL557" i="3" s="1"/>
  <c r="AZ557" i="3" s="1"/>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L559" i="3" s="1"/>
  <c r="AZ559" i="3" s="1"/>
  <c r="BS559" i="3"/>
  <c r="BT559" i="3"/>
  <c r="BB560" i="3"/>
  <c r="BC560" i="3"/>
  <c r="BD560" i="3"/>
  <c r="BE560" i="3"/>
  <c r="BF560" i="3"/>
  <c r="BG560" i="3"/>
  <c r="BH560" i="3"/>
  <c r="BI560" i="3"/>
  <c r="BJ560" i="3"/>
  <c r="BK560" i="3"/>
  <c r="BA560" i="3"/>
  <c r="BM560" i="3"/>
  <c r="BN560" i="3"/>
  <c r="BO560" i="3"/>
  <c r="BP560" i="3"/>
  <c r="BQ560" i="3"/>
  <c r="BR560" i="3"/>
  <c r="BS560" i="3"/>
  <c r="BT560" i="3"/>
  <c r="BL560" i="3"/>
  <c r="AZ560" i="3" s="1"/>
  <c r="BB561" i="3"/>
  <c r="BC561" i="3"/>
  <c r="BD561" i="3"/>
  <c r="BE561" i="3"/>
  <c r="BF561" i="3"/>
  <c r="BG561" i="3"/>
  <c r="BH561" i="3"/>
  <c r="BI561" i="3"/>
  <c r="BJ561" i="3"/>
  <c r="BK561" i="3"/>
  <c r="BA561" i="3"/>
  <c r="BM561" i="3"/>
  <c r="BN561" i="3"/>
  <c r="BO561" i="3"/>
  <c r="BP561" i="3"/>
  <c r="BQ561" i="3"/>
  <c r="BR561" i="3"/>
  <c r="BS561" i="3"/>
  <c r="BT561" i="3"/>
  <c r="BL561" i="3" s="1"/>
  <c r="AZ561" i="3" s="1"/>
  <c r="BB562" i="3"/>
  <c r="BC562" i="3"/>
  <c r="BD562" i="3"/>
  <c r="BE562" i="3"/>
  <c r="BF562" i="3"/>
  <c r="BG562" i="3"/>
  <c r="BH562" i="3"/>
  <c r="BI562" i="3"/>
  <c r="BJ562" i="3"/>
  <c r="BK562" i="3"/>
  <c r="BA562" i="3"/>
  <c r="BM562" i="3"/>
  <c r="BN562" i="3"/>
  <c r="BO562" i="3"/>
  <c r="BP562" i="3"/>
  <c r="BQ562" i="3"/>
  <c r="BR562" i="3"/>
  <c r="BS562" i="3"/>
  <c r="BT562" i="3"/>
  <c r="BL562" i="3"/>
  <c r="AZ562" i="3" s="1"/>
  <c r="BB563" i="3"/>
  <c r="BC563" i="3"/>
  <c r="BD563" i="3"/>
  <c r="BE563" i="3"/>
  <c r="BF563" i="3"/>
  <c r="BG563" i="3"/>
  <c r="BH563" i="3"/>
  <c r="BI563" i="3"/>
  <c r="BJ563" i="3"/>
  <c r="BK563" i="3"/>
  <c r="BA563" i="3"/>
  <c r="BM563" i="3"/>
  <c r="BN563" i="3"/>
  <c r="BO563" i="3"/>
  <c r="BP563" i="3"/>
  <c r="BQ563" i="3"/>
  <c r="BR563" i="3"/>
  <c r="BS563" i="3"/>
  <c r="BT563" i="3"/>
  <c r="BL563" i="3" s="1"/>
  <c r="AZ563" i="3" s="1"/>
  <c r="BB564" i="3"/>
  <c r="BC564" i="3"/>
  <c r="BD564" i="3"/>
  <c r="BE564" i="3"/>
  <c r="BF564" i="3"/>
  <c r="BG564" i="3"/>
  <c r="BH564" i="3"/>
  <c r="BI564" i="3"/>
  <c r="BJ564" i="3"/>
  <c r="BK564" i="3"/>
  <c r="BA564" i="3"/>
  <c r="BM564" i="3"/>
  <c r="BN564" i="3"/>
  <c r="BO564" i="3"/>
  <c r="BP564" i="3"/>
  <c r="BQ564" i="3"/>
  <c r="BR564" i="3"/>
  <c r="BS564" i="3"/>
  <c r="BT564" i="3"/>
  <c r="BL564" i="3"/>
  <c r="AZ564" i="3" s="1"/>
  <c r="BB565" i="3"/>
  <c r="BC565" i="3"/>
  <c r="BD565" i="3"/>
  <c r="BE565" i="3"/>
  <c r="BF565" i="3"/>
  <c r="BG565" i="3"/>
  <c r="BH565" i="3"/>
  <c r="BI565" i="3"/>
  <c r="BJ565" i="3"/>
  <c r="BK565" i="3"/>
  <c r="BA565" i="3"/>
  <c r="BM565" i="3"/>
  <c r="BN565" i="3"/>
  <c r="BO565" i="3"/>
  <c r="BP565" i="3"/>
  <c r="BQ565" i="3"/>
  <c r="BR565" i="3"/>
  <c r="BS565" i="3"/>
  <c r="BT565" i="3"/>
  <c r="BL565" i="3" s="1"/>
  <c r="AZ565" i="3" s="1"/>
  <c r="BB566" i="3"/>
  <c r="BC566" i="3"/>
  <c r="BD566" i="3"/>
  <c r="BE566" i="3"/>
  <c r="BF566" i="3"/>
  <c r="BG566" i="3"/>
  <c r="BH566" i="3"/>
  <c r="BI566" i="3"/>
  <c r="BJ566" i="3"/>
  <c r="BK566" i="3"/>
  <c r="BA566" i="3"/>
  <c r="BM566" i="3"/>
  <c r="BN566" i="3"/>
  <c r="BO566" i="3"/>
  <c r="BP566" i="3"/>
  <c r="BQ566" i="3"/>
  <c r="BR566" i="3"/>
  <c r="BS566" i="3"/>
  <c r="BT566" i="3"/>
  <c r="BL566" i="3"/>
  <c r="AZ566" i="3" s="1"/>
  <c r="BB567" i="3"/>
  <c r="BC567" i="3"/>
  <c r="BD567" i="3"/>
  <c r="BE567" i="3"/>
  <c r="BF567" i="3"/>
  <c r="BG567" i="3"/>
  <c r="BH567" i="3"/>
  <c r="BI567" i="3"/>
  <c r="BJ567" i="3"/>
  <c r="BK567" i="3"/>
  <c r="BA567" i="3"/>
  <c r="BM567" i="3"/>
  <c r="BN567" i="3"/>
  <c r="BO567" i="3"/>
  <c r="BP567" i="3"/>
  <c r="BQ567" i="3"/>
  <c r="BR567" i="3"/>
  <c r="BS567" i="3"/>
  <c r="BT567" i="3"/>
  <c r="BL567" i="3" s="1"/>
  <c r="AZ567" i="3" s="1"/>
  <c r="BB568" i="3"/>
  <c r="BC568" i="3"/>
  <c r="BD568" i="3"/>
  <c r="BE568" i="3"/>
  <c r="BF568" i="3"/>
  <c r="BG568" i="3"/>
  <c r="BH568" i="3"/>
  <c r="BI568" i="3"/>
  <c r="BJ568" i="3"/>
  <c r="BK568" i="3"/>
  <c r="BA568" i="3"/>
  <c r="BM568" i="3"/>
  <c r="BN568" i="3"/>
  <c r="BO568" i="3"/>
  <c r="BP568" i="3"/>
  <c r="BQ568" i="3"/>
  <c r="BR568" i="3"/>
  <c r="BS568" i="3"/>
  <c r="BT568" i="3"/>
  <c r="BL568" i="3"/>
  <c r="AZ568" i="3" s="1"/>
  <c r="BB569" i="3"/>
  <c r="BC569" i="3"/>
  <c r="BD569" i="3"/>
  <c r="BE569" i="3"/>
  <c r="BF569" i="3"/>
  <c r="BG569" i="3"/>
  <c r="BH569" i="3"/>
  <c r="BI569" i="3"/>
  <c r="BJ569" i="3"/>
  <c r="BK569" i="3"/>
  <c r="BA569" i="3"/>
  <c r="BM569" i="3"/>
  <c r="BN569" i="3"/>
  <c r="BO569" i="3"/>
  <c r="BP569" i="3"/>
  <c r="BQ569" i="3"/>
  <c r="BR569" i="3"/>
  <c r="BS569" i="3"/>
  <c r="BT569" i="3"/>
  <c r="BL569" i="3" s="1"/>
  <c r="AZ569" i="3" s="1"/>
  <c r="BB570" i="3"/>
  <c r="BC570" i="3"/>
  <c r="BD570" i="3"/>
  <c r="BE570" i="3"/>
  <c r="BF570" i="3"/>
  <c r="BG570" i="3"/>
  <c r="BH570" i="3"/>
  <c r="BI570" i="3"/>
  <c r="BJ570" i="3"/>
  <c r="BK570" i="3"/>
  <c r="BA570" i="3"/>
  <c r="BM570" i="3"/>
  <c r="BN570" i="3"/>
  <c r="BO570" i="3"/>
  <c r="BP570" i="3"/>
  <c r="BQ570" i="3"/>
  <c r="BR570" i="3"/>
  <c r="BS570" i="3"/>
  <c r="BT570" i="3"/>
  <c r="BL570" i="3" s="1"/>
  <c r="AZ570" i="3" s="1"/>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s="1"/>
  <c r="AZ572" i="3" s="1"/>
  <c r="BM572" i="3"/>
  <c r="BN572" i="3"/>
  <c r="BO572" i="3"/>
  <c r="BP572" i="3"/>
  <c r="BQ572" i="3"/>
  <c r="BR572" i="3"/>
  <c r="BS572" i="3"/>
  <c r="BT572" i="3"/>
  <c r="BL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s="1"/>
  <c r="AZ574" i="3" s="1"/>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L577" i="3" s="1"/>
  <c r="AZ577" i="3" s="1"/>
  <c r="BS577" i="3"/>
  <c r="BT577" i="3"/>
  <c r="BB578" i="3"/>
  <c r="BC578" i="3"/>
  <c r="BD578" i="3"/>
  <c r="BE578" i="3"/>
  <c r="BF578" i="3"/>
  <c r="BG578" i="3"/>
  <c r="BH578" i="3"/>
  <c r="BI578" i="3"/>
  <c r="BJ578" i="3"/>
  <c r="BK578" i="3"/>
  <c r="BA578" i="3" s="1"/>
  <c r="AZ578" i="3" s="1"/>
  <c r="BM578" i="3"/>
  <c r="BN578" i="3"/>
  <c r="BO578" i="3"/>
  <c r="BP578" i="3"/>
  <c r="BQ578" i="3"/>
  <c r="BR578" i="3"/>
  <c r="BS578" i="3"/>
  <c r="BT578" i="3"/>
  <c r="BL578" i="3"/>
  <c r="BB579" i="3"/>
  <c r="BC579" i="3"/>
  <c r="BD579" i="3"/>
  <c r="BE579" i="3"/>
  <c r="BF579" i="3"/>
  <c r="BG579" i="3"/>
  <c r="BH579" i="3"/>
  <c r="BI579" i="3"/>
  <c r="BJ579" i="3"/>
  <c r="BK579" i="3"/>
  <c r="BA579" i="3"/>
  <c r="BM579" i="3"/>
  <c r="BN579" i="3"/>
  <c r="BO579" i="3"/>
  <c r="BP579" i="3"/>
  <c r="BQ579" i="3"/>
  <c r="BR579" i="3"/>
  <c r="BS579" i="3"/>
  <c r="BT579" i="3"/>
  <c r="BL579" i="3"/>
  <c r="AZ579" i="3" s="1"/>
  <c r="BB580" i="3"/>
  <c r="BC580" i="3"/>
  <c r="BD580" i="3"/>
  <c r="BE580" i="3"/>
  <c r="BF580" i="3"/>
  <c r="BG580" i="3"/>
  <c r="BH580" i="3"/>
  <c r="BI580" i="3"/>
  <c r="BJ580" i="3"/>
  <c r="BK580" i="3"/>
  <c r="BA580" i="3"/>
  <c r="BM580" i="3"/>
  <c r="BN580" i="3"/>
  <c r="BO580" i="3"/>
  <c r="BP580" i="3"/>
  <c r="BQ580" i="3"/>
  <c r="BR580" i="3"/>
  <c r="BL580" i="3" s="1"/>
  <c r="AZ580" i="3" s="1"/>
  <c r="BS580" i="3"/>
  <c r="BT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s="1"/>
  <c r="AZ582" i="3" s="1"/>
  <c r="BB583" i="3"/>
  <c r="BC583" i="3"/>
  <c r="BD583" i="3"/>
  <c r="BE583" i="3"/>
  <c r="BF583" i="3"/>
  <c r="BG583" i="3"/>
  <c r="BH583" i="3"/>
  <c r="BI583" i="3"/>
  <c r="BJ583" i="3"/>
  <c r="BK583" i="3"/>
  <c r="BA583" i="3"/>
  <c r="BM583" i="3"/>
  <c r="BN583" i="3"/>
  <c r="BO583" i="3"/>
  <c r="BP583" i="3"/>
  <c r="BQ583" i="3"/>
  <c r="BR583" i="3"/>
  <c r="BS583" i="3"/>
  <c r="BT583" i="3"/>
  <c r="BL583" i="3"/>
  <c r="AZ583" i="3" s="1"/>
  <c r="BB584" i="3"/>
  <c r="BC584" i="3"/>
  <c r="BD584" i="3"/>
  <c r="BE584" i="3"/>
  <c r="BF584" i="3"/>
  <c r="BG584" i="3"/>
  <c r="BH584" i="3"/>
  <c r="BI584" i="3"/>
  <c r="BJ584" i="3"/>
  <c r="BK584" i="3"/>
  <c r="BA584" i="3"/>
  <c r="BM584" i="3"/>
  <c r="BN584" i="3"/>
  <c r="BO584" i="3"/>
  <c r="BP584" i="3"/>
  <c r="BQ584" i="3"/>
  <c r="BR584" i="3"/>
  <c r="BL584" i="3" s="1"/>
  <c r="AZ584" i="3" s="1"/>
  <c r="BS584" i="3"/>
  <c r="BT584" i="3"/>
  <c r="BB585" i="3"/>
  <c r="BC585" i="3"/>
  <c r="BD585" i="3"/>
  <c r="BE585" i="3"/>
  <c r="BF585" i="3"/>
  <c r="BG585" i="3"/>
  <c r="BH585" i="3"/>
  <c r="BI585" i="3"/>
  <c r="BA585" i="3" s="1"/>
  <c r="AZ585" i="3" s="1"/>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O586" i="3"/>
  <c r="BP586" i="3"/>
  <c r="BQ586" i="3"/>
  <c r="BR586" i="3"/>
  <c r="BL586" i="3" s="1"/>
  <c r="AZ586" i="3" s="1"/>
  <c r="BS586" i="3"/>
  <c r="BT586" i="3"/>
  <c r="BB587" i="3"/>
  <c r="BC587" i="3"/>
  <c r="BD587" i="3"/>
  <c r="BE587" i="3"/>
  <c r="BF587" i="3"/>
  <c r="BG587" i="3"/>
  <c r="BH587" i="3"/>
  <c r="BI587" i="3"/>
  <c r="BA587" i="3" s="1"/>
  <c r="AZ587" i="3" s="1"/>
  <c r="BJ587" i="3"/>
  <c r="BK587" i="3"/>
  <c r="BM587" i="3"/>
  <c r="BN587" i="3"/>
  <c r="BO587" i="3"/>
  <c r="BP587" i="3"/>
  <c r="BQ587" i="3"/>
  <c r="BR587" i="3"/>
  <c r="BS587" i="3"/>
  <c r="BT587" i="3"/>
  <c r="BL587"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c r="H23" i="3"/>
  <c r="AC23" i="3"/>
  <c r="G23" i="3"/>
  <c r="H24" i="3"/>
  <c r="AC24" i="3"/>
  <c r="G24" i="3"/>
  <c r="H25" i="3"/>
  <c r="AC25" i="3"/>
  <c r="G25" i="3"/>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11" i="71"/>
  <c r="AG11" i="71"/>
  <c r="AH11" i="71"/>
  <c r="AE11" i="71"/>
  <c r="AF11" i="71" s="1"/>
  <c r="X9" i="71"/>
  <c r="AB10" i="71"/>
  <c r="AA10" i="71"/>
  <c r="Y9" i="71"/>
  <c r="Z9" i="71"/>
  <c r="Y10" i="71"/>
  <c r="Z10" i="71" s="1"/>
  <c r="C11" i="71"/>
  <c r="C10" i="71" s="1"/>
  <c r="F11" i="71"/>
  <c r="F10" i="71" s="1"/>
  <c r="F9" i="71" s="1"/>
  <c r="E11" i="71"/>
  <c r="E10" i="71"/>
  <c r="E9" i="71" s="1"/>
  <c r="B11" i="71"/>
  <c r="B10" i="71" s="1"/>
  <c r="B9" i="71" s="1"/>
  <c r="B8" i="71" s="1"/>
  <c r="B7" i="71" s="1"/>
  <c r="V11" i="71"/>
  <c r="AB11" i="71"/>
  <c r="Y11" i="71"/>
  <c r="Z11" i="71"/>
  <c r="X11" i="71"/>
  <c r="AA11"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4" i="62"/>
  <c r="B60" i="72" s="1"/>
  <c r="A13" i="62"/>
  <c r="B59" i="72" s="1"/>
  <c r="A19" i="62"/>
  <c r="A12" i="62"/>
  <c r="B58" i="72" s="1"/>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16" i="72"/>
  <c r="B65" i="72"/>
  <c r="B66" i="72"/>
  <c r="B10" i="72"/>
  <c r="C53" i="10"/>
  <c r="B51" i="10"/>
  <c r="A18" i="51"/>
  <c r="B13" i="72" s="1"/>
  <c r="C8" i="68"/>
  <c r="B49" i="48"/>
  <c r="B5" i="72" s="1"/>
  <c r="I19" i="43"/>
  <c r="D76" i="71"/>
  <c r="F75" i="71"/>
  <c r="F74" i="71" s="1"/>
  <c r="F73" i="71" s="1"/>
  <c r="E75" i="71"/>
  <c r="E74" i="71"/>
  <c r="E73" i="71" s="1"/>
  <c r="C75" i="71"/>
  <c r="D75" i="71" s="1"/>
  <c r="B75" i="71"/>
  <c r="B74" i="71" s="1"/>
  <c r="B73" i="71" s="1"/>
  <c r="D72" i="71"/>
  <c r="F71" i="71"/>
  <c r="F70" i="71" s="1"/>
  <c r="F69" i="71" s="1"/>
  <c r="E71" i="71"/>
  <c r="E70" i="71"/>
  <c r="E69" i="71" s="1"/>
  <c r="C71" i="71"/>
  <c r="D71" i="71" s="1"/>
  <c r="B71" i="71"/>
  <c r="B70" i="71" s="1"/>
  <c r="B69" i="71" s="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F55" i="71"/>
  <c r="V55" i="71"/>
  <c r="E55" i="71"/>
  <c r="P55" i="71"/>
  <c r="C55" i="71"/>
  <c r="B55" i="71"/>
  <c r="S55" i="71" s="1"/>
  <c r="F54" i="71"/>
  <c r="F53" i="71" s="1"/>
  <c r="D52" i="71"/>
  <c r="Q51" i="71"/>
  <c r="P51" i="71"/>
  <c r="O51" i="71"/>
  <c r="N51" i="71"/>
  <c r="Q50" i="71"/>
  <c r="P50" i="71"/>
  <c r="O50" i="71"/>
  <c r="N50" i="71"/>
  <c r="Q49" i="71"/>
  <c r="P49" i="71"/>
  <c r="O49" i="71"/>
  <c r="N49" i="71"/>
  <c r="Q48" i="71"/>
  <c r="F49" i="71"/>
  <c r="F50" i="71" s="1"/>
  <c r="F51" i="71" s="1"/>
  <c r="V51" i="71" s="1"/>
  <c r="P48" i="71"/>
  <c r="E49" i="71" s="1"/>
  <c r="E50" i="71" s="1"/>
  <c r="E51" i="71" s="1"/>
  <c r="U51" i="71" s="1"/>
  <c r="O48" i="71"/>
  <c r="C49" i="71" s="1"/>
  <c r="N48" i="71"/>
  <c r="B49" i="71" s="1"/>
  <c r="B50" i="71" s="1"/>
  <c r="B51" i="71" s="1"/>
  <c r="S51" i="71" s="1"/>
  <c r="D48" i="71"/>
  <c r="Q47" i="71"/>
  <c r="P47" i="71"/>
  <c r="O47" i="71"/>
  <c r="N47" i="71"/>
  <c r="Q46" i="71"/>
  <c r="P46" i="71"/>
  <c r="O46" i="71"/>
  <c r="N46" i="71"/>
  <c r="Q45" i="71"/>
  <c r="P45" i="71"/>
  <c r="O45" i="71"/>
  <c r="N45" i="71"/>
  <c r="Q44" i="71"/>
  <c r="F45" i="71" s="1"/>
  <c r="F46" i="71" s="1"/>
  <c r="F47" i="71" s="1"/>
  <c r="V47" i="71" s="1"/>
  <c r="P44" i="71"/>
  <c r="E45" i="71"/>
  <c r="O44" i="71"/>
  <c r="C45" i="71"/>
  <c r="C46" i="71" s="1"/>
  <c r="N44" i="71"/>
  <c r="B45" i="71"/>
  <c r="B46" i="71" s="1"/>
  <c r="B47" i="71" s="1"/>
  <c r="S47" i="71" s="1"/>
  <c r="D44" i="71"/>
  <c r="Q43" i="71"/>
  <c r="P43" i="71"/>
  <c r="O43" i="71"/>
  <c r="N43" i="71"/>
  <c r="Q42" i="71"/>
  <c r="P42" i="71"/>
  <c r="O42" i="71"/>
  <c r="N42" i="71"/>
  <c r="Q41" i="71"/>
  <c r="P41" i="71"/>
  <c r="O41" i="71"/>
  <c r="N41" i="71"/>
  <c r="O40" i="71"/>
  <c r="C41" i="71"/>
  <c r="C42" i="71" s="1"/>
  <c r="Q40" i="71"/>
  <c r="F41" i="71"/>
  <c r="F42" i="71" s="1"/>
  <c r="F43" i="71" s="1"/>
  <c r="V43" i="71" s="1"/>
  <c r="P40" i="71"/>
  <c r="E41" i="71" s="1"/>
  <c r="E42" i="71" s="1"/>
  <c r="E43" i="71" s="1"/>
  <c r="U43"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c r="C38" i="71" s="1"/>
  <c r="N36" i="71"/>
  <c r="B37" i="71"/>
  <c r="B38" i="71" s="1"/>
  <c r="B39" i="71" s="1"/>
  <c r="S39" i="71" s="1"/>
  <c r="D36" i="71"/>
  <c r="T35" i="71"/>
  <c r="Q35" i="71"/>
  <c r="P35" i="71"/>
  <c r="O35" i="71"/>
  <c r="N35" i="71"/>
  <c r="D35" i="71"/>
  <c r="Q34" i="71"/>
  <c r="P34" i="71"/>
  <c r="O34" i="71"/>
  <c r="N34" i="71"/>
  <c r="Q33" i="71"/>
  <c r="P33" i="71"/>
  <c r="O33" i="71"/>
  <c r="N33" i="71"/>
  <c r="Q32" i="71"/>
  <c r="F33" i="71"/>
  <c r="F34" i="71" s="1"/>
  <c r="F35" i="71" s="1"/>
  <c r="V35" i="71" s="1"/>
  <c r="P32" i="71"/>
  <c r="E33" i="71" s="1"/>
  <c r="E34" i="71" s="1"/>
  <c r="E35" i="71" s="1"/>
  <c r="U35" i="71" s="1"/>
  <c r="O32" i="71"/>
  <c r="C33" i="71"/>
  <c r="N32" i="71"/>
  <c r="B33" i="71"/>
  <c r="B34" i="71" s="1"/>
  <c r="B35" i="71" s="1"/>
  <c r="S35" i="71" s="1"/>
  <c r="D32" i="71"/>
  <c r="Q31" i="71"/>
  <c r="P31" i="71"/>
  <c r="O31" i="71"/>
  <c r="N31" i="71"/>
  <c r="Q30" i="71"/>
  <c r="P30" i="71"/>
  <c r="O30" i="71"/>
  <c r="N30" i="71"/>
  <c r="Q29" i="71"/>
  <c r="P29" i="71"/>
  <c r="O29" i="71"/>
  <c r="N29" i="71"/>
  <c r="Q28" i="71"/>
  <c r="F29" i="71"/>
  <c r="F30" i="71" s="1"/>
  <c r="F31" i="71" s="1"/>
  <c r="V31" i="71" s="1"/>
  <c r="P28" i="71"/>
  <c r="E29" i="71" s="1"/>
  <c r="E30" i="71" s="1"/>
  <c r="E31" i="71" s="1"/>
  <c r="U31" i="71" s="1"/>
  <c r="O28" i="71"/>
  <c r="C29" i="71"/>
  <c r="D29" i="71" s="1"/>
  <c r="N28" i="71"/>
  <c r="B29" i="71"/>
  <c r="B30" i="71" s="1"/>
  <c r="B31" i="71" s="1"/>
  <c r="S31" i="71" s="1"/>
  <c r="D28" i="71"/>
  <c r="Q27" i="71"/>
  <c r="P27" i="71"/>
  <c r="O27" i="71"/>
  <c r="N27" i="71"/>
  <c r="AB26" i="71"/>
  <c r="AA26" i="71"/>
  <c r="Y26" i="71"/>
  <c r="Z26" i="71"/>
  <c r="X26" i="71"/>
  <c r="AB25" i="71"/>
  <c r="Y25" i="71"/>
  <c r="Z25" i="71"/>
  <c r="F25" i="71"/>
  <c r="F26" i="71"/>
  <c r="F27" i="71" s="1"/>
  <c r="V27" i="71" s="1"/>
  <c r="D24" i="71"/>
  <c r="AB23" i="71"/>
  <c r="Y23" i="71"/>
  <c r="Z23" i="71"/>
  <c r="AB22" i="71"/>
  <c r="Y22" i="71"/>
  <c r="Z22" i="71" s="1"/>
  <c r="AB21" i="71"/>
  <c r="Y21" i="71"/>
  <c r="Z21" i="71"/>
  <c r="F21" i="71"/>
  <c r="F22" i="71"/>
  <c r="F23" i="71" s="1"/>
  <c r="V23" i="71" s="1"/>
  <c r="D20" i="71"/>
  <c r="AB19" i="71"/>
  <c r="Y19" i="71"/>
  <c r="Z19" i="71"/>
  <c r="AB18" i="71"/>
  <c r="Y18" i="71"/>
  <c r="Z18" i="71" s="1"/>
  <c r="AB17" i="71"/>
  <c r="Y17" i="71"/>
  <c r="Z17" i="71"/>
  <c r="F17" i="71"/>
  <c r="F18" i="71"/>
  <c r="F19" i="71" s="1"/>
  <c r="V19" i="71" s="1"/>
  <c r="D16" i="71"/>
  <c r="B17" i="71"/>
  <c r="B18" i="71" s="1"/>
  <c r="B19" i="71" s="1"/>
  <c r="S19" i="71" s="1"/>
  <c r="X16" i="71"/>
  <c r="E17" i="71"/>
  <c r="E18" i="71"/>
  <c r="E19" i="71" s="1"/>
  <c r="U19" i="71" s="1"/>
  <c r="AA16" i="71"/>
  <c r="B21" i="71"/>
  <c r="B22" i="71" s="1"/>
  <c r="B23" i="71" s="1"/>
  <c r="S23" i="71" s="1"/>
  <c r="X20" i="71"/>
  <c r="B25" i="71"/>
  <c r="B26" i="71"/>
  <c r="B27" i="71" s="1"/>
  <c r="S27" i="71" s="1"/>
  <c r="X24" i="71"/>
  <c r="E25" i="71"/>
  <c r="E26" i="71" s="1"/>
  <c r="E27" i="71" s="1"/>
  <c r="U27" i="71" s="1"/>
  <c r="AA24" i="71"/>
  <c r="E21" i="71"/>
  <c r="E22" i="71" s="1"/>
  <c r="E23" i="71" s="1"/>
  <c r="U23" i="71" s="1"/>
  <c r="AA20" i="71"/>
  <c r="C17" i="71"/>
  <c r="Y16" i="71"/>
  <c r="Z16" i="71" s="1"/>
  <c r="AB16" i="71"/>
  <c r="X17" i="71"/>
  <c r="AA17" i="71"/>
  <c r="X18" i="71"/>
  <c r="AA18" i="71"/>
  <c r="X19" i="71"/>
  <c r="AA19" i="71"/>
  <c r="C21" i="71"/>
  <c r="C22" i="71"/>
  <c r="C23" i="71" s="1"/>
  <c r="Y20" i="71"/>
  <c r="Z20" i="71"/>
  <c r="AB20" i="71"/>
  <c r="X21" i="71"/>
  <c r="AA21" i="71"/>
  <c r="X22" i="71"/>
  <c r="AA22" i="71"/>
  <c r="X23" i="71"/>
  <c r="AA23" i="71"/>
  <c r="C25" i="71"/>
  <c r="D25" i="71" s="1"/>
  <c r="Y24" i="71"/>
  <c r="Z24" i="71"/>
  <c r="AB24" i="71"/>
  <c r="X25" i="71"/>
  <c r="AA25" i="71"/>
  <c r="C15" i="71"/>
  <c r="Y3" i="71"/>
  <c r="Z3" i="71" s="1"/>
  <c r="Y12" i="71"/>
  <c r="Z12" i="71" s="1"/>
  <c r="Y13" i="71"/>
  <c r="Z13" i="71" s="1"/>
  <c r="Y14" i="71"/>
  <c r="Z14" i="71" s="1"/>
  <c r="Y15" i="71"/>
  <c r="Z15" i="71" s="1"/>
  <c r="B15" i="71"/>
  <c r="B14" i="71" s="1"/>
  <c r="B13" i="71" s="1"/>
  <c r="X12" i="71"/>
  <c r="X13" i="71"/>
  <c r="X14" i="71"/>
  <c r="X15" i="71"/>
  <c r="C18" i="71"/>
  <c r="D17" i="71"/>
  <c r="D21" i="71"/>
  <c r="C26" i="71"/>
  <c r="C27" i="71" s="1"/>
  <c r="C30" i="71"/>
  <c r="C31" i="71" s="1"/>
  <c r="C34" i="71"/>
  <c r="D34" i="71" s="1"/>
  <c r="D33" i="71"/>
  <c r="D37" i="71"/>
  <c r="E46" i="71"/>
  <c r="E47" i="71" s="1"/>
  <c r="U47" i="71" s="1"/>
  <c r="U55" i="71"/>
  <c r="E54" i="71"/>
  <c r="P54" i="71" s="1"/>
  <c r="D41" i="71"/>
  <c r="D45" i="71"/>
  <c r="T55" i="71"/>
  <c r="O55" i="71"/>
  <c r="D55" i="71"/>
  <c r="C54" i="71"/>
  <c r="Q55" i="71"/>
  <c r="E58" i="71"/>
  <c r="E57" i="71" s="1"/>
  <c r="D59" i="71"/>
  <c r="C62" i="71"/>
  <c r="E62" i="71"/>
  <c r="E61" i="71" s="1"/>
  <c r="D63" i="71"/>
  <c r="C66" i="71"/>
  <c r="E66" i="71"/>
  <c r="E65" i="71" s="1"/>
  <c r="D67" i="71"/>
  <c r="C70" i="71"/>
  <c r="C74" i="71"/>
  <c r="C73" i="71" s="1"/>
  <c r="D73" i="71" s="1"/>
  <c r="T15" i="71"/>
  <c r="C14" i="71"/>
  <c r="C13" i="71" s="1"/>
  <c r="D13" i="71" s="1"/>
  <c r="F15" i="71"/>
  <c r="F14" i="71" s="1"/>
  <c r="F13" i="71" s="1"/>
  <c r="AB12" i="71"/>
  <c r="AB13" i="71"/>
  <c r="AB14" i="71"/>
  <c r="AB15" i="71"/>
  <c r="E15" i="71"/>
  <c r="E14" i="71"/>
  <c r="E13" i="71" s="1"/>
  <c r="AA3" i="71"/>
  <c r="AA12" i="71"/>
  <c r="AA13" i="71"/>
  <c r="AA14" i="71"/>
  <c r="AA15" i="71"/>
  <c r="D15" i="71"/>
  <c r="U15" i="71"/>
  <c r="C53" i="71"/>
  <c r="O54" i="71"/>
  <c r="D54" i="71"/>
  <c r="D70" i="71"/>
  <c r="C69" i="71"/>
  <c r="D69" i="71"/>
  <c r="D62" i="71"/>
  <c r="C61" i="71"/>
  <c r="D61" i="71" s="1"/>
  <c r="D74" i="71"/>
  <c r="D66" i="71"/>
  <c r="C65" i="71"/>
  <c r="D65" i="71" s="1"/>
  <c r="E53" i="71"/>
  <c r="P52" i="71" s="1"/>
  <c r="D30" i="71"/>
  <c r="D26" i="71"/>
  <c r="D22" i="71"/>
  <c r="C19" i="71"/>
  <c r="D18" i="71"/>
  <c r="V15" i="71"/>
  <c r="P53" i="71"/>
  <c r="O53" i="71"/>
  <c r="D53" i="71"/>
  <c r="O52" i="71"/>
  <c r="T19" i="71"/>
  <c r="D1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s="1"/>
  <c r="D84" i="34"/>
  <c r="E84" i="34" s="1"/>
  <c r="F84" i="34" s="1"/>
  <c r="G84" i="34" s="1"/>
  <c r="F21" i="34"/>
  <c r="AA21" i="34" s="1"/>
  <c r="C21" i="34"/>
  <c r="Q21" i="33"/>
  <c r="Z21" i="33"/>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J18" i="36"/>
  <c r="W18" i="36" s="1"/>
  <c r="F68" i="35"/>
  <c r="H18" i="35"/>
  <c r="U18" i="35" s="1"/>
  <c r="S18" i="35"/>
  <c r="G68" i="35"/>
  <c r="J18" i="35"/>
  <c r="H21" i="37"/>
  <c r="U21" i="37" s="1"/>
  <c r="F21" i="37"/>
  <c r="S21" i="37" s="1"/>
  <c r="H21" i="34"/>
  <c r="F83" i="33"/>
  <c r="G83" i="33" s="1"/>
  <c r="H21" i="33"/>
  <c r="F21" i="33"/>
  <c r="S21" i="33" s="1"/>
  <c r="E83" i="21"/>
  <c r="S21" i="21"/>
  <c r="H1" i="69"/>
  <c r="AC25" i="40"/>
  <c r="W25" i="40"/>
  <c r="AB25" i="40"/>
  <c r="U25" i="40"/>
  <c r="AB29" i="39"/>
  <c r="U29" i="39"/>
  <c r="AC29" i="39"/>
  <c r="W29" i="39"/>
  <c r="AC18" i="36"/>
  <c r="AB21" i="37"/>
  <c r="AA21" i="37"/>
  <c r="AB21" i="34"/>
  <c r="U21" i="34"/>
  <c r="U21" i="33"/>
  <c r="AB21" i="33"/>
  <c r="AA21" i="33"/>
  <c r="AB18" i="35"/>
  <c r="AC18" i="35"/>
  <c r="W18" i="35"/>
  <c r="J21" i="37"/>
  <c r="AC21" i="37" s="1"/>
  <c r="J21" i="34"/>
  <c r="AC21" i="34" s="1"/>
  <c r="J21" i="33"/>
  <c r="AC21" i="33" s="1"/>
  <c r="F83" i="21"/>
  <c r="H21" i="21"/>
  <c r="AB21" i="21" s="1"/>
  <c r="F38" i="69"/>
  <c r="E37" i="69"/>
  <c r="F36" i="69"/>
  <c r="F35" i="69"/>
  <c r="F21" i="69"/>
  <c r="C21" i="69"/>
  <c r="F20" i="69"/>
  <c r="E10" i="69"/>
  <c r="E9" i="69"/>
  <c r="C7" i="69"/>
  <c r="W21" i="34"/>
  <c r="W21" i="33"/>
  <c r="U21" i="21"/>
  <c r="G83" i="21"/>
  <c r="J21" i="21"/>
  <c r="AC21" i="21" s="1"/>
  <c r="C40" i="69"/>
  <c r="F38" i="68"/>
  <c r="E37" i="68"/>
  <c r="F36" i="68"/>
  <c r="F35" i="68"/>
  <c r="F21" i="68"/>
  <c r="C21" i="68" s="1"/>
  <c r="F20" i="68"/>
  <c r="E10" i="68"/>
  <c r="E9" i="68"/>
  <c r="C7" i="68"/>
  <c r="C5" i="68" s="1"/>
  <c r="W21" i="21"/>
  <c r="C40" i="68"/>
  <c r="Q72" i="67"/>
  <c r="Q59" i="67"/>
  <c r="Q58" i="67"/>
  <c r="Q51" i="67"/>
  <c r="D46" i="67"/>
  <c r="F33" i="67"/>
  <c r="F61" i="67" s="1"/>
  <c r="F23" i="67"/>
  <c r="D24" i="67" s="1"/>
  <c r="F21" i="67"/>
  <c r="F20" i="67"/>
  <c r="M19" i="67"/>
  <c r="F18" i="67"/>
  <c r="F17" i="67"/>
  <c r="F15" i="67"/>
  <c r="D22" i="67"/>
  <c r="S2" i="4"/>
  <c r="C51" i="10" s="1"/>
  <c r="A13" i="51"/>
  <c r="B11" i="72" s="1"/>
  <c r="S1" i="4"/>
  <c r="B1" i="4"/>
  <c r="B37" i="48" s="1"/>
  <c r="B2" i="72" s="1"/>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15" s="1"/>
  <c r="F15" i="4"/>
  <c r="F8" i="1"/>
  <c r="F9" i="1"/>
  <c r="F10" i="1"/>
  <c r="F11" i="1"/>
  <c r="F12" i="1"/>
  <c r="F13" i="1"/>
  <c r="D6" i="1"/>
  <c r="D9" i="1"/>
  <c r="D10" i="1"/>
  <c r="D11" i="1"/>
  <c r="D12" i="1"/>
  <c r="D13" i="1"/>
  <c r="D7" i="1"/>
  <c r="G7" i="1" s="1"/>
  <c r="D8" i="1"/>
  <c r="A7" i="1"/>
  <c r="G1" i="67" s="1"/>
  <c r="A8" i="1"/>
  <c r="B8" i="1"/>
  <c r="E8" i="1" s="1"/>
  <c r="A9" i="1"/>
  <c r="A10" i="1"/>
  <c r="A11" i="1"/>
  <c r="A12" i="1"/>
  <c r="A13" i="1"/>
  <c r="B13" i="1" s="1"/>
  <c r="E13" i="1" s="1"/>
  <c r="B11" i="1"/>
  <c r="E11" i="1" s="1"/>
  <c r="B7" i="1"/>
  <c r="E7" i="1" s="1"/>
  <c r="K10"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s="1"/>
  <c r="A4" i="62"/>
  <c r="B70" i="72" s="1"/>
  <c r="F33" i="9"/>
  <c r="B13" i="53"/>
  <c r="B29" i="72"/>
  <c r="R35" i="4"/>
  <c r="Q35" i="4"/>
  <c r="P35" i="4"/>
  <c r="O35" i="4"/>
  <c r="N35" i="4"/>
  <c r="M35" i="4"/>
  <c r="L35" i="4"/>
  <c r="K34" i="4"/>
  <c r="T34" i="4" s="1"/>
  <c r="G13" i="1"/>
  <c r="G11" i="1"/>
  <c r="I15" i="4"/>
  <c r="F6" i="1" s="1"/>
  <c r="G6" i="1" s="1"/>
  <c r="H15" i="4"/>
  <c r="G15" i="4"/>
  <c r="E15" i="4"/>
  <c r="D15" i="4"/>
  <c r="L21" i="4"/>
  <c r="F19" i="4"/>
  <c r="F2" i="52"/>
  <c r="B50" i="72" s="1"/>
  <c r="D2" i="52"/>
  <c r="B46" i="72" s="1"/>
  <c r="B8" i="53"/>
  <c r="B23" i="72" s="1"/>
  <c r="L4" i="9"/>
  <c r="B17" i="72"/>
  <c r="B15" i="72"/>
  <c r="A3" i="51"/>
  <c r="C8" i="11"/>
  <c r="B2" i="49"/>
  <c r="B15"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M10" i="1"/>
  <c r="O10" i="1"/>
  <c r="B22" i="1"/>
  <c r="B23" i="1"/>
  <c r="B43" i="1"/>
  <c r="D78" i="9" s="1"/>
  <c r="E19" i="6"/>
  <c r="E20" i="6"/>
  <c r="E21" i="6"/>
  <c r="K8" i="1"/>
  <c r="M8" i="1"/>
  <c r="F23" i="15"/>
  <c r="D24" i="15"/>
  <c r="O8" i="1"/>
  <c r="P8" i="1"/>
  <c r="O13" i="1"/>
  <c r="P13" i="1"/>
  <c r="E22" i="6"/>
  <c r="E23" i="6"/>
  <c r="E24" i="6"/>
  <c r="E25" i="6"/>
  <c r="E26" i="6"/>
  <c r="BC10" i="3"/>
  <c r="BD10" i="3"/>
  <c r="BB10"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F36" i="39" s="1"/>
  <c r="J30" i="36"/>
  <c r="H30" i="36"/>
  <c r="F30" i="36"/>
  <c r="AA30" i="36"/>
  <c r="C26" i="35"/>
  <c r="C79" i="35"/>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J31" i="39" s="1"/>
  <c r="AC31" i="39" s="1"/>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H15" i="37" s="1"/>
  <c r="AB15" i="37" s="1"/>
  <c r="B68" i="37"/>
  <c r="H14" i="37" s="1"/>
  <c r="AB14" i="37" s="1"/>
  <c r="B66" i="37"/>
  <c r="B64" i="37"/>
  <c r="D63" i="37"/>
  <c r="E63"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c r="U23" i="35" s="1"/>
  <c r="B57" i="35"/>
  <c r="H11" i="35" s="1"/>
  <c r="B61" i="35"/>
  <c r="B59" i="35"/>
  <c r="B131" i="34"/>
  <c r="B129" i="34"/>
  <c r="H46" i="34" s="1"/>
  <c r="B127" i="34"/>
  <c r="B99" i="34"/>
  <c r="H32" i="34" s="1"/>
  <c r="AB32" i="34" s="1"/>
  <c r="B97" i="34"/>
  <c r="B95" i="34"/>
  <c r="F30" i="34" s="1"/>
  <c r="S30" i="34" s="1"/>
  <c r="B93" i="34"/>
  <c r="B75" i="34"/>
  <c r="J14" i="34" s="1"/>
  <c r="W14" i="34" s="1"/>
  <c r="B73" i="34"/>
  <c r="B71" i="34"/>
  <c r="F12" i="34" s="1"/>
  <c r="B130" i="33"/>
  <c r="B128" i="33"/>
  <c r="H45" i="33" s="1"/>
  <c r="B126" i="33"/>
  <c r="B98" i="33"/>
  <c r="J31" i="33" s="1"/>
  <c r="B96" i="33"/>
  <c r="B94" i="33"/>
  <c r="J29" i="33" s="1"/>
  <c r="B74" i="33"/>
  <c r="B72" i="33"/>
  <c r="H13" i="33" s="1"/>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J44" i="39"/>
  <c r="AC44" i="39"/>
  <c r="J35" i="39"/>
  <c r="AC35" i="39"/>
  <c r="F35" i="39"/>
  <c r="AA35" i="39"/>
  <c r="W40" i="39"/>
  <c r="U30" i="37"/>
  <c r="W31" i="37"/>
  <c r="E103" i="37"/>
  <c r="J35" i="37" s="1"/>
  <c r="W35" i="37" s="1"/>
  <c r="F39" i="37"/>
  <c r="S39" i="37" s="1"/>
  <c r="U14" i="37"/>
  <c r="F29" i="36"/>
  <c r="AA29" i="36"/>
  <c r="F16" i="36"/>
  <c r="AA16" i="36" s="1"/>
  <c r="U9" i="36"/>
  <c r="W28" i="36"/>
  <c r="S30" i="36"/>
  <c r="AA31" i="36"/>
  <c r="AC31" i="36"/>
  <c r="U31" i="36"/>
  <c r="J33" i="36"/>
  <c r="W33" i="36"/>
  <c r="H22" i="35"/>
  <c r="AB22" i="35"/>
  <c r="W28" i="35"/>
  <c r="U31" i="35"/>
  <c r="S31" i="35"/>
  <c r="F36" i="34"/>
  <c r="J35" i="34"/>
  <c r="S34" i="34"/>
  <c r="U34" i="34"/>
  <c r="H39" i="33"/>
  <c r="AB39" i="33"/>
  <c r="F26" i="33"/>
  <c r="AA26" i="33"/>
  <c r="S9" i="33"/>
  <c r="U33" i="33"/>
  <c r="U35" i="33"/>
  <c r="S40" i="33"/>
  <c r="W33" i="33"/>
  <c r="W39" i="33"/>
  <c r="H39" i="37"/>
  <c r="AB39" i="37"/>
  <c r="F11" i="40"/>
  <c r="AA11" i="40" s="1"/>
  <c r="H11" i="40"/>
  <c r="AB11" i="40" s="1"/>
  <c r="W8" i="40"/>
  <c r="AC40" i="40"/>
  <c r="AC9" i="40"/>
  <c r="U9" i="40"/>
  <c r="S34" i="40"/>
  <c r="U38" i="40"/>
  <c r="S40" i="40"/>
  <c r="U34" i="40"/>
  <c r="F42" i="39"/>
  <c r="AA42" i="39"/>
  <c r="F41" i="39"/>
  <c r="S41" i="39"/>
  <c r="H40" i="39"/>
  <c r="AB40" i="39"/>
  <c r="H39" i="39"/>
  <c r="U39" i="39"/>
  <c r="S34" i="39"/>
  <c r="H34" i="39"/>
  <c r="U34"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1" i="39"/>
  <c r="G101" i="39" s="1"/>
  <c r="H27" i="39"/>
  <c r="U27" i="39"/>
  <c r="J19" i="39"/>
  <c r="AC19" i="39"/>
  <c r="J17" i="39"/>
  <c r="J27" i="39"/>
  <c r="AC27" i="39" s="1"/>
  <c r="F27" i="39"/>
  <c r="F11" i="21"/>
  <c r="S11" i="21"/>
  <c r="U34" i="21"/>
  <c r="S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F33" i="36"/>
  <c r="AA33" i="36" s="1"/>
  <c r="W30" i="36"/>
  <c r="H16" i="36"/>
  <c r="AB16" i="36"/>
  <c r="J29" i="36"/>
  <c r="AC29" i="36" s="1"/>
  <c r="F12" i="36"/>
  <c r="AA12" i="36" s="1"/>
  <c r="F24" i="36"/>
  <c r="AA24" i="36"/>
  <c r="F34" i="36"/>
  <c r="S34" i="36"/>
  <c r="AB8" i="36"/>
  <c r="U8" i="35"/>
  <c r="F14" i="35"/>
  <c r="AA14" i="35"/>
  <c r="F23" i="35"/>
  <c r="AA23" i="35"/>
  <c r="J32" i="35"/>
  <c r="AC32" i="35"/>
  <c r="J16" i="35"/>
  <c r="AC16" i="35"/>
  <c r="H16" i="35"/>
  <c r="U16" i="35"/>
  <c r="F16" i="35"/>
  <c r="S16" i="35"/>
  <c r="H14" i="35"/>
  <c r="AB14" i="35"/>
  <c r="J29" i="35"/>
  <c r="H33" i="35"/>
  <c r="AB33" i="35" s="1"/>
  <c r="AC8" i="35"/>
  <c r="J20" i="35"/>
  <c r="W20" i="35"/>
  <c r="E101" i="37"/>
  <c r="F101" i="37" s="1"/>
  <c r="G101" i="37" s="1"/>
  <c r="H101" i="37" s="1"/>
  <c r="I101" i="37" s="1"/>
  <c r="J101" i="37" s="1"/>
  <c r="K101" i="37" s="1"/>
  <c r="L101" i="37" s="1"/>
  <c r="M101" i="37" s="1"/>
  <c r="J34" i="37"/>
  <c r="W34" i="37" s="1"/>
  <c r="AB34" i="37"/>
  <c r="U42" i="34"/>
  <c r="H40" i="34"/>
  <c r="U40" i="34" s="1"/>
  <c r="E114" i="34"/>
  <c r="H36" i="34"/>
  <c r="U36" i="34"/>
  <c r="F37" i="34"/>
  <c r="AA37" i="34"/>
  <c r="S35" i="34"/>
  <c r="F28" i="34"/>
  <c r="AA28" i="34" s="1"/>
  <c r="F27" i="34"/>
  <c r="AA27" i="34" s="1"/>
  <c r="F25" i="34"/>
  <c r="S25" i="34" s="1"/>
  <c r="H23" i="34"/>
  <c r="U23" i="34" s="1"/>
  <c r="J23" i="34"/>
  <c r="F19" i="34"/>
  <c r="H17" i="34"/>
  <c r="U17" i="34" s="1"/>
  <c r="F15" i="34"/>
  <c r="S15" i="34" s="1"/>
  <c r="J15" i="34"/>
  <c r="H15" i="34"/>
  <c r="AB15" i="34" s="1"/>
  <c r="S9" i="34"/>
  <c r="J28" i="34"/>
  <c r="W28" i="34" s="1"/>
  <c r="F41" i="33"/>
  <c r="AA41" i="33" s="1"/>
  <c r="S38" i="33"/>
  <c r="E113"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F113" i="33"/>
  <c r="G113" i="33"/>
  <c r="H113" i="33" s="1"/>
  <c r="I113" i="33" s="1"/>
  <c r="J113" i="33" s="1"/>
  <c r="K113" i="33" s="1"/>
  <c r="L113" i="33" s="1"/>
  <c r="M113" i="33" s="1"/>
  <c r="H37" i="33"/>
  <c r="AB37" i="33"/>
  <c r="H15" i="33"/>
  <c r="AB15" i="33"/>
  <c r="H11" i="33"/>
  <c r="AB11" i="33"/>
  <c r="F28" i="40"/>
  <c r="AA28" i="40"/>
  <c r="AA42" i="34"/>
  <c r="S42" i="34"/>
  <c r="AC38" i="34"/>
  <c r="AA38" i="34"/>
  <c r="J37" i="34"/>
  <c r="AC37" i="34" s="1"/>
  <c r="J11" i="33"/>
  <c r="W11" i="33" s="1"/>
  <c r="S28" i="34"/>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31" i="33"/>
  <c r="H30" i="34"/>
  <c r="F32" i="34"/>
  <c r="J46" i="34"/>
  <c r="J26" i="36"/>
  <c r="W26" i="36"/>
  <c r="H28" i="36"/>
  <c r="U28"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J37" i="37"/>
  <c r="AC37" i="37" s="1"/>
  <c r="H37" i="37"/>
  <c r="U37" i="37" s="1"/>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AB11" i="36"/>
  <c r="J10" i="36"/>
  <c r="AC10" i="36"/>
  <c r="AB26" i="33"/>
  <c r="AB30" i="21"/>
  <c r="W31" i="34"/>
  <c r="AC13" i="36"/>
  <c r="W13" i="36"/>
  <c r="S11" i="36"/>
  <c r="W11" i="36"/>
  <c r="S44" i="34"/>
  <c r="F17" i="21"/>
  <c r="AA17" i="21"/>
  <c r="H17" i="21"/>
  <c r="AB17" i="21"/>
  <c r="F15" i="21"/>
  <c r="S15" i="21"/>
  <c r="J41" i="39"/>
  <c r="W41" i="39" s="1"/>
  <c r="W44" i="39"/>
  <c r="W35" i="39"/>
  <c r="S35" i="39"/>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42" i="33"/>
  <c r="AA42" i="33"/>
  <c r="F14" i="36"/>
  <c r="AA14" i="36"/>
  <c r="F22" i="36"/>
  <c r="S22" i="36"/>
  <c r="F26" i="36"/>
  <c r="S26" i="36"/>
  <c r="H27" i="34"/>
  <c r="AB27" i="34"/>
  <c r="H35" i="34"/>
  <c r="U35" i="34"/>
  <c r="F41" i="34"/>
  <c r="S41" i="34"/>
  <c r="H41" i="34"/>
  <c r="U41" i="34"/>
  <c r="J41" i="34"/>
  <c r="AC41" i="34"/>
  <c r="F10" i="35"/>
  <c r="S10" i="35"/>
  <c r="H23" i="37"/>
  <c r="AB23" i="37" s="1"/>
  <c r="J32" i="37"/>
  <c r="AC32"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c r="S28" i="31"/>
  <c r="S27" i="31"/>
  <c r="S26" i="31"/>
  <c r="AC33" i="36"/>
  <c r="U35" i="35"/>
  <c r="W23" i="35"/>
  <c r="AB28" i="37"/>
  <c r="U39" i="37"/>
  <c r="AC8" i="37"/>
  <c r="AB13" i="34"/>
  <c r="AB37" i="34"/>
  <c r="W44" i="33"/>
  <c r="U11" i="33"/>
  <c r="U19" i="21"/>
  <c r="W44" i="21"/>
  <c r="U26" i="21"/>
  <c r="AC46" i="21"/>
  <c r="AB38" i="21"/>
  <c r="F43" i="33"/>
  <c r="AA43" i="33"/>
  <c r="W15" i="34"/>
  <c r="AC15" i="34"/>
  <c r="W16" i="35"/>
  <c r="W40" i="37"/>
  <c r="H37" i="21"/>
  <c r="U37" i="21"/>
  <c r="S42" i="21"/>
  <c r="H19" i="34"/>
  <c r="AB19" i="34" s="1"/>
  <c r="F36" i="35"/>
  <c r="S36" i="35" s="1"/>
  <c r="J9" i="37"/>
  <c r="W9" i="37" s="1"/>
  <c r="H9" i="37"/>
  <c r="AB9" i="37" s="1"/>
  <c r="F9" i="37"/>
  <c r="S9" i="37" s="1"/>
  <c r="J12" i="37"/>
  <c r="W12" i="37"/>
  <c r="H12" i="37"/>
  <c r="AB12" i="37"/>
  <c r="F12" i="37"/>
  <c r="S12" i="37"/>
  <c r="E71" i="37"/>
  <c r="F15" i="37"/>
  <c r="AA15" i="37" s="1"/>
  <c r="E94" i="37"/>
  <c r="F31" i="37"/>
  <c r="S31" i="37" s="1"/>
  <c r="F12" i="39"/>
  <c r="S12" i="39"/>
  <c r="J42" i="39"/>
  <c r="AC42" i="39"/>
  <c r="H21" i="40"/>
  <c r="AB21" i="40"/>
  <c r="AC12" i="37"/>
  <c r="F94" i="37"/>
  <c r="G94" i="37" s="1"/>
  <c r="H94" i="37" s="1"/>
  <c r="I94" i="37" s="1"/>
  <c r="J94" i="37" s="1"/>
  <c r="K94" i="37" s="1"/>
  <c r="L94" i="37" s="1"/>
  <c r="M94" i="37" s="1"/>
  <c r="H31" i="37"/>
  <c r="U31" i="37" s="1"/>
  <c r="F71" i="37"/>
  <c r="G71" i="37"/>
  <c r="J15" i="37"/>
  <c r="W15" i="37" s="1"/>
  <c r="U12" i="37"/>
  <c r="AT6" i="3"/>
  <c r="H5" i="3"/>
  <c r="C12" i="43"/>
  <c r="H19" i="40"/>
  <c r="U19" i="40"/>
  <c r="F88" i="40"/>
  <c r="G88" i="40"/>
  <c r="F19" i="40"/>
  <c r="S19" i="40"/>
  <c r="AC13" i="40"/>
  <c r="W23" i="39"/>
  <c r="AC43" i="39"/>
  <c r="W43" i="39"/>
  <c r="U45" i="39"/>
  <c r="AB45" i="39"/>
  <c r="AB44" i="39"/>
  <c r="U44" i="39"/>
  <c r="H37" i="39"/>
  <c r="AB37" i="39" s="1"/>
  <c r="AC37" i="39"/>
  <c r="W37" i="39"/>
  <c r="H25" i="39"/>
  <c r="AB25" i="39" s="1"/>
  <c r="J25" i="39"/>
  <c r="AC25" i="39" s="1"/>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I7" i="37" s="1"/>
  <c r="C7" i="34"/>
  <c r="C7" i="36"/>
  <c r="C46" i="36" s="1"/>
  <c r="A118" i="9"/>
  <c r="A4" i="52"/>
  <c r="B41" i="72"/>
  <c r="J11" i="39"/>
  <c r="W11" i="39"/>
  <c r="F11" i="39"/>
  <c r="AA11" i="39"/>
  <c r="A12" i="52"/>
  <c r="B56" i="72" s="1"/>
  <c r="S11" i="39"/>
  <c r="G4" i="4"/>
  <c r="I4" i="4"/>
  <c r="K5" i="4"/>
  <c r="B47" i="48"/>
  <c r="A2" i="9"/>
  <c r="F59" i="43"/>
  <c r="H62" i="43" s="1"/>
  <c r="BO5" i="3"/>
  <c r="BM5" i="3"/>
  <c r="F29" i="6"/>
  <c r="BJ5" i="3"/>
  <c r="BH5" i="3"/>
  <c r="BF5" i="3"/>
  <c r="BD5" i="3"/>
  <c r="BQ5" i="3"/>
  <c r="AC5" i="3"/>
  <c r="BS5" i="3"/>
  <c r="BP5" i="3"/>
  <c r="G29" i="6" s="1"/>
  <c r="E29" i="6" s="1"/>
  <c r="K15" i="1" s="1"/>
  <c r="BN5" i="3"/>
  <c r="BK5" i="3"/>
  <c r="BI5" i="3"/>
  <c r="BG5" i="3"/>
  <c r="BE5" i="3"/>
  <c r="BC5" i="3"/>
  <c r="BT5" i="3"/>
  <c r="BB5" i="3"/>
  <c r="E8" i="6" s="1"/>
  <c r="BR5" i="3"/>
  <c r="G28" i="6"/>
  <c r="G30" i="6" s="1"/>
  <c r="F36" i="43"/>
  <c r="F81" i="43"/>
  <c r="H83" i="43"/>
  <c r="F48" i="43"/>
  <c r="H52" i="43"/>
  <c r="F70" i="43"/>
  <c r="H73" i="43"/>
  <c r="M11" i="43"/>
  <c r="D17" i="43"/>
  <c r="F39" i="43"/>
  <c r="I17" i="43"/>
  <c r="F35" i="43"/>
  <c r="J17" i="43"/>
  <c r="U17" i="39"/>
  <c r="S14" i="35"/>
  <c r="U43" i="21"/>
  <c r="U35" i="21"/>
  <c r="AC35" i="21"/>
  <c r="U10" i="21"/>
  <c r="G8" i="1"/>
  <c r="G9" i="1"/>
  <c r="G10" i="1"/>
  <c r="F48" i="9"/>
  <c r="O52" i="9" s="1"/>
  <c r="AC11" i="39"/>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F111" i="40"/>
  <c r="G111" i="40"/>
  <c r="H111" i="40" s="1"/>
  <c r="I111" i="40" s="1"/>
  <c r="J111" i="40" s="1"/>
  <c r="K111" i="40" s="1"/>
  <c r="L111" i="40" s="1"/>
  <c r="M111" i="40" s="1"/>
  <c r="H35" i="40"/>
  <c r="AB35" i="40"/>
  <c r="AC29" i="35"/>
  <c r="W29" i="35"/>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C40" i="11"/>
  <c r="H75" i="43"/>
  <c r="H50" i="43"/>
  <c r="I20" i="43"/>
  <c r="F23" i="39"/>
  <c r="AA23" i="39"/>
  <c r="H27" i="36"/>
  <c r="U27" i="36"/>
  <c r="F27" i="36"/>
  <c r="AA27" i="36"/>
  <c r="H33" i="34"/>
  <c r="U33" i="34"/>
  <c r="F32" i="37"/>
  <c r="AA32" i="37" s="1"/>
  <c r="F20" i="36"/>
  <c r="AA20" i="36" s="1"/>
  <c r="J33" i="34"/>
  <c r="AC33" i="34" s="1"/>
  <c r="H23" i="39"/>
  <c r="U23" i="39" s="1"/>
  <c r="D48" i="9"/>
  <c r="M52" i="9" s="1"/>
  <c r="H86" i="43"/>
  <c r="H82" i="43"/>
  <c r="H87" i="43"/>
  <c r="K9" i="1"/>
  <c r="M9" i="1"/>
  <c r="O9" i="1"/>
  <c r="P9" i="1"/>
  <c r="AE9" i="1"/>
  <c r="D93" i="9"/>
  <c r="E15" i="6"/>
  <c r="E60" i="40" s="1"/>
  <c r="K6" i="1"/>
  <c r="M6" i="1" s="1"/>
  <c r="AC26" i="33"/>
  <c r="W26" i="33"/>
  <c r="W27" i="34"/>
  <c r="AC27" i="34"/>
  <c r="AB34" i="36"/>
  <c r="U34" i="36"/>
  <c r="AB33" i="36"/>
  <c r="U33" i="36"/>
  <c r="AC12" i="39"/>
  <c r="W12" i="39"/>
  <c r="AC39" i="40"/>
  <c r="W39" i="40"/>
  <c r="W12" i="33"/>
  <c r="AC12" i="33"/>
  <c r="AA32" i="36"/>
  <c r="S32" i="36"/>
  <c r="AA39" i="34"/>
  <c r="F28" i="6"/>
  <c r="F30" i="6" s="1"/>
  <c r="AC13" i="34"/>
  <c r="W28" i="37"/>
  <c r="S19" i="39"/>
  <c r="F12" i="33"/>
  <c r="S12" i="33" s="1"/>
  <c r="H12" i="39"/>
  <c r="AB12" i="39"/>
  <c r="F39" i="40"/>
  <c r="S12" i="1"/>
  <c r="AQ12" i="1" s="1"/>
  <c r="R12" i="1"/>
  <c r="B12" i="1"/>
  <c r="E12" i="1" s="1"/>
  <c r="S10" i="1"/>
  <c r="R10" i="1"/>
  <c r="B10" i="1"/>
  <c r="E10" i="1"/>
  <c r="D1" i="66"/>
  <c r="E10" i="66"/>
  <c r="K12" i="1"/>
  <c r="M12" i="1"/>
  <c r="O12" i="1"/>
  <c r="P12" i="1"/>
  <c r="S13" i="1"/>
  <c r="AR13" i="1"/>
  <c r="R13" i="1"/>
  <c r="S11" i="1"/>
  <c r="R11" i="1"/>
  <c r="S9" i="1"/>
  <c r="AR9" i="1"/>
  <c r="R9" i="1"/>
  <c r="C42" i="1"/>
  <c r="C4" i="12"/>
  <c r="B41" i="1"/>
  <c r="H100" i="43"/>
  <c r="C30" i="66"/>
  <c r="E26" i="66" s="1"/>
  <c r="AC34" i="33"/>
  <c r="AA34" i="33"/>
  <c r="S22" i="31"/>
  <c r="J100" i="43"/>
  <c r="AB37" i="40"/>
  <c r="S35" i="40"/>
  <c r="U35" i="40"/>
  <c r="W38" i="40"/>
  <c r="S17" i="40"/>
  <c r="S23" i="40"/>
  <c r="AC17" i="40"/>
  <c r="AC15" i="40"/>
  <c r="AB27" i="40"/>
  <c r="S30" i="40"/>
  <c r="AA19" i="40"/>
  <c r="S28" i="40"/>
  <c r="AA27" i="40"/>
  <c r="U21" i="40"/>
  <c r="AB19" i="40"/>
  <c r="W42" i="39"/>
  <c r="U37" i="39"/>
  <c r="S43" i="39"/>
  <c r="S37" i="39"/>
  <c r="U35" i="39"/>
  <c r="F32" i="39"/>
  <c r="F107" i="39"/>
  <c r="G107" i="39" s="1"/>
  <c r="U25" i="39"/>
  <c r="AB27" i="39"/>
  <c r="U31" i="39"/>
  <c r="S25" i="39"/>
  <c r="J21" i="39"/>
  <c r="AC21" i="39" s="1"/>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AB14" i="36"/>
  <c r="U22" i="36"/>
  <c r="S16" i="36"/>
  <c r="S24" i="36"/>
  <c r="U24" i="36"/>
  <c r="U23" i="36"/>
  <c r="U16" i="36"/>
  <c r="S14" i="36"/>
  <c r="U10" i="36"/>
  <c r="W10" i="36"/>
  <c r="AA25" i="35"/>
  <c r="S23" i="35"/>
  <c r="W24" i="35"/>
  <c r="U29" i="35"/>
  <c r="U28" i="35"/>
  <c r="AB27" i="35"/>
  <c r="U32" i="35"/>
  <c r="AA33" i="35"/>
  <c r="AC30" i="35"/>
  <c r="S32" i="35"/>
  <c r="AA36" i="35"/>
  <c r="W32" i="35"/>
  <c r="S28" i="35"/>
  <c r="AB16" i="35"/>
  <c r="U22" i="35"/>
  <c r="S20" i="35"/>
  <c r="AC20" i="35"/>
  <c r="S22" i="35"/>
  <c r="U14" i="35"/>
  <c r="AC10" i="35"/>
  <c r="AA10" i="35"/>
  <c r="AB10" i="35"/>
  <c r="S8" i="35"/>
  <c r="AC9" i="35"/>
  <c r="W9" i="35"/>
  <c r="AC12" i="35"/>
  <c r="F9" i="35"/>
  <c r="S9" i="35" s="1"/>
  <c r="H9" i="35"/>
  <c r="F26" i="35"/>
  <c r="J26" i="35"/>
  <c r="W26" i="35" s="1"/>
  <c r="H26" i="35"/>
  <c r="AB40" i="37"/>
  <c r="W27" i="37"/>
  <c r="AC9" i="37"/>
  <c r="AC29" i="37"/>
  <c r="U29" i="37"/>
  <c r="S32" i="37"/>
  <c r="AB31" i="37"/>
  <c r="W30" i="37"/>
  <c r="AA38" i="37"/>
  <c r="W38" i="37"/>
  <c r="AC35" i="37"/>
  <c r="W39" i="37"/>
  <c r="S30" i="37"/>
  <c r="S37" i="37"/>
  <c r="J17" i="37"/>
  <c r="W17" i="37" s="1"/>
  <c r="F17" i="37"/>
  <c r="AA17" i="37" s="1"/>
  <c r="F19" i="37"/>
  <c r="AA19" i="37" s="1"/>
  <c r="F23" i="37"/>
  <c r="S23" i="37" s="1"/>
  <c r="U23" i="37"/>
  <c r="U15" i="37"/>
  <c r="AC13" i="37"/>
  <c r="U9" i="37"/>
  <c r="AA13" i="37"/>
  <c r="AA12" i="37"/>
  <c r="AA9" i="37"/>
  <c r="H10" i="37"/>
  <c r="U10" i="37" s="1"/>
  <c r="F63" i="37"/>
  <c r="F11" i="37"/>
  <c r="S11" i="37" s="1"/>
  <c r="S27" i="34"/>
  <c r="W25" i="34"/>
  <c r="AB8" i="34"/>
  <c r="U44" i="34"/>
  <c r="U43" i="34"/>
  <c r="AC39" i="34"/>
  <c r="W41" i="34"/>
  <c r="AC42" i="34"/>
  <c r="AB35" i="34"/>
  <c r="U39" i="34"/>
  <c r="S43" i="34"/>
  <c r="AB41" i="34"/>
  <c r="W34" i="34"/>
  <c r="AA25" i="34"/>
  <c r="U28" i="34"/>
  <c r="S17" i="34"/>
  <c r="AA29" i="34"/>
  <c r="U27" i="34"/>
  <c r="S23" i="34"/>
  <c r="U15" i="34"/>
  <c r="S10" i="34"/>
  <c r="S13" i="34"/>
  <c r="H67" i="34"/>
  <c r="H10" i="34"/>
  <c r="F11" i="34"/>
  <c r="S11" i="34" s="1"/>
  <c r="F70" i="34"/>
  <c r="G70" i="34" s="1"/>
  <c r="H70" i="34" s="1"/>
  <c r="W42" i="33"/>
  <c r="AA35" i="33"/>
  <c r="S32" i="33"/>
  <c r="W38" i="33"/>
  <c r="H41" i="33"/>
  <c r="AB41" i="33" s="1"/>
  <c r="F121" i="33"/>
  <c r="G121" i="33"/>
  <c r="H121" i="33" s="1"/>
  <c r="I121" i="33" s="1"/>
  <c r="J121" i="33" s="1"/>
  <c r="K121" i="33" s="1"/>
  <c r="L121" i="33" s="1"/>
  <c r="M121" i="33" s="1"/>
  <c r="S42" i="33"/>
  <c r="F36" i="33"/>
  <c r="G111" i="33"/>
  <c r="H111" i="33" s="1"/>
  <c r="H108" i="33"/>
  <c r="I108" i="33" s="1"/>
  <c r="J108" i="33"/>
  <c r="K108" i="33" s="1"/>
  <c r="L108" i="33" s="1"/>
  <c r="M108" i="33" s="1"/>
  <c r="J35" i="33"/>
  <c r="W35" i="33" s="1"/>
  <c r="S37" i="33"/>
  <c r="AA37" i="33"/>
  <c r="F101" i="33"/>
  <c r="G101" i="33" s="1"/>
  <c r="H101" i="33"/>
  <c r="I101" i="33" s="1"/>
  <c r="J101" i="33" s="1"/>
  <c r="K101" i="33" s="1"/>
  <c r="L101" i="33" s="1"/>
  <c r="M101" i="33" s="1"/>
  <c r="J32" i="33"/>
  <c r="AC32" i="33" s="1"/>
  <c r="S46" i="33"/>
  <c r="W43" i="33"/>
  <c r="S43" i="33"/>
  <c r="F91" i="33"/>
  <c r="G91" i="33" s="1"/>
  <c r="H27" i="33"/>
  <c r="F87" i="33"/>
  <c r="G87" i="33" s="1"/>
  <c r="H25" i="33"/>
  <c r="F25" i="33"/>
  <c r="S25" i="33" s="1"/>
  <c r="J23" i="33"/>
  <c r="F85" i="33"/>
  <c r="H23" i="33"/>
  <c r="F81" i="33"/>
  <c r="G81" i="33" s="1"/>
  <c r="F19" i="33"/>
  <c r="S19" i="33"/>
  <c r="W19" i="33"/>
  <c r="J17" i="33"/>
  <c r="W17" i="33" s="1"/>
  <c r="S15" i="33"/>
  <c r="W15" i="33"/>
  <c r="U9" i="33"/>
  <c r="I66" i="33"/>
  <c r="J10" i="33"/>
  <c r="AC10" i="33" s="1"/>
  <c r="H10" i="33"/>
  <c r="AA10" i="33"/>
  <c r="AC11" i="33"/>
  <c r="AB14" i="33"/>
  <c r="W43" i="21"/>
  <c r="W36" i="21"/>
  <c r="W41" i="21"/>
  <c r="AB39" i="21"/>
  <c r="AA43" i="21"/>
  <c r="S39" i="21"/>
  <c r="AA38" i="21"/>
  <c r="AA36" i="21"/>
  <c r="AC40" i="21"/>
  <c r="J15" i="21"/>
  <c r="F77" i="21"/>
  <c r="G77" i="21" s="1"/>
  <c r="F23" i="21"/>
  <c r="S23" i="21" s="1"/>
  <c r="E85" i="21"/>
  <c r="F85" i="21" s="1"/>
  <c r="AC11" i="21"/>
  <c r="AA14" i="21"/>
  <c r="AB8" i="21"/>
  <c r="S8" i="21"/>
  <c r="M3" i="43"/>
  <c r="M1" i="43"/>
  <c r="N8" i="43"/>
  <c r="D120" i="9"/>
  <c r="D6" i="52" s="1"/>
  <c r="C18" i="9"/>
  <c r="D18" i="9" s="1"/>
  <c r="F34" i="67"/>
  <c r="F62" i="67" s="1"/>
  <c r="M20" i="67"/>
  <c r="F34" i="15"/>
  <c r="F62" i="15"/>
  <c r="E11" i="6"/>
  <c r="E65" i="39"/>
  <c r="G31" i="6"/>
  <c r="J56" i="9"/>
  <c r="J57" i="9"/>
  <c r="J59" i="9" s="1"/>
  <c r="J61" i="9" s="1"/>
  <c r="A24" i="51"/>
  <c r="B18" i="72"/>
  <c r="U29" i="34"/>
  <c r="E5" i="6"/>
  <c r="D9" i="11"/>
  <c r="C9" i="11" s="1"/>
  <c r="P10" i="1"/>
  <c r="H22" i="43"/>
  <c r="D101" i="43"/>
  <c r="M101" i="43"/>
  <c r="I101" i="43"/>
  <c r="E101" i="43"/>
  <c r="E32" i="6"/>
  <c r="L19" i="6"/>
  <c r="G1" i="68"/>
  <c r="K1" i="12"/>
  <c r="AR12" i="1"/>
  <c r="T12" i="1"/>
  <c r="T10" i="1"/>
  <c r="E19" i="69"/>
  <c r="E19" i="68"/>
  <c r="E19" i="11"/>
  <c r="E1" i="73"/>
  <c r="G41" i="69"/>
  <c r="G22" i="69"/>
  <c r="G41" i="68"/>
  <c r="G22" i="68"/>
  <c r="G27" i="12"/>
  <c r="G26" i="12"/>
  <c r="G41" i="11"/>
  <c r="G22" i="11"/>
  <c r="G25" i="12"/>
  <c r="C100" i="43"/>
  <c r="E11" i="43"/>
  <c r="E10" i="43"/>
  <c r="E9" i="43"/>
  <c r="E8"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F100" i="43"/>
  <c r="H17" i="43"/>
  <c r="D9" i="53"/>
  <c r="B25" i="72" s="1"/>
  <c r="B24" i="72"/>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D63" i="40" s="1"/>
  <c r="E63" i="40" s="1"/>
  <c r="E65" i="40" s="1"/>
  <c r="M47" i="9"/>
  <c r="G19" i="43"/>
  <c r="O19" i="43"/>
  <c r="T35" i="4"/>
  <c r="A19" i="51"/>
  <c r="B14" i="72" s="1"/>
  <c r="D46" i="36"/>
  <c r="C59" i="34"/>
  <c r="D59" i="34"/>
  <c r="E59" i="34" s="1"/>
  <c r="F59" i="34" s="1"/>
  <c r="A4" i="51"/>
  <c r="B6" i="72" s="1"/>
  <c r="C48" i="35"/>
  <c r="H65" i="43"/>
  <c r="H63" i="43"/>
  <c r="H55" i="43"/>
  <c r="H56" i="43"/>
  <c r="H72" i="43"/>
  <c r="L20" i="6"/>
  <c r="E56" i="39"/>
  <c r="B6" i="1"/>
  <c r="E6" i="1" s="1"/>
  <c r="S8" i="1"/>
  <c r="AQ8" i="1" s="1"/>
  <c r="K11" i="1"/>
  <c r="M11" i="1"/>
  <c r="O11" i="1"/>
  <c r="P11" i="1"/>
  <c r="AP6" i="1"/>
  <c r="B9" i="1"/>
  <c r="E9" i="1" s="1"/>
  <c r="K7" i="1"/>
  <c r="G1" i="69"/>
  <c r="W23" i="40"/>
  <c r="U32" i="40"/>
  <c r="AB31" i="40"/>
  <c r="S37" i="40"/>
  <c r="AB28" i="40"/>
  <c r="W28" i="40"/>
  <c r="W34" i="40"/>
  <c r="W27" i="40"/>
  <c r="S36" i="40"/>
  <c r="W37" i="40"/>
  <c r="AC14" i="40"/>
  <c r="S13" i="40"/>
  <c r="S33" i="40"/>
  <c r="AA15" i="40"/>
  <c r="U11" i="40"/>
  <c r="S31" i="40"/>
  <c r="AB13" i="40"/>
  <c r="U15" i="40"/>
  <c r="AB17" i="40"/>
  <c r="U8" i="40"/>
  <c r="S8" i="40"/>
  <c r="AA39" i="39"/>
  <c r="AC41" i="39"/>
  <c r="U42" i="39"/>
  <c r="U41" i="39"/>
  <c r="AB41" i="39"/>
  <c r="W25" i="39"/>
  <c r="U13" i="39"/>
  <c r="AB13" i="39"/>
  <c r="AA13" i="39"/>
  <c r="S13" i="39"/>
  <c r="S14" i="39"/>
  <c r="AA14" i="39"/>
  <c r="U43" i="39"/>
  <c r="AB43" i="39"/>
  <c r="AB11" i="39"/>
  <c r="U11" i="39"/>
  <c r="AA27" i="39"/>
  <c r="S27" i="39"/>
  <c r="W17" i="39"/>
  <c r="AC17" i="39"/>
  <c r="W31" i="39"/>
  <c r="S23" i="39"/>
  <c r="AB39" i="39"/>
  <c r="W34" i="39"/>
  <c r="U38" i="39"/>
  <c r="S8" i="39"/>
  <c r="S20" i="36"/>
  <c r="AC25" i="36"/>
  <c r="S28" i="36"/>
  <c r="W29" i="36"/>
  <c r="U25" i="36"/>
  <c r="AB28" i="36"/>
  <c r="AA13" i="36"/>
  <c r="W9" i="36"/>
  <c r="W22" i="36"/>
  <c r="W23" i="36"/>
  <c r="S9" i="36"/>
  <c r="AB20" i="35"/>
  <c r="AC25" i="35"/>
  <c r="U25" i="35"/>
  <c r="W33" i="35"/>
  <c r="AA30" i="35"/>
  <c r="S35" i="35"/>
  <c r="W35" i="35"/>
  <c r="AA16" i="35"/>
  <c r="S27" i="37"/>
  <c r="S28" i="37"/>
  <c r="W32" i="37"/>
  <c r="S40" i="37"/>
  <c r="U38" i="37"/>
  <c r="AB37" i="37"/>
  <c r="AC34" i="37"/>
  <c r="AA31" i="37"/>
  <c r="U19" i="37"/>
  <c r="AA29" i="37"/>
  <c r="AA8" i="37"/>
  <c r="U8" i="37"/>
  <c r="AA40" i="34"/>
  <c r="AB40" i="34"/>
  <c r="U19" i="34"/>
  <c r="W19" i="34"/>
  <c r="AB33" i="34"/>
  <c r="AC45" i="34"/>
  <c r="AA31" i="34"/>
  <c r="AA30" i="34"/>
  <c r="AB45" i="34"/>
  <c r="AB47" i="34"/>
  <c r="U25" i="34"/>
  <c r="AB36" i="34"/>
  <c r="AC14" i="34"/>
  <c r="AC29" i="34"/>
  <c r="W29" i="34"/>
  <c r="W46" i="34"/>
  <c r="AC46" i="34"/>
  <c r="S32" i="34"/>
  <c r="AA32" i="34"/>
  <c r="U30" i="34"/>
  <c r="AB30" i="34"/>
  <c r="S37" i="34"/>
  <c r="U38" i="34"/>
  <c r="AC40" i="34"/>
  <c r="W40" i="34"/>
  <c r="AA19" i="34"/>
  <c r="S19" i="34"/>
  <c r="AA36" i="34"/>
  <c r="S36" i="34"/>
  <c r="AA8" i="34"/>
  <c r="S8" i="34"/>
  <c r="U32" i="34"/>
  <c r="AC43" i="34"/>
  <c r="W43" i="34"/>
  <c r="AA11"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68"/>
  <c r="F52" i="9"/>
  <c r="F32" i="67"/>
  <c r="F60" i="67" s="1"/>
  <c r="F30" i="69"/>
  <c r="C48" i="69" s="1"/>
  <c r="F32" i="15"/>
  <c r="F60" i="15" s="1"/>
  <c r="M18" i="15"/>
  <c r="D9" i="69"/>
  <c r="D19" i="12"/>
  <c r="C19" i="12" s="1"/>
  <c r="AQ9" i="1"/>
  <c r="T9" i="1"/>
  <c r="T13" i="1"/>
  <c r="D9" i="68"/>
  <c r="C9" i="68" s="1"/>
  <c r="S7" i="1"/>
  <c r="E7" i="70"/>
  <c r="AA39" i="40"/>
  <c r="S39" i="40"/>
  <c r="AA12" i="33"/>
  <c r="F54" i="9"/>
  <c r="J32" i="39"/>
  <c r="H107" i="39"/>
  <c r="I107" i="39" s="1"/>
  <c r="J107" i="39"/>
  <c r="K107" i="39" s="1"/>
  <c r="L107" i="39" s="1"/>
  <c r="M107" i="39" s="1"/>
  <c r="H32" i="39"/>
  <c r="AB32" i="39" s="1"/>
  <c r="AA32" i="39"/>
  <c r="S32" i="39"/>
  <c r="AB21" i="39"/>
  <c r="U21" i="39"/>
  <c r="AA21" i="39"/>
  <c r="S21" i="39"/>
  <c r="W21" i="39"/>
  <c r="U9" i="35"/>
  <c r="AB9" i="35"/>
  <c r="AA9" i="35"/>
  <c r="AC26" i="35"/>
  <c r="AB26" i="35"/>
  <c r="U26" i="35"/>
  <c r="S17" i="37"/>
  <c r="J19" i="37"/>
  <c r="AC19" i="37" s="1"/>
  <c r="S19" i="37"/>
  <c r="J23" i="37"/>
  <c r="AC23" i="37" s="1"/>
  <c r="J10" i="37"/>
  <c r="AC10" i="37" s="1"/>
  <c r="G63" i="37"/>
  <c r="H11" i="37"/>
  <c r="U11" i="37" s="1"/>
  <c r="AB10" i="37"/>
  <c r="H11" i="34"/>
  <c r="U11" i="34" s="1"/>
  <c r="AB10" i="34"/>
  <c r="U10" i="34"/>
  <c r="J10" i="34"/>
  <c r="I67" i="34"/>
  <c r="U41" i="33"/>
  <c r="AC35" i="33"/>
  <c r="I111" i="33"/>
  <c r="J111" i="33" s="1"/>
  <c r="K111" i="33"/>
  <c r="L111" i="33" s="1"/>
  <c r="M111" i="33" s="1"/>
  <c r="J36" i="33"/>
  <c r="H36" i="33"/>
  <c r="AB36" i="33" s="1"/>
  <c r="S36" i="33"/>
  <c r="AA36" i="33"/>
  <c r="W32" i="33"/>
  <c r="U27" i="33"/>
  <c r="AB27" i="33"/>
  <c r="H91" i="33"/>
  <c r="I91" i="33" s="1"/>
  <c r="J91" i="33"/>
  <c r="K91" i="33" s="1"/>
  <c r="L91" i="33" s="1"/>
  <c r="M91" i="33" s="1"/>
  <c r="J27" i="33"/>
  <c r="AC27" i="33" s="1"/>
  <c r="U25" i="33"/>
  <c r="AB25" i="33"/>
  <c r="AA25" i="33"/>
  <c r="H87" i="33"/>
  <c r="I87" i="33" s="1"/>
  <c r="J87" i="33" s="1"/>
  <c r="K87" i="33" s="1"/>
  <c r="L87" i="33" s="1"/>
  <c r="M87" i="33" s="1"/>
  <c r="J25" i="33"/>
  <c r="AC25" i="33" s="1"/>
  <c r="AB23" i="33"/>
  <c r="U23" i="33"/>
  <c r="F23" i="33"/>
  <c r="G85" i="33"/>
  <c r="AC23" i="33"/>
  <c r="W23" i="33"/>
  <c r="AA19" i="33"/>
  <c r="H19" i="33"/>
  <c r="U19" i="33" s="1"/>
  <c r="G79" i="33"/>
  <c r="H17" i="33"/>
  <c r="F17" i="33"/>
  <c r="S17" i="33" s="1"/>
  <c r="AC17" i="33"/>
  <c r="U10" i="33"/>
  <c r="AB10" i="33"/>
  <c r="W10" i="33"/>
  <c r="AC37" i="21"/>
  <c r="U33" i="21"/>
  <c r="S37" i="21"/>
  <c r="AA23" i="21"/>
  <c r="AB15" i="21"/>
  <c r="J23" i="21"/>
  <c r="W23" i="21" s="1"/>
  <c r="G85" i="21"/>
  <c r="H23" i="21"/>
  <c r="D121" i="9"/>
  <c r="D7" i="52" s="1"/>
  <c r="K120" i="9"/>
  <c r="A18" i="62" s="1"/>
  <c r="B64" i="72" s="1"/>
  <c r="C23" i="43"/>
  <c r="C21" i="43" s="1"/>
  <c r="S4" i="43"/>
  <c r="S7" i="43"/>
  <c r="O14" i="1"/>
  <c r="P14" i="1"/>
  <c r="E104" i="43"/>
  <c r="E107" i="43"/>
  <c r="E105" i="43"/>
  <c r="M104" i="43"/>
  <c r="M107" i="43"/>
  <c r="M105" i="43"/>
  <c r="E109" i="43"/>
  <c r="I102" i="43"/>
  <c r="I106" i="43"/>
  <c r="I103" i="43"/>
  <c r="D103" i="43"/>
  <c r="D104" i="43"/>
  <c r="D107" i="43"/>
  <c r="AR8" i="1"/>
  <c r="T8" i="1"/>
  <c r="AQ7" i="1"/>
  <c r="R22" i="31"/>
  <c r="B21" i="31" s="1"/>
  <c r="L27" i="6"/>
  <c r="AP7" i="1"/>
  <c r="M7" i="1"/>
  <c r="O7" i="1"/>
  <c r="AB45" i="21"/>
  <c r="S33" i="21"/>
  <c r="AA33" i="21"/>
  <c r="AC32" i="21"/>
  <c r="U9" i="21"/>
  <c r="AA32" i="21"/>
  <c r="S32" i="21"/>
  <c r="W9" i="21"/>
  <c r="AC9" i="21"/>
  <c r="AB32" i="21"/>
  <c r="U32" i="21"/>
  <c r="S10" i="21"/>
  <c r="C36" i="69"/>
  <c r="T7" i="1"/>
  <c r="AR7" i="1"/>
  <c r="U32" i="39"/>
  <c r="AC32" i="39"/>
  <c r="W32" i="39"/>
  <c r="W19" i="37"/>
  <c r="AB11" i="37"/>
  <c r="H63" i="37"/>
  <c r="I63" i="37" s="1"/>
  <c r="J63" i="37"/>
  <c r="K63" i="37" s="1"/>
  <c r="L63" i="37" s="1"/>
  <c r="M63" i="37" s="1"/>
  <c r="J11" i="37"/>
  <c r="W11" i="37" s="1"/>
  <c r="AC10" i="34"/>
  <c r="W10" i="34"/>
  <c r="I70" i="34"/>
  <c r="J70" i="34" s="1"/>
  <c r="K70" i="34" s="1"/>
  <c r="L70" i="34" s="1"/>
  <c r="M70" i="34" s="1"/>
  <c r="J11" i="34"/>
  <c r="AC36" i="33"/>
  <c r="W36" i="33"/>
  <c r="U36" i="33"/>
  <c r="W25" i="33"/>
  <c r="AA23" i="33"/>
  <c r="S23" i="33"/>
  <c r="AB19" i="33"/>
  <c r="AA17" i="33"/>
  <c r="U17" i="33"/>
  <c r="AB17" i="33"/>
  <c r="U23" i="21"/>
  <c r="AB23" i="21"/>
  <c r="D3" i="37"/>
  <c r="P7" i="1"/>
  <c r="O16" i="1"/>
  <c r="AC11" i="37"/>
  <c r="W11" i="34"/>
  <c r="AC11" i="34"/>
  <c r="R7" i="1"/>
  <c r="F34" i="11"/>
  <c r="F11" i="12"/>
  <c r="C23" i="12" s="1"/>
  <c r="F34" i="68"/>
  <c r="C36" i="68" s="1"/>
  <c r="R8" i="1"/>
  <c r="AE7" i="1"/>
  <c r="AE8" i="1"/>
  <c r="H109" i="9"/>
  <c r="H110" i="9"/>
  <c r="D18" i="53" s="1"/>
  <c r="B35" i="72" s="1"/>
  <c r="D16" i="53"/>
  <c r="H112" i="9"/>
  <c r="D21" i="53" s="1"/>
  <c r="B39" i="72" s="1"/>
  <c r="H111" i="9"/>
  <c r="D126" i="9"/>
  <c r="D19" i="53"/>
  <c r="D59" i="9"/>
  <c r="M55" i="9" s="1"/>
  <c r="B38" i="72"/>
  <c r="D20" i="53"/>
  <c r="B40" i="72"/>
  <c r="AD3" i="71"/>
  <c r="K1" i="73"/>
  <c r="C65" i="40"/>
  <c r="J1" i="73"/>
  <c r="C36" i="11"/>
  <c r="C13" i="12"/>
  <c r="C30" i="69"/>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G17" i="43" s="1"/>
  <c r="C16" i="43" s="1"/>
  <c r="O17" i="43"/>
  <c r="M17" i="43"/>
  <c r="E17" i="43"/>
  <c r="C70" i="39"/>
  <c r="D68" i="39"/>
  <c r="E46" i="36"/>
  <c r="F46" i="36" s="1"/>
  <c r="G46" i="36"/>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C24" i="12"/>
  <c r="C48" i="68"/>
  <c r="C9" i="71"/>
  <c r="D9" i="71" s="1"/>
  <c r="D10" i="71"/>
  <c r="D11" i="71"/>
  <c r="U11" i="71"/>
  <c r="S11" i="71"/>
  <c r="T11" i="71"/>
  <c r="AB9" i="71"/>
  <c r="X7" i="71"/>
  <c r="X6" i="71"/>
  <c r="AA7" i="71"/>
  <c r="AA6" i="71"/>
  <c r="X10" i="71"/>
  <c r="Z5" i="71"/>
  <c r="Y6" i="71"/>
  <c r="Z6" i="71" s="1"/>
  <c r="AB7" i="71"/>
  <c r="AB6" i="71"/>
  <c r="B6" i="71"/>
  <c r="B5" i="71"/>
  <c r="S7" i="71"/>
  <c r="C94" i="9"/>
  <c r="C92" i="9"/>
  <c r="F8" i="71"/>
  <c r="F7" i="71" s="1"/>
  <c r="F6" i="71" s="1"/>
  <c r="F5" i="71" s="1"/>
  <c r="Y7" i="71"/>
  <c r="Z7" i="71" s="1"/>
  <c r="AB3" i="71"/>
  <c r="X3" i="71"/>
  <c r="E8" i="71"/>
  <c r="E7" i="71" s="1"/>
  <c r="AF3" i="71"/>
  <c r="P24" i="43" s="1"/>
  <c r="B66" i="40" s="1"/>
  <c r="P22" i="43"/>
  <c r="F31" i="15"/>
  <c r="M17" i="67"/>
  <c r="F59" i="67"/>
  <c r="F59" i="15"/>
  <c r="M17" i="15"/>
  <c r="F31" i="67"/>
  <c r="G20" i="43"/>
  <c r="D65" i="40"/>
  <c r="D70" i="39"/>
  <c r="E68" i="39"/>
  <c r="F68" i="39" s="1"/>
  <c r="P25" i="43"/>
  <c r="F63" i="40"/>
  <c r="E41" i="43"/>
  <c r="C41" i="43" s="1"/>
  <c r="C20" i="43"/>
  <c r="E70" i="39"/>
  <c r="F65" i="40"/>
  <c r="G63" i="40"/>
  <c r="H63" i="40" s="1"/>
  <c r="C19" i="43"/>
  <c r="G65" i="40"/>
  <c r="D5" i="73"/>
  <c r="F40" i="67"/>
  <c r="M21" i="67"/>
  <c r="F36" i="15"/>
  <c r="E2" i="69"/>
  <c r="F8" i="15"/>
  <c r="M24" i="15"/>
  <c r="L47" i="15"/>
  <c r="M9" i="15"/>
  <c r="B10" i="76"/>
  <c r="F9" i="15"/>
  <c r="M23" i="67"/>
  <c r="E7" i="76"/>
  <c r="D2" i="35"/>
  <c r="D2" i="21"/>
  <c r="F26" i="67"/>
  <c r="M8" i="67"/>
  <c r="C76" i="67"/>
  <c r="F20" i="31"/>
  <c r="F37" i="15"/>
  <c r="AO7" i="1"/>
  <c r="M24" i="67"/>
  <c r="L48" i="67"/>
  <c r="B12" i="76"/>
  <c r="B11" i="76"/>
  <c r="M27" i="67"/>
  <c r="F43" i="15"/>
  <c r="F16" i="67"/>
  <c r="F43" i="67"/>
  <c r="M29" i="15"/>
  <c r="AO13" i="1"/>
  <c r="F3" i="73"/>
  <c r="D2" i="33"/>
  <c r="F7" i="15"/>
  <c r="E13" i="76"/>
  <c r="F6" i="67"/>
  <c r="E8" i="76"/>
  <c r="F6" i="73"/>
  <c r="E9" i="76"/>
  <c r="D2" i="34"/>
  <c r="M6" i="15"/>
  <c r="M26" i="15"/>
  <c r="M22" i="15"/>
  <c r="M9" i="67"/>
  <c r="F4" i="73"/>
  <c r="J15" i="67"/>
  <c r="M26" i="67"/>
  <c r="D3" i="73"/>
  <c r="M6" i="67"/>
  <c r="M28" i="67"/>
  <c r="F7" i="73"/>
  <c r="E11" i="76"/>
  <c r="F6" i="15"/>
  <c r="C76" i="15"/>
  <c r="AO12" i="1"/>
  <c r="B7" i="76"/>
  <c r="M22" i="67"/>
  <c r="AO10" i="1"/>
  <c r="F13" i="15"/>
  <c r="M29" i="67"/>
  <c r="E2" i="68"/>
  <c r="F26" i="15"/>
  <c r="F7" i="67"/>
  <c r="AO11" i="1"/>
  <c r="B13" i="76"/>
  <c r="F8" i="67"/>
  <c r="F36" i="67"/>
  <c r="B9" i="76"/>
  <c r="F5" i="73"/>
  <c r="D7" i="73"/>
  <c r="AO8" i="1"/>
  <c r="F16" i="15"/>
  <c r="F9" i="67"/>
  <c r="B8" i="76"/>
  <c r="G1" i="73"/>
  <c r="E12" i="76"/>
  <c r="L48" i="15"/>
  <c r="AO9" i="1"/>
  <c r="D4" i="73"/>
  <c r="D2" i="37"/>
  <c r="F42" i="67"/>
  <c r="F38" i="15"/>
  <c r="J15" i="15"/>
  <c r="M8" i="15"/>
  <c r="F37" i="67"/>
  <c r="F42" i="15"/>
  <c r="L47" i="67"/>
  <c r="M28" i="15"/>
  <c r="F38" i="67"/>
  <c r="M23" i="15"/>
  <c r="E10" i="76"/>
  <c r="F41" i="67"/>
  <c r="D2" i="36"/>
  <c r="F35" i="67"/>
  <c r="F40" i="15"/>
  <c r="D6" i="73"/>
  <c r="F13" i="67"/>
  <c r="G68" i="39" l="1"/>
  <c r="F70" i="39"/>
  <c r="E6" i="71"/>
  <c r="E5" i="71" s="1"/>
  <c r="V7" i="71"/>
  <c r="C5" i="43"/>
  <c r="D5" i="43"/>
  <c r="T14" i="43"/>
  <c r="V14" i="43" s="1"/>
  <c r="P23" i="43"/>
  <c r="B71" i="39" s="1"/>
  <c r="P21" i="43"/>
  <c r="C8" i="71"/>
  <c r="I14" i="74"/>
  <c r="B8" i="74" s="1"/>
  <c r="D127" i="9"/>
  <c r="D13" i="52" s="1"/>
  <c r="D12" i="52"/>
  <c r="M49" i="9"/>
  <c r="D124" i="9"/>
  <c r="B34" i="72"/>
  <c r="D17" i="53"/>
  <c r="B36" i="72" s="1"/>
  <c r="AC23" i="21"/>
  <c r="W27" i="33"/>
  <c r="AB11" i="34"/>
  <c r="W33" i="21"/>
  <c r="S13" i="21"/>
  <c r="I109" i="43"/>
  <c r="I104" i="43"/>
  <c r="I107" i="43"/>
  <c r="I105" i="43"/>
  <c r="D109" i="43"/>
  <c r="D105" i="43"/>
  <c r="D106" i="43"/>
  <c r="D102" i="43"/>
  <c r="F31" i="12"/>
  <c r="C31" i="12" s="1"/>
  <c r="F53" i="9"/>
  <c r="F30" i="11"/>
  <c r="F28" i="67"/>
  <c r="C28" i="67" s="1"/>
  <c r="M18" i="67"/>
  <c r="F28" i="15"/>
  <c r="C28" i="15" s="1"/>
  <c r="D68" i="9"/>
  <c r="AQ10" i="1"/>
  <c r="AR10" i="1"/>
  <c r="F27" i="6"/>
  <c r="F31" i="6" s="1"/>
  <c r="E51" i="40"/>
  <c r="B113" i="43"/>
  <c r="G101" i="43"/>
  <c r="C101" i="43"/>
  <c r="J101" i="43"/>
  <c r="N104" i="46"/>
  <c r="F22" i="43"/>
  <c r="K101" i="43"/>
  <c r="F101" i="43"/>
  <c r="N101" i="43"/>
  <c r="E22" i="43"/>
  <c r="L101" i="43"/>
  <c r="H101" i="43"/>
  <c r="G22" i="43"/>
  <c r="S2" i="43"/>
  <c r="S5" i="43"/>
  <c r="S6" i="43"/>
  <c r="S3" i="43"/>
  <c r="J22" i="43"/>
  <c r="W45" i="21"/>
  <c r="AC45" i="21"/>
  <c r="U28" i="33"/>
  <c r="AB28" i="33"/>
  <c r="AC34" i="35"/>
  <c r="W34" i="35"/>
  <c r="AB36" i="35"/>
  <c r="U36" i="35"/>
  <c r="AB40" i="40"/>
  <c r="U40" i="40"/>
  <c r="E102" i="43"/>
  <c r="E106" i="43"/>
  <c r="E103" i="43"/>
  <c r="M109" i="43"/>
  <c r="M102" i="43"/>
  <c r="M106" i="43"/>
  <c r="M103" i="43"/>
  <c r="E61" i="39"/>
  <c r="E56" i="40"/>
  <c r="W15" i="21"/>
  <c r="AC15" i="21"/>
  <c r="AA26" i="35"/>
  <c r="S26" i="35"/>
  <c r="AQ11" i="1"/>
  <c r="T11" i="1"/>
  <c r="AR11" i="1"/>
  <c r="AC9" i="34"/>
  <c r="W9" i="34"/>
  <c r="AB13" i="33"/>
  <c r="U13" i="33"/>
  <c r="AC29" i="33"/>
  <c r="W29" i="33"/>
  <c r="W31" i="33"/>
  <c r="AC31" i="33"/>
  <c r="U45" i="33"/>
  <c r="AB45" i="33"/>
  <c r="S12" i="34"/>
  <c r="AA12" i="34"/>
  <c r="U46" i="34"/>
  <c r="AB46" i="34"/>
  <c r="U11" i="35"/>
  <c r="AB11" i="35"/>
  <c r="S36" i="39"/>
  <c r="AA36" i="39"/>
  <c r="P16" i="1"/>
  <c r="C11" i="12" s="1"/>
  <c r="C15" i="12" s="1"/>
  <c r="W33" i="34"/>
  <c r="AC20" i="36"/>
  <c r="AB23" i="39"/>
  <c r="W19" i="40"/>
  <c r="H64" i="43"/>
  <c r="H66" i="43"/>
  <c r="C52" i="37"/>
  <c r="D52" i="37" s="1"/>
  <c r="E52" i="37" s="1"/>
  <c r="F52" i="37" s="1"/>
  <c r="E28" i="6"/>
  <c r="E14" i="6"/>
  <c r="E10" i="6"/>
  <c r="S39" i="33"/>
  <c r="U42" i="33"/>
  <c r="S27" i="33"/>
  <c r="AA45" i="34"/>
  <c r="AA33" i="34"/>
  <c r="AB17" i="37"/>
  <c r="U32" i="37"/>
  <c r="W13" i="35"/>
  <c r="AB13" i="35"/>
  <c r="AB20" i="36"/>
  <c r="AA25" i="36"/>
  <c r="W14" i="36"/>
  <c r="W39" i="39"/>
  <c r="AA32" i="40"/>
  <c r="AC36" i="40"/>
  <c r="AA47" i="34"/>
  <c r="U30" i="33"/>
  <c r="E13" i="6"/>
  <c r="E12" i="6"/>
  <c r="H35" i="37"/>
  <c r="U12" i="40"/>
  <c r="S15" i="37"/>
  <c r="U36" i="40"/>
  <c r="W35" i="40"/>
  <c r="AB33" i="40"/>
  <c r="S14" i="40"/>
  <c r="AA25" i="21"/>
  <c r="U12" i="21"/>
  <c r="AC36" i="34"/>
  <c r="W37" i="34"/>
  <c r="W47" i="34"/>
  <c r="W14" i="37"/>
  <c r="AA12" i="35"/>
  <c r="U14" i="40"/>
  <c r="U43" i="33"/>
  <c r="H24" i="35"/>
  <c r="F24" i="35"/>
  <c r="AB27" i="37"/>
  <c r="AA12" i="21"/>
  <c r="AC28" i="34"/>
  <c r="AB11" i="21"/>
  <c r="AC28" i="21"/>
  <c r="AA14" i="37"/>
  <c r="AA13" i="35"/>
  <c r="J32" i="36"/>
  <c r="H32" i="36"/>
  <c r="F11" i="35"/>
  <c r="J11" i="35"/>
  <c r="F46" i="34"/>
  <c r="J32" i="34"/>
  <c r="J30" i="34"/>
  <c r="H14" i="34"/>
  <c r="F14" i="34"/>
  <c r="F45" i="33"/>
  <c r="J45" i="33"/>
  <c r="H31" i="33"/>
  <c r="F29" i="33"/>
  <c r="H29" i="33"/>
  <c r="F13" i="33"/>
  <c r="J28" i="33"/>
  <c r="F28" i="33"/>
  <c r="U23" i="40"/>
  <c r="AA29" i="35"/>
  <c r="AB17" i="34"/>
  <c r="U33" i="35"/>
  <c r="AC34" i="36"/>
  <c r="AC11" i="40"/>
  <c r="U40" i="33"/>
  <c r="W8" i="34"/>
  <c r="AA39" i="37"/>
  <c r="F35" i="37"/>
  <c r="S8" i="36"/>
  <c r="S10" i="36"/>
  <c r="AC16" i="36"/>
  <c r="C15" i="39"/>
  <c r="C27" i="39"/>
  <c r="S40" i="21"/>
  <c r="S38" i="39"/>
  <c r="S38" i="40"/>
  <c r="W31" i="40"/>
  <c r="AA9" i="40"/>
  <c r="AB39" i="40"/>
  <c r="S27" i="35"/>
  <c r="W22" i="35"/>
  <c r="AC27" i="35"/>
  <c r="W8" i="36"/>
  <c r="F103" i="37"/>
  <c r="G103" i="37" s="1"/>
  <c r="H103" i="37" s="1"/>
  <c r="I103" i="37" s="1"/>
  <c r="J103" i="37" s="1"/>
  <c r="K103" i="37" s="1"/>
  <c r="L103" i="37" s="1"/>
  <c r="M103" i="37" s="1"/>
  <c r="U9" i="39"/>
  <c r="J36" i="39"/>
  <c r="H36" i="39"/>
  <c r="J45" i="39"/>
  <c r="F45" i="39"/>
  <c r="H9" i="34"/>
  <c r="F34" i="35"/>
  <c r="H34" i="35"/>
  <c r="J36" i="35"/>
  <c r="G60" i="37"/>
  <c r="H60" i="37" s="1"/>
  <c r="I60" i="37" s="1"/>
  <c r="F10" i="37"/>
  <c r="AA10" i="37" s="1"/>
  <c r="J26" i="37"/>
  <c r="H26" i="37"/>
  <c r="F26" i="37"/>
  <c r="H25" i="37"/>
  <c r="J25" i="37"/>
  <c r="F25" i="37"/>
  <c r="T27" i="71"/>
  <c r="D27" i="71"/>
  <c r="T23" i="71"/>
  <c r="D23" i="71"/>
  <c r="D42" i="71"/>
  <c r="C43" i="71"/>
  <c r="D49" i="71"/>
  <c r="C50" i="71"/>
  <c r="G5" i="3"/>
  <c r="B3" i="3" s="1"/>
  <c r="T31" i="71"/>
  <c r="D31" i="71"/>
  <c r="D38" i="71"/>
  <c r="C39" i="71"/>
  <c r="D46" i="71"/>
  <c r="C47" i="71"/>
  <c r="Q53" i="71"/>
  <c r="Q52" i="71"/>
  <c r="A15" i="62"/>
  <c r="B61" i="72" s="1"/>
  <c r="K13" i="1"/>
  <c r="F3" i="35"/>
  <c r="D23" i="67"/>
  <c r="D14" i="71"/>
  <c r="S15" i="71"/>
  <c r="C58" i="71"/>
  <c r="Q54" i="71"/>
  <c r="N55" i="71"/>
  <c r="B54" i="7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A165" i="3"/>
  <c r="AZ165" i="3" s="1"/>
  <c r="BL162" i="3"/>
  <c r="AZ162" i="3" s="1"/>
  <c r="BA161" i="3"/>
  <c r="AZ161" i="3" s="1"/>
  <c r="BL158" i="3"/>
  <c r="AZ158" i="3" s="1"/>
  <c r="BA157" i="3"/>
  <c r="AZ157" i="3" s="1"/>
  <c r="BL154" i="3"/>
  <c r="AZ154" i="3" s="1"/>
  <c r="BL188" i="3"/>
  <c r="AZ188" i="3" s="1"/>
  <c r="BA187" i="3"/>
  <c r="AZ187" i="3" s="1"/>
  <c r="BL184" i="3"/>
  <c r="AZ184" i="3" s="1"/>
  <c r="BA183" i="3"/>
  <c r="AZ183" i="3" s="1"/>
  <c r="BL180" i="3"/>
  <c r="AZ180" i="3" s="1"/>
  <c r="BA179" i="3"/>
  <c r="AZ179" i="3" s="1"/>
  <c r="BL176" i="3"/>
  <c r="AZ176" i="3" s="1"/>
  <c r="BA175" i="3"/>
  <c r="AZ175" i="3" s="1"/>
  <c r="BL172" i="3"/>
  <c r="AZ172" i="3" s="1"/>
  <c r="BA171" i="3"/>
  <c r="AZ171" i="3" s="1"/>
  <c r="BL168" i="3"/>
  <c r="AZ168" i="3" s="1"/>
  <c r="BA167" i="3"/>
  <c r="AZ167" i="3" s="1"/>
  <c r="BL164" i="3"/>
  <c r="AZ164" i="3" s="1"/>
  <c r="BA163" i="3"/>
  <c r="AZ163" i="3" s="1"/>
  <c r="BL160" i="3"/>
  <c r="AZ160" i="3" s="1"/>
  <c r="BA159" i="3"/>
  <c r="AZ159" i="3" s="1"/>
  <c r="BL156" i="3"/>
  <c r="AZ156" i="3" s="1"/>
  <c r="BA155" i="3"/>
  <c r="AZ155" i="3" s="1"/>
  <c r="AZ147" i="3"/>
  <c r="AZ139" i="3"/>
  <c r="AZ131" i="3"/>
  <c r="BL149" i="3"/>
  <c r="AZ149" i="3" s="1"/>
  <c r="BA148" i="3"/>
  <c r="AZ148" i="3" s="1"/>
  <c r="BL145" i="3"/>
  <c r="AZ145" i="3" s="1"/>
  <c r="BA144" i="3"/>
  <c r="AZ144" i="3" s="1"/>
  <c r="BL141" i="3"/>
  <c r="AZ141" i="3" s="1"/>
  <c r="BA140" i="3"/>
  <c r="AZ140" i="3" s="1"/>
  <c r="BL137" i="3"/>
  <c r="AZ137" i="3" s="1"/>
  <c r="BA136" i="3"/>
  <c r="AZ136" i="3" s="1"/>
  <c r="BL133" i="3"/>
  <c r="AZ133" i="3" s="1"/>
  <c r="BA132" i="3"/>
  <c r="AZ132" i="3" s="1"/>
  <c r="BL151" i="3"/>
  <c r="AZ151" i="3" s="1"/>
  <c r="BA150" i="3"/>
  <c r="AZ150" i="3" s="1"/>
  <c r="BL147" i="3"/>
  <c r="BA146" i="3"/>
  <c r="AZ146" i="3" s="1"/>
  <c r="BL143" i="3"/>
  <c r="AZ143" i="3" s="1"/>
  <c r="BA142" i="3"/>
  <c r="AZ142" i="3" s="1"/>
  <c r="BL139" i="3"/>
  <c r="BA138" i="3"/>
  <c r="AZ138" i="3" s="1"/>
  <c r="BL135" i="3"/>
  <c r="AZ135" i="3" s="1"/>
  <c r="BA134" i="3"/>
  <c r="AZ134" i="3" s="1"/>
  <c r="BL131" i="3"/>
  <c r="BL60" i="3"/>
  <c r="AZ60" i="3" s="1"/>
  <c r="BA59" i="3"/>
  <c r="AZ59"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BL5" i="3" s="1"/>
  <c r="BA15" i="3"/>
  <c r="BL58" i="3"/>
  <c r="AZ58" i="3" s="1"/>
  <c r="BA57" i="3"/>
  <c r="AZ57" i="3" s="1"/>
  <c r="BL54" i="3"/>
  <c r="AZ54"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BA17" i="3"/>
  <c r="AZ17" i="3" s="1"/>
  <c r="AC17" i="37"/>
  <c r="H36" i="37"/>
  <c r="AB36" i="37" s="1"/>
  <c r="J36" i="37"/>
  <c r="AC36" i="37" s="1"/>
  <c r="F36" i="37"/>
  <c r="AA36" i="37" s="1"/>
  <c r="G105" i="37"/>
  <c r="I63" i="40"/>
  <c r="H65" i="40"/>
  <c r="G52" i="37"/>
  <c r="H52" i="37" s="1"/>
  <c r="I52" i="37" s="1"/>
  <c r="J52" i="37" s="1"/>
  <c r="K52" i="37" s="1"/>
  <c r="L52" i="37" s="1"/>
  <c r="M52" i="37" s="1"/>
  <c r="N52" i="37" s="1"/>
  <c r="O52" i="37" s="1"/>
  <c r="G59" i="34"/>
  <c r="H59" i="34" s="1"/>
  <c r="I59" i="34" s="1"/>
  <c r="J59" i="34" s="1"/>
  <c r="K59" i="34" s="1"/>
  <c r="L59" i="34" s="1"/>
  <c r="M59" i="34" s="1"/>
  <c r="N59" i="34" s="1"/>
  <c r="O59" i="34" s="1"/>
  <c r="H7" i="34"/>
  <c r="H7" i="33"/>
  <c r="D58" i="33"/>
  <c r="E58" i="33" s="1"/>
  <c r="F58" i="33" s="1"/>
  <c r="G58" i="33" s="1"/>
  <c r="H58" i="33" s="1"/>
  <c r="I58" i="33" s="1"/>
  <c r="J58" i="33" s="1"/>
  <c r="K58" i="33" s="1"/>
  <c r="L58" i="33" s="1"/>
  <c r="M58" i="33" s="1"/>
  <c r="N58" i="33" s="1"/>
  <c r="O58" i="33" s="1"/>
  <c r="T4" i="43"/>
  <c r="V4" i="43" s="1"/>
  <c r="T11" i="43"/>
  <c r="V11" i="43" s="1"/>
  <c r="T12" i="43"/>
  <c r="V12" i="43" s="1"/>
  <c r="T9" i="43"/>
  <c r="V9" i="43" s="1"/>
  <c r="T15" i="43"/>
  <c r="V15" i="43" s="1"/>
  <c r="C37" i="43"/>
  <c r="E37" i="43" s="1"/>
  <c r="C35" i="43"/>
  <c r="E35" i="43" s="1"/>
  <c r="C36" i="43"/>
  <c r="E36" i="43" s="1"/>
  <c r="C38" i="43"/>
  <c r="T3" i="43"/>
  <c r="V3" i="43" s="1"/>
  <c r="H7" i="21"/>
  <c r="F7" i="36"/>
  <c r="D48" i="35"/>
  <c r="J7" i="36"/>
  <c r="H7" i="36"/>
  <c r="F7" i="21"/>
  <c r="J7" i="21"/>
  <c r="G7" i="37"/>
  <c r="E7" i="37"/>
  <c r="F7" i="37" s="1"/>
  <c r="W37" i="37"/>
  <c r="AA11" i="37"/>
  <c r="W23" i="37"/>
  <c r="AA23" i="37"/>
  <c r="W21" i="37"/>
  <c r="H99" i="37"/>
  <c r="I99" i="37" s="1"/>
  <c r="J99" i="37" s="1"/>
  <c r="K99" i="37" s="1"/>
  <c r="L99" i="37" s="1"/>
  <c r="M99" i="37" s="1"/>
  <c r="H33" i="37"/>
  <c r="AC15" i="37"/>
  <c r="W10" i="37"/>
  <c r="S10" i="37"/>
  <c r="G35" i="43"/>
  <c r="I35" i="43" s="1"/>
  <c r="G37" i="43"/>
  <c r="I37" i="43" s="1"/>
  <c r="C29" i="43"/>
  <c r="T5" i="43"/>
  <c r="V5" i="43" s="1"/>
  <c r="U36" i="37"/>
  <c r="W36" i="37"/>
  <c r="E5" i="49"/>
  <c r="E13" i="49"/>
  <c r="B9" i="49"/>
  <c r="E4" i="4" s="1"/>
  <c r="B5" i="62" s="1"/>
  <c r="B73" i="72" s="1"/>
  <c r="E4" i="49"/>
  <c r="E9" i="49"/>
  <c r="B14" i="49"/>
  <c r="B5" i="49"/>
  <c r="E6" i="49"/>
  <c r="E16" i="49"/>
  <c r="B13" i="49"/>
  <c r="C4" i="4" s="1"/>
  <c r="E10" i="49"/>
  <c r="F51" i="15"/>
  <c r="B11" i="70"/>
  <c r="F70" i="67"/>
  <c r="B10" i="70"/>
  <c r="F69" i="67"/>
  <c r="F71" i="15"/>
  <c r="I1" i="73"/>
  <c r="B39" i="1" s="1"/>
  <c r="E20" i="43"/>
  <c r="F66" i="67"/>
  <c r="F65" i="67"/>
  <c r="M7" i="67"/>
  <c r="J6" i="67" s="1"/>
  <c r="F50" i="67"/>
  <c r="J20" i="67"/>
  <c r="B20" i="31"/>
  <c r="L58" i="15"/>
  <c r="M59" i="15"/>
  <c r="L59" i="15"/>
  <c r="N59" i="15"/>
  <c r="C27" i="67"/>
  <c r="F68" i="15"/>
  <c r="C27" i="15"/>
  <c r="B40" i="1"/>
  <c r="Q71" i="67"/>
  <c r="B13" i="70"/>
  <c r="B9" i="70"/>
  <c r="F63" i="67"/>
  <c r="C62" i="67" s="1"/>
  <c r="C34" i="67"/>
  <c r="F68" i="67"/>
  <c r="C6" i="67"/>
  <c r="B12" i="70"/>
  <c r="F64" i="67"/>
  <c r="L59" i="67"/>
  <c r="N59" i="67"/>
  <c r="L58" i="67"/>
  <c r="M59" i="67"/>
  <c r="B7" i="70"/>
  <c r="B8" i="70"/>
  <c r="Q71" i="15"/>
  <c r="F51" i="67"/>
  <c r="F71" i="67"/>
  <c r="I54" i="67"/>
  <c r="J53" i="67"/>
  <c r="J57" i="67"/>
  <c r="J55" i="67" s="1"/>
  <c r="J58" i="67" s="1"/>
  <c r="Q50" i="67" s="1"/>
  <c r="L56" i="67"/>
  <c r="J60" i="15"/>
  <c r="Q48" i="15" s="1"/>
  <c r="J57" i="15"/>
  <c r="J55" i="15" s="1"/>
  <c r="J58" i="15" s="1"/>
  <c r="Q50" i="15" s="1"/>
  <c r="L57" i="15"/>
  <c r="L60" i="15"/>
  <c r="J59" i="15"/>
  <c r="L56" i="15"/>
  <c r="I54" i="15"/>
  <c r="J53" i="15"/>
  <c r="L46" i="15"/>
  <c r="F66" i="15"/>
  <c r="F65" i="15"/>
  <c r="F64" i="15"/>
  <c r="M7" i="15"/>
  <c r="J6" i="15" s="1"/>
  <c r="F50" i="15"/>
  <c r="C6" i="15"/>
  <c r="E17" i="49"/>
  <c r="E7" i="49"/>
  <c r="B6" i="49"/>
  <c r="B7" i="49"/>
  <c r="E14" i="49"/>
  <c r="B4" i="49"/>
  <c r="E22" i="49"/>
  <c r="E11" i="49"/>
  <c r="B10" i="49"/>
  <c r="E8" i="49"/>
  <c r="B8" i="49"/>
  <c r="E21" i="49"/>
  <c r="B11" i="49"/>
  <c r="B16" i="49"/>
  <c r="E15" i="49"/>
  <c r="B22" i="49"/>
  <c r="C9" i="69"/>
  <c r="C16" i="15"/>
  <c r="C14" i="67"/>
  <c r="C16" i="67"/>
  <c r="C17" i="67"/>
  <c r="C12" i="12" l="1"/>
  <c r="G36" i="43"/>
  <c r="I36" i="43" s="1"/>
  <c r="H7" i="37"/>
  <c r="J7" i="33"/>
  <c r="AZ15" i="3"/>
  <c r="BA5" i="3"/>
  <c r="E27" i="6" s="1"/>
  <c r="B53" i="71"/>
  <c r="N54" i="71"/>
  <c r="M13" i="1"/>
  <c r="Q16" i="1"/>
  <c r="H16" i="1"/>
  <c r="G16" i="1"/>
  <c r="T47" i="71"/>
  <c r="D47" i="71"/>
  <c r="T39" i="71"/>
  <c r="D39"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AC25" i="37"/>
  <c r="W25" i="37"/>
  <c r="AA26" i="37"/>
  <c r="S26" i="37"/>
  <c r="W26" i="37"/>
  <c r="AC26" i="37"/>
  <c r="AB34" i="35"/>
  <c r="U34" i="35"/>
  <c r="U9" i="34"/>
  <c r="AB9" i="34"/>
  <c r="W45" i="39"/>
  <c r="AC45" i="39"/>
  <c r="AC36" i="39"/>
  <c r="W36" i="39"/>
  <c r="S35" i="37"/>
  <c r="AA35" i="37"/>
  <c r="AA28" i="33"/>
  <c r="S28" i="33"/>
  <c r="S13" i="33"/>
  <c r="AA13" i="33"/>
  <c r="S29" i="33"/>
  <c r="AA29" i="33"/>
  <c r="W45" i="33"/>
  <c r="AC45" i="33"/>
  <c r="S14" i="34"/>
  <c r="AA14" i="34"/>
  <c r="W30" i="34"/>
  <c r="AC30" i="34"/>
  <c r="AA46" i="34"/>
  <c r="S46" i="34"/>
  <c r="S11" i="35"/>
  <c r="AA11" i="35"/>
  <c r="W32" i="36"/>
  <c r="AC32" i="36"/>
  <c r="AA24" i="35"/>
  <c r="S24" i="35"/>
  <c r="E62" i="39"/>
  <c r="E57" i="40"/>
  <c r="E64" i="39"/>
  <c r="E59" i="40"/>
  <c r="H102" i="43"/>
  <c r="H103" i="43"/>
  <c r="H104" i="43"/>
  <c r="H109" i="43"/>
  <c r="H107" i="43"/>
  <c r="H105" i="43"/>
  <c r="H106" i="43"/>
  <c r="D22" i="43"/>
  <c r="F104" i="43"/>
  <c r="F102" i="43"/>
  <c r="F105" i="43"/>
  <c r="F109" i="43"/>
  <c r="F107" i="43"/>
  <c r="F106" i="43"/>
  <c r="F103" i="43"/>
  <c r="J104" i="43"/>
  <c r="J107" i="43"/>
  <c r="J102" i="43"/>
  <c r="J109" i="43"/>
  <c r="J105" i="43"/>
  <c r="J106" i="43"/>
  <c r="J103" i="43"/>
  <c r="G105" i="43"/>
  <c r="G107" i="43"/>
  <c r="G104" i="43"/>
  <c r="G106" i="43"/>
  <c r="G109" i="43"/>
  <c r="G102" i="43"/>
  <c r="G103" i="43"/>
  <c r="C30" i="11"/>
  <c r="C48" i="11"/>
  <c r="D10" i="52"/>
  <c r="D125" i="9"/>
  <c r="D11" i="52" s="1"/>
  <c r="H14" i="74"/>
  <c r="B7" i="74" s="1"/>
  <c r="T2" i="43"/>
  <c r="V2" i="43" s="1"/>
  <c r="T13" i="43"/>
  <c r="V13" i="43" s="1"/>
  <c r="T10" i="43"/>
  <c r="V10" i="43" s="1"/>
  <c r="T6" i="43"/>
  <c r="V6" i="43" s="1"/>
  <c r="T8" i="43"/>
  <c r="V8" i="43" s="1"/>
  <c r="T16" i="43"/>
  <c r="V16" i="43" s="1"/>
  <c r="T7" i="43"/>
  <c r="V7" i="43" s="1"/>
  <c r="AZ16" i="3"/>
  <c r="D58" i="71"/>
  <c r="C57" i="71"/>
  <c r="D57" i="71" s="1"/>
  <c r="C51" i="71"/>
  <c r="D50" i="71"/>
  <c r="T43" i="71"/>
  <c r="D43" i="71"/>
  <c r="AA25" i="37"/>
  <c r="S25" i="37"/>
  <c r="U25" i="37"/>
  <c r="AB25" i="37"/>
  <c r="AB26" i="37"/>
  <c r="U26" i="37"/>
  <c r="AC36" i="35"/>
  <c r="W36" i="35"/>
  <c r="AA34" i="35"/>
  <c r="S34" i="35"/>
  <c r="S45" i="39"/>
  <c r="AA45" i="39"/>
  <c r="AB36" i="39"/>
  <c r="U36" i="39"/>
  <c r="W28" i="33"/>
  <c r="AC28" i="33"/>
  <c r="U29" i="33"/>
  <c r="AB29" i="33"/>
  <c r="U31" i="33"/>
  <c r="AB31" i="33"/>
  <c r="AA45" i="33"/>
  <c r="S45" i="33"/>
  <c r="AB14" i="34"/>
  <c r="U14" i="34"/>
  <c r="W32" i="34"/>
  <c r="AC32" i="34"/>
  <c r="AC11" i="35"/>
  <c r="W11" i="35"/>
  <c r="AB32" i="36"/>
  <c r="U32" i="36"/>
  <c r="AB24" i="35"/>
  <c r="U24" i="35"/>
  <c r="U35" i="37"/>
  <c r="AB35" i="37"/>
  <c r="E58" i="40"/>
  <c r="E63" i="39"/>
  <c r="E66" i="39" s="1"/>
  <c r="E16" i="6"/>
  <c r="K24" i="6"/>
  <c r="M24" i="6" s="1"/>
  <c r="I24" i="6" s="1"/>
  <c r="S24" i="6" s="1"/>
  <c r="K14" i="1"/>
  <c r="M14" i="1" s="1"/>
  <c r="K26" i="6"/>
  <c r="M26" i="6" s="1"/>
  <c r="I26" i="6" s="1"/>
  <c r="S26" i="6" s="1"/>
  <c r="K19" i="6"/>
  <c r="E30" i="6"/>
  <c r="K21" i="6"/>
  <c r="M21" i="6" s="1"/>
  <c r="I21" i="6" s="1"/>
  <c r="S21" i="6" s="1"/>
  <c r="K22" i="6"/>
  <c r="M22" i="6" s="1"/>
  <c r="I22" i="6" s="1"/>
  <c r="S22" i="6" s="1"/>
  <c r="K25" i="6"/>
  <c r="M25" i="6" s="1"/>
  <c r="I25" i="6" s="1"/>
  <c r="S25" i="6" s="1"/>
  <c r="K23" i="6"/>
  <c r="M23" i="6" s="1"/>
  <c r="I23" i="6" s="1"/>
  <c r="S23" i="6" s="1"/>
  <c r="K20" i="6"/>
  <c r="M20" i="6" s="1"/>
  <c r="I20" i="6" s="1"/>
  <c r="S20" i="6" s="1"/>
  <c r="K16" i="1"/>
  <c r="L106" i="43"/>
  <c r="L107" i="43"/>
  <c r="L103" i="43"/>
  <c r="L109" i="43"/>
  <c r="L105" i="43"/>
  <c r="L102" i="43"/>
  <c r="L104" i="43"/>
  <c r="N102" i="43"/>
  <c r="N105" i="43"/>
  <c r="N104" i="43"/>
  <c r="N109" i="43"/>
  <c r="N106" i="43"/>
  <c r="N103" i="43"/>
  <c r="N107" i="43"/>
  <c r="K103" i="43"/>
  <c r="K102" i="43"/>
  <c r="K105" i="43"/>
  <c r="K109" i="43"/>
  <c r="K104" i="43"/>
  <c r="K107" i="43"/>
  <c r="K106" i="43"/>
  <c r="C104" i="43"/>
  <c r="C107" i="43"/>
  <c r="C103" i="43"/>
  <c r="C106" i="43"/>
  <c r="C105" i="43"/>
  <c r="C102" i="43"/>
  <c r="C109"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7" i="43"/>
  <c r="E117" i="43" s="1"/>
  <c r="F117" i="43" s="1"/>
  <c r="G117" i="43" s="1"/>
  <c r="H117" i="43" s="1"/>
  <c r="D118" i="43"/>
  <c r="E118" i="43" s="1"/>
  <c r="F118" i="43" s="1"/>
  <c r="L68" i="9"/>
  <c r="M68" i="9" s="1"/>
  <c r="L66" i="9"/>
  <c r="M66" i="9" s="1"/>
  <c r="L63" i="9"/>
  <c r="M63" i="9" s="1"/>
  <c r="M69" i="9" s="1"/>
  <c r="N69" i="9" s="1"/>
  <c r="L65" i="9"/>
  <c r="M65" i="9" s="1"/>
  <c r="L64" i="9"/>
  <c r="M64" i="9" s="1"/>
  <c r="L67" i="9"/>
  <c r="M67" i="9" s="1"/>
  <c r="C7" i="71"/>
  <c r="D8" i="71"/>
  <c r="C34" i="43"/>
  <c r="C39" i="43"/>
  <c r="C33" i="43"/>
  <c r="H68" i="39"/>
  <c r="G70" i="39"/>
  <c r="S36" i="37"/>
  <c r="U7" i="37"/>
  <c r="AB7" i="37"/>
  <c r="AA7" i="21"/>
  <c r="R48" i="21" s="1"/>
  <c r="S7" i="21"/>
  <c r="W7" i="36"/>
  <c r="AC7" i="36"/>
  <c r="V36" i="36" s="1"/>
  <c r="I36" i="36" s="1"/>
  <c r="U7" i="21"/>
  <c r="AB7" i="21"/>
  <c r="T48" i="21" s="1"/>
  <c r="G48" i="21" s="1"/>
  <c r="G38" i="43"/>
  <c r="I38" i="43" s="1"/>
  <c r="E38" i="43"/>
  <c r="F7" i="33"/>
  <c r="J7" i="34"/>
  <c r="F7" i="34"/>
  <c r="J7" i="37"/>
  <c r="S7" i="37"/>
  <c r="AA7" i="37"/>
  <c r="AC7" i="21"/>
  <c r="V48" i="21" s="1"/>
  <c r="I48" i="21" s="1"/>
  <c r="W7" i="21"/>
  <c r="U7" i="36"/>
  <c r="AB7" i="36"/>
  <c r="T36" i="36" s="1"/>
  <c r="G36" i="36" s="1"/>
  <c r="E48" i="35"/>
  <c r="AA7" i="36"/>
  <c r="R36" i="36" s="1"/>
  <c r="S7" i="36"/>
  <c r="AB7" i="33"/>
  <c r="T48" i="33" s="1"/>
  <c r="G48" i="33" s="1"/>
  <c r="U7" i="33"/>
  <c r="W7" i="33"/>
  <c r="AC7" i="33"/>
  <c r="V48" i="33" s="1"/>
  <c r="I48" i="33" s="1"/>
  <c r="AB7" i="34"/>
  <c r="T49" i="34" s="1"/>
  <c r="G49" i="34" s="1"/>
  <c r="U7" i="34"/>
  <c r="J63" i="40"/>
  <c r="I65" i="40"/>
  <c r="F33" i="37"/>
  <c r="J33" i="37"/>
  <c r="AB33" i="37"/>
  <c r="T42" i="37" s="1"/>
  <c r="G42" i="37" s="1"/>
  <c r="U33" i="37"/>
  <c r="C30" i="43"/>
  <c r="E30" i="43" s="1"/>
  <c r="E29" i="43"/>
  <c r="B4" i="62"/>
  <c r="B71" i="72" s="1"/>
  <c r="K4" i="4"/>
  <c r="B46" i="48" s="1"/>
  <c r="B4" i="72" s="1"/>
  <c r="C49" i="67"/>
  <c r="C18" i="67"/>
  <c r="C15" i="67"/>
  <c r="J18" i="15"/>
  <c r="F1" i="67"/>
  <c r="Q52" i="67"/>
  <c r="Q73" i="67"/>
  <c r="Q60" i="67"/>
  <c r="Q74" i="67"/>
  <c r="Q61" i="67"/>
  <c r="J18" i="67"/>
  <c r="C32" i="67"/>
  <c r="F24" i="15"/>
  <c r="C24" i="15" s="1"/>
  <c r="F24" i="67"/>
  <c r="C24" i="67" s="1"/>
  <c r="F25" i="12"/>
  <c r="F22" i="69"/>
  <c r="F22" i="68"/>
  <c r="F22" i="11"/>
  <c r="P28" i="43"/>
  <c r="O28" i="43"/>
  <c r="M28" i="43"/>
  <c r="N28" i="43"/>
  <c r="C33" i="15"/>
  <c r="C32" i="15"/>
  <c r="F1" i="15"/>
  <c r="Q52" i="15"/>
  <c r="Q66" i="15"/>
  <c r="Q57" i="15"/>
  <c r="Q61" i="15"/>
  <c r="Q74" i="15"/>
  <c r="Q73" i="15"/>
  <c r="Q60" i="15"/>
  <c r="F11" i="15"/>
  <c r="M11" i="15"/>
  <c r="J10" i="15" s="1"/>
  <c r="J5" i="15" s="1"/>
  <c r="F11" i="67"/>
  <c r="M11" i="67"/>
  <c r="J10" i="67" s="1"/>
  <c r="J5" i="67" s="1"/>
  <c r="C49" i="15"/>
  <c r="AE6" i="1"/>
  <c r="F41" i="15"/>
  <c r="E33" i="43" l="1"/>
  <c r="C26" i="43" s="1"/>
  <c r="G33" i="43"/>
  <c r="I33" i="43" s="1"/>
  <c r="E34" i="43"/>
  <c r="G34" i="43"/>
  <c r="I34" i="43" s="1"/>
  <c r="C6" i="71"/>
  <c r="T7" i="71"/>
  <c r="D7" i="71"/>
  <c r="U7" i="71" s="1"/>
  <c r="C115" i="43"/>
  <c r="D113" i="43"/>
  <c r="S6" i="1"/>
  <c r="M19" i="6"/>
  <c r="K27" i="6"/>
  <c r="T51" i="71"/>
  <c r="D51" i="71"/>
  <c r="H6" i="3"/>
  <c r="F10" i="39"/>
  <c r="H10" i="40"/>
  <c r="F10" i="40"/>
  <c r="J10" i="40"/>
  <c r="H10" i="39"/>
  <c r="J10" i="39"/>
  <c r="M16" i="1"/>
  <c r="N52" i="71"/>
  <c r="N53" i="71"/>
  <c r="AZ5" i="3"/>
  <c r="C27" i="43"/>
  <c r="H70" i="39"/>
  <c r="I68" i="39"/>
  <c r="E39" i="43"/>
  <c r="G39" i="43"/>
  <c r="I39" i="43" s="1"/>
  <c r="AC6" i="3"/>
  <c r="C34" i="69"/>
  <c r="F27" i="69"/>
  <c r="F28" i="12"/>
  <c r="C29" i="12" s="1"/>
  <c r="D28" i="12" s="1"/>
  <c r="F27" i="11"/>
  <c r="F27" i="68"/>
  <c r="E31" i="6"/>
  <c r="I52" i="33"/>
  <c r="J52" i="33" s="1"/>
  <c r="G40" i="36"/>
  <c r="H40" i="36" s="1"/>
  <c r="G41" i="36"/>
  <c r="H41" i="36" s="1"/>
  <c r="AA7" i="34"/>
  <c r="R49" i="34" s="1"/>
  <c r="S7" i="34"/>
  <c r="AA7" i="33"/>
  <c r="R48" i="33" s="1"/>
  <c r="S7" i="33"/>
  <c r="R49" i="21"/>
  <c r="E48" i="21"/>
  <c r="J65" i="40"/>
  <c r="K63" i="40"/>
  <c r="G53" i="34"/>
  <c r="H53" i="34" s="1"/>
  <c r="G53" i="33"/>
  <c r="H53" i="33" s="1"/>
  <c r="G52" i="33"/>
  <c r="H52" i="33" s="1"/>
  <c r="E36" i="36"/>
  <c r="R37" i="36"/>
  <c r="F48" i="35"/>
  <c r="G48" i="35" s="1"/>
  <c r="H48" i="35" s="1"/>
  <c r="I48" i="35" s="1"/>
  <c r="J48" i="35" s="1"/>
  <c r="K48" i="35" s="1"/>
  <c r="L48" i="35" s="1"/>
  <c r="M48" i="35" s="1"/>
  <c r="N48" i="35" s="1"/>
  <c r="O48" i="35" s="1"/>
  <c r="F7" i="35" s="1"/>
  <c r="I52" i="21"/>
  <c r="J52" i="21" s="1"/>
  <c r="I53" i="21"/>
  <c r="J53" i="21" s="1"/>
  <c r="W7" i="37"/>
  <c r="AC7" i="37"/>
  <c r="AC7" i="34"/>
  <c r="V49" i="34" s="1"/>
  <c r="I49" i="34" s="1"/>
  <c r="W7" i="34"/>
  <c r="G52" i="21"/>
  <c r="H52" i="21" s="1"/>
  <c r="G53" i="21"/>
  <c r="H53" i="21" s="1"/>
  <c r="I40" i="36"/>
  <c r="J40" i="36" s="1"/>
  <c r="I41" i="36"/>
  <c r="J41" i="36" s="1"/>
  <c r="J7" i="35"/>
  <c r="G46" i="37"/>
  <c r="H46" i="37" s="1"/>
  <c r="W33" i="37"/>
  <c r="AC33" i="37"/>
  <c r="V42" i="37" s="1"/>
  <c r="I42" i="37" s="1"/>
  <c r="G47" i="37" s="1"/>
  <c r="H47" i="37" s="1"/>
  <c r="AA33" i="37"/>
  <c r="R42" i="37" s="1"/>
  <c r="S33" i="37"/>
  <c r="C53" i="15"/>
  <c r="C48" i="15" s="1"/>
  <c r="C60" i="15" s="1"/>
  <c r="AG6" i="1"/>
  <c r="C10" i="15"/>
  <c r="C5" i="15" s="1"/>
  <c r="C38" i="15" s="1"/>
  <c r="C19" i="67"/>
  <c r="C20" i="67" s="1"/>
  <c r="C26" i="67" s="1"/>
  <c r="F69" i="15"/>
  <c r="J26" i="67"/>
  <c r="J29" i="67" s="1"/>
  <c r="J24" i="67"/>
  <c r="J24" i="15"/>
  <c r="C26" i="68"/>
  <c r="D22" i="68" s="1"/>
  <c r="C23" i="68"/>
  <c r="C44" i="68"/>
  <c r="D41" i="68" s="1"/>
  <c r="C26" i="12"/>
  <c r="D25" i="12" s="1"/>
  <c r="C53" i="67"/>
  <c r="C48" i="67" s="1"/>
  <c r="C10" i="67"/>
  <c r="C5" i="67" s="1"/>
  <c r="C44" i="11"/>
  <c r="D41" i="11" s="1"/>
  <c r="C26" i="11"/>
  <c r="D22" i="11" s="1"/>
  <c r="C23" i="11"/>
  <c r="C26" i="69"/>
  <c r="D22" i="69" s="1"/>
  <c r="C44" i="69"/>
  <c r="D41" i="69" s="1"/>
  <c r="M27" i="15"/>
  <c r="C17" i="15"/>
  <c r="E6" i="76"/>
  <c r="E2" i="76" l="1"/>
  <c r="B2" i="43"/>
  <c r="C29" i="68"/>
  <c r="D27" i="68" s="1"/>
  <c r="C47" i="68"/>
  <c r="D45" i="68" s="1"/>
  <c r="C38" i="69"/>
  <c r="C35" i="69"/>
  <c r="AY6" i="3"/>
  <c r="E3" i="6"/>
  <c r="AC10" i="39"/>
  <c r="W10" i="39"/>
  <c r="W10" i="40"/>
  <c r="AC10" i="40"/>
  <c r="U10" i="40"/>
  <c r="AB10" i="40"/>
  <c r="E6" i="3"/>
  <c r="AQ6" i="1"/>
  <c r="AR6" i="1"/>
  <c r="T6" i="1"/>
  <c r="S16" i="1"/>
  <c r="E6" i="70"/>
  <c r="E2" i="70" s="1"/>
  <c r="C47" i="11"/>
  <c r="D45" i="11" s="1"/>
  <c r="C29" i="11"/>
  <c r="D27" i="11" s="1"/>
  <c r="C29" i="69"/>
  <c r="D27" i="69" s="1"/>
  <c r="C47" i="69"/>
  <c r="D45" i="69" s="1"/>
  <c r="I70" i="39"/>
  <c r="J68" i="39"/>
  <c r="C34" i="11"/>
  <c r="L16" i="1"/>
  <c r="N16" i="1"/>
  <c r="C34" i="68"/>
  <c r="U10" i="39"/>
  <c r="AB10" i="39"/>
  <c r="AA10" i="40"/>
  <c r="S10" i="40"/>
  <c r="S10" i="39"/>
  <c r="AA10" i="39"/>
  <c r="I19" i="6"/>
  <c r="M27" i="6"/>
  <c r="D6" i="71"/>
  <c r="C5" i="71"/>
  <c r="AC7" i="35"/>
  <c r="V38" i="35" s="1"/>
  <c r="I38" i="35" s="1"/>
  <c r="W7" i="35"/>
  <c r="I53" i="34"/>
  <c r="J53" i="34" s="1"/>
  <c r="E40" i="36"/>
  <c r="F40" i="36" s="1"/>
  <c r="E41" i="36"/>
  <c r="F41" i="36" s="1"/>
  <c r="C49" i="21"/>
  <c r="C48" i="21"/>
  <c r="R49" i="33"/>
  <c r="E48" i="33"/>
  <c r="E49" i="34"/>
  <c r="R50" i="34"/>
  <c r="AA7" i="35"/>
  <c r="R38" i="35" s="1"/>
  <c r="S7" i="35"/>
  <c r="C36" i="36"/>
  <c r="C37" i="36"/>
  <c r="B2" i="36" s="1"/>
  <c r="B3" i="36" s="1"/>
  <c r="G54" i="34"/>
  <c r="H54" i="34" s="1"/>
  <c r="K65" i="40"/>
  <c r="L63" i="40"/>
  <c r="E52" i="21"/>
  <c r="F52" i="21" s="1"/>
  <c r="E53" i="21"/>
  <c r="F53" i="21" s="1"/>
  <c r="H7" i="35"/>
  <c r="I46" i="37"/>
  <c r="J46" i="37" s="1"/>
  <c r="E42" i="37"/>
  <c r="R43" i="37"/>
  <c r="B3" i="43"/>
  <c r="C66" i="15"/>
  <c r="C23" i="67"/>
  <c r="C29" i="67" s="1"/>
  <c r="C38" i="67"/>
  <c r="C66" i="67"/>
  <c r="C60" i="67"/>
  <c r="C14" i="15"/>
  <c r="B6" i="76"/>
  <c r="B2" i="76" l="1"/>
  <c r="B3" i="76" s="1"/>
  <c r="C18" i="15"/>
  <c r="C15" i="15"/>
  <c r="S19" i="6"/>
  <c r="I27" i="6"/>
  <c r="F50" i="11"/>
  <c r="F50" i="69"/>
  <c r="F50" i="68"/>
  <c r="D5" i="71"/>
  <c r="M20" i="43" s="1"/>
  <c r="C38" i="68"/>
  <c r="C35" i="68"/>
  <c r="J70" i="39"/>
  <c r="K68" i="39"/>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5" i="11"/>
  <c r="C38" i="11"/>
  <c r="T16" i="1"/>
  <c r="M18" i="9"/>
  <c r="B118" i="9" s="1"/>
  <c r="B14" i="74" s="1"/>
  <c r="B1" i="74" s="1"/>
  <c r="D3" i="34"/>
  <c r="D3" i="33"/>
  <c r="E6" i="6"/>
  <c r="C17" i="4"/>
  <c r="B4" i="52" s="1"/>
  <c r="B43" i="72" s="1"/>
  <c r="L18" i="9"/>
  <c r="D19" i="11"/>
  <c r="C19" i="11" s="1"/>
  <c r="D37" i="11"/>
  <c r="C37" i="11" s="1"/>
  <c r="D3" i="21"/>
  <c r="B2" i="21" s="1"/>
  <c r="B3" i="21" s="1"/>
  <c r="D14" i="12"/>
  <c r="S27" i="6"/>
  <c r="AB7" i="35"/>
  <c r="T38" i="35" s="1"/>
  <c r="G38" i="35" s="1"/>
  <c r="U7" i="35"/>
  <c r="E54" i="34"/>
  <c r="F54" i="34" s="1"/>
  <c r="E53" i="34"/>
  <c r="F53" i="34" s="1"/>
  <c r="C49" i="33"/>
  <c r="B2" i="33" s="1"/>
  <c r="B3" i="33" s="1"/>
  <c r="C48" i="33"/>
  <c r="I54" i="34"/>
  <c r="J54" i="34" s="1"/>
  <c r="L65" i="40"/>
  <c r="M63" i="40"/>
  <c r="R39" i="35"/>
  <c r="E38" i="35"/>
  <c r="C49" i="34"/>
  <c r="C50" i="34"/>
  <c r="B2" i="34" s="1"/>
  <c r="B3" i="34" s="1"/>
  <c r="E53" i="33"/>
  <c r="F53" i="33" s="1"/>
  <c r="E52" i="33"/>
  <c r="F52" i="33" s="1"/>
  <c r="I53" i="33"/>
  <c r="J53" i="33" s="1"/>
  <c r="I42" i="35"/>
  <c r="J42" i="35" s="1"/>
  <c r="I43" i="35"/>
  <c r="J43" i="35" s="1"/>
  <c r="E46" i="37"/>
  <c r="F46" i="37" s="1"/>
  <c r="E47" i="37"/>
  <c r="F47" i="37" s="1"/>
  <c r="C42" i="37"/>
  <c r="C43" i="37"/>
  <c r="I47" i="37"/>
  <c r="J47" i="37" s="1"/>
  <c r="J19" i="67"/>
  <c r="J17" i="67" s="1"/>
  <c r="C33" i="67"/>
  <c r="C31" i="67" s="1"/>
  <c r="C57" i="67"/>
  <c r="C61" i="67" s="1"/>
  <c r="C59" i="67" s="1"/>
  <c r="C36" i="67"/>
  <c r="J59" i="67"/>
  <c r="J60" i="67" s="1"/>
  <c r="L46" i="67" s="1"/>
  <c r="Q49" i="67"/>
  <c r="J14" i="67"/>
  <c r="J22" i="67" s="1"/>
  <c r="C13" i="67"/>
  <c r="C37" i="67" s="1"/>
  <c r="J19" i="15"/>
  <c r="C19" i="15" l="1"/>
  <c r="C20" i="15" s="1"/>
  <c r="C26" i="15" s="1"/>
  <c r="C20" i="11"/>
  <c r="C24" i="11"/>
  <c r="C7" i="74"/>
  <c r="C8" i="74"/>
  <c r="M19" i="9"/>
  <c r="C118" i="9" s="1"/>
  <c r="C14" i="74" s="1"/>
  <c r="B2" i="74" s="1"/>
  <c r="H20" i="6"/>
  <c r="D25" i="6"/>
  <c r="D15" i="6"/>
  <c r="D22" i="6"/>
  <c r="D21" i="6"/>
  <c r="D24" i="6"/>
  <c r="D20" i="6"/>
  <c r="R20" i="6" s="1"/>
  <c r="D6" i="6"/>
  <c r="D9" i="6"/>
  <c r="D10" i="6"/>
  <c r="L19" i="9"/>
  <c r="D29" i="6"/>
  <c r="H25" i="6"/>
  <c r="H22" i="6"/>
  <c r="H21" i="6"/>
  <c r="H24" i="6"/>
  <c r="D19" i="6"/>
  <c r="C18" i="4"/>
  <c r="D23" i="6"/>
  <c r="D5" i="6"/>
  <c r="D11" i="6"/>
  <c r="D28" i="6"/>
  <c r="D30" i="6" s="1"/>
  <c r="H26" i="6"/>
  <c r="H19" i="6"/>
  <c r="H27" i="6" s="1"/>
  <c r="D26" i="6"/>
  <c r="R26" i="6" s="1"/>
  <c r="D8" i="6"/>
  <c r="D14" i="6"/>
  <c r="D12" i="6"/>
  <c r="D13" i="6"/>
  <c r="E61" i="40"/>
  <c r="H23" i="6"/>
  <c r="D17" i="12"/>
  <c r="C17" i="12" s="1"/>
  <c r="C14" i="12"/>
  <c r="C16" i="12" s="1"/>
  <c r="D10" i="11"/>
  <c r="C10" i="11" s="1"/>
  <c r="D20" i="12"/>
  <c r="C20" i="12" s="1"/>
  <c r="C18" i="12" s="1"/>
  <c r="D10" i="69"/>
  <c r="D10" i="68"/>
  <c r="C33" i="11"/>
  <c r="K70" i="39"/>
  <c r="L68" i="39"/>
  <c r="C39" i="35"/>
  <c r="B2" i="35" s="1"/>
  <c r="B3" i="35" s="1"/>
  <c r="C38" i="35"/>
  <c r="E43" i="35"/>
  <c r="F43" i="35" s="1"/>
  <c r="E42" i="35"/>
  <c r="F42" i="35" s="1"/>
  <c r="M65" i="40"/>
  <c r="N63" i="40"/>
  <c r="G42" i="35"/>
  <c r="H42" i="35" s="1"/>
  <c r="G43" i="35"/>
  <c r="H43" i="35" s="1"/>
  <c r="Q48" i="67"/>
  <c r="B3" i="37"/>
  <c r="B2" i="37"/>
  <c r="C30" i="67"/>
  <c r="C39" i="67" s="1"/>
  <c r="Q69" i="67" s="1"/>
  <c r="J13" i="67"/>
  <c r="J23" i="67" s="1"/>
  <c r="J16" i="67" s="1"/>
  <c r="J25" i="67" s="1"/>
  <c r="C75" i="67"/>
  <c r="C64" i="67"/>
  <c r="Q70" i="67"/>
  <c r="C56" i="67"/>
  <c r="C65" i="67" s="1"/>
  <c r="C19" i="9"/>
  <c r="L51" i="67"/>
  <c r="C20" i="9"/>
  <c r="C10" i="68" l="1"/>
  <c r="D19" i="68"/>
  <c r="C21" i="12"/>
  <c r="C23" i="15"/>
  <c r="C29" i="15" s="1"/>
  <c r="R23" i="6"/>
  <c r="D27" i="6"/>
  <c r="D31" i="6" s="1"/>
  <c r="R19" i="6"/>
  <c r="R24" i="6"/>
  <c r="R22" i="6"/>
  <c r="R25" i="6"/>
  <c r="D8" i="74"/>
  <c r="D7" i="74"/>
  <c r="C28" i="11"/>
  <c r="C27" i="11" s="1"/>
  <c r="C25" i="11"/>
  <c r="L70" i="39"/>
  <c r="M68" i="39"/>
  <c r="C39" i="11"/>
  <c r="C42" i="11"/>
  <c r="C10" i="69"/>
  <c r="C8" i="69" s="1"/>
  <c r="C5" i="69" s="1"/>
  <c r="D19" i="69"/>
  <c r="D16" i="6"/>
  <c r="C4" i="52"/>
  <c r="B45" i="72" s="1"/>
  <c r="A10" i="51"/>
  <c r="B9" i="72" s="1"/>
  <c r="A7" i="51"/>
  <c r="B7" i="72" s="1"/>
  <c r="R21" i="6"/>
  <c r="C22" i="11"/>
  <c r="O63" i="40"/>
  <c r="O65" i="40" s="1"/>
  <c r="N65" i="40"/>
  <c r="C103" i="9"/>
  <c r="C21" i="9"/>
  <c r="C102" i="9"/>
  <c r="C80" i="67"/>
  <c r="C79" i="67" s="1"/>
  <c r="C40" i="67"/>
  <c r="Q56" i="67" s="1"/>
  <c r="C58" i="67"/>
  <c r="C67" i="67" s="1"/>
  <c r="C68" i="67" s="1"/>
  <c r="C71" i="67" s="1"/>
  <c r="Q68" i="67"/>
  <c r="Q67" i="67"/>
  <c r="L57" i="67"/>
  <c r="L60" i="67" s="1"/>
  <c r="D37" i="68" l="1"/>
  <c r="C37" i="68" s="1"/>
  <c r="C33" i="68" s="1"/>
  <c r="C19" i="68"/>
  <c r="C31" i="11"/>
  <c r="C19" i="69"/>
  <c r="C24" i="69" s="1"/>
  <c r="D37" i="69"/>
  <c r="C37" i="69" s="1"/>
  <c r="C33" i="69" s="1"/>
  <c r="M70" i="39"/>
  <c r="N68" i="39"/>
  <c r="I6" i="6"/>
  <c r="I5" i="6"/>
  <c r="C13" i="15"/>
  <c r="C36" i="15"/>
  <c r="J14" i="15"/>
  <c r="C57" i="15"/>
  <c r="Q49" i="15"/>
  <c r="C22" i="12"/>
  <c r="C27" i="12" s="1"/>
  <c r="C25" i="12" s="1"/>
  <c r="C23" i="69"/>
  <c r="C46" i="11"/>
  <c r="C45" i="11" s="1"/>
  <c r="C43" i="11"/>
  <c r="C41" i="11" s="1"/>
  <c r="C49" i="11" s="1"/>
  <c r="C51" i="11" s="1"/>
  <c r="R6" i="1"/>
  <c r="R27" i="6"/>
  <c r="J7" i="40"/>
  <c r="H7" i="40"/>
  <c r="F7" i="40"/>
  <c r="C45" i="67"/>
  <c r="C46" i="67" s="1"/>
  <c r="Q47" i="67"/>
  <c r="Q53" i="67" s="1"/>
  <c r="C83" i="67"/>
  <c r="C82" i="67" s="1"/>
  <c r="C43" i="67"/>
  <c r="D2" i="67"/>
  <c r="B3" i="67" s="1"/>
  <c r="Q65" i="67"/>
  <c r="Q66" i="67"/>
  <c r="Q57" i="67"/>
  <c r="Q62" i="67" s="1"/>
  <c r="F35" i="15"/>
  <c r="M21" i="15"/>
  <c r="C20" i="69" l="1"/>
  <c r="C25" i="69" s="1"/>
  <c r="C22" i="69" s="1"/>
  <c r="C30" i="12"/>
  <c r="C28" i="12" s="1"/>
  <c r="Q75" i="67"/>
  <c r="C32" i="12"/>
  <c r="B2" i="12" s="1"/>
  <c r="B3" i="12" s="1"/>
  <c r="J20" i="15"/>
  <c r="J17" i="15" s="1"/>
  <c r="C34" i="15"/>
  <c r="C31" i="15" s="1"/>
  <c r="F63" i="15"/>
  <c r="C62" i="15" s="1"/>
  <c r="J22" i="15"/>
  <c r="J13" i="15"/>
  <c r="J23" i="15" s="1"/>
  <c r="C75" i="15"/>
  <c r="C56" i="15"/>
  <c r="C65" i="15" s="1"/>
  <c r="C37" i="15"/>
  <c r="C30" i="15" s="1"/>
  <c r="C39" i="15" s="1"/>
  <c r="Q70" i="15"/>
  <c r="F7" i="39"/>
  <c r="C42" i="69"/>
  <c r="C39" i="69"/>
  <c r="C43" i="69" s="1"/>
  <c r="C52" i="11"/>
  <c r="B2" i="11" s="1"/>
  <c r="B3" i="11" s="1"/>
  <c r="C39" i="68"/>
  <c r="C43" i="68" s="1"/>
  <c r="C42" i="68"/>
  <c r="R16" i="1"/>
  <c r="C28" i="69"/>
  <c r="C27" i="69" s="1"/>
  <c r="C61" i="15"/>
  <c r="C64" i="15"/>
  <c r="O68" i="39"/>
  <c r="O70" i="39" s="1"/>
  <c r="N70" i="39"/>
  <c r="C20" i="68"/>
  <c r="C25" i="68" s="1"/>
  <c r="C24" i="68"/>
  <c r="AA7" i="40"/>
  <c r="R42" i="40" s="1"/>
  <c r="S7" i="40"/>
  <c r="AB7" i="40"/>
  <c r="T42" i="40" s="1"/>
  <c r="G42" i="40" s="1"/>
  <c r="U7" i="40"/>
  <c r="AC7" i="40"/>
  <c r="V42" i="40" s="1"/>
  <c r="I42" i="40" s="1"/>
  <c r="W7" i="40"/>
  <c r="B2" i="67"/>
  <c r="C59" i="15" l="1"/>
  <c r="C22" i="68"/>
  <c r="C58" i="15"/>
  <c r="C67" i="15" s="1"/>
  <c r="C68" i="15" s="1"/>
  <c r="C71" i="15" s="1"/>
  <c r="C41" i="68"/>
  <c r="J16" i="15"/>
  <c r="J25" i="15" s="1"/>
  <c r="J26" i="15" s="1"/>
  <c r="J29" i="15" s="1"/>
  <c r="H7" i="39"/>
  <c r="J7" i="39"/>
  <c r="C28" i="68"/>
  <c r="C27" i="68" s="1"/>
  <c r="C31" i="68" s="1"/>
  <c r="C31" i="69"/>
  <c r="C46" i="68"/>
  <c r="C45" i="68" s="1"/>
  <c r="C46" i="69"/>
  <c r="C45" i="69" s="1"/>
  <c r="C41" i="69"/>
  <c r="C56" i="11"/>
  <c r="C57" i="11" s="1"/>
  <c r="S7" i="39"/>
  <c r="AA7" i="39"/>
  <c r="R47" i="39" s="1"/>
  <c r="Q69" i="15"/>
  <c r="Q68" i="15" s="1"/>
  <c r="C40" i="15"/>
  <c r="C80" i="15"/>
  <c r="C79" i="15" s="1"/>
  <c r="I46" i="40"/>
  <c r="J46" i="40" s="1"/>
  <c r="G47" i="40"/>
  <c r="H47" i="40" s="1"/>
  <c r="G46" i="40"/>
  <c r="H46" i="40" s="1"/>
  <c r="R43" i="40"/>
  <c r="E42" i="40"/>
  <c r="I47" i="40" s="1"/>
  <c r="J47" i="40" s="1"/>
  <c r="L51" i="15"/>
  <c r="C49" i="69" l="1"/>
  <c r="C51" i="69" s="1"/>
  <c r="C49" i="68"/>
  <c r="C51" i="68" s="1"/>
  <c r="Q67" i="15"/>
  <c r="C52" i="68"/>
  <c r="B2" i="68" s="1"/>
  <c r="B3" i="68" s="1"/>
  <c r="C43" i="15"/>
  <c r="Q65" i="15"/>
  <c r="Q75" i="15" s="1"/>
  <c r="Q47" i="15"/>
  <c r="Q53" i="15" s="1"/>
  <c r="C83" i="15"/>
  <c r="C82" i="15" s="1"/>
  <c r="Q56" i="15"/>
  <c r="Q62" i="15" s="1"/>
  <c r="B2" i="15"/>
  <c r="E47" i="39"/>
  <c r="R48" i="39"/>
  <c r="C52" i="69"/>
  <c r="B2" i="69" s="1"/>
  <c r="B3" i="69" s="1"/>
  <c r="U7" i="39"/>
  <c r="AB7" i="39"/>
  <c r="T47" i="39" s="1"/>
  <c r="G47" i="39" s="1"/>
  <c r="C46" i="15"/>
  <c r="W7" i="39"/>
  <c r="AC7" i="39"/>
  <c r="V47" i="39" s="1"/>
  <c r="I47" i="39" s="1"/>
  <c r="C43" i="40"/>
  <c r="C42" i="40"/>
  <c r="E47" i="40"/>
  <c r="F47" i="40" s="1"/>
  <c r="E46" i="40"/>
  <c r="F46" i="40" s="1"/>
  <c r="AO6" i="1"/>
  <c r="D19" i="9"/>
  <c r="D21" i="9" l="1"/>
  <c r="D102" i="9"/>
  <c r="G19" i="9"/>
  <c r="E11" i="78" s="1"/>
  <c r="D22" i="9"/>
  <c r="B6" i="70"/>
  <c r="B2" i="70" s="1"/>
  <c r="B3" i="70" s="1"/>
  <c r="I51" i="39"/>
  <c r="J51" i="39" s="1"/>
  <c r="I52" i="39"/>
  <c r="J52" i="39" s="1"/>
  <c r="E51" i="39"/>
  <c r="F51" i="39" s="1"/>
  <c r="E52" i="39"/>
  <c r="F52" i="39" s="1"/>
  <c r="G52" i="39"/>
  <c r="H52" i="39" s="1"/>
  <c r="G51" i="39"/>
  <c r="H51" i="39" s="1"/>
  <c r="C57" i="69"/>
  <c r="C56" i="69" s="1"/>
  <c r="C47" i="39"/>
  <c r="C48" i="39"/>
  <c r="B3" i="15"/>
  <c r="C57" i="68"/>
  <c r="C56" i="68"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D34" i="9"/>
  <c r="D35" i="9"/>
  <c r="D20" i="9"/>
  <c r="E15" i="78" l="1"/>
  <c r="D103" i="9"/>
  <c r="G20" i="9"/>
  <c r="B59" i="39"/>
  <c r="F59" i="39" s="1"/>
  <c r="B63" i="39"/>
  <c r="F63" i="39" s="1"/>
  <c r="B58" i="39"/>
  <c r="F58" i="39" s="1"/>
  <c r="B57" i="39"/>
  <c r="F57" i="39" s="1"/>
  <c r="B61" i="39"/>
  <c r="F61" i="39" s="1"/>
  <c r="B65" i="39"/>
  <c r="F65" i="39" s="1"/>
  <c r="B60" i="39"/>
  <c r="F60" i="39" s="1"/>
  <c r="B64" i="39"/>
  <c r="F64" i="39" s="1"/>
  <c r="B62" i="39"/>
  <c r="F62" i="39" s="1"/>
  <c r="B56" i="39"/>
  <c r="F56" i="39" s="1"/>
  <c r="F66" i="39" s="1"/>
  <c r="B2" i="39" s="1"/>
  <c r="B3" i="39" s="1"/>
  <c r="G21" i="9"/>
  <c r="C32" i="9"/>
  <c r="H118" i="9" l="1"/>
  <c r="C35" i="9"/>
  <c r="F118" i="9" s="1"/>
  <c r="H11" i="78"/>
  <c r="F4" i="52" l="1"/>
  <c r="B51" i="72" s="1"/>
  <c r="F119" i="9"/>
  <c r="F5" i="52" s="1"/>
  <c r="B53" i="72" s="1"/>
  <c r="G118" i="9"/>
  <c r="G4" i="52" s="1"/>
  <c r="B52" i="72" s="1"/>
  <c r="C34" i="9"/>
  <c r="D118" i="9" s="1"/>
  <c r="H119" i="9"/>
  <c r="H5" i="52" s="1"/>
  <c r="I118" i="9"/>
  <c r="C104" i="9"/>
  <c r="H4" i="52"/>
  <c r="D14" i="74"/>
  <c r="H101" i="9"/>
  <c r="D45" i="9" l="1"/>
  <c r="D5" i="53"/>
  <c r="M48" i="9"/>
  <c r="H107" i="9"/>
  <c r="C105" i="9"/>
  <c r="I4" i="52"/>
  <c r="H102" i="9"/>
  <c r="D7" i="53" s="1"/>
  <c r="B21" i="72" s="1"/>
  <c r="E118" i="9"/>
  <c r="E4" i="52" s="1"/>
  <c r="B48" i="72" s="1"/>
  <c r="D119" i="9"/>
  <c r="D5" i="52" s="1"/>
  <c r="B49" i="72" s="1"/>
  <c r="D4" i="52"/>
  <c r="B47" i="72" s="1"/>
  <c r="E14" i="74"/>
  <c r="B5" i="74"/>
  <c r="F14" i="74"/>
  <c r="D5" i="74" l="1"/>
  <c r="C5" i="74"/>
  <c r="D122" i="9"/>
  <c r="D13" i="53"/>
  <c r="H108" i="9"/>
  <c r="D15" i="53" s="1"/>
  <c r="B31" i="72" s="1"/>
  <c r="B20" i="72"/>
  <c r="D6" i="53"/>
  <c r="B22" i="72" s="1"/>
  <c r="C64" i="9"/>
  <c r="C63" i="9" s="1"/>
  <c r="C67" i="9" s="1"/>
  <c r="C68" i="9" s="1"/>
  <c r="D54" i="9" s="1"/>
  <c r="C85" i="9"/>
  <c r="C93" i="9"/>
  <c r="C86" i="9" s="1"/>
  <c r="D52" i="9"/>
  <c r="D55" i="9"/>
  <c r="M53" i="9" s="1"/>
  <c r="C78" i="9"/>
  <c r="C73" i="9" s="1"/>
  <c r="C72" i="9"/>
  <c r="D53" i="9"/>
  <c r="C95" i="9" l="1"/>
  <c r="C96" i="9" s="1"/>
  <c r="E96" i="9" s="1"/>
  <c r="E97" i="9" s="1"/>
  <c r="C79" i="9"/>
  <c r="D14" i="53"/>
  <c r="B32" i="72" s="1"/>
  <c r="B30" i="72"/>
  <c r="G14" i="74"/>
  <c r="B6" i="74" s="1"/>
  <c r="D123" i="9"/>
  <c r="D9" i="52" s="1"/>
  <c r="D8" i="52"/>
  <c r="C97" i="9" l="1"/>
  <c r="D58" i="9" s="1"/>
  <c r="D56" i="9" s="1"/>
  <c r="M54" i="9" s="1"/>
  <c r="N57" i="9" s="1"/>
  <c r="N58" i="9" s="1"/>
  <c r="C6" i="74"/>
  <c r="D6" i="74"/>
  <c r="C80" i="9"/>
  <c r="E80" i="9" s="1"/>
  <c r="E81" i="9" s="1"/>
  <c r="P57" i="9" l="1"/>
  <c r="C81" i="9"/>
  <c r="N59" i="9"/>
  <c r="N60" i="9" s="1"/>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<sst xmlns="http://schemas.openxmlformats.org/spreadsheetml/2006/main" count="7376" uniqueCount="3115">
  <si>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</si>
  <si>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</si>
  <si>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</si>
  <si>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</si>
  <si>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</si>
  <si>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</si>
  <si>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</si>
  <si>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</si>
  <si>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</si>
  <si>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</si>
  <si>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</si>
  <si>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</si>
  <si>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</si>
  <si>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</si>
  <si>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</si>
  <si>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</si>
  <si>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</si>
  <si>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</si>
  <si>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</si>
  <si>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</si>
  <si>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</si>
  <si>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</si>
  <si>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</si>
  <si>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</si>
  <si>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</si>
  <si>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</si>
  <si>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</si>
  <si>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</si>
  <si>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</si>
  <si>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</si>
  <si>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</si>
  <si>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</si>
  <si>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</si>
  <si>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</si>
  <si>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</si>
  <si>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</si>
  <si>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</si>
  <si>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</si>
  <si>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</si>
  <si>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</si>
  <si>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</si>
  <si>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</si>
  <si>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</si>
  <si>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</si>
  <si>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</si>
  <si>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</si>
  <si>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</si>
  <si>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</si>
  <si>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</si>
  <si>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</si>
  <si>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</si>
  <si>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</si>
  <si>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</si>
  <si>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</si>
  <si>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</si>
  <si>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</si>
  <si>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</si>
  <si>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</si>
  <si>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</si>
  <si>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</si>
  <si>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</si>
  <si>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</si>
  <si>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</si>
  <si>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</si>
  <si>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</si>
  <si>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</si>
  <si>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</si>
  <si>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</si>
  <si>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</si>
  <si>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</si>
  <si>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</si>
  <si>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</si>
  <si>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</si>
  <si>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</si>
  <si>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</si>
  <si>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</si>
  <si>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</si>
  <si>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</si>
  <si>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</si>
  <si>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</si>
  <si>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</si>
  <si>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</si>
  <si>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</si>
  <si>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</si>
  <si>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</si>
  <si>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</si>
  <si>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</si>
  <si>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</si>
  <si>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</si>
  <si>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</si>
  <si>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</si>
  <si>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</si>
  <si>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</si>
  <si>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</si>
  <si>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</si>
  <si>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</si>
  <si>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</si>
  <si>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</si>
  <si>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</si>
  <si>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</si>
  <si>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</si>
  <si>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</si>
  <si>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</si>
  <si>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</si>
  <si>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</si>
  <si>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</si>
  <si>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</si>
  <si>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</si>
  <si>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</si>
  <si>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</si>
  <si>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</si>
  <si>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</si>
  <si>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</si>
  <si>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</si>
  <si>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</si>
  <si>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</si>
  <si>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</si>
  <si>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</si>
  <si>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</si>
  <si>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</si>
  <si>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</si>
  <si>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</si>
  <si>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</si>
  <si>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</si>
  <si>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</si>
  <si>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</si>
  <si>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</si>
  <si>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</si>
  <si>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</si>
  <si>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</si>
  <si>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</si>
  <si>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</si>
  <si>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</si>
  <si>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</si>
  <si>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</si>
  <si>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</si>
  <si>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</si>
  <si>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</si>
  <si>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</si>
  <si>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</si>
  <si>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</si>
  <si>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</si>
  <si>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</si>
  <si>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</si>
  <si>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</si>
  <si>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</si>
  <si>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</si>
  <si>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</si>
  <si>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</si>
  <si>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</si>
  <si>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</si>
  <si>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</si>
  <si>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</si>
  <si>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</si>
  <si>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</si>
  <si>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</si>
  <si>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</si>
  <si>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</si>
  <si>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</si>
  <si>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</si>
  <si>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</si>
  <si>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</si>
  <si>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</si>
  <si>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</si>
  <si>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</si>
  <si>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</si>
  <si>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</si>
  <si>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</si>
  <si>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</si>
  <si>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</si>
  <si>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</si>
  <si>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</si>
  <si>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</si>
  <si>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</si>
  <si>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</si>
  <si>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</si>
  <si>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</si>
  <si>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</si>
  <si>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</si>
  <si>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</si>
  <si>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</si>
  <si>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</si>
  <si>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</si>
  <si>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</si>
  <si>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</si>
  <si>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</si>
  <si>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</si>
  <si>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</si>
  <si>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</si>
  <si>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</si>
  <si>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</si>
  <si>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</si>
  <si>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</si>
  <si>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</si>
  <si>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</si>
  <si>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</si>
  <si>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</si>
  <si>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</si>
  <si>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</si>
  <si>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</si>
  <si>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</si>
  <si>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</si>
  <si>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</si>
  <si>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</si>
  <si>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</si>
  <si>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</si>
  <si>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</si>
  <si>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</si>
  <si>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</si>
  <si>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</si>
  <si>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</si>
  <si>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</si>
  <si>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</si>
  <si>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</si>
  <si>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</si>
  <si>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</si>
  <si>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</si>
  <si>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</si>
  <si>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</si>
  <si>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</si>
  <si>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</si>
  <si>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</si>
  <si>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</si>
  <si>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</si>
  <si>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</si>
  <si>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</si>
  <si>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</si>
  <si>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</si>
  <si>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</si>
  <si>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</si>
  <si>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</si>
  <si>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</si>
  <si>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</si>
  <si>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</si>
  <si>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</si>
  <si>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</si>
  <si>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</si>
  <si>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</si>
  <si>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</si>
  <si>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</si>
  <si>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</si>
  <si>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</si>
  <si>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</si>
  <si>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</si>
  <si>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</si>
  <si>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</si>
  <si>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</si>
  <si>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</si>
  <si>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</si>
  <si>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</si>
  <si>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</si>
  <si>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</si>
  <si>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</si>
  <si>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</si>
  <si>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</si>
  <si>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</si>
  <si>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</si>
  <si>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</si>
  <si>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</si>
  <si>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</si>
  <si>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</si>
  <si>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</si>
  <si>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</si>
  <si>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</si>
  <si>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</si>
  <si>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</si>
  <si>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</si>
  <si>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</si>
  <si>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</si>
  <si>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</si>
  <si>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</si>
  <si>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</si>
  <si>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</si>
  <si>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</si>
  <si>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</si>
  <si>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</si>
  <si>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</si>
  <si>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</si>
  <si>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</si>
  <si>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</si>
  <si>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</si>
  <si>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</si>
  <si>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</si>
  <si>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</si>
  <si>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</si>
  <si>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</si>
  <si>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</si>
  <si>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</si>
  <si>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</si>
  <si>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</si>
  <si>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</si>
  <si>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</si>
  <si>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</si>
  <si>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</si>
  <si>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</si>
  <si>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</si>
  <si>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</si>
  <si>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</si>
  <si>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</si>
  <si>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</si>
  <si>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</si>
  <si>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</si>
  <si>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</si>
  <si>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</si>
  <si>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</si>
  <si>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</si>
  <si>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</si>
  <si>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</si>
  <si>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</si>
  <si>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</si>
  <si>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</si>
  <si>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</si>
  <si>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</si>
  <si>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</si>
  <si>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</si>
  <si>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</si>
  <si>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</si>
  <si>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</si>
  <si>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</si>
  <si>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</si>
  <si>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</si>
  <si>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</si>
  <si>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</si>
  <si>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</si>
  <si>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</si>
  <si>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</si>
  <si>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</si>
  <si>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</si>
  <si>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</si>
  <si>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</si>
  <si>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</si>
  <si>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</si>
  <si>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</si>
  <si>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</si>
  <si>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</si>
  <si>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</si>
  <si>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</si>
  <si>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</si>
  <si>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</si>
  <si>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</si>
  <si>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</si>
  <si>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</si>
  <si>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</si>
  <si>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</si>
  <si>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</si>
  <si>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</si>
  <si>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</si>
  <si>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</si>
  <si>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</si>
  <si>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</si>
  <si>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</si>
  <si>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</si>
  <si>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</si>
  <si>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</si>
  <si>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</si>
  <si>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</si>
  <si>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</si>
  <si>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</si>
  <si>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</si>
  <si>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</si>
  <si>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</si>
  <si>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</si>
  <si>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</si>
  <si>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</si>
  <si>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</si>
  <si>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</si>
  <si>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</si>
  <si>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</si>
  <si>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</si>
  <si>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</si>
  <si>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</si>
  <si>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</si>
  <si>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</si>
  <si>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</si>
  <si>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</si>
  <si>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</si>
  <si>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</si>
  <si>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</si>
  <si>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</si>
  <si>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</si>
  <si>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</si>
  <si>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</si>
  <si>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</si>
  <si>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</si>
  <si>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</si>
  <si>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</si>
  <si>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</si>
  <si>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</si>
  <si>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</si>
  <si>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</si>
  <si>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</si>
  <si>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</si>
  <si>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</si>
  <si>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</si>
  <si>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</si>
  <si>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</si>
  <si>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</si>
  <si>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</si>
  <si>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</si>
  <si>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</si>
  <si>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</si>
  <si>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</si>
  <si>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</si>
  <si>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</si>
  <si>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</si>
  <si>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</si>
  <si>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</si>
  <si>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</si>
  <si>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</si>
  <si>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</si>
  <si>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</si>
  <si>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</si>
  <si>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</si>
  <si>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</si>
  <si>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</si>
  <si>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</si>
  <si>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</si>
  <si>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</si>
  <si>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</si>
  <si>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</si>
  <si>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</si>
  <si>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</si>
  <si>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</si>
  <si>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</si>
  <si>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</si>
  <si>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</si>
  <si>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</si>
  <si>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</si>
  <si>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</si>
  <si>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</si>
  <si>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</si>
  <si>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</si>
  <si>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</si>
  <si>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</si>
  <si>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</si>
  <si>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</si>
  <si>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</si>
  <si>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</si>
  <si>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</si>
  <si>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</si>
  <si>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</si>
  <si>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</si>
  <si>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</si>
  <si>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</si>
  <si>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</si>
  <si>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</si>
  <si>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</si>
  <si>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</si>
  <si>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</si>
  <si>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</si>
  <si>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</si>
  <si>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</si>
  <si>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</si>
  <si>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</si>
  <si>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</si>
  <si>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</si>
  <si>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</si>
  <si>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</si>
  <si>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</si>
  <si>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</si>
  <si>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</si>
  <si>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</si>
  <si>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</si>
  <si>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</si>
  <si>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</si>
  <si>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</si>
  <si>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</si>
  <si>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</si>
  <si>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</si>
  <si>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</si>
  <si>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</si>
  <si>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</si>
  <si>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</si>
  <si>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</si>
  <si>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</si>
  <si>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</si>
  <si>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</si>
  <si>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</si>
  <si>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</si>
  <si>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</si>
  <si>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</si>
  <si>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</si>
  <si>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</si>
  <si>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</si>
  <si>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</si>
  <si>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</si>
  <si>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</si>
  <si>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</si>
  <si>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</si>
  <si>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</si>
  <si>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</si>
  <si>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</si>
  <si>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</si>
  <si>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</si>
  <si>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</si>
  <si>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</si>
  <si>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</si>
  <si>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</si>
  <si>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</si>
  <si>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</si>
  <si>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</si>
  <si>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</si>
  <si>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</si>
  <si>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</si>
  <si>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</si>
  <si>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</si>
  <si>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</si>
  <si>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</si>
  <si>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</si>
  <si>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</si>
  <si>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</si>
  <si>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</si>
  <si>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</si>
  <si>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</si>
  <si>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</si>
  <si>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</si>
  <si>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</si>
  <si>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</si>
  <si>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</si>
  <si>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</si>
  <si>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</si>
  <si>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</si>
  <si>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</si>
  <si>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</si>
  <si>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</si>
  <si>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</si>
  <si>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</si>
  <si>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</si>
  <si>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</si>
  <si>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</si>
  <si>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</si>
  <si>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</si>
  <si>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</si>
  <si>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</si>
  <si>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</si>
  <si>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</si>
  <si>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</si>
  <si>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</si>
  <si>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</si>
  <si>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</si>
  <si>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</si>
  <si>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</si>
  <si>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</si>
  <si>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</si>
  <si>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</si>
  <si>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</si>
  <si>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</si>
  <si>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</si>
  <si>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</si>
  <si>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</si>
  <si>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</si>
  <si>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</si>
  <si>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</si>
  <si>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</si>
  <si>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</si>
  <si>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</si>
  <si>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</si>
  <si>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</si>
  <si>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</si>
  <si>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</si>
  <si>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</si>
  <si>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</si>
  <si>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</si>
  <si>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</si>
  <si>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</si>
  <si>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</si>
  <si>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</si>
  <si>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</si>
  <si>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</si>
  <si>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</si>
  <si>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</si>
  <si>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</si>
  <si>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</si>
  <si>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</si>
  <si>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</si>
  <si>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</si>
  <si>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</si>
  <si>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</si>
  <si>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</si>
  <si>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</si>
  <si>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</si>
  <si>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</si>
  <si>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</si>
  <si>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</si>
  <si>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</si>
  <si>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</si>
  <si>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</si>
  <si>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</si>
  <si>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</si>
  <si>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</si>
  <si>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</si>
  <si>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</si>
  <si>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</si>
  <si>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</si>
  <si>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</si>
  <si>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</si>
  <si>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</si>
  <si>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</si>
  <si>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</si>
  <si>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</si>
  <si>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</si>
  <si>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</si>
  <si>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</si>
  <si>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</si>
  <si>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</si>
  <si>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</si>
  <si>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</si>
  <si>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</si>
  <si>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</si>
  <si>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</si>
  <si>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</si>
  <si>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</si>
  <si>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</si>
  <si>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</si>
  <si>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</si>
  <si>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</si>
  <si>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</si>
  <si>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</si>
  <si>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</si>
  <si>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</si>
  <si>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</si>
  <si>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</si>
  <si>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</si>
  <si>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</si>
  <si>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</si>
  <si>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</si>
  <si>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</si>
  <si>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</si>
  <si>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</si>
  <si>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</si>
  <si>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</si>
  <si>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</si>
  <si>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</si>
  <si>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</si>
  <si>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</si>
  <si>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</si>
  <si>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</si>
  <si>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</si>
  <si>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</si>
  <si>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</si>
  <si>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</si>
  <si>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</si>
  <si>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</si>
  <si>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</si>
  <si>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</si>
  <si>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</si>
  <si>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</si>
  <si>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</si>
  <si>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</si>
  <si>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</si>
  <si>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</si>
  <si>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</si>
  <si>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</si>
  <si>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</si>
  <si>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</si>
  <si>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</si>
  <si>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</si>
  <si>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</si>
  <si>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</si>
  <si>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</si>
  <si>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</si>
  <si>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</si>
  <si>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</si>
  <si>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</si>
  <si>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</si>
  <si>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</si>
  <si>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</si>
  <si>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</si>
  <si>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</si>
  <si>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</si>
  <si>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</si>
  <si>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</si>
  <si>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</si>
  <si>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</si>
  <si>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</si>
  <si>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</si>
  <si>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</si>
  <si>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</si>
  <si>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</si>
  <si>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</si>
  <si>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</si>
  <si>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</si>
  <si>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</si>
  <si>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</si>
  <si>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</si>
  <si>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</si>
  <si>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</si>
  <si>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</si>
  <si>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</si>
  <si>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</si>
  <si>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</si>
  <si>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</si>
  <si>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</si>
  <si>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</si>
  <si>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</si>
  <si>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</si>
  <si>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</si>
  <si>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</si>
  <si>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</si>
  <si>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</si>
  <si>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</si>
  <si>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</si>
  <si>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</si>
  <si>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</si>
  <si>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</si>
  <si>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</si>
  <si>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</si>
  <si>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</si>
  <si>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</si>
  <si>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</si>
  <si>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</si>
  <si>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</si>
  <si>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</si>
  <si>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</si>
  <si>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</si>
  <si>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</si>
  <si>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</si>
  <si>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</si>
  <si>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</si>
  <si>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</si>
  <si>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</si>
  <si>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</si>
  <si>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</si>
  <si>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</si>
  <si>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</si>
  <si>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</si>
  <si>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</si>
  <si>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</si>
  <si>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</si>
  <si>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</si>
  <si>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</si>
  <si>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</si>
  <si>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</si>
  <si>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</si>
  <si>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</si>
  <si>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</si>
  <si>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</si>
  <si>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</si>
  <si>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</si>
  <si>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</si>
  <si>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</si>
  <si>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</si>
  <si>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</si>
  <si>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</si>
  <si>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</si>
  <si>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</si>
  <si>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</si>
  <si>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</si>
  <si>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</si>
  <si>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</si>
  <si>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</si>
  <si>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</si>
  <si>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</si>
  <si>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</si>
  <si>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</si>
  <si>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</si>
  <si>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</si>
  <si>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</si>
  <si>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</si>
  <si>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</si>
  <si>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</si>
  <si>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</si>
  <si>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</si>
  <si>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</si>
  <si>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</si>
  <si>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</si>
  <si>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</si>
  <si>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</si>
  <si>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</si>
  <si>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</si>
  <si>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</si>
  <si>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</si>
  <si>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</si>
  <si>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</si>
  <si>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</si>
  <si>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</si>
  <si>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</si>
  <si>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</si>
  <si>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</si>
  <si>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</si>
  <si>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</si>
  <si>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</si>
  <si>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</si>
  <si>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</si>
  <si>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</si>
  <si>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</si>
  <si>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</si>
  <si>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</si>
  <si>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</si>
  <si>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</si>
  <si>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</si>
  <si>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</si>
  <si>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</si>
  <si>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</si>
  <si>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</si>
  <si>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</si>
  <si>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</si>
  <si>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</si>
  <si>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</si>
  <si>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</si>
  <si>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</si>
  <si>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</si>
  <si>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</si>
  <si>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</si>
  <si>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</si>
  <si>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</si>
  <si>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</si>
  <si>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</si>
  <si>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</si>
  <si>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</si>
  <si>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</si>
  <si>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</si>
  <si>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</si>
  <si>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</si>
  <si>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</si>
  <si>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</si>
  <si>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</si>
  <si>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</si>
  <si>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</si>
  <si>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</si>
  <si>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</si>
  <si>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</si>
  <si>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</si>
  <si>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</si>
  <si>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</si>
  <si>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</si>
  <si>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</si>
  <si>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</si>
  <si>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</si>
  <si>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</si>
  <si>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</si>
  <si>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</si>
  <si>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</si>
  <si>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</si>
  <si>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</si>
  <si>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</si>
  <si>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</si>
  <si>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</si>
  <si>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</si>
  <si>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</si>
  <si>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</si>
  <si>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</si>
  <si>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</si>
  <si>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</si>
  <si>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</si>
  <si>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</si>
  <si>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</si>
  <si>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</si>
  <si>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</si>
  <si>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</si>
  <si>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</si>
  <si>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</si>
  <si>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</si>
  <si>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</si>
  <si>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</si>
  <si>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</si>
  <si>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</si>
  <si>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</si>
  <si>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</si>
  <si>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</si>
  <si>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</si>
  <si>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</si>
  <si>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</si>
  <si>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</si>
  <si>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</si>
  <si>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</si>
  <si>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</si>
  <si>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</si>
  <si>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</si>
  <si>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</si>
  <si>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</si>
  <si>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</si>
  <si>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</si>
  <si>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</si>
  <si>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</si>
  <si>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</si>
  <si>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</si>
  <si>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</si>
  <si>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</si>
  <si>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</si>
  <si>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</si>
  <si>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</si>
  <si>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</si>
  <si>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</si>
  <si>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</si>
  <si>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</si>
  <si>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</si>
  <si>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</si>
  <si>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</si>
  <si>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</si>
  <si>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</si>
  <si>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</si>
  <si>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</si>
  <si>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</si>
  <si>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</si>
  <si>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</si>
  <si>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</si>
  <si>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</si>
  <si>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</si>
  <si>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</si>
  <si>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</si>
  <si>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</si>
  <si>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</si>
  <si>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</si>
  <si>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</si>
  <si>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</si>
  <si>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</si>
  <si>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</si>
  <si>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</si>
  <si>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</si>
  <si>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</si>
  <si>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</si>
  <si>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</si>
  <si>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</si>
  <si>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</si>
  <si>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</si>
  <si>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</si>
  <si>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</si>
  <si>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</si>
  <si>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</si>
  <si>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</si>
  <si>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</si>
  <si>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</si>
  <si>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</si>
  <si>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</si>
  <si>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</si>
  <si>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</si>
  <si>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</si>
  <si>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</si>
  <si>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</si>
  <si>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</si>
  <si>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</si>
  <si>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</si>
  <si>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</si>
  <si>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</si>
  <si>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</si>
  <si>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</si>
  <si>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</si>
  <si>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</si>
  <si>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</si>
  <si>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</si>
  <si>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</si>
  <si>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</si>
  <si>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</si>
  <si>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</si>
  <si>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</si>
  <si>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</si>
  <si>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</si>
  <si>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</si>
  <si>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</si>
  <si>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</si>
  <si>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</si>
  <si>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</si>
  <si>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</si>
  <si>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</si>
  <si>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</si>
  <si>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</si>
  <si>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</si>
  <si>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</si>
  <si>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</si>
  <si>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</si>
  <si>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</si>
  <si>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</si>
  <si>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</si>
  <si>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</si>
  <si>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</si>
  <si>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</si>
  <si>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</si>
  <si>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</si>
  <si>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</si>
  <si>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</si>
  <si>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</si>
  <si>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</si>
  <si>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</si>
  <si>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</si>
  <si>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</si>
  <si>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</si>
  <si>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</si>
  <si>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</si>
  <si>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</si>
  <si>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</si>
  <si>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</si>
  <si>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</si>
  <si>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</si>
  <si>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</si>
  <si>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</si>
  <si>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</si>
  <si>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</si>
  <si>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</si>
  <si>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</si>
  <si>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</si>
  <si>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</si>
  <si>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</si>
  <si>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</si>
  <si>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</si>
  <si>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</si>
  <si>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</si>
  <si>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</si>
  <si>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</si>
  <si>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</si>
  <si>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</si>
  <si>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</si>
  <si>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</si>
  <si>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</si>
  <si>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</si>
  <si>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</si>
  <si>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</si>
  <si>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</si>
  <si>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</si>
  <si>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</si>
  <si>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</si>
  <si>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</si>
  <si>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</si>
  <si>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</si>
  <si>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</si>
  <si>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</si>
  <si>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</si>
  <si>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</si>
  <si>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</si>
  <si>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</si>
  <si>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</si>
  <si>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</si>
  <si>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</si>
  <si>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</si>
  <si>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</si>
  <si>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</si>
  <si>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</si>
  <si>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</si>
  <si>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</si>
  <si>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</si>
  <si>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</si>
  <si>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</si>
  <si>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</si>
  <si>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</si>
  <si>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</si>
  <si>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</si>
  <si>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</si>
  <si>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</si>
  <si>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</si>
  <si>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</si>
  <si>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</si>
  <si>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</si>
  <si>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</si>
  <si>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</si>
  <si>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</si>
  <si>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</si>
  <si>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</si>
  <si>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</si>
  <si>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</si>
  <si>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</si>
  <si>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</si>
  <si>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</si>
  <si>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</si>
  <si>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</si>
  <si>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</si>
  <si>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</si>
  <si>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</si>
  <si>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</si>
  <si>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</si>
  <si>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</si>
  <si>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</si>
  <si>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</si>
  <si>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</si>
  <si>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</si>
  <si>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</si>
  <si>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</si>
  <si>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</si>
  <si>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</si>
  <si>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</si>
  <si>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</si>
  <si>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</si>
  <si>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</si>
  <si>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</si>
  <si>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</si>
  <si>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</si>
  <si>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</si>
  <si>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</si>
  <si>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</si>
  <si>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</si>
  <si>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</si>
  <si>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</si>
  <si>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</si>
  <si>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</si>
  <si>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</si>
  <si>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</si>
  <si>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</si>
  <si>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</si>
  <si>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</si>
  <si>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</si>
  <si>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</si>
  <si>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</si>
  <si>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</si>
  <si>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</si>
  <si>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</si>
  <si>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</si>
  <si>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</si>
  <si>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</si>
  <si>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</si>
  <si>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</si>
  <si>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</si>
  <si>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</si>
  <si>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</si>
  <si>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</si>
  <si>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</si>
  <si>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</si>
  <si>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</si>
  <si>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</si>
  <si>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</si>
  <si>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</si>
  <si>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</si>
  <si>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</si>
  <si>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</si>
  <si>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</si>
  <si>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</si>
  <si>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</si>
  <si>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</si>
  <si>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</si>
  <si>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</si>
  <si>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</si>
  <si>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</si>
  <si>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</si>
  <si>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</si>
  <si>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</si>
  <si>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</si>
  <si>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</si>
  <si>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</si>
  <si>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</si>
  <si>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</si>
  <si>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</si>
  <si>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</si>
  <si>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</si>
  <si>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</si>
  <si>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</si>
  <si>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</si>
  <si>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</si>
  <si>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</si>
  <si>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</si>
  <si>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</si>
  <si>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</si>
  <si>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</si>
  <si>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</si>
  <si>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</si>
  <si>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</si>
  <si>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</si>
  <si>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</si>
  <si>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</si>
  <si>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</si>
  <si>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</si>
  <si>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</si>
  <si>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</si>
  <si>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</si>
  <si>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</si>
  <si>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</si>
  <si>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</si>
  <si>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</si>
  <si>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</si>
  <si>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</si>
  <si>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</si>
  <si>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</si>
  <si>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</si>
  <si>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</si>
  <si>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</si>
  <si>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</si>
  <si>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</si>
  <si>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</si>
  <si>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</si>
  <si>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</si>
  <si>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</si>
  <si>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</si>
  <si>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</si>
  <si>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</si>
  <si>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</si>
  <si>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</si>
  <si>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</si>
  <si>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</si>
  <si>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</si>
  <si>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</si>
  <si>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</si>
  <si>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</si>
  <si>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</si>
  <si>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</si>
  <si>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</si>
  <si>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</si>
  <si>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</si>
  <si>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</si>
  <si>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</si>
  <si>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</si>
  <si>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</si>
  <si>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</si>
  <si>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</si>
  <si>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</si>
  <si>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</si>
  <si>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</si>
  <si>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</si>
  <si>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</si>
  <si>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</si>
  <si>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</si>
  <si>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</si>
  <si>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</si>
  <si>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</si>
  <si>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</si>
  <si>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</si>
  <si>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</si>
  <si>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</si>
  <si>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</si>
  <si>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</si>
  <si>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</si>
  <si>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</si>
  <si>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</si>
  <si>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</si>
  <si>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</si>
  <si>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</si>
  <si>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</si>
  <si>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</si>
  <si>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</si>
  <si>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</si>
  <si>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</si>
  <si>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</si>
  <si>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</si>
  <si>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</si>
  <si>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</si>
  <si>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</si>
  <si>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</si>
  <si>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</si>
  <si>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</si>
  <si>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</si>
  <si>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</si>
  <si>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</si>
  <si>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</si>
  <si>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</si>
  <si>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</si>
  <si>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</si>
  <si>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</si>
  <si>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</si>
  <si>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</si>
  <si>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</si>
  <si>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</si>
  <si>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</si>
  <si>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</si>
  <si>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</si>
  <si>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</si>
  <si>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</si>
  <si>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</si>
  <si>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</si>
  <si>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</si>
  <si>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</si>
  <si>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</si>
  <si>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</si>
  <si>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</si>
  <si>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</si>
  <si>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</si>
  <si>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</si>
  <si>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</si>
  <si>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</si>
  <si>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</si>
  <si>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</si>
  <si>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</si>
  <si>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</si>
  <si>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</si>
  <si>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</si>
  <si>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</si>
  <si>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</si>
  <si>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</si>
  <si>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</si>
  <si>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</si>
  <si>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</si>
  <si>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</si>
  <si>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</si>
  <si>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</si>
  <si>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</si>
  <si>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</si>
  <si>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</si>
  <si>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</si>
  <si>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</si>
  <si>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</si>
  <si>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</si>
  <si>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</si>
  <si>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</si>
  <si>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</si>
  <si>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</si>
  <si>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</si>
  <si>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</si>
  <si>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</si>
  <si>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</si>
  <si>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</si>
  <si>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</si>
  <si>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</si>
  <si>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</si>
  <si>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</si>
  <si>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</si>
  <si>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</si>
  <si>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</si>
  <si>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</si>
  <si>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</si>
  <si>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</si>
  <si>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</si>
  <si>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</si>
  <si>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</si>
  <si>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</si>
  <si>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</si>
  <si>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</si>
  <si>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</si>
  <si>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</si>
  <si>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</si>
  <si>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</si>
  <si>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</si>
  <si>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</si>
  <si>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</si>
  <si>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</si>
  <si>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</si>
  <si>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</si>
  <si>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</si>
  <si>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</si>
  <si>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</si>
  <si>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</si>
  <si>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</si>
  <si>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</si>
  <si>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</si>
  <si>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</si>
  <si>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</si>
  <si>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</si>
  <si>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</si>
  <si>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</si>
  <si>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</si>
  <si>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</si>
  <si>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</si>
  <si>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</si>
  <si>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</si>
  <si>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</si>
  <si>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</si>
  <si>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</si>
  <si>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</si>
  <si>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</si>
  <si>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</si>
  <si>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</si>
  <si>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</si>
  <si>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</si>
  <si>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</si>
  <si>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</si>
  <si>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</si>
  <si>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</si>
  <si>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</si>
  <si>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</si>
  <si>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</si>
  <si>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</si>
  <si>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</si>
  <si>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</si>
  <si>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</si>
  <si>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</si>
  <si>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</si>
  <si>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</si>
  <si>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</si>
  <si>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</si>
  <si>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</si>
  <si>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</si>
  <si>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</si>
  <si>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</si>
  <si>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</si>
  <si>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</si>
  <si>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</si>
  <si>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</si>
  <si>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</si>
  <si>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</si>
  <si>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</si>
  <si>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</si>
  <si>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</si>
  <si>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</si>
  <si>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</si>
  <si>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</si>
  <si>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</si>
  <si>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</si>
  <si>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</si>
  <si>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</si>
  <si>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</si>
  <si>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</si>
  <si>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</si>
  <si>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</si>
  <si>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</si>
  <si>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</si>
  <si>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</si>
  <si>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</si>
  <si>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</si>
  <si>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</si>
  <si>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</si>
  <si>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</si>
  <si>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</si>
  <si>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</si>
  <si>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</si>
  <si>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</si>
  <si>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</si>
  <si>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</si>
  <si>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</si>
  <si>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</si>
  <si>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</si>
  <si>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</si>
  <si>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</si>
  <si>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</si>
  <si>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</si>
  <si>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</si>
  <si>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</si>
  <si>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</si>
  <si>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</si>
  <si>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</si>
  <si>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</si>
  <si>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</si>
  <si>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</si>
  <si>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</si>
  <si>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</si>
  <si>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</si>
  <si>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</si>
  <si>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</si>
  <si>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</si>
  <si>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</si>
  <si>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</si>
  <si>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</si>
  <si>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</si>
  <si>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</si>
  <si>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</si>
  <si>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</si>
  <si>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</si>
  <si>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</si>
  <si>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</si>
  <si>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</si>
  <si>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</si>
  <si>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</si>
  <si>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</si>
  <si>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</si>
  <si>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</si>
  <si>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</si>
  <si>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</si>
  <si>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</si>
  <si>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</si>
  <si>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</si>
  <si>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</si>
  <si>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</si>
  <si>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</si>
  <si>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</si>
  <si>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</si>
  <si>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</si>
  <si>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</si>
  <si>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</si>
  <si>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</si>
  <si>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</si>
  <si>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</si>
  <si>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</si>
  <si>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</si>
  <si>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</si>
  <si>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</si>
  <si>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</si>
  <si>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</si>
  <si>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</si>
  <si>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</si>
  <si>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</si>
  <si>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</si>
  <si>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</si>
  <si>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</si>
  <si>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</si>
  <si>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</si>
  <si>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</si>
  <si>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</si>
  <si>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</si>
  <si>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</si>
  <si>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</si>
  <si>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</si>
  <si>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</si>
  <si>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</si>
  <si>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</si>
  <si>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</si>
  <si>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</si>
  <si>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</si>
  <si>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</si>
  <si>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</si>
  <si>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</si>
  <si>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</si>
  <si>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</si>
  <si>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</si>
  <si>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</si>
  <si>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</si>
  <si>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</si>
  <si>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</si>
  <si>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</si>
  <si>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</si>
  <si>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</si>
  <si>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</si>
  <si>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</si>
  <si>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</si>
  <si>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</si>
  <si>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</si>
  <si>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</si>
  <si>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</si>
  <si>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</si>
  <si>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</si>
  <si>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</si>
  <si>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</si>
  <si>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</si>
  <si>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</si>
  <si>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</si>
  <si>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</si>
  <si>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</si>
  <si>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</si>
  <si>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</si>
  <si>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</si>
  <si>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</si>
  <si>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</si>
  <si>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</si>
  <si>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</si>
  <si>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</si>
  <si>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</si>
  <si>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</si>
  <si>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</si>
  <si>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</si>
  <si>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</si>
  <si>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</si>
  <si>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</si>
  <si>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</si>
  <si>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</si>
  <si>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</si>
  <si>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</si>
  <si>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</si>
  <si>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</si>
  <si>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</si>
  <si>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</si>
  <si>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</si>
  <si>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</si>
  <si>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</si>
  <si>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</si>
  <si>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</si>
  <si>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</si>
  <si>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</si>
  <si>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</si>
  <si>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</si>
  <si>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</si>
  <si>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</si>
  <si>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</si>
  <si>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</si>
  <si>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</si>
  <si>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</si>
  <si>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</si>
  <si>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</si>
  <si>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</si>
  <si>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</si>
  <si>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</si>
  <si>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</si>
  <si>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</si>
  <si>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</si>
  <si>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</si>
  <si>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</si>
  <si>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</si>
  <si>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</si>
  <si>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</si>
  <si>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</si>
  <si>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</si>
  <si>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</si>
  <si>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</si>
  <si>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</si>
  <si>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</si>
  <si>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</si>
  <si>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</si>
  <si>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</si>
  <si>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</si>
  <si>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</si>
  <si>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</si>
  <si>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</si>
  <si>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</si>
  <si>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</si>
  <si>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</si>
  <si>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</si>
  <si>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</si>
  <si>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</si>
  <si>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</si>
  <si>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</si>
  <si>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</si>
  <si>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</si>
  <si>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</si>
  <si>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</si>
  <si>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</si>
  <si>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</si>
  <si>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</si>
  <si>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</si>
  <si>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</si>
  <si>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</si>
  <si>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</si>
  <si>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</si>
  <si>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</si>
  <si>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</si>
  <si>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</si>
  <si>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</si>
  <si>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</si>
  <si>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</si>
  <si>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</si>
  <si>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</si>
  <si>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</si>
  <si>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</si>
  <si>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</si>
  <si>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</si>
  <si>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</si>
  <si>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</si>
  <si>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</si>
  <si>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</si>
  <si>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</si>
  <si>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</si>
  <si>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</si>
  <si>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</si>
  <si>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</si>
  <si>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</si>
  <si>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</si>
  <si>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</si>
  <si>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</si>
  <si>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</si>
  <si>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</si>
  <si>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</si>
  <si>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</si>
  <si>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</si>
  <si>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</si>
  <si>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</si>
  <si>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</si>
  <si>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</si>
  <si>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</si>
  <si>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</si>
  <si>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</si>
  <si>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</si>
  <si>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</si>
  <si>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</si>
  <si>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</si>
  <si>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</si>
  <si>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</si>
  <si>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</si>
  <si>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</si>
  <si>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</si>
  <si>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</si>
  <si>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</si>
  <si>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</si>
  <si>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</si>
  <si>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</si>
  <si>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</si>
  <si>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</si>
  <si>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</si>
  <si>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</si>
  <si>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</si>
  <si>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</si>
  <si>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</si>
  <si>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</si>
  <si>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</si>
  <si>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</si>
  <si>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</si>
  <si>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</si>
  <si>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</si>
  <si>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</si>
  <si>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</si>
  <si>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</si>
  <si>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</si>
  <si>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</si>
  <si>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</si>
  <si>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</si>
  <si>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</si>
  <si>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</si>
  <si>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</si>
  <si>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</si>
  <si>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</si>
  <si>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</si>
  <si>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</si>
  <si>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</si>
  <si>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</si>
  <si>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</si>
  <si>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</si>
  <si>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</si>
  <si>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</si>
  <si>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</si>
  <si>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</si>
  <si>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</si>
  <si>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</si>
  <si>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</si>
  <si>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</si>
  <si>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</si>
  <si>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</si>
  <si>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</si>
  <si>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</si>
  <si>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</si>
  <si>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</si>
  <si>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</si>
  <si>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</si>
  <si>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</si>
  <si>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</si>
  <si>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</si>
  <si>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</si>
  <si>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</si>
  <si>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</si>
  <si>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</si>
  <si>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</si>
  <si>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</si>
  <si>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</si>
  <si>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</si>
  <si>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</si>
  <si>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</si>
  <si>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</si>
  <si>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</si>
  <si>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</si>
  <si>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</si>
  <si>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</si>
  <si>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</si>
  <si>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</si>
  <si>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</si>
  <si>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</si>
  <si>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</si>
  <si>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</si>
  <si>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</si>
  <si>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</si>
  <si>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</si>
  <si>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</si>
  <si>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</si>
  <si>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</si>
  <si>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</si>
  <si>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</si>
  <si>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</si>
  <si>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</si>
  <si>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</si>
  <si>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</si>
  <si>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</si>
  <si>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</si>
  <si>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</si>
  <si>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</si>
  <si>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</si>
  <si>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</si>
  <si>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</si>
  <si>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</si>
  <si>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</si>
  <si>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</si>
  <si>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</si>
  <si>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</si>
  <si>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</si>
  <si>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</si>
  <si>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</si>
  <si>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</si>
  <si>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</si>
  <si>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</si>
  <si>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</si>
  <si>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</si>
  <si>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</si>
  <si>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</si>
  <si>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</si>
  <si>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</si>
  <si>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</si>
  <si>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</si>
  <si>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</si>
  <si>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</si>
  <si>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</si>
  <si>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</si>
  <si>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</si>
  <si>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</si>
  <si>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</si>
  <si>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</si>
  <si>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</si>
  <si>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</si>
  <si>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</si>
  <si>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</si>
  <si>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</si>
  <si>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</si>
  <si>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</si>
  <si>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</si>
  <si>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</si>
  <si>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</si>
  <si>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</si>
  <si>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</si>
  <si>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</si>
  <si>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</si>
  <si>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</si>
  <si>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</si>
  <si>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</si>
  <si>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</si>
  <si>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</si>
  <si>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</si>
  <si>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</si>
  <si>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</si>
  <si>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</si>
  <si>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</si>
  <si>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</si>
  <si>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</si>
  <si>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</si>
  <si>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</si>
  <si>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</si>
  <si>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</si>
  <si>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</si>
  <si>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</si>
  <si>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</si>
  <si>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</si>
  <si>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</si>
  <si>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</si>
  <si>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</si>
  <si>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</si>
  <si>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</si>
  <si>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</si>
  <si>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</si>
  <si>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</si>
  <si>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</si>
  <si>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</si>
  <si>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</si>
  <si>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</si>
  <si>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</si>
  <si>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</si>
  <si>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</si>
  <si>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</si>
  <si>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</si>
  <si>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</si>
  <si>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</si>
  <si>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</si>
  <si>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</si>
  <si>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</si>
  <si>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</si>
  <si>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</si>
  <si>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</si>
  <si>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</si>
  <si>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</si>
  <si>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</si>
  <si>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</si>
  <si>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</si>
  <si>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</si>
  <si>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</si>
  <si>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</si>
  <si>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</si>
  <si>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</si>
  <si>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</si>
  <si>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</si>
  <si>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</si>
  <si>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</si>
  <si>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</si>
  <si>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</si>
  <si>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</si>
  <si>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</si>
  <si>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</si>
  <si>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</si>
  <si>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</si>
  <si>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</si>
  <si>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</si>
  <si>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</si>
  <si>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</si>
  <si>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</si>
  <si>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</si>
  <si>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</si>
  <si>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</si>
  <si>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</si>
  <si>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</si>
  <si>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</si>
  <si>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</si>
  <si>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</si>
  <si>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</si>
  <si>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</si>
  <si>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</si>
  <si>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</si>
  <si>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</si>
  <si>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</si>
  <si>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</si>
  <si>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</si>
  <si>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</si>
  <si>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</si>
  <si>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</si>
  <si>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</si>
  <si>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</si>
  <si>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</si>
  <si>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</si>
  <si>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</si>
  <si>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</si>
  <si>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</si>
  <si>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</si>
  <si>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</si>
  <si>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</si>
  <si>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</si>
  <si>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</si>
  <si>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</si>
  <si>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</si>
  <si>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</si>
  <si>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</si>
  <si>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</si>
  <si>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</si>
  <si>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</si>
  <si>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</si>
  <si>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</si>
  <si>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</si>
  <si>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</si>
  <si>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</si>
  <si>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</si>
  <si>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</si>
  <si>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</si>
  <si>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</si>
  <si>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</si>
  <si>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</si>
  <si>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</si>
  <si>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</si>
  <si>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</si>
  <si>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</si>
  <si>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</si>
  <si>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</si>
  <si>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</si>
  <si>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</si>
  <si>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</si>
  <si>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</si>
  <si>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</si>
  <si>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</si>
  <si>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</si>
  <si>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</si>
  <si>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</si>
  <si>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</si>
  <si>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</si>
  <si>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</si>
  <si>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</si>
  <si>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</si>
  <si>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</si>
  <si>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</si>
  <si>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</si>
  <si>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</si>
  <si>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</si>
  <si>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</si>
  <si>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</si>
  <si>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</si>
  <si>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</si>
  <si>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</si>
  <si>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</si>
  <si>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</si>
  <si>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</si>
  <si>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</si>
  <si>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</si>
  <si>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</si>
  <si>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</si>
  <si>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</si>
  <si>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</si>
  <si>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</si>
  <si>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</si>
  <si>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</si>
  <si>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</si>
  <si>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</si>
  <si>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</si>
  <si>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</si>
  <si>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</si>
  <si>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</si>
  <si>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</si>
  <si>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</si>
  <si>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</si>
  <si>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</si>
  <si>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</si>
  <si>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</si>
  <si>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</si>
  <si>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</si>
  <si>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</si>
  <si>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</si>
  <si>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</si>
  <si>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</si>
  <si>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</si>
  <si>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</si>
  <si>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</si>
  <si>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</si>
  <si>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</si>
  <si>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</si>
  <si>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</si>
  <si>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</si>
  <si>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</si>
  <si>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</si>
  <si>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</si>
  <si>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</si>
  <si>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</si>
  <si>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</si>
  <si>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</si>
  <si>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</si>
  <si>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</si>
  <si>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</si>
  <si>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</si>
  <si>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</si>
  <si>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</si>
  <si>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</si>
  <si>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</si>
  <si>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</si>
  <si>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</si>
  <si>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</si>
  <si>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</si>
  <si>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</si>
  <si>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</si>
  <si>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</si>
  <si>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</si>
  <si>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</si>
  <si>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</si>
  <si>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</si>
  <si>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</si>
  <si>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</si>
  <si>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</si>
  <si>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</si>
  <si>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</si>
  <si>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</si>
  <si>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</si>
  <si>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</si>
  <si>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</si>
  <si>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</si>
  <si>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</si>
  <si>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</si>
  <si>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</si>
  <si>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</si>
  <si>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</si>
  <si>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</si>
  <si>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</si>
  <si>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</si>
  <si>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</si>
  <si>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</si>
  <si>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</si>
  <si>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</si>
  <si>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</si>
  <si>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</si>
  <si>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</si>
  <si>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</si>
  <si>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</si>
  <si>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</si>
  <si>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</si>
  <si>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</si>
  <si>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</si>
  <si>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</si>
  <si>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</si>
  <si>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</si>
  <si>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</si>
  <si>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</si>
  <si>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</si>
  <si>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</si>
  <si>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</si>
  <si>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</si>
  <si>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</si>
  <si>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</si>
  <si>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</si>
  <si>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</si>
  <si>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</si>
  <si>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</si>
  <si>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</si>
  <si>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</si>
  <si>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</si>
  <si>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</si>
  <si>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</si>
  <si>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</si>
  <si>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</si>
  <si>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</si>
  <si>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</si>
  <si>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</si>
  <si>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</si>
  <si>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</si>
  <si>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</si>
  <si>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</si>
  <si>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</si>
  <si>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</si>
  <si>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</si>
  <si>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</si>
  <si>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</si>
  <si>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</si>
  <si>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</si>
  <si>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</si>
  <si>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</si>
  <si>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</si>
  <si>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</si>
  <si>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</si>
  <si>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</si>
  <si>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</si>
  <si>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</si>
  <si>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</si>
  <si>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</si>
  <si>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</si>
  <si>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</si>
  <si>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</si>
  <si>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</si>
  <si>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</si>
  <si>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</si>
  <si>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</si>
  <si>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</si>
  <si>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</si>
  <si>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</si>
  <si>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</si>
  <si>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</si>
  <si>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</si>
  <si>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</si>
  <si>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</si>
  <si>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</si>
  <si>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</si>
  <si>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</si>
  <si>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</si>
  <si>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</si>
  <si>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</si>
  <si>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</si>
  <si>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</si>
  <si>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</si>
  <si>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</si>
  <si>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</si>
  <si>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</si>
  <si>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</si>
  <si>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</si>
  <si>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</si>
  <si>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</si>
  <si>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</si>
  <si>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</si>
  <si>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</si>
  <si>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</si>
  <si>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</si>
  <si>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</si>
  <si>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</si>
  <si>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</si>
  <si>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</si>
  <si>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</si>
  <si>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</si>
  <si>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</si>
  <si>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</si>
  <si>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</si>
  <si>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</si>
  <si>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</si>
  <si>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</si>
  <si>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</si>
  <si>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</si>
  <si>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</si>
  <si>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</si>
  <si>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</si>
  <si>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</si>
  <si>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</si>
  <si>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</si>
  <si>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</si>
  <si>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</si>
  <si>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</si>
  <si>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</si>
  <si>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</si>
  <si>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</si>
  <si>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</si>
  <si>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</si>
  <si>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</si>
  <si>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</si>
  <si>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</si>
  <si>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</si>
  <si>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</si>
  <si>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</si>
  <si>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</si>
  <si>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</si>
  <si>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</si>
  <si>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</si>
  <si>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</si>
  <si>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</si>
  <si>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</si>
  <si>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</si>
  <si>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</si>
  <si>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</si>
  <si>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</si>
  <si>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</si>
  <si>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</si>
  <si>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</si>
  <si>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</si>
  <si>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</si>
  <si>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</si>
  <si>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</si>
  <si>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</si>
  <si>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</si>
  <si>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</si>
  <si>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</si>
  <si>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</si>
  <si>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</si>
  <si>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</si>
  <si>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</si>
  <si>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</si>
  <si>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</si>
  <si>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</si>
  <si>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</si>
  <si>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</si>
  <si>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</si>
  <si>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</si>
  <si>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</si>
  <si>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</si>
  <si>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</si>
  <si>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</si>
  <si>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</si>
  <si>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</si>
  <si>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</si>
  <si>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</si>
  <si>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</si>
  <si>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</si>
  <si>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</si>
  <si>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</si>
  <si>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</si>
  <si>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</si>
  <si>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</si>
  <si>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</si>
  <si>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</si>
  <si>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</si>
  <si>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</si>
  <si>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</si>
  <si>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</si>
  <si>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</si>
  <si>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</si>
  <si>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</si>
  <si>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</si>
  <si>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</si>
  <si>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</si>
  <si>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</si>
  <si>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</si>
  <si>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</si>
  <si>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</si>
  <si>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</si>
  <si>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</si>
  <si>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</si>
  <si>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</si>
  <si>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</si>
  <si>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</si>
  <si>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</si>
  <si>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</si>
  <si>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</si>
  <si>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</si>
  <si>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</si>
  <si>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</si>
  <si>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</si>
  <si>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</si>
  <si>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</si>
  <si>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</si>
  <si>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</si>
  <si>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</si>
  <si>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</si>
  <si>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</si>
  <si>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</si>
  <si>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</si>
  <si>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</si>
  <si>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</si>
  <si>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</si>
  <si>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</si>
  <si>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</si>
  <si>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</si>
  <si>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</si>
  <si>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</si>
  <si>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</si>
  <si>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</si>
  <si>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</si>
  <si>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</si>
  <si>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</si>
  <si>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</si>
  <si>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</si>
  <si>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</si>
  <si>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</si>
  <si>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</si>
  <si>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</si>
  <si>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</si>
  <si>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</si>
  <si>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</si>
  <si>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</si>
  <si>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</si>
  <si>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</si>
  <si>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</si>
  <si>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</si>
  <si>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</si>
  <si>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</si>
  <si>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</si>
  <si>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</si>
  <si>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</si>
  <si>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</si>
  <si>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</si>
  <si>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</si>
  <si>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</si>
  <si>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</si>
  <si>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</si>
  <si>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</si>
  <si>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</si>
  <si>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</si>
  <si>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</si>
  <si>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</si>
  <si>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</si>
  <si>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</si>
  <si>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</si>
  <si>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</si>
  <si>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</si>
  <si>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</si>
  <si>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</si>
  <si>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</si>
  <si>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</si>
  <si>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</si>
  <si>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</si>
  <si>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</si>
  <si>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</si>
  <si>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</si>
  <si>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</si>
  <si>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</si>
  <si>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</si>
  <si>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</si>
  <si>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</si>
  <si>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</si>
  <si>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</si>
  <si>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</si>
  <si>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</si>
  <si>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</si>
  <si>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</si>
  <si>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</si>
  <si>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</si>
  <si>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</si>
  <si>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</si>
  <si>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</si>
  <si>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</si>
  <si>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</si>
  <si>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</si>
  <si>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</si>
  <si>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</si>
  <si>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</si>
  <si>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</si>
  <si>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</si>
  <si>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</si>
  <si>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</si>
  <si>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</si>
  <si>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</si>
  <si>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</si>
  <si>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</si>
  <si>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</si>
  <si>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</si>
  <si>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</si>
  <si>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</si>
  <si>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</si>
  <si>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</si>
  <si>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</si>
  <si>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</si>
  <si>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</si>
  <si>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</si>
  <si>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</si>
  <si>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</si>
  <si>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</si>
  <si>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</si>
  <si>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</si>
  <si>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</si>
  <si>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</si>
  <si>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</si>
  <si>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</si>
  <si>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</si>
  <si>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</si>
  <si>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</si>
  <si>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</si>
  <si>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</si>
  <si>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</si>
  <si>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</si>
  <si>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</si>
  <si>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</si>
  <si>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</si>
  <si>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</si>
  <si>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</si>
  <si>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</si>
  <si>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</si>
  <si>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</si>
  <si>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</si>
  <si>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</si>
  <si>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</si>
  <si>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</si>
  <si>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</si>
  <si>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</si>
  <si>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</si>
  <si>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</si>
  <si>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</si>
  <si>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</si>
  <si>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</si>
  <si>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</si>
  <si>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</si>
  <si>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</si>
  <si>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</si>
  <si>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</si>
  <si>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</si>
  <si>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</si>
  <si>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</si>
  <si>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</si>
  <si>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</si>
  <si>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</si>
  <si>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</si>
  <si>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</si>
  <si>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</si>
  <si>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</si>
  <si>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</si>
  <si>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</si>
  <si>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</si>
  <si>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</si>
  <si>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</si>
  <si>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</si>
  <si>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</si>
  <si>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</si>
  <si>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</si>
  <si>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</si>
  <si>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</si>
  <si>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</si>
  <si>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</si>
  <si>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</si>
  <si>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</si>
  <si>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</si>
  <si>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</si>
  <si>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</si>
  <si>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</si>
  <si>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</si>
  <si>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</si>
  <si>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</si>
  <si>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</si>
  <si>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</si>
  <si>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</si>
  <si>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</si>
  <si>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</si>
  <si>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</si>
  <si>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</si>
  <si>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</si>
  <si>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</si>
  <si>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</si>
  <si>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</si>
  <si>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</si>
  <si>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</si>
  <si>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</si>
  <si>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</si>
  <si>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</si>
  <si>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</si>
  <si>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</si>
  <si>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</si>
  <si>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</si>
  <si>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</si>
  <si>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</si>
  <si>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</si>
  <si>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</si>
  <si>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</si>
  <si>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</si>
  <si>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</si>
  <si>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</si>
  <si>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</si>
  <si>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</si>
  <si>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</si>
  <si>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</si>
  <si>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</si>
  <si>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</si>
  <si>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</si>
  <si>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</si>
  <si>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</si>
  <si>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</si>
  <si>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</si>
  <si>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</si>
  <si>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</si>
  <si>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</si>
  <si>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</si>
  <si>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</si>
  <si>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</si>
  <si>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</si>
  <si>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</si>
  <si>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</si>
  <si>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</si>
  <si>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</si>
  <si>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</si>
  <si>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</si>
  <si>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</si>
  <si>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</si>
  <si>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</si>
  <si>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</si>
  <si>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</si>
  <si>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</si>
  <si>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</si>
  <si>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</si>
  <si>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</si>
  <si>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</si>
  <si>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</si>
  <si>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</si>
  <si>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</si>
  <si>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</si>
  <si>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</si>
  <si>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</si>
  <si>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</si>
  <si>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</si>
  <si>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</si>
  <si>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</si>
  <si>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</si>
  <si>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</si>
  <si>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</si>
  <si>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</si>
  <si>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</si>
  <si>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</si>
  <si>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</si>
  <si>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</si>
  <si>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</si>
  <si>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</si>
  <si>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</si>
  <si>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</si>
  <si>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</si>
  <si>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</si>
  <si>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</si>
  <si>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</si>
  <si>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</si>
  <si>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</si>
  <si>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</si>
  <si>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</si>
  <si>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</si>
  <si>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</si>
  <si>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</si>
  <si>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</si>
  <si>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</si>
  <si>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</si>
  <si>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</si>
  <si>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</si>
  <si>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</si>
  <si>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</si>
  <si>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</si>
  <si>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</si>
  <si>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</si>
  <si>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</si>
  <si>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</si>
  <si>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</si>
  <si>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</si>
  <si>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</si>
  <si>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</si>
  <si>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</si>
  <si>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</si>
  <si>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</si>
  <si>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</si>
  <si>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</si>
  <si>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</si>
  <si>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</si>
  <si>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</si>
  <si>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</si>
  <si>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</si>
  <si>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</si>
  <si>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</si>
  <si>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</si>
  <si>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</si>
  <si>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</si>
  <si>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</si>
  <si>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</si>
  <si>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</si>
  <si>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</si>
  <si>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</si>
  <si>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</si>
  <si>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</si>
  <si>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</si>
  <si>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</si>
  <si>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</si>
  <si>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</si>
  <si>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</si>
  <si>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</si>
  <si>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</si>
  <si>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</si>
  <si>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</si>
  <si>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</si>
  <si>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</si>
  <si>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</si>
  <si>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</si>
  <si>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</si>
  <si>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</si>
  <si>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</si>
  <si>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</si>
  <si>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</si>
  <si>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</si>
  <si>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</si>
  <si>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</si>
  <si>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</si>
  <si>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</si>
  <si>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</si>
  <si>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</si>
  <si>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</si>
  <si>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</si>
  <si>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</si>
  <si>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</si>
  <si>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</si>
  <si>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</si>
  <si>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</si>
  <si>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</si>
  <si>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</si>
  <si>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</si>
  <si>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</si>
  <si>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</si>
  <si>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</si>
  <si>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</si>
  <si>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</si>
  <si>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</si>
  <si>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</si>
  <si>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</si>
  <si>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</si>
  <si>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</si>
  <si>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</si>
  <si>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</si>
  <si>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</si>
  <si>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</si>
  <si>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</si>
  <si>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</si>
  <si>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</si>
  <si>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</si>
  <si>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</si>
  <si>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</si>
  <si>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</si>
  <si>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</si>
  <si>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</si>
  <si>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</si>
  <si>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</si>
  <si>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</si>
  <si>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</si>
  <si>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</si>
  <si>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</si>
  <si>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</si>
  <si>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</si>
  <si>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</si>
  <si>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</si>
  <si>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</si>
  <si>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</si>
  <si>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</si>
  <si>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</si>
  <si>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</si>
  <si>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</si>
  <si>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</si>
  <si>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</si>
  <si>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</si>
  <si>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</si>
  <si>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</si>
  <si>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</si>
  <si>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</si>
  <si>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</si>
  <si>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</si>
  <si>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</si>
  <si>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</si>
  <si>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</si>
  <si>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</si>
  <si>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</si>
  <si>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</si>
  <si>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</si>
  <si>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</si>
  <si>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</si>
  <si>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</si>
  <si>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</si>
  <si>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</si>
  <si>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</si>
  <si>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</si>
  <si>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</si>
  <si>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</si>
  <si>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</si>
  <si>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</si>
  <si>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</si>
  <si>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</si>
  <si>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</si>
  <si>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</si>
  <si>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</si>
  <si>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</si>
  <si>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</si>
  <si>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</si>
  <si>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</si>
  <si>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</si>
  <si>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</si>
  <si>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</si>
  <si>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</si>
  <si>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</si>
  <si>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</si>
  <si>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</si>
  <si>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</si>
  <si>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</si>
  <si>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</si>
  <si>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</si>
  <si>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</si>
  <si>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</si>
  <si>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</si>
  <si>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</si>
  <si>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</si>
  <si>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</si>
  <si>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</si>
  <si>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</si>
  <si>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</si>
  <si>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</si>
  <si>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</si>
  <si>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</si>
  <si>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</si>
  <si>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</si>
  <si>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</si>
  <si>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</si>
  <si>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</si>
  <si>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</si>
  <si>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</si>
  <si>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</si>
  <si>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</si>
  <si>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</si>
  <si>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</si>
  <si>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</si>
  <si>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</si>
  <si>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</si>
  <si>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</si>
  <si>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</si>
  <si>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</si>
  <si>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</si>
  <si>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</si>
  <si>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</si>
  <si>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</si>
  <si>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</si>
  <si>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</si>
  <si>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</si>
  <si>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</si>
  <si>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</si>
  <si>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</si>
  <si>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</si>
  <si>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</si>
  <si>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</si>
  <si>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</si>
  <si>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</si>
  <si>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</si>
  <si>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</si>
  <si>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</si>
  <si>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</si>
  <si>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</si>
  <si>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</si>
  <si>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</si>
  <si>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</si>
  <si>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</si>
  <si>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</si>
  <si>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</si>
  <si>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</si>
  <si>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</si>
  <si>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</si>
  <si>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</si>
  <si>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</si>
  <si>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</si>
  <si>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</si>
  <si>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</si>
  <si>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</si>
  <si>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</si>
  <si>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</si>
  <si>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</si>
  <si>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</si>
  <si>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</si>
  <si>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</si>
  <si>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</si>
  <si>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</si>
  <si>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</si>
  <si>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</si>
  <si>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</si>
  <si>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</si>
  <si>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</si>
  <si>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</si>
  <si>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</si>
  <si>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</si>
  <si>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</si>
  <si>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</si>
  <si>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</si>
  <si>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</si>
  <si>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</si>
  <si>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</si>
  <si>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</si>
  <si>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</si>
  <si>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</si>
  <si>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</si>
  <si>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</si>
  <si>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</si>
  <si>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</si>
  <si>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</si>
  <si>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</si>
  <si>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</si>
  <si>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</si>
  <si>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</si>
  <si>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</si>
  <si>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</si>
  <si>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</si>
  <si>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</si>
  <si>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</si>
  <si>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</si>
  <si>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</si>
  <si>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</si>
  <si>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</si>
  <si>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</si>
  <si>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</si>
  <si>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</si>
  <si>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</si>
  <si>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</si>
  <si>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</si>
  <si>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</si>
  <si>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</si>
  <si>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</si>
  <si>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</si>
  <si>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</si>
  <si>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</si>
  <si>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</si>
  <si>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</si>
  <si>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</si>
  <si>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</si>
  <si>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</si>
  <si>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</si>
  <si>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</si>
  <si>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</si>
  <si>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</si>
  <si>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</si>
  <si>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</si>
  <si>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</si>
  <si>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</si>
  <si>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</si>
  <si>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</si>
  <si>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</si>
  <si>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</si>
  <si>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</si>
  <si>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</si>
  <si>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</si>
  <si>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</si>
  <si>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</si>
  <si>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</si>
  <si>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</si>
  <si>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</si>
  <si>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</si>
  <si>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</si>
  <si>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</si>
  <si>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</si>
  <si>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</si>
  <si>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</si>
  <si>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</si>
  <si>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</si>
  <si>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</si>
  <si>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</si>
  <si>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</si>
  <si>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</si>
  <si>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</si>
  <si>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</si>
  <si>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</si>
  <si>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</si>
  <si>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</si>
  <si>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</si>
  <si>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</si>
  <si>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</si>
  <si>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</si>
  <si>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</si>
  <si>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</si>
  <si>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</si>
  <si>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</si>
  <si>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</si>
  <si>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</si>
  <si>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</si>
  <si>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</si>
  <si>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</si>
  <si>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</si>
  <si>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</si>
  <si>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</si>
  <si>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</si>
  <si>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</si>
  <si>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</si>
  <si>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</si>
  <si>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</si>
  <si>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</si>
  <si>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</si>
  <si>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</si>
  <si>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</si>
  <si>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</si>
  <si>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</si>
  <si>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</si>
  <si>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</si>
  <si>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</si>
  <si>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</si>
  <si>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</si>
  <si>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</si>
  <si>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</si>
  <si>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</si>
  <si>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</si>
  <si>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</si>
  <si>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</si>
  <si>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</si>
  <si>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</si>
  <si>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</si>
  <si>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</si>
  <si>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</si>
  <si>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</si>
  <si>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</si>
  <si>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</si>
  <si>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</si>
  <si>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</si>
  <si>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</si>
  <si>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</si>
  <si>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</si>
  <si>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</si>
  <si>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</si>
  <si>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</si>
  <si>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</si>
  <si>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</si>
  <si>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</si>
  <si>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</si>
  <si>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</si>
  <si>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</si>
  <si>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</si>
  <si>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</si>
  <si>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</si>
  <si>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</si>
  <si>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</si>
  <si>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</si>
  <si>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</si>
  <si>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</si>
  <si>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</si>
  <si>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</si>
  <si>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</si>
  <si>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</si>
  <si>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</si>
  <si>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</si>
  <si>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</si>
  <si>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</si>
  <si>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</si>
  <si>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</si>
  <si>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</si>
  <si>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</si>
  <si>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</si>
  <si>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</si>
  <si>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</si>
  <si>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</si>
  <si>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</si>
  <si>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</si>
  <si>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</si>
  <si>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</si>
  <si>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</si>
  <si>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</si>
  <si>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</si>
  <si>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</si>
  <si>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</si>
  <si>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</si>
  <si>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</si>
  <si>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</si>
  <si>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</si>
  <si>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</si>
  <si>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</si>
  <si>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</si>
  <si>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</si>
  <si>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</si>
  <si>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</si>
  <si>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</si>
  <si>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</si>
  <si>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</si>
  <si>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</si>
  <si>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</si>
  <si>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</si>
  <si>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</si>
  <si>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</si>
  <si>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</si>
  <si>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</si>
  <si>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</si>
  <si>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</si>
  <si>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</si>
  <si>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</si>
  <si>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</si>
  <si>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</si>
  <si>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</si>
  <si>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</si>
  <si>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</si>
  <si>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</si>
  <si>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</si>
  <si>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</si>
  <si>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</si>
  <si>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</si>
  <si>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</si>
  <si>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</si>
  <si>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</si>
  <si>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</si>
  <si>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</si>
  <si>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</si>
  <si>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</si>
  <si>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</si>
  <si>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</si>
  <si>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</si>
  <si>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</si>
  <si>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</si>
  <si>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</si>
  <si>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</si>
  <si>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</si>
  <si>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</si>
  <si>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</si>
  <si>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</si>
  <si>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</si>
  <si>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</si>
  <si>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</si>
  <si>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</si>
  <si>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</si>
  <si>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</si>
  <si>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</si>
  <si>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</si>
  <si>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</si>
  <si>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</si>
  <si>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</si>
  <si>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</si>
  <si>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</si>
  <si>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</si>
  <si>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</si>
  <si>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</si>
  <si>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</si>
  <si>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</si>
  <si>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</si>
  <si>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</si>
  <si>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</si>
  <si>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</si>
  <si>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</si>
  <si>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</si>
  <si>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</si>
  <si>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</si>
  <si>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</si>
  <si>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</si>
  <si>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</si>
  <si>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</si>
  <si>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</si>
  <si>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</si>
  <si>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</si>
  <si>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</si>
  <si>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</si>
  <si>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</si>
  <si>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</si>
  <si>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</si>
  <si>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</si>
  <si>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</si>
  <si>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</si>
  <si>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</si>
  <si>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</si>
  <si>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</si>
  <si>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</si>
  <si>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</si>
  <si>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</si>
  <si>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</si>
  <si>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</si>
  <si>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</si>
  <si>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</si>
  <si>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</si>
  <si>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</si>
  <si>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</si>
  <si>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</si>
  <si>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</si>
  <si>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</si>
  <si>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</si>
  <si>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</si>
  <si>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</si>
  <si>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</si>
  <si>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</si>
  <si>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</si>
  <si>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</si>
  <si>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</si>
  <si>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</si>
  <si>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</si>
  <si>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</si>
  <si>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</si>
  <si>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</si>
  <si>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</si>
  <si>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</si>
  <si>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</si>
  <si>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</si>
  <si>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</si>
  <si>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</si>
  <si>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</si>
  <si>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</si>
  <si>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</si>
  <si>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</si>
  <si>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</si>
  <si>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</si>
  <si>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</si>
  <si>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</si>
  <si>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</si>
  <si>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</si>
  <si>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</si>
  <si>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</si>
  <si>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</si>
  <si>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</si>
  <si>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</si>
  <si>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</si>
  <si>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</si>
  <si>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</si>
  <si>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</si>
  <si>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</si>
  <si>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</si>
  <si>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</si>
  <si>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</si>
  <si>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</si>
  <si>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</si>
  <si>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</si>
  <si>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</si>
  <si>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</si>
  <si>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</si>
  <si>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</si>
  <si>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</si>
  <si>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</si>
  <si>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</si>
  <si>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其他：</t>
  </si>
  <si>
    <t>企业</t>
  </si>
  <si>
    <t>出让</t>
  </si>
  <si>
    <t>地上</t>
  </si>
  <si>
    <t>办公楼</t>
  </si>
  <si>
    <t>是</t>
  </si>
  <si>
    <t>工业用房</t>
  </si>
  <si>
    <t>工业用房</t>
    <phoneticPr fontId="7" type="noConversion"/>
  </si>
  <si>
    <t>正常</t>
  </si>
  <si>
    <t>售价</t>
  </si>
  <si>
    <t>比较法-工业</t>
  </si>
  <si>
    <t>收益法</t>
  </si>
  <si>
    <t>收益比率</t>
  </si>
  <si>
    <t>钢混</t>
  </si>
  <si>
    <t>生产用房</t>
  </si>
  <si>
    <t>成新度</t>
  </si>
  <si>
    <t>押一</t>
  </si>
  <si>
    <t>按租金收入计税</t>
  </si>
  <si>
    <t>精装修</t>
  </si>
  <si>
    <t>精装修</t>
    <phoneticPr fontId="32" type="noConversion"/>
  </si>
  <si>
    <t>普通装修</t>
    <phoneticPr fontId="32" type="noConversion"/>
  </si>
  <si>
    <t>简单装修</t>
    <phoneticPr fontId="32" type="noConversion"/>
  </si>
  <si>
    <t>毛坯</t>
  </si>
  <si>
    <t>毛坯</t>
    <phoneticPr fontId="32" type="noConversion"/>
  </si>
  <si>
    <t>现房</t>
  </si>
  <si>
    <t>单价</t>
    <phoneticPr fontId="143" type="noConversion"/>
  </si>
  <si>
    <t>总价</t>
    <phoneticPr fontId="143" type="noConversion"/>
  </si>
  <si>
    <t>总价含装修</t>
    <phoneticPr fontId="143" type="noConversion"/>
  </si>
  <si>
    <t>单价含装修</t>
    <phoneticPr fontId="143" type="noConversion"/>
  </si>
  <si>
    <t>评估单价</t>
    <phoneticPr fontId="143" type="noConversion"/>
  </si>
  <si>
    <t>涨幅</t>
    <phoneticPr fontId="143" type="noConversion"/>
  </si>
  <si>
    <t>郑燚</t>
  </si>
  <si>
    <t>吴薇</t>
  </si>
  <si>
    <t>2019-1-0578</t>
    <phoneticPr fontId="6" type="noConversion"/>
  </si>
  <si>
    <t>四川小麦飞扬科技有限公司</t>
    <phoneticPr fontId="6" type="noConversion"/>
  </si>
  <si>
    <t>华夏银行股份有限公司北京姚家园支行</t>
    <phoneticPr fontId="6" type="noConversion"/>
  </si>
  <si>
    <t>抵押</t>
  </si>
  <si>
    <t>房地产抵押价值</t>
  </si>
  <si>
    <r>
      <rPr>
        <sz val="12"/>
        <color theme="9" tint="-0.249977111117893"/>
        <rFont val="宋体"/>
        <family val="3"/>
        <charset val="134"/>
      </rPr>
      <t>四川省成都市青羊区广富路</t>
    </r>
    <r>
      <rPr>
        <sz val="12"/>
        <color theme="9" tint="-0.249977111117893"/>
        <rFont val="Arial"/>
        <family val="2"/>
      </rPr>
      <t>239</t>
    </r>
    <r>
      <rPr>
        <sz val="12"/>
        <color theme="9" tint="-0.249977111117893"/>
        <rFont val="宋体"/>
        <family val="3"/>
        <charset val="134"/>
      </rPr>
      <t>号</t>
    </r>
    <r>
      <rPr>
        <sz val="12"/>
        <color theme="9" tint="-0.249977111117893"/>
        <rFont val="Arial"/>
        <family val="2"/>
      </rPr>
      <t>31</t>
    </r>
    <r>
      <rPr>
        <sz val="12"/>
        <color theme="9" tint="-0.249977111117893"/>
        <rFont val="宋体"/>
        <family val="3"/>
        <charset val="134"/>
      </rPr>
      <t>栋</t>
    </r>
    <r>
      <rPr>
        <sz val="12"/>
        <color theme="9" tint="-0.249977111117893"/>
        <rFont val="Arial"/>
        <family val="2"/>
      </rPr>
      <t>1</t>
    </r>
    <r>
      <rPr>
        <sz val="12"/>
        <color theme="9" tint="-0.249977111117893"/>
        <rFont val="宋体"/>
        <family val="3"/>
        <charset val="134"/>
      </rPr>
      <t>层</t>
    </r>
    <r>
      <rPr>
        <sz val="12"/>
        <color theme="9" tint="-0.249977111117893"/>
        <rFont val="Arial"/>
        <family val="2"/>
      </rPr>
      <t>1</t>
    </r>
    <r>
      <rPr>
        <sz val="12"/>
        <color theme="9" tint="-0.249977111117893"/>
        <rFont val="宋体"/>
        <family val="3"/>
        <charset val="134"/>
      </rPr>
      <t>号</t>
    </r>
    <phoneticPr fontId="6" type="noConversion"/>
  </si>
  <si>
    <t>工业</t>
    <phoneticPr fontId="6" type="noConversion"/>
  </si>
  <si>
    <t>《不动产权证书》[川（2018）成都市不动产权第0171901号]</t>
    <phoneticPr fontId="6" type="noConversion"/>
  </si>
  <si>
    <r>
      <rPr>
        <sz val="12"/>
        <color theme="9" tint="-0.249977111117893"/>
        <rFont val="宋体"/>
        <family val="3"/>
        <charset val="134"/>
      </rPr>
      <t>《国有土地使用证》</t>
    </r>
    <r>
      <rPr>
        <sz val="12"/>
        <color theme="9" tint="-0.249977111117893"/>
        <rFont val="Arial"/>
        <family val="2"/>
      </rPr>
      <t>[]</t>
    </r>
    <phoneticPr fontId="6" type="noConversion"/>
  </si>
  <si>
    <t>否</t>
  </si>
  <si>
    <t>《不动产权证书》</t>
  </si>
  <si>
    <t>办公项目</t>
  </si>
  <si>
    <t>无</t>
  </si>
  <si>
    <t>30-40（含）</t>
  </si>
  <si>
    <t>较好</t>
  </si>
  <si>
    <t>六通</t>
  </si>
  <si>
    <t>一般</t>
  </si>
  <si>
    <t>钢混</t>
    <phoneticPr fontId="32" type="noConversion"/>
  </si>
  <si>
    <t>青羊工业总部基地</t>
    <phoneticPr fontId="3" type="noConversion"/>
  </si>
  <si>
    <t>青羊工业总部基地</t>
    <phoneticPr fontId="3" type="noConversion"/>
  </si>
  <si>
    <t>普通装修</t>
  </si>
  <si>
    <t>专业</t>
  </si>
  <si>
    <t>专业</t>
    <phoneticPr fontId="32" type="noConversion"/>
  </si>
  <si>
    <t>普通</t>
    <phoneticPr fontId="32" type="noConversion"/>
  </si>
  <si>
    <t>七通</t>
    <phoneticPr fontId="32" type="noConversion"/>
  </si>
  <si>
    <t>六通</t>
    <phoneticPr fontId="32" type="noConversion"/>
  </si>
  <si>
    <t>五通</t>
  </si>
  <si>
    <t>五通</t>
    <phoneticPr fontId="32" type="noConversion"/>
  </si>
  <si>
    <r>
      <rPr>
        <sz val="12"/>
        <color theme="9" tint="-0.249977111117893"/>
        <rFont val="宋体"/>
        <family val="3"/>
        <charset val="134"/>
      </rPr>
      <t>工业</t>
    </r>
    <r>
      <rPr>
        <sz val="12"/>
        <color theme="9" tint="-0.249977111117893"/>
        <rFont val="Arial"/>
        <family val="2"/>
      </rPr>
      <t>37.67</t>
    </r>
    <r>
      <rPr>
        <sz val="12"/>
        <color theme="9" tint="-0.249977111117893"/>
        <rFont val="宋体"/>
        <family val="3"/>
        <charset val="134"/>
      </rPr>
      <t>年</t>
    </r>
    <phoneticPr fontId="6" type="noConversion"/>
  </si>
  <si>
    <t>工业</t>
    <phoneticPr fontId="32" type="noConversion"/>
  </si>
  <si>
    <t>塔楼</t>
  </si>
  <si>
    <t>塔楼</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</si>
</sst>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9" fillId="0" borderId="0" xfId="0" applyFont="1" applyAlignment="1">
      <alignment horizontal="center" vertical="center"/>
    </xf>
    <xf numFmtId="0" fontId="0" fillId="0" borderId="0" xfId="0" applyAlignment="1">
      <alignment horizontal="center" vertical="center"/>
    </xf>
    <xf numFmtId="0" fontId="0" fillId="9" borderId="0" xfId="0" applyFill="1" applyAlignment="1">
      <alignment horizontal="center" vertical="center"/>
    </xf>
    <xf numFmtId="10" fontId="0" fillId="0" borderId="0" xfId="0" applyNumberFormat="1" applyAlignment="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18" borderId="28" xfId="0" applyFont="1" applyFill="1" applyBorder="1" applyAlignment="1" applyProtection="1">
      <alignment horizontal="center" vertical="center" wrapText="1"/>
    </xf>
    <xf numFmtId="181" fontId="55" fillId="18" borderId="61" xfId="0" applyNumberFormat="1" applyFont="1" applyFill="1" applyBorder="1" applyAlignment="1" applyProtection="1">
      <alignment horizontal="center" vertical="center"/>
      <protection locked="0"/>
    </xf>
    <xf numFmtId="0" fontId="47" fillId="18" borderId="1" xfId="0" applyFont="1" applyFill="1" applyBorder="1" applyAlignment="1" applyProtection="1">
      <alignment horizontal="center" vertical="center"/>
      <protection locked="0"/>
    </xf>
    <xf numFmtId="0" fontId="47" fillId="18" borderId="23" xfId="0"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151353</xdr:colOff>
      <xdr:row>31</xdr:row>
      <xdr:rowOff>75527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80953" cy="5390477"/>
        </a:xfrm>
        <a:prstGeom prst="rect">
          <a:avLst/>
        </a:prstGeom>
      </xdr:spPr>
    </xdr:pic>
    <xdr:clientData/>
  </xdr:twoCellAnchor>
  <xdr:twoCellAnchor editAs="oneCell">
    <xdr:from>
      <xdr:col>0</xdr:col>
      <xdr:colOff>0</xdr:colOff>
      <xdr:row>31</xdr:row>
      <xdr:rowOff>123825</xdr:rowOff>
    </xdr:from>
    <xdr:to>
      <xdr:col>12</xdr:col>
      <xdr:colOff>189448</xdr:colOff>
      <xdr:row>61</xdr:row>
      <xdr:rowOff>104135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38775"/>
          <a:ext cx="8419048" cy="5123810"/>
        </a:xfrm>
        <a:prstGeom prst="rect">
          <a:avLst/>
        </a:prstGeom>
      </xdr:spPr>
    </xdr:pic>
    <xdr:clientData/>
  </xdr:twoCellAnchor>
  <xdr:twoCellAnchor editAs="oneCell">
    <xdr:from>
      <xdr:col>0</xdr:col>
      <xdr:colOff>0</xdr:colOff>
      <xdr:row>61</xdr:row>
      <xdr:rowOff>95250</xdr:rowOff>
    </xdr:from>
    <xdr:to>
      <xdr:col>12</xdr:col>
      <xdr:colOff>246591</xdr:colOff>
      <xdr:row>92</xdr:row>
      <xdr:rowOff>94586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553700"/>
          <a:ext cx="8476191" cy="53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四川省成都市青羊区广富路239号31栋1层1号房地产抵押价值预评估</v>
      </c>
    </row>
    <row r="3" spans="1:2" s="1593" customFormat="1">
      <c r="A3" s="1591" t="s">
        <v>1217</v>
      </c>
      <c r="B3" s="1592" t="str">
        <f>'预评函-封皮'!B40</f>
        <v>四川小麦飞扬科技有限公司</v>
      </c>
    </row>
    <row r="4" spans="1:2" s="1593" customFormat="1">
      <c r="A4" s="1591" t="s">
        <v>1218</v>
      </c>
      <c r="B4" s="1592" t="str">
        <f ca="1">'预评函-封皮'!B46</f>
        <v>郑燚（注册号：1120070131)、吴薇（注册号：1419970001)</v>
      </c>
    </row>
    <row r="5" spans="1:2" s="1587" customFormat="1" ht="15" thickBot="1">
      <c r="A5" s="1594" t="s">
        <v>1219</v>
      </c>
      <c r="B5" s="1595" t="str">
        <f>'预评函-封皮'!B49</f>
        <v>康正预评字2019-1-0578号</v>
      </c>
    </row>
    <row r="6" spans="1:2" s="1590" customFormat="1" ht="15" thickTop="1">
      <c r="A6" s="1588" t="s">
        <v>1220</v>
      </c>
      <c r="B6" s="1589" t="str">
        <f>'预评函-1'!A4</f>
        <v>受贵公司委托，我公司对四川省成都市青羊区广富路239号31栋1层1号房地产抵押价值进行了预评估。</v>
      </c>
    </row>
    <row r="7" spans="1:2" s="1593" customFormat="1">
      <c r="A7" s="1591" t="s">
        <v>1260</v>
      </c>
      <c r="B7" s="1592" t="str">
        <f>'预评函-1'!A7</f>
        <v>估价对象为四川省成都市青羊区广富路239号31栋1层1号房地产，为四川小麦飞扬科技有限公司所有。根据《国有土地使用证》[]，估价对象（分摊）出让国有建设用地使用权面积为0平方米，建筑面积为5775.17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四川省成都市青羊区广富路239号31栋1层1号房地产,属四川小麦飞扬科技有限公司开发建设的办公项目，该项目尚在开发建设中。根据《国有土地使用证》[]，估价对象（分摊）出让国有建设用地使用权面积为0平方米，规划建筑面积为5775.17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为估价委托人在向华夏银行股份有限公司北京姚家园支行办理贷款手续过程中，确定房地产抵押贷款额度提供参考依据而评估房地产抵押价值。</v>
      </c>
    </row>
    <row r="12" spans="1:2" s="1593" customFormat="1">
      <c r="A12" s="1591" t="s">
        <v>1222</v>
      </c>
      <c r="B12" s="1592" t="str">
        <f>'预评函-1'!A15</f>
        <v>2019年11月13日（评估专业人员实地查勘之日）</v>
      </c>
    </row>
    <row r="13" spans="1:2" s="1593" customFormat="1">
      <c r="A13" s="1591" t="s">
        <v>1223</v>
      </c>
      <c r="B13" s="1592" t="str">
        <f>'预评函-1'!A18</f>
        <v>本次估价的“房地产价值”是指在正常市场情况下，在价值时点2019年11月13日，估价对象规划用途为工业，土地取得方式为出让，出让国有建设用地使用权剩余土地使用年限为工业37.67年，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七通”（即、、、、、、）、红线内场地平整条件下，剩余土地使用年限为工业37.67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6537</v>
      </c>
    </row>
    <row r="21" spans="1:2" s="1593" customFormat="1">
      <c r="A21" s="1591" t="s">
        <v>1231</v>
      </c>
      <c r="B21" s="1592">
        <f ca="1">'预评函-2'!D7</f>
        <v>11319</v>
      </c>
    </row>
    <row r="22" spans="1:2" s="1593" customFormat="1">
      <c r="A22" s="1591" t="s">
        <v>1232</v>
      </c>
      <c r="B22" s="1592" t="str">
        <f ca="1">'预评函-2'!D6</f>
        <v>陆仟伍佰叁拾柒万元整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6537</v>
      </c>
    </row>
    <row r="31" spans="1:2" s="1593" customFormat="1">
      <c r="A31" s="1591" t="s">
        <v>1270</v>
      </c>
      <c r="B31" s="1592">
        <f ca="1">'预评函-2'!D15</f>
        <v>11319</v>
      </c>
    </row>
    <row r="32" spans="1:2" s="1593" customFormat="1">
      <c r="A32" s="1591" t="s">
        <v>1237</v>
      </c>
      <c r="B32" s="1592" t="str">
        <f ca="1">'预评函-2'!D14</f>
        <v>陆仟伍佰叁拾柒万元整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四川省成都市青羊区广富路239号31栋1层1号房地产</v>
      </c>
    </row>
    <row r="42" spans="1:2" s="1593" customFormat="1">
      <c r="A42" s="1591" t="s">
        <v>1284</v>
      </c>
      <c r="B42" s="1592" t="str">
        <f>'预评函-3'!B2</f>
        <v>建筑面积</v>
      </c>
    </row>
    <row r="43" spans="1:2" s="1593" customFormat="1">
      <c r="A43" s="1591" t="s">
        <v>1285</v>
      </c>
      <c r="B43" s="1592">
        <f>'预评函-3'!B4</f>
        <v>5775.17</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f ca="1">'预评函-3'!D4</f>
        <v>3922</v>
      </c>
    </row>
    <row r="48" spans="1:2" s="1593" customFormat="1">
      <c r="A48" s="1591" t="s">
        <v>1243</v>
      </c>
      <c r="B48" s="1592">
        <f ca="1">'预评函-3'!E4</f>
        <v>6791</v>
      </c>
    </row>
    <row r="49" spans="1:2" s="1593" customFormat="1">
      <c r="A49" s="1591" t="s">
        <v>1244</v>
      </c>
      <c r="B49" s="1592" t="str">
        <f ca="1">'预评函-3'!D5</f>
        <v>叁仟玖佰贰拾贰万元整</v>
      </c>
    </row>
    <row r="50" spans="1:2" s="1593" customFormat="1">
      <c r="A50" s="1591" t="s">
        <v>1268</v>
      </c>
      <c r="B50" s="1592" t="str">
        <f>'预评函-3'!F2</f>
        <v>在建建筑物价值</v>
      </c>
    </row>
    <row r="51" spans="1:2" s="1593" customFormat="1">
      <c r="A51" s="1591" t="s">
        <v>1245</v>
      </c>
      <c r="B51" s="1592">
        <f ca="1">'预评函-3'!F4</f>
        <v>2615</v>
      </c>
    </row>
    <row r="52" spans="1:2" s="1593" customFormat="1">
      <c r="A52" s="1591" t="s">
        <v>1246</v>
      </c>
      <c r="B52" s="1592">
        <f ca="1">'预评函-3'!G4</f>
        <v>4528</v>
      </c>
    </row>
    <row r="53" spans="1:2" s="1593" customFormat="1">
      <c r="A53" s="1591" t="s">
        <v>1274</v>
      </c>
      <c r="B53" s="1592" t="str">
        <f ca="1">'预评函-3'!F5</f>
        <v>贰仟陆佰壹拾伍万元整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（1）根据估价对象《不动产权证书》原件，截至价值时点，估价对象抵押权未见登记。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吴薇</v>
      </c>
    </row>
    <row r="73" spans="1:2" s="1587" customFormat="1" ht="15" thickBot="1">
      <c r="A73" s="1594" t="s">
        <v>1259</v>
      </c>
      <c r="B73" s="1595">
        <f ca="1">'预评函-4'!B5</f>
        <v>1419970001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L34" sqref="L34"/>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1141</v>
      </c>
      <c r="R1" s="2009" t="s">
        <v>1135</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1137</v>
      </c>
      <c r="S2" s="2015" t="s">
        <v>1707</v>
      </c>
      <c r="T2" s="2015" t="s">
        <v>1708</v>
      </c>
      <c r="U2" s="2015" t="s">
        <v>1707</v>
      </c>
      <c r="V2" s="2015" t="s">
        <v>1709</v>
      </c>
      <c r="W2" s="2015" t="s">
        <v>1707</v>
      </c>
    </row>
    <row r="3" spans="1:23">
      <c r="A3" s="2013" t="s">
        <v>1710</v>
      </c>
      <c r="B3" s="2016" t="s">
        <v>1142</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1136</v>
      </c>
      <c r="S3" s="2015" t="s">
        <v>1715</v>
      </c>
      <c r="T3" s="2015" t="s">
        <v>1716</v>
      </c>
      <c r="U3" s="2015" t="s">
        <v>1715</v>
      </c>
      <c r="V3" s="2015" t="s">
        <v>1717</v>
      </c>
      <c r="W3" s="2015" t="s">
        <v>1715</v>
      </c>
    </row>
    <row r="4" spans="1:23">
      <c r="A4" s="2013" t="s">
        <v>1718</v>
      </c>
      <c r="B4" s="2013" t="s">
        <v>1719</v>
      </c>
      <c r="C4" s="2014" t="s">
        <v>762</v>
      </c>
      <c r="D4" s="2015" t="s">
        <v>865</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1138</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1139</v>
      </c>
      <c r="S5" s="2015" t="s">
        <v>1730</v>
      </c>
      <c r="T5" s="2015" t="s">
        <v>1731</v>
      </c>
      <c r="U5" s="2015" t="s">
        <v>1730</v>
      </c>
      <c r="W5" s="2015" t="s">
        <v>1730</v>
      </c>
    </row>
    <row r="6" spans="1:23">
      <c r="A6" s="2013" t="s">
        <v>1732</v>
      </c>
      <c r="B6" s="2016" t="s">
        <v>1143</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1140</v>
      </c>
      <c r="S6" s="2015" t="s">
        <v>1735</v>
      </c>
      <c r="T6" s="2015"/>
      <c r="U6" s="2015" t="s">
        <v>1735</v>
      </c>
      <c r="W6" s="2015" t="s">
        <v>1735</v>
      </c>
    </row>
    <row r="7" spans="1:23">
      <c r="A7" s="2013" t="s">
        <v>1736</v>
      </c>
      <c r="B7" s="2016" t="s">
        <v>1144</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为估价委托人在向华夏银行股份有限公司北京姚家园支行办理贷款手续过程中，确定房地产抵押贷款额度提供参考依据而评估房地产抵押价值。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四川小麦飞扬科技有限公司拟使用四川省成都市青羊区广富路239号31栋1层1号房地产作为抵押担保物，向华夏银行股份有限公司北京姚家园支行办理贷款手续。华夏银行股份有限公司北京姚家园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8"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13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8"/>
      <c r="B54" s="2021" t="s">
        <v>861</v>
      </c>
      <c r="C54" s="2018" t="s">
        <v>1277</v>
      </c>
    </row>
    <row r="55" spans="1:4">
      <c r="A55" s="3008"/>
      <c r="B55" s="2021" t="s">
        <v>862</v>
      </c>
      <c r="C55" s="2018" t="s">
        <v>1278</v>
      </c>
    </row>
    <row r="56" spans="1:4">
      <c r="A56" s="3008"/>
      <c r="B56" s="2021" t="s">
        <v>863</v>
      </c>
      <c r="C56" s="2018" t="s">
        <v>1282</v>
      </c>
    </row>
    <row r="57" spans="1:4">
      <c r="A57" s="3008"/>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2" sqref="C32"/>
    </sheetView>
  </sheetViews>
  <sheetFormatPr defaultColWidth="10" defaultRowHeight="18" customHeight="1"/>
  <cols>
    <col min="1" max="1" width="14.875" style="2031" customWidth="1"/>
    <col min="2" max="2" width="11.75" style="2031" customWidth="1"/>
    <col min="3" max="3" width="11.5" style="2031" customWidth="1"/>
    <col min="4" max="4" width="11.625" style="2031" customWidth="1"/>
    <col min="5"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1770</v>
      </c>
      <c r="B1" s="3009" t="str">
        <f>IF(B10="北京市","北京市",C10)&amp;F10&amp;IF(结果表!G1="在建","出让国有建设用地使用权及在建建筑物",IF(结果表!G1="土地","出让国有建设用地使用权",))&amp;B9&amp;"预评估"</f>
        <v>四川省成都市青羊区广富路239号31栋1层1号房地产抵押价值预评估</v>
      </c>
      <c r="C1" s="3010"/>
      <c r="D1" s="3010"/>
      <c r="E1" s="3010"/>
      <c r="F1" s="3010"/>
      <c r="G1" s="3010"/>
      <c r="H1" s="3010"/>
      <c r="I1" s="301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四川省成都市青羊区广富路239号31栋1层1号房地产抵押价值</v>
      </c>
    </row>
    <row r="2" spans="1:19" ht="18" customHeight="1">
      <c r="A2" s="2025" t="s">
        <v>1771</v>
      </c>
      <c r="B2" s="1039" t="s">
        <v>3083</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四川省成都市青羊区广富路239号31栋1层1号房地产</v>
      </c>
    </row>
    <row r="3" spans="1:19" ht="18" customHeight="1">
      <c r="A3" s="2034" t="s">
        <v>1772</v>
      </c>
      <c r="B3" s="2035">
        <v>43782</v>
      </c>
      <c r="C3" s="2036" t="s">
        <v>1773</v>
      </c>
      <c r="D3" s="2035">
        <f>B3</f>
        <v>43782</v>
      </c>
      <c r="E3" s="2025"/>
      <c r="F3" s="2025"/>
      <c r="G3" s="2025"/>
      <c r="H3" s="2025"/>
      <c r="I3" s="2025"/>
      <c r="J3" s="2025"/>
      <c r="K3" s="2026"/>
      <c r="L3" s="2027"/>
      <c r="M3" s="2027"/>
      <c r="N3" s="2028"/>
      <c r="O3" s="2029"/>
      <c r="P3" s="2028"/>
      <c r="Q3" s="2028"/>
      <c r="R3" s="2028"/>
      <c r="S3" s="2030"/>
    </row>
    <row r="4" spans="1:19" ht="18" customHeight="1" thickBot="1">
      <c r="A4" s="2037" t="s">
        <v>1774</v>
      </c>
      <c r="B4" s="2038" t="s">
        <v>3081</v>
      </c>
      <c r="C4" s="1037">
        <f ca="1">SUMIF(注册房地产估价师,B4,估价师及机构信息!B3:B24)</f>
        <v>1120070131</v>
      </c>
      <c r="D4" s="2038" t="s">
        <v>3082</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郑燚（注册号：1120070131)、吴薇（注册号：1419970001)</v>
      </c>
      <c r="L4" s="2027"/>
      <c r="M4" s="2027"/>
      <c r="N4" s="2028"/>
      <c r="O4" s="2029"/>
      <c r="P4" s="2028"/>
      <c r="Q4" s="2028"/>
      <c r="R4" s="2028"/>
      <c r="S4" s="2030"/>
    </row>
    <row r="5" spans="1:19" ht="18" customHeight="1" thickTop="1">
      <c r="A5" s="2043" t="s">
        <v>1775</v>
      </c>
      <c r="B5" s="2958" t="s">
        <v>3084</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959" t="s">
        <v>3085</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1777</v>
      </c>
      <c r="B7" s="2959" t="s">
        <v>3084</v>
      </c>
      <c r="C7" s="2047"/>
      <c r="D7" s="2048"/>
      <c r="E7" s="2033"/>
      <c r="F7" s="2041"/>
      <c r="G7" s="2041"/>
      <c r="H7" s="2041"/>
      <c r="I7" s="2041"/>
      <c r="J7" s="2041"/>
      <c r="K7" s="2050"/>
      <c r="L7" s="2027"/>
      <c r="M7" s="2027"/>
      <c r="N7" s="2028"/>
      <c r="O7" s="2029"/>
      <c r="P7" s="2028"/>
      <c r="Q7" s="2028"/>
      <c r="R7" s="2028"/>
    </row>
    <row r="8" spans="1:19" ht="18" customHeight="1">
      <c r="A8" s="2046" t="s">
        <v>1778</v>
      </c>
      <c r="B8" s="2051" t="s">
        <v>3086</v>
      </c>
      <c r="C8" s="2052"/>
      <c r="D8" s="3012" t="s">
        <v>1779</v>
      </c>
      <c r="E8" s="2053"/>
      <c r="F8" s="2054"/>
      <c r="G8" s="2025"/>
      <c r="H8" s="2025"/>
      <c r="I8" s="2025"/>
      <c r="J8" s="2041"/>
      <c r="K8" s="2042"/>
      <c r="L8" s="2027"/>
      <c r="M8" s="2027"/>
      <c r="N8" s="2028"/>
      <c r="O8" s="2029"/>
      <c r="P8" s="2028"/>
      <c r="Q8" s="2028"/>
      <c r="R8" s="2028"/>
    </row>
    <row r="9" spans="1:19" ht="18" customHeight="1" thickBot="1">
      <c r="A9" s="2039" t="s">
        <v>1780</v>
      </c>
      <c r="B9" s="2055" t="s">
        <v>3087</v>
      </c>
      <c r="C9" s="2056"/>
      <c r="D9" s="3013"/>
      <c r="E9" s="2055"/>
      <c r="F9" s="2057"/>
      <c r="G9" s="2058"/>
      <c r="H9" s="2058"/>
      <c r="I9" s="2058"/>
      <c r="J9" s="2041"/>
      <c r="K9" s="2050"/>
      <c r="L9" s="2027"/>
      <c r="M9" s="2027"/>
      <c r="N9" s="2028"/>
      <c r="O9" s="2029"/>
      <c r="P9" s="2028"/>
      <c r="Q9" s="2028"/>
      <c r="R9" s="2028"/>
    </row>
    <row r="10" spans="1:19" ht="18" customHeight="1" thickTop="1">
      <c r="A10" s="2059" t="s">
        <v>1781</v>
      </c>
      <c r="B10" s="2060" t="s">
        <v>3050</v>
      </c>
      <c r="C10" s="2061"/>
      <c r="D10" s="2045"/>
      <c r="E10" s="2062" t="s">
        <v>1782</v>
      </c>
      <c r="F10" s="2063" t="s">
        <v>3088</v>
      </c>
      <c r="G10" s="2064"/>
      <c r="H10" s="2065"/>
      <c r="I10" s="2045"/>
      <c r="J10" s="2041"/>
      <c r="K10" s="2050"/>
      <c r="L10" s="2027"/>
      <c r="M10" s="2027"/>
      <c r="N10" s="2028"/>
      <c r="O10" s="2029"/>
      <c r="P10" s="2028"/>
      <c r="Q10" s="2028"/>
      <c r="R10" s="2028"/>
    </row>
    <row r="11" spans="1:19" ht="18" customHeight="1">
      <c r="A11" s="2066" t="s">
        <v>1783</v>
      </c>
      <c r="B11" s="2067" t="s">
        <v>3051</v>
      </c>
      <c r="C11" s="2960" t="s">
        <v>3084</v>
      </c>
      <c r="D11" s="2068"/>
      <c r="E11" s="2041"/>
      <c r="F11" s="2041"/>
      <c r="G11" s="2041"/>
      <c r="H11" s="2041"/>
      <c r="I11" s="2041"/>
      <c r="J11" s="2041"/>
      <c r="K11" s="2050"/>
      <c r="L11" s="2027"/>
      <c r="M11" s="2027"/>
      <c r="N11" s="2028"/>
      <c r="O11" s="2029"/>
      <c r="P11" s="2028"/>
      <c r="Q11" s="2028"/>
      <c r="R11" s="2028"/>
    </row>
    <row r="12" spans="1:19" ht="18" customHeight="1">
      <c r="A12" s="2069" t="s">
        <v>1784</v>
      </c>
      <c r="B12" s="2067" t="s">
        <v>3052</v>
      </c>
      <c r="C12" s="2070" t="s">
        <v>1785</v>
      </c>
      <c r="D12" s="2071" t="s">
        <v>1786</v>
      </c>
      <c r="E12" s="2071" t="s">
        <v>1787</v>
      </c>
      <c r="F12" s="2071" t="s">
        <v>1788</v>
      </c>
      <c r="G12" s="2071" t="s">
        <v>1789</v>
      </c>
      <c r="H12" s="2071" t="s">
        <v>1790</v>
      </c>
      <c r="I12" s="2071" t="s">
        <v>1791</v>
      </c>
      <c r="J12" s="2041"/>
      <c r="K12" s="2050"/>
      <c r="L12" s="2027"/>
      <c r="M12" s="2027"/>
      <c r="N12" s="2028"/>
      <c r="O12" s="2029"/>
      <c r="P12" s="2028"/>
      <c r="Q12" s="2028"/>
      <c r="R12" s="2028"/>
    </row>
    <row r="13" spans="1:19" ht="18" customHeight="1">
      <c r="A13" s="2072"/>
      <c r="B13" s="2073"/>
      <c r="C13" s="2074" t="s">
        <v>1792</v>
      </c>
      <c r="D13" s="2075"/>
      <c r="E13" s="2075"/>
      <c r="F13" s="2075"/>
      <c r="G13" s="2075"/>
      <c r="H13" s="2075"/>
      <c r="I13" s="1047">
        <v>57534</v>
      </c>
      <c r="J13" s="2041"/>
      <c r="K13" s="2050"/>
      <c r="L13" s="2027"/>
      <c r="M13" s="2027"/>
      <c r="N13" s="2028"/>
      <c r="O13" s="2029"/>
      <c r="P13" s="2028"/>
      <c r="Q13" s="2028"/>
      <c r="R13" s="2028"/>
    </row>
    <row r="14" spans="1:19" ht="18" customHeight="1">
      <c r="A14" s="2072"/>
      <c r="B14" s="2073"/>
      <c r="C14" s="2074" t="s">
        <v>1793</v>
      </c>
      <c r="D14" s="1050"/>
      <c r="E14" s="1050"/>
      <c r="F14" s="1050"/>
      <c r="G14" s="1050"/>
      <c r="H14" s="1050"/>
      <c r="I14" s="1050">
        <v>50</v>
      </c>
      <c r="J14" s="2041"/>
      <c r="K14" s="2076"/>
      <c r="L14" s="2027"/>
      <c r="M14" s="2027"/>
      <c r="N14" s="2028"/>
      <c r="O14" s="2029"/>
      <c r="P14" s="2028"/>
      <c r="Q14" s="2028"/>
      <c r="R14" s="2028"/>
    </row>
    <row r="15" spans="1:19" ht="18" customHeight="1">
      <c r="A15" s="2059"/>
      <c r="B15" s="2077"/>
      <c r="C15" s="2074"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37.67</v>
      </c>
      <c r="J15" s="2041"/>
      <c r="K15" s="2078"/>
      <c r="L15" s="2079"/>
      <c r="M15" s="2079"/>
      <c r="N15" s="2080"/>
      <c r="O15" s="2079"/>
      <c r="P15" s="2080"/>
      <c r="Q15" s="2028"/>
      <c r="R15" s="2028"/>
    </row>
    <row r="16" spans="1:19" ht="30.75" customHeight="1">
      <c r="A16" s="2062" t="s">
        <v>1795</v>
      </c>
      <c r="B16" s="3019" t="s">
        <v>3089</v>
      </c>
      <c r="C16" s="3020"/>
      <c r="D16" s="3021"/>
      <c r="E16" s="2081" t="s">
        <v>1796</v>
      </c>
      <c r="F16" s="3022" t="s">
        <v>3111</v>
      </c>
      <c r="G16" s="3023"/>
      <c r="H16" s="3023"/>
      <c r="I16" s="3024"/>
      <c r="J16" s="2028"/>
      <c r="K16" s="2078"/>
      <c r="L16" s="2079"/>
      <c r="M16" s="2079"/>
      <c r="N16" s="2080"/>
      <c r="O16" s="2079"/>
      <c r="P16" s="2080"/>
      <c r="Q16" s="2028"/>
      <c r="R16" s="2028"/>
    </row>
    <row r="17" spans="1:22" ht="18" customHeight="1">
      <c r="A17" s="2082" t="s">
        <v>1797</v>
      </c>
      <c r="B17" s="2034" t="s">
        <v>1798</v>
      </c>
      <c r="C17" s="1054">
        <f>'数据-汇总表'!E3</f>
        <v>5775.17</v>
      </c>
      <c r="D17" s="2083" t="s">
        <v>1799</v>
      </c>
      <c r="E17" s="3025" t="s">
        <v>3090</v>
      </c>
      <c r="F17" s="3026"/>
      <c r="G17" s="3026"/>
      <c r="H17" s="3026"/>
      <c r="I17" s="3027"/>
      <c r="J17" s="2028"/>
      <c r="K17" s="2084"/>
      <c r="L17" s="2079"/>
      <c r="M17" s="2079"/>
      <c r="N17" s="2080"/>
      <c r="O17" s="2079"/>
      <c r="P17" s="2080"/>
      <c r="Q17" s="2028"/>
      <c r="R17" s="2028"/>
      <c r="S17" s="2028"/>
      <c r="T17" s="2028"/>
      <c r="U17" s="2028"/>
      <c r="V17" s="2028"/>
    </row>
    <row r="18" spans="1:22" ht="36" customHeight="1" thickBot="1">
      <c r="A18" s="2085" t="s">
        <v>1800</v>
      </c>
      <c r="B18" s="2037" t="s">
        <v>1801</v>
      </c>
      <c r="C18" s="1444">
        <f>'数据-汇总表'!D3</f>
        <v>0</v>
      </c>
      <c r="D18" s="2086" t="s">
        <v>1799</v>
      </c>
      <c r="E18" s="3028" t="s">
        <v>3091</v>
      </c>
      <c r="F18" s="3029"/>
      <c r="G18" s="3029"/>
      <c r="H18" s="3029"/>
      <c r="I18" s="3030"/>
      <c r="J18" s="2028"/>
      <c r="K18" s="2084"/>
      <c r="L18" s="2079"/>
      <c r="M18" s="2079"/>
      <c r="N18" s="2080"/>
      <c r="O18" s="2079"/>
      <c r="P18" s="2080"/>
      <c r="Q18" s="2028"/>
      <c r="R18" s="2028"/>
      <c r="S18" s="2028"/>
      <c r="T18" s="2028"/>
      <c r="U18" s="2028"/>
      <c r="V18" s="2028"/>
    </row>
    <row r="19" spans="1:22" ht="37.5" customHeight="1" thickTop="1" thickBot="1">
      <c r="A19" s="373" t="s">
        <v>1802</v>
      </c>
      <c r="B19" s="352" t="s">
        <v>1803</v>
      </c>
      <c r="C19" s="2087" t="s">
        <v>3092</v>
      </c>
      <c r="D19" s="2088" t="s">
        <v>1804</v>
      </c>
      <c r="E19" s="2089"/>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1805</v>
      </c>
      <c r="B20" s="3015" t="s">
        <v>1806</v>
      </c>
      <c r="C20" s="3016"/>
      <c r="D20" s="3017" t="s">
        <v>1807</v>
      </c>
      <c r="E20" s="3018"/>
      <c r="F20" s="2093" t="s">
        <v>1808</v>
      </c>
      <c r="G20" s="2041"/>
      <c r="H20" s="2041"/>
      <c r="I20" s="2041"/>
      <c r="J20" s="2041"/>
      <c r="K20" s="3014" t="s">
        <v>1809</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7"/>
      <c r="N20" s="2080"/>
      <c r="O20" s="2079"/>
      <c r="P20" s="2080"/>
      <c r="Q20" s="2028"/>
      <c r="R20" s="2028"/>
      <c r="S20" s="2028"/>
      <c r="T20" s="2028"/>
      <c r="U20" s="2028"/>
      <c r="V20" s="2028"/>
    </row>
    <row r="21" spans="1:22" ht="24.75" customHeight="1">
      <c r="A21" s="2092"/>
      <c r="B21" s="2094" t="s">
        <v>3093</v>
      </c>
      <c r="C21" s="2095" t="s">
        <v>1810</v>
      </c>
      <c r="D21" s="2096"/>
      <c r="E21" s="2097"/>
      <c r="F21" s="2098"/>
      <c r="G21" s="2041"/>
      <c r="H21" s="2041"/>
      <c r="I21" s="2041"/>
      <c r="J21" s="2041"/>
      <c r="K21" s="30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0"/>
      <c r="O21" s="2079"/>
      <c r="P21" s="2080"/>
      <c r="Q21" s="2028"/>
      <c r="R21" s="2028"/>
      <c r="S21" s="2028"/>
      <c r="T21" s="2028"/>
      <c r="U21" s="2028"/>
      <c r="V21" s="2028"/>
    </row>
    <row r="22" spans="1:22" ht="24.75" customHeight="1" thickBot="1">
      <c r="A22" s="2092"/>
      <c r="B22" s="2099" t="s">
        <v>70</v>
      </c>
      <c r="C22" s="2095"/>
      <c r="D22" s="2025"/>
      <c r="E22" s="2025"/>
      <c r="F22" s="2100"/>
      <c r="G22" s="2041"/>
      <c r="H22" s="2041"/>
      <c r="I22" s="2041"/>
      <c r="J22" s="2041"/>
      <c r="K22" s="301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1811</v>
      </c>
      <c r="B23" s="183" t="s">
        <v>1812</v>
      </c>
      <c r="C23" s="2102"/>
      <c r="D23" s="2103" t="s">
        <v>1812</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1813</v>
      </c>
      <c r="C24" s="2107"/>
      <c r="D24" s="2101" t="s">
        <v>1813</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1814</v>
      </c>
      <c r="C25" s="2107"/>
      <c r="D25" s="2101" t="s">
        <v>1814</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1815</v>
      </c>
      <c r="C26" s="2111"/>
      <c r="D26" s="2112" t="s">
        <v>1816</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32" t="s">
        <v>1817</v>
      </c>
      <c r="B27" s="2059" t="s">
        <v>1818</v>
      </c>
      <c r="C27" s="2115" t="s">
        <v>3094</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32"/>
      <c r="B28" s="2034" t="s">
        <v>1819</v>
      </c>
      <c r="C28" s="2117" t="s">
        <v>3095</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32"/>
      <c r="B29" s="2034" t="s">
        <v>1820</v>
      </c>
      <c r="C29" s="2120" t="s">
        <v>3092</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33"/>
      <c r="B30" s="2034" t="s">
        <v>1821</v>
      </c>
      <c r="C30" s="3034"/>
      <c r="D30" s="3035"/>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36" t="s">
        <v>1822</v>
      </c>
      <c r="B31" s="2122" t="s">
        <v>3074</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37"/>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37"/>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1823</v>
      </c>
      <c r="B34" s="2129"/>
      <c r="C34" s="2129"/>
      <c r="D34" s="2129"/>
      <c r="E34" s="2129"/>
      <c r="F34" s="2129"/>
      <c r="G34" s="2129"/>
      <c r="H34" s="2129"/>
      <c r="I34" s="2041"/>
      <c r="J34" s="2041"/>
      <c r="K34" s="1795">
        <f>COUNTIF(B34:H34,"——")</f>
        <v>0</v>
      </c>
      <c r="L34" s="2070" t="s">
        <v>1824</v>
      </c>
      <c r="M34" s="2070" t="s">
        <v>1825</v>
      </c>
      <c r="N34" s="2070" t="s">
        <v>1826</v>
      </c>
      <c r="O34" s="2070" t="s">
        <v>1827</v>
      </c>
      <c r="P34" s="2070" t="s">
        <v>1828</v>
      </c>
      <c r="Q34" s="2070" t="s">
        <v>1829</v>
      </c>
      <c r="R34" s="2070" t="s">
        <v>1830</v>
      </c>
      <c r="S34" s="3031" t="s">
        <v>1831</v>
      </c>
      <c r="T34" s="2130" t="str">
        <f>NUMBERSTRING(7-K34,1)&amp;"通"</f>
        <v>七通</v>
      </c>
      <c r="U34" s="2028"/>
      <c r="V34" s="2028"/>
    </row>
    <row r="35" spans="1:22" ht="18" customHeight="1">
      <c r="A35" s="2131"/>
      <c r="B35" s="3038" t="s">
        <v>1832</v>
      </c>
      <c r="C35" s="3038"/>
      <c r="D35" s="3038"/>
      <c r="E35" s="3038"/>
      <c r="F35" s="2132">
        <f>C10</f>
        <v>0</v>
      </c>
      <c r="G35" s="2041"/>
      <c r="H35" s="2041"/>
      <c r="I35" s="2041"/>
      <c r="J35" s="2041"/>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1"/>
      <c r="T35" s="48" t="str">
        <f>IF(T34="一通",L35,IF(T34="二通",M35,IF(T34="三通",N35,IF(T34="四通",O35,IF(T34="五通",P35,IF(T34="六通",Q35,R35))))))</f>
        <v>、、、、、、</v>
      </c>
      <c r="U35" s="2028"/>
      <c r="V35" s="2028"/>
    </row>
    <row r="36" spans="1:22" ht="18" customHeight="1">
      <c r="A36" s="2133"/>
      <c r="B36" s="2132" t="s">
        <v>1833</v>
      </c>
      <c r="C36" s="2132" t="s">
        <v>1834</v>
      </c>
      <c r="D36" s="2132" t="s">
        <v>1835</v>
      </c>
      <c r="E36" s="2132" t="s">
        <v>1836</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1837</v>
      </c>
      <c r="B37" s="2136"/>
      <c r="C37" s="2136"/>
      <c r="D37" s="2136"/>
      <c r="E37" s="2136"/>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1838</v>
      </c>
      <c r="B38" s="2138"/>
      <c r="C38" s="2138"/>
      <c r="D38" s="2138"/>
      <c r="E38" s="2138"/>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1839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1840</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1841</v>
      </c>
      <c r="B42" s="1795" t="s">
        <v>1842</v>
      </c>
      <c r="C42" s="1795" t="s">
        <v>1843</v>
      </c>
      <c r="D42" s="1795" t="s">
        <v>1844</v>
      </c>
      <c r="E42" s="1795" t="s">
        <v>1845</v>
      </c>
      <c r="F42" s="1795" t="s">
        <v>1846</v>
      </c>
      <c r="G42" s="1795" t="s">
        <v>1847</v>
      </c>
      <c r="H42" s="1795" t="s">
        <v>1848</v>
      </c>
      <c r="I42" s="1795" t="s">
        <v>1849</v>
      </c>
      <c r="J42" s="2148" t="s">
        <v>1850</v>
      </c>
      <c r="K42" s="2071" t="s">
        <v>1851</v>
      </c>
      <c r="L42" s="2071" t="s">
        <v>1852</v>
      </c>
      <c r="M42" s="2071" t="s">
        <v>1853</v>
      </c>
      <c r="N42" s="1795" t="s">
        <v>1854</v>
      </c>
      <c r="O42" s="1795" t="s">
        <v>1855</v>
      </c>
      <c r="P42" s="1795" t="s">
        <v>1856</v>
      </c>
      <c r="Q42" s="2070" t="s">
        <v>1857</v>
      </c>
      <c r="R42" s="2070" t="s">
        <v>1858</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1859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1861</v>
      </c>
      <c r="B2" s="11" t="s">
        <v>1862</v>
      </c>
      <c r="C2" s="11" t="s">
        <v>1863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1864</v>
      </c>
      <c r="AZ2" s="1270" t="s">
        <v>1865</v>
      </c>
      <c r="BA2" s="11" t="s">
        <v>1866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5775.17</v>
      </c>
      <c r="C3" s="2164" t="s">
        <v>1867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1868</v>
      </c>
      <c r="B5" s="1803"/>
      <c r="C5" s="1803"/>
      <c r="D5" s="1806"/>
      <c r="E5" s="16" t="s">
        <v>1</v>
      </c>
      <c r="F5" s="16">
        <f>SUM(F13:F587)</f>
        <v>0</v>
      </c>
      <c r="G5" s="16">
        <f>SUM(G13:G587)</f>
        <v>5775.17</v>
      </c>
      <c r="H5" s="16">
        <f t="shared" ref="H5:AT5" si="0">SUM(H13:H656)</f>
        <v>5775.17</v>
      </c>
      <c r="I5" s="16">
        <f t="shared" si="0"/>
        <v>5775.17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1868</v>
      </c>
      <c r="AW5" s="1803"/>
      <c r="AX5" s="1803"/>
      <c r="AY5" s="17" t="s">
        <v>3</v>
      </c>
      <c r="AZ5" s="18">
        <f t="shared" ref="AZ5:BT5" si="1">SUM(AZ13:AZ656)</f>
        <v>5775.17</v>
      </c>
      <c r="BA5" s="18">
        <f t="shared" si="1"/>
        <v>5775.17</v>
      </c>
      <c r="BB5" s="18">
        <f t="shared" si="1"/>
        <v>5775.17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1869</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1869</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1870</v>
      </c>
      <c r="B7" s="2105" t="s">
        <v>1871</v>
      </c>
      <c r="C7" s="2105" t="s">
        <v>1872</v>
      </c>
      <c r="D7" s="2105" t="s">
        <v>1873</v>
      </c>
      <c r="E7" s="2105" t="s">
        <v>1874</v>
      </c>
      <c r="F7" s="2105" t="s">
        <v>1875</v>
      </c>
      <c r="G7" s="2174" t="s">
        <v>1876</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1877</v>
      </c>
      <c r="AV7" s="23" t="s">
        <v>1878</v>
      </c>
      <c r="AW7" s="2162" t="s">
        <v>1879</v>
      </c>
      <c r="AX7" s="23" t="s">
        <v>1872</v>
      </c>
      <c r="AY7" s="1803" t="s">
        <v>1880</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1881</v>
      </c>
      <c r="H8" s="2180" t="s">
        <v>1882</v>
      </c>
      <c r="I8" s="2181"/>
      <c r="J8" s="1818"/>
      <c r="K8" s="1818"/>
      <c r="L8" s="1818"/>
      <c r="M8" s="1818"/>
      <c r="N8" s="1818"/>
      <c r="O8" s="1818"/>
      <c r="P8" s="1818"/>
      <c r="Q8" s="1818"/>
      <c r="R8" s="1818"/>
      <c r="S8" s="1818"/>
      <c r="T8" s="1818"/>
      <c r="U8" s="1818"/>
      <c r="V8" s="2182"/>
      <c r="W8" s="1818"/>
      <c r="X8" s="1818"/>
      <c r="Y8" s="1818"/>
      <c r="Z8" s="1818"/>
      <c r="AA8" s="2182"/>
      <c r="AB8" s="2183"/>
      <c r="AC8" s="981" t="s">
        <v>1883</v>
      </c>
      <c r="AD8" s="2184"/>
      <c r="AE8" s="2176"/>
      <c r="AF8" s="1818"/>
      <c r="AG8" s="1818"/>
      <c r="AH8" s="1818"/>
      <c r="AI8" s="1818"/>
      <c r="AJ8" s="1818"/>
      <c r="AK8" s="1818"/>
      <c r="AL8" s="1818"/>
      <c r="AM8" s="1818"/>
      <c r="AN8" s="1818"/>
      <c r="AO8" s="1818"/>
      <c r="AP8" s="1818"/>
      <c r="AQ8" s="1818"/>
      <c r="AR8" s="1818"/>
      <c r="AS8" s="1818"/>
      <c r="AT8" s="1292" t="s">
        <v>1884</v>
      </c>
      <c r="AU8" s="2178" t="s">
        <v>1885</v>
      </c>
      <c r="AV8" s="1292"/>
      <c r="AW8" s="2161"/>
      <c r="AX8" s="1292"/>
      <c r="AY8" s="2162" t="s">
        <v>1886</v>
      </c>
      <c r="AZ8" s="1817" t="s">
        <v>1887</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1888</v>
      </c>
      <c r="I9" s="2187" t="s">
        <v>3053</v>
      </c>
      <c r="J9" s="981"/>
      <c r="K9" s="2187"/>
      <c r="L9" s="981"/>
      <c r="M9" s="2187"/>
      <c r="N9" s="981"/>
      <c r="O9" s="2187"/>
      <c r="P9" s="981"/>
      <c r="Q9" s="2187"/>
      <c r="R9" s="981"/>
      <c r="S9" s="2187"/>
      <c r="T9" s="981"/>
      <c r="U9" s="2187"/>
      <c r="V9" s="981"/>
      <c r="W9" s="2187"/>
      <c r="X9" s="2188"/>
      <c r="Y9" s="2187"/>
      <c r="Z9" s="981"/>
      <c r="AA9" s="2187"/>
      <c r="AB9" s="981"/>
      <c r="AC9" s="2179" t="s">
        <v>1888</v>
      </c>
      <c r="AD9" s="15" t="s">
        <v>1889</v>
      </c>
      <c r="AE9" s="1298"/>
      <c r="AF9" s="15" t="s">
        <v>1890</v>
      </c>
      <c r="AG9" s="1298"/>
      <c r="AH9" s="15" t="s">
        <v>1889</v>
      </c>
      <c r="AI9" s="1298"/>
      <c r="AJ9" s="15" t="s">
        <v>1890</v>
      </c>
      <c r="AK9" s="1298"/>
      <c r="AL9" s="15" t="s">
        <v>1889</v>
      </c>
      <c r="AM9" s="1298"/>
      <c r="AN9" s="15" t="s">
        <v>1890</v>
      </c>
      <c r="AO9" s="1298"/>
      <c r="AP9" s="15" t="s">
        <v>1889</v>
      </c>
      <c r="AQ9" s="1298"/>
      <c r="AR9" s="15" t="s">
        <v>1890</v>
      </c>
      <c r="AS9" s="2189"/>
      <c r="AT9" s="2178"/>
      <c r="AU9" s="2178" t="s">
        <v>1891</v>
      </c>
      <c r="AV9" s="1292"/>
      <c r="AW9" s="2161"/>
      <c r="AX9" s="1292"/>
      <c r="AY9" s="28"/>
      <c r="AZ9" s="28" t="s">
        <v>1881</v>
      </c>
      <c r="BA9" s="2190" t="s">
        <v>1892</v>
      </c>
      <c r="BB9" s="2191"/>
      <c r="BC9" s="1338"/>
      <c r="BD9" s="1338"/>
      <c r="BE9" s="1338"/>
      <c r="BF9" s="1338"/>
      <c r="BG9" s="1338"/>
      <c r="BH9" s="1338"/>
      <c r="BI9" s="1338"/>
      <c r="BJ9" s="1338"/>
      <c r="BK9" s="2192"/>
      <c r="BL9" s="15" t="s">
        <v>1893</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c r="L10" s="981"/>
      <c r="M10" s="2193"/>
      <c r="N10" s="981"/>
      <c r="O10" s="2193"/>
      <c r="P10" s="981"/>
      <c r="Q10" s="2193"/>
      <c r="R10" s="981"/>
      <c r="S10" s="2193"/>
      <c r="T10" s="981"/>
      <c r="U10" s="2193"/>
      <c r="V10" s="981"/>
      <c r="W10" s="2193"/>
      <c r="X10" s="981"/>
      <c r="Y10" s="2193"/>
      <c r="Z10" s="981"/>
      <c r="AA10" s="2193"/>
      <c r="AB10" s="981"/>
      <c r="AC10" s="1292"/>
      <c r="AD10" s="15" t="s">
        <v>1894</v>
      </c>
      <c r="AE10" s="2194"/>
      <c r="AF10" s="15" t="s">
        <v>1894</v>
      </c>
      <c r="AG10" s="2194"/>
      <c r="AH10" s="15" t="s">
        <v>1895</v>
      </c>
      <c r="AI10" s="2194"/>
      <c r="AJ10" s="15" t="s">
        <v>1895</v>
      </c>
      <c r="AK10" s="2194"/>
      <c r="AL10" s="15" t="s">
        <v>1896</v>
      </c>
      <c r="AM10" s="1298"/>
      <c r="AN10" s="15" t="s">
        <v>1896</v>
      </c>
      <c r="AO10" s="1298"/>
      <c r="AP10" s="15" t="s">
        <v>1897</v>
      </c>
      <c r="AQ10" s="1298"/>
      <c r="AR10" s="15" t="s">
        <v>1897</v>
      </c>
      <c r="AS10" s="1298"/>
      <c r="AT10" s="2178"/>
      <c r="AU10" s="2178"/>
      <c r="AV10" s="1292"/>
      <c r="AW10" s="2161"/>
      <c r="AX10" s="1292"/>
      <c r="AY10" s="28"/>
      <c r="AZ10" s="28"/>
      <c r="BA10" s="2195" t="s">
        <v>1888</v>
      </c>
      <c r="BB10" s="2196" t="str">
        <f>I9</f>
        <v>地上</v>
      </c>
      <c r="BC10" s="29">
        <f>K9</f>
        <v>0</v>
      </c>
      <c r="BD10" s="29">
        <f>M9</f>
        <v>0</v>
      </c>
      <c r="BE10" s="29">
        <f>O9</f>
        <v>0</v>
      </c>
      <c r="BF10" s="29">
        <f>Q9</f>
        <v>0</v>
      </c>
      <c r="BG10" s="29">
        <f>S9</f>
        <v>0</v>
      </c>
      <c r="BH10" s="29">
        <f>U9</f>
        <v>0</v>
      </c>
      <c r="BI10" s="29">
        <f>W9</f>
        <v>0</v>
      </c>
      <c r="BJ10" s="29">
        <f>Y9</f>
        <v>0</v>
      </c>
      <c r="BK10" s="29">
        <f>AA9</f>
        <v>0</v>
      </c>
      <c r="BL10" s="25" t="s">
        <v>1888</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3054</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1898</v>
      </c>
      <c r="AE11" s="1819"/>
      <c r="AF11" s="2200" t="s">
        <v>1898</v>
      </c>
      <c r="AG11" s="1819"/>
      <c r="AH11" s="2200" t="s">
        <v>1899</v>
      </c>
      <c r="AI11" s="2201"/>
      <c r="AJ11" s="2200" t="s">
        <v>1899</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2" t="s">
        <v>1901</v>
      </c>
      <c r="W12" s="11" t="s">
        <v>1900</v>
      </c>
      <c r="X12" s="11" t="s">
        <v>1901</v>
      </c>
      <c r="Y12" s="11" t="s">
        <v>1900</v>
      </c>
      <c r="Z12" s="11" t="s">
        <v>1901</v>
      </c>
      <c r="AA12" s="11" t="s">
        <v>1900</v>
      </c>
      <c r="AB12" s="11" t="s">
        <v>1901</v>
      </c>
      <c r="AC12" s="2205"/>
      <c r="AD12" s="1806"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3" t="s">
        <v>1901</v>
      </c>
      <c r="AT12" s="2206"/>
      <c r="AU12" s="2203"/>
      <c r="AV12" s="31"/>
      <c r="AW12" s="2162"/>
      <c r="AX12" s="31"/>
      <c r="AY12" s="2207"/>
      <c r="AZ12" s="28"/>
      <c r="BA12" s="2195"/>
      <c r="BB12" s="24" t="str">
        <f>I11</f>
        <v>办公楼</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2961" t="s">
        <v>186</v>
      </c>
      <c r="D13" s="2209" t="s">
        <v>3055</v>
      </c>
      <c r="E13" s="16">
        <f>IF($C$3="是",ROUND($A$3*G13/$B$3,2),ROUND($A$3*(G13-AT13)/$B$3,2))</f>
        <v>0</v>
      </c>
      <c r="F13" s="32"/>
      <c r="G13" s="33">
        <f>H13+AC13+AT13</f>
        <v>5775.17</v>
      </c>
      <c r="H13" s="20">
        <f>SUMIF(I$12:AB$12,"总值",I13:AB13)</f>
        <v>5775.17</v>
      </c>
      <c r="I13" s="2210">
        <v>5775.17</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工业</v>
      </c>
      <c r="AY13" s="1806">
        <f>ROUND($AY$6*AZ13/$AZ$5,2)</f>
        <v>0</v>
      </c>
      <c r="AZ13" s="16">
        <f>BA13+BL13</f>
        <v>5775.17</v>
      </c>
      <c r="BA13" s="16">
        <f>SUM(BB13:BK13)</f>
        <v>5775.17</v>
      </c>
      <c r="BB13" s="16">
        <f>IF($D13="是",I13-J13,0)</f>
        <v>5775.17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topLeftCell="A3" zoomScale="90" zoomScaleNormal="100" zoomScaleSheetLayoutView="90" workbookViewId="0">
      <selection activeCell="E39" sqref="E39"/>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1927</v>
      </c>
      <c r="B1" s="1392"/>
      <c r="C1" s="1392"/>
      <c r="D1" s="1392"/>
      <c r="E1" s="1392"/>
      <c r="F1" s="1392"/>
      <c r="G1" s="1392"/>
      <c r="H1" s="1392"/>
      <c r="I1" s="1392"/>
      <c r="J1" s="1392"/>
      <c r="K1" s="1392"/>
      <c r="L1" s="1392"/>
      <c r="M1" s="1392"/>
      <c r="N1" s="1392"/>
      <c r="O1" s="1392"/>
      <c r="P1" s="1392"/>
    </row>
    <row r="2" spans="1:16" ht="15">
      <c r="A2" s="3050" t="s">
        <v>1928</v>
      </c>
      <c r="B2" s="3050"/>
      <c r="C2" s="3050"/>
      <c r="D2" s="967" t="s">
        <v>1904</v>
      </c>
      <c r="E2" s="2223" t="s">
        <v>1905</v>
      </c>
      <c r="F2" s="1392"/>
      <c r="G2" s="2224"/>
      <c r="H2" s="2225"/>
      <c r="I2" s="2226" t="s">
        <v>1929</v>
      </c>
      <c r="J2" s="1392"/>
      <c r="K2" s="1392"/>
      <c r="L2" s="1392"/>
      <c r="M2" s="1392"/>
      <c r="N2" s="1427"/>
      <c r="O2" s="1392"/>
      <c r="P2" s="1392"/>
    </row>
    <row r="3" spans="1:16" ht="15.75" thickBot="1">
      <c r="A3" s="3051" t="s">
        <v>1902</v>
      </c>
      <c r="B3" s="3051"/>
      <c r="C3" s="3051"/>
      <c r="D3" s="46">
        <f>'数据-基础表'!AY6</f>
        <v>0</v>
      </c>
      <c r="E3" s="46">
        <f>'数据-基础表'!AZ5</f>
        <v>5775.17</v>
      </c>
      <c r="F3" s="1392"/>
      <c r="G3" s="1399"/>
      <c r="H3" s="1247" t="s">
        <v>1903</v>
      </c>
      <c r="I3" s="55" t="e">
        <f>ROUND('数据-基础表'!B3/'数据-基础表'!A3,2)</f>
        <v>#DIV/0!</v>
      </c>
      <c r="J3" s="1392"/>
      <c r="K3" s="1392"/>
      <c r="L3" s="1392"/>
      <c r="M3" s="1392"/>
      <c r="N3" s="1427"/>
      <c r="O3" s="1392"/>
      <c r="P3" s="1392"/>
    </row>
    <row r="4" spans="1:16" ht="15">
      <c r="A4" s="3052"/>
      <c r="B4" s="3053"/>
      <c r="C4" s="3054"/>
      <c r="D4" s="2227" t="s">
        <v>1904</v>
      </c>
      <c r="E4" s="2228" t="s">
        <v>1905</v>
      </c>
      <c r="F4" s="1392"/>
      <c r="G4" s="2229" t="s">
        <v>1930</v>
      </c>
      <c r="H4" s="1247" t="s">
        <v>1910</v>
      </c>
      <c r="I4" s="55" t="e">
        <f>ROUND(SUMIF('数据-基础表'!I9:AS9,"地上",'数据-基础表'!I5:AS5)/'数据-基础表'!A3,2)</f>
        <v>#DIV/0!</v>
      </c>
      <c r="J4" s="1392"/>
      <c r="K4" s="1392"/>
      <c r="L4" s="1392"/>
      <c r="M4" s="1392"/>
      <c r="N4" s="1427"/>
      <c r="O4" s="1392"/>
      <c r="P4" s="1392"/>
    </row>
    <row r="5" spans="1:16">
      <c r="A5" s="47" t="s">
        <v>1906</v>
      </c>
      <c r="B5" s="3055" t="s">
        <v>1907</v>
      </c>
      <c r="C5" s="3055"/>
      <c r="D5" s="48">
        <f>ROUND($D$3*E5/$E$3,2)</f>
        <v>0</v>
      </c>
      <c r="E5" s="49">
        <f>SUMIF('数据-基础表'!$11:$11,"住宅",'数据-基础表'!$5:$5)</f>
        <v>0</v>
      </c>
      <c r="F5" s="1392"/>
      <c r="G5" s="1399"/>
      <c r="H5" s="1247" t="s">
        <v>1903</v>
      </c>
      <c r="I5" s="55" t="e">
        <f>ROUND(E31/D31,2)</f>
        <v>#DIV/0!</v>
      </c>
      <c r="J5" s="1392"/>
      <c r="K5" s="1392"/>
      <c r="L5" s="1392"/>
      <c r="M5" s="1392"/>
      <c r="N5" s="1392"/>
      <c r="O5" s="1392"/>
      <c r="P5" s="1392"/>
    </row>
    <row r="6" spans="1:16" ht="15" thickBot="1">
      <c r="A6" s="2230"/>
      <c r="B6" s="3055" t="s">
        <v>1908</v>
      </c>
      <c r="C6" s="3055"/>
      <c r="D6" s="48">
        <f>ROUND($D$3*E6/$E$3,2)</f>
        <v>0</v>
      </c>
      <c r="E6" s="49">
        <f>E3-E5</f>
        <v>5775.17</v>
      </c>
      <c r="F6" s="1392"/>
      <c r="G6" s="2231" t="s">
        <v>1909</v>
      </c>
      <c r="H6" s="1399" t="s">
        <v>1910</v>
      </c>
      <c r="I6" s="939" t="e">
        <f>ROUND(F31/D31,2)</f>
        <v>#DIV/0!</v>
      </c>
      <c r="J6" s="1392"/>
      <c r="K6" s="1392"/>
      <c r="L6" s="1392"/>
      <c r="M6" s="1392"/>
      <c r="N6" s="1392"/>
      <c r="O6" s="1392"/>
      <c r="P6" s="1392"/>
    </row>
    <row r="7" spans="1:16" ht="15">
      <c r="A7" s="3047"/>
      <c r="B7" s="3048"/>
      <c r="C7" s="3049"/>
      <c r="D7" s="2227" t="s">
        <v>1904</v>
      </c>
      <c r="E7" s="2232" t="s">
        <v>1911</v>
      </c>
      <c r="F7" s="1392"/>
      <c r="G7" s="2224" t="s">
        <v>1912</v>
      </c>
      <c r="H7" s="64"/>
      <c r="I7" s="420"/>
      <c r="J7" s="1392"/>
      <c r="K7" s="1392"/>
      <c r="L7" s="1392"/>
      <c r="M7" s="1392"/>
      <c r="N7" s="1392"/>
      <c r="O7" s="1392"/>
      <c r="P7" s="1392"/>
    </row>
    <row r="8" spans="1:16">
      <c r="A8" s="47" t="s">
        <v>1913</v>
      </c>
      <c r="B8" s="50" t="s">
        <v>1914</v>
      </c>
      <c r="C8" s="48" t="s">
        <v>1915</v>
      </c>
      <c r="D8" s="48">
        <f t="shared" ref="D8:D15" si="0">ROUND($D$3*E8/$E$3,2)</f>
        <v>0</v>
      </c>
      <c r="E8" s="51">
        <f>SUMIF('数据-基础表'!BB10:BK10,"地上",'数据-基础表'!BB5:BK5)</f>
        <v>5775.17</v>
      </c>
      <c r="F8" s="1392"/>
      <c r="G8" s="2233"/>
      <c r="H8" s="2233"/>
      <c r="I8" s="1392"/>
      <c r="J8" s="1392"/>
      <c r="K8" s="1392"/>
      <c r="L8" s="1392"/>
      <c r="M8" s="1392"/>
      <c r="N8" s="1392"/>
      <c r="O8" s="1392"/>
      <c r="P8" s="1392"/>
    </row>
    <row r="9" spans="1:16">
      <c r="A9" s="2234"/>
      <c r="B9" s="2235"/>
      <c r="C9" s="48" t="s">
        <v>1916</v>
      </c>
      <c r="D9" s="48">
        <f t="shared" si="0"/>
        <v>0</v>
      </c>
      <c r="E9" s="52">
        <v>0</v>
      </c>
      <c r="F9" s="1392"/>
      <c r="G9" s="2233"/>
      <c r="H9" s="2233"/>
      <c r="I9" s="1392"/>
      <c r="J9" s="1392"/>
      <c r="K9" s="1392"/>
      <c r="L9" s="1392"/>
      <c r="M9" s="1392"/>
      <c r="N9" s="1392"/>
      <c r="O9" s="1392"/>
      <c r="P9" s="1392"/>
    </row>
    <row r="10" spans="1:16">
      <c r="A10" s="2234"/>
      <c r="B10" s="2235"/>
      <c r="C10" s="48" t="s">
        <v>1925</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1917</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1918</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1919</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1931</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1926</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1920</v>
      </c>
      <c r="D16" s="50">
        <f>SUM(D8:D15)</f>
        <v>0</v>
      </c>
      <c r="E16" s="53">
        <f>SUM(E8:E15)</f>
        <v>5775.17</v>
      </c>
      <c r="F16" s="1392"/>
      <c r="G16" s="2233"/>
      <c r="H16" s="2236" t="s">
        <v>1932</v>
      </c>
      <c r="I16" s="2237"/>
      <c r="J16" s="1392"/>
      <c r="K16" s="3044" t="s">
        <v>1932</v>
      </c>
      <c r="L16" s="3045"/>
      <c r="M16" s="3045"/>
      <c r="N16" s="3045"/>
      <c r="O16" s="3045"/>
      <c r="P16" s="3046"/>
    </row>
    <row r="17" spans="1:19" ht="15">
      <c r="A17" s="2238" t="s">
        <v>1933</v>
      </c>
      <c r="B17" s="2239" t="s">
        <v>1934</v>
      </c>
      <c r="C17" s="2240" t="s">
        <v>1935</v>
      </c>
      <c r="D17" s="2241" t="s">
        <v>1923</v>
      </c>
      <c r="E17" s="2242" t="s">
        <v>1924</v>
      </c>
      <c r="F17" s="2243"/>
      <c r="G17" s="2244"/>
      <c r="H17" s="2245" t="s">
        <v>1936</v>
      </c>
      <c r="I17" s="2246" t="s">
        <v>1921</v>
      </c>
      <c r="J17" s="1392"/>
      <c r="K17" s="3041" t="s">
        <v>1937</v>
      </c>
      <c r="L17" s="3042"/>
      <c r="M17" s="3043"/>
      <c r="N17" s="3041" t="s">
        <v>1938</v>
      </c>
      <c r="O17" s="3042"/>
      <c r="P17" s="3043"/>
      <c r="R17" s="2224" t="s">
        <v>1939</v>
      </c>
      <c r="S17" s="64"/>
    </row>
    <row r="18" spans="1:19" ht="15">
      <c r="A18" s="2234"/>
      <c r="B18" s="2247"/>
      <c r="C18" s="2248"/>
      <c r="D18" s="2249"/>
      <c r="E18" s="2250" t="s">
        <v>1940</v>
      </c>
      <c r="F18" s="2251" t="s">
        <v>1941</v>
      </c>
      <c r="G18" s="2252" t="s">
        <v>1942</v>
      </c>
      <c r="H18" s="1262" t="s">
        <v>1943</v>
      </c>
      <c r="I18" s="2253" t="s">
        <v>1944</v>
      </c>
      <c r="J18" s="1392"/>
      <c r="K18" s="1262" t="s">
        <v>1945</v>
      </c>
      <c r="L18" s="2254" t="s">
        <v>1946</v>
      </c>
      <c r="M18" s="1046" t="s">
        <v>1947</v>
      </c>
      <c r="N18" s="1262" t="s">
        <v>1945</v>
      </c>
      <c r="O18" s="2254" t="s">
        <v>1946</v>
      </c>
      <c r="P18" s="1046" t="s">
        <v>1947</v>
      </c>
      <c r="R18" s="1247" t="s">
        <v>1948</v>
      </c>
      <c r="S18" s="1247" t="s">
        <v>1949</v>
      </c>
    </row>
    <row r="19" spans="1:19">
      <c r="A19" s="2255"/>
      <c r="B19" s="50" t="s">
        <v>1922</v>
      </c>
      <c r="C19" s="2952" t="s">
        <v>3057</v>
      </c>
      <c r="D19" s="48">
        <f>ROUND($D$3*E19/$E$3,2)</f>
        <v>0</v>
      </c>
      <c r="E19" s="56">
        <f t="shared" ref="E19:E26" si="1">SUM(F19:G19)</f>
        <v>5775.17</v>
      </c>
      <c r="F19" s="57">
        <f>'数据-基础表'!I13</f>
        <v>5775.17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0</v>
      </c>
      <c r="S19" s="1248">
        <f t="shared" si="5"/>
        <v>5775.17</v>
      </c>
    </row>
    <row r="20" spans="1:19">
      <c r="A20" s="2259"/>
      <c r="B20" s="50" t="s">
        <v>1950</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1950</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1950</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1950</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1950</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1950</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1950</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1951</v>
      </c>
      <c r="D27" s="1393">
        <f>SUM(D19:D26)</f>
        <v>0</v>
      </c>
      <c r="E27" s="1394">
        <f>IF(SUM(E19:E26)='数据-基础表'!BA5,SUM(E19:E26),IF(F27="地上面积有误","面积有误","地下面积有误"))</f>
        <v>5775.17</v>
      </c>
      <c r="F27" s="1393">
        <f>IF(SUM(F19:F26)=E8,SUM(F19:F26),"地上面积有误")</f>
        <v>5775.17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5775.17</v>
      </c>
    </row>
    <row r="28" spans="1:19">
      <c r="A28" s="2259"/>
      <c r="B28" s="50" t="s">
        <v>1952</v>
      </c>
      <c r="C28" s="1259" t="s">
        <v>1953</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1952</v>
      </c>
      <c r="C29" s="2263" t="s">
        <v>1954</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1951</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1955</v>
      </c>
      <c r="D31" s="729">
        <f>D27+D30</f>
        <v>0</v>
      </c>
      <c r="E31" s="729">
        <f>E27+E30</f>
        <v>5775.17</v>
      </c>
      <c r="F31" s="730">
        <f>F27+F30</f>
        <v>5775.17</v>
      </c>
      <c r="G31" s="731">
        <f>G27+G30</f>
        <v>0</v>
      </c>
      <c r="H31" s="1392"/>
      <c r="I31" s="1392"/>
      <c r="J31" s="1392"/>
      <c r="K31" s="1392"/>
      <c r="L31" s="1392"/>
      <c r="M31" s="1392"/>
      <c r="N31" s="1392"/>
      <c r="O31" s="1392"/>
      <c r="P31" s="1392"/>
    </row>
    <row r="32" spans="1:19">
      <c r="A32" s="2229"/>
      <c r="B32" s="2229" t="s">
        <v>1956</v>
      </c>
      <c r="C32" s="2229"/>
      <c r="D32" s="2229"/>
      <c r="E32" s="1274">
        <f>SUMIF(C19:C26,"*住宅*",E19:E26)</f>
        <v>0</v>
      </c>
      <c r="F32" s="2229"/>
      <c r="G32" s="2229"/>
      <c r="H32" s="1392"/>
      <c r="I32" s="1392"/>
      <c r="J32" s="1392"/>
      <c r="K32" s="1392"/>
      <c r="L32" s="1392"/>
      <c r="M32" s="1392"/>
      <c r="N32" s="1392"/>
      <c r="O32" s="1392"/>
      <c r="P32" s="1392"/>
    </row>
    <row r="33" spans="4:6">
      <c r="D33" s="2267"/>
    </row>
    <row r="34" spans="4:6">
      <c r="F34" s="2222">
        <f>700/F19*10000</f>
        <v>1212.0855316813186</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6" sqref="B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1957</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1958</v>
      </c>
      <c r="B2" s="1266">
        <f>项目基本情况!D3</f>
        <v>43782</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1959</v>
      </c>
      <c r="B4" s="2277"/>
      <c r="C4" s="2278"/>
      <c r="D4" s="2279"/>
      <c r="E4" s="2278" t="s">
        <v>1960</v>
      </c>
      <c r="F4" s="2278"/>
      <c r="G4" s="2278"/>
      <c r="H4" s="2278"/>
      <c r="I4" s="2278"/>
      <c r="J4" s="2280"/>
      <c r="K4" s="2281"/>
      <c r="L4" s="2282"/>
      <c r="M4" s="2278"/>
      <c r="N4" s="2278" t="s">
        <v>1961</v>
      </c>
      <c r="O4" s="2278"/>
      <c r="P4" s="2278"/>
      <c r="Q4" s="2278"/>
      <c r="R4" s="2278"/>
      <c r="S4" s="2280"/>
      <c r="T4" s="2283" t="str">
        <f>'数据-汇总表'!I17</f>
        <v>按面积比例</v>
      </c>
      <c r="U4" s="2277" t="s">
        <v>1962</v>
      </c>
      <c r="V4" s="2278"/>
      <c r="W4" s="2278"/>
      <c r="X4" s="2278"/>
      <c r="Y4" s="2280"/>
      <c r="Z4" s="2240" t="s">
        <v>1963</v>
      </c>
      <c r="AA4" s="2240"/>
      <c r="AB4" s="2240"/>
      <c r="AC4" s="2240"/>
      <c r="AD4" s="2240"/>
      <c r="AE4" s="2238" t="s">
        <v>1964</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1965</v>
      </c>
      <c r="B5" s="2286" t="s">
        <v>1966</v>
      </c>
      <c r="C5" s="2287" t="s">
        <v>1967</v>
      </c>
      <c r="D5" s="2288" t="s">
        <v>1968</v>
      </c>
      <c r="E5" s="1268" t="s">
        <v>1969</v>
      </c>
      <c r="F5" s="2289" t="s">
        <v>1970</v>
      </c>
      <c r="G5" s="1268" t="s">
        <v>1971</v>
      </c>
      <c r="H5" s="1268" t="s">
        <v>1972</v>
      </c>
      <c r="I5" s="1268" t="s">
        <v>1973</v>
      </c>
      <c r="J5" s="2290" t="s">
        <v>1974</v>
      </c>
      <c r="K5" s="2291" t="s">
        <v>1975</v>
      </c>
      <c r="L5" s="2292" t="s">
        <v>1976</v>
      </c>
      <c r="M5" s="2293" t="s">
        <v>1977</v>
      </c>
      <c r="N5" s="2294" t="s">
        <v>3065</v>
      </c>
      <c r="O5" s="2292" t="s">
        <v>1978</v>
      </c>
      <c r="P5" s="2295" t="s">
        <v>1979</v>
      </c>
      <c r="Q5" s="69" t="s">
        <v>1980</v>
      </c>
      <c r="R5" s="2296" t="s">
        <v>1981</v>
      </c>
      <c r="S5" s="2297" t="s">
        <v>1982</v>
      </c>
      <c r="T5" s="2298" t="s">
        <v>1983</v>
      </c>
      <c r="U5" s="1267" t="s">
        <v>1984</v>
      </c>
      <c r="V5" s="1268" t="s">
        <v>1985</v>
      </c>
      <c r="W5" s="1268" t="s">
        <v>1986</v>
      </c>
      <c r="X5" s="71"/>
      <c r="Y5" s="70" t="s">
        <v>1987</v>
      </c>
      <c r="Z5" s="2299" t="s">
        <v>1984</v>
      </c>
      <c r="AA5" s="1268" t="s">
        <v>1985</v>
      </c>
      <c r="AB5" s="1268" t="s">
        <v>1986</v>
      </c>
      <c r="AC5" s="71"/>
      <c r="AD5" s="71" t="s">
        <v>1987</v>
      </c>
      <c r="AE5" s="1267" t="s">
        <v>1988</v>
      </c>
      <c r="AF5" s="1268" t="s">
        <v>1989</v>
      </c>
      <c r="AG5" s="70" t="s">
        <v>1990</v>
      </c>
      <c r="AH5" s="1267" t="s">
        <v>1991</v>
      </c>
      <c r="AI5" s="2299" t="s">
        <v>1992</v>
      </c>
      <c r="AJ5" s="2299" t="s">
        <v>1993</v>
      </c>
      <c r="AK5" s="1268" t="s">
        <v>1994</v>
      </c>
      <c r="AL5" s="1268" t="s">
        <v>1995</v>
      </c>
      <c r="AM5" s="70" t="s">
        <v>1996</v>
      </c>
      <c r="AN5" s="2300" t="s">
        <v>1997</v>
      </c>
      <c r="AO5" s="2070" t="s">
        <v>1998</v>
      </c>
      <c r="AP5" s="1249" t="s">
        <v>1999</v>
      </c>
      <c r="AQ5" s="2301" t="s">
        <v>2000</v>
      </c>
      <c r="AR5" s="2301" t="s">
        <v>2001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工业用房</v>
      </c>
      <c r="B6" s="2303" t="str">
        <f>IF(A6=0,"","经营性")</f>
        <v>经营性</v>
      </c>
      <c r="C6" s="2304" t="s">
        <v>6</v>
      </c>
      <c r="D6" s="1051">
        <f>SUMIF(项目基本情况!D$12:I$12,C6,项目基本情况!D$14:I$14)</f>
        <v>50</v>
      </c>
      <c r="E6" s="1048">
        <f>IF(B6="","",SUMIF(项目基本情况!D$12:I$12,C6,项目基本情况!D$13:I$13))</f>
        <v>57534</v>
      </c>
      <c r="F6" s="72">
        <f>SUMIF(项目基本情况!D$12:I$12,C6,项目基本情况!D$15:I$15)</f>
        <v>37.67</v>
      </c>
      <c r="G6" s="73">
        <f>IF(ISERROR(ROUND(POWER(1+H6,D6-F6)*(POWER(1+H6,F6)-1)/(POWER(1+H6,D6)-1),3)),0,ROUND(POWER(1+H6,D6-F6)*(POWER(1+H6,F6)-1)/(POWER(1+H6,D6)-1),3))</f>
        <v>0.91</v>
      </c>
      <c r="H6" s="802">
        <v>4.4999999999999998E-2</v>
      </c>
      <c r="I6" s="802">
        <v>5.5E-2</v>
      </c>
      <c r="J6" s="74">
        <v>8.5000000000000006E-2</v>
      </c>
      <c r="K6" s="1251">
        <f>SUMIF('数据-汇总表'!C$19:C$33,A6,'数据-汇总表'!E$19:E$33)</f>
        <v>5775.17</v>
      </c>
      <c r="L6" s="803">
        <v>3200</v>
      </c>
      <c r="M6" s="75">
        <f t="shared" ref="M6:M14" si="0">ROUND(K6*L6/10000,0)</f>
        <v>1848</v>
      </c>
      <c r="N6" s="801">
        <v>0.95</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3299">
        <v>3.61</v>
      </c>
      <c r="V6" s="79">
        <v>0</v>
      </c>
      <c r="W6" s="79">
        <v>0</v>
      </c>
      <c r="X6" s="1261"/>
      <c r="Y6" s="80">
        <f>N6</f>
        <v>0.95</v>
      </c>
      <c r="Z6" s="81">
        <f>V18</f>
        <v>3.31</v>
      </c>
      <c r="AA6" s="74">
        <v>0.02</v>
      </c>
      <c r="AB6" s="74">
        <v>0.1</v>
      </c>
      <c r="AC6" s="1261"/>
      <c r="AD6" s="82">
        <v>0.87</v>
      </c>
      <c r="AE6" s="1262">
        <f ca="1">IF(AN6="",0,SUMIF(INDIRECT("'"&amp;AN6&amp;"'"&amp;"!E:E"),$AE$5,INDIRECT("'"&amp;AN6&amp;"'"&amp;"!F:F")))</f>
        <v>37.67</v>
      </c>
      <c r="AF6" s="3298">
        <v>4.97</v>
      </c>
      <c r="AG6" s="147">
        <f ca="1">IF(AF6="",0,AE6-AF6)</f>
        <v>32.700000000000003</v>
      </c>
      <c r="AH6" s="83"/>
      <c r="AI6" s="85">
        <v>365</v>
      </c>
      <c r="AJ6" s="86"/>
      <c r="AK6" s="87">
        <v>1.4999999999999999E-2</v>
      </c>
      <c r="AL6" s="88">
        <v>1.5E-3</v>
      </c>
      <c r="AM6" s="89">
        <v>0.02</v>
      </c>
      <c r="AN6" s="2305" t="s">
        <v>3061</v>
      </c>
      <c r="AO6" s="55">
        <f ca="1">SUMIF(INDIRECT("'"&amp;AN6&amp;"'"&amp;"!A:A"),"总价",INDIRECT("'"&amp;AN6&amp;"'"&amp;"!B:B"))</f>
        <v>9238</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2002</v>
      </c>
      <c r="B14" s="2303" t="s">
        <v>2003</v>
      </c>
      <c r="C14" s="2308" t="s">
        <v>2002</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2004</v>
      </c>
      <c r="B15" s="2303" t="s">
        <v>2003</v>
      </c>
      <c r="C15" s="2308" t="s">
        <v>2005</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2006</v>
      </c>
      <c r="B16" s="97"/>
      <c r="C16" s="1005"/>
      <c r="D16" s="2310"/>
      <c r="E16" s="97"/>
      <c r="F16" s="97"/>
      <c r="G16" s="98">
        <f>ROUND(SUMPRODUCT(G6:G13,K6:K13)/SUMPRODUCT((G6:G13&gt;0)*(K6:K13)),3)</f>
        <v>0.91</v>
      </c>
      <c r="H16" s="99">
        <f>ROUND(SUMPRODUCT(H6:H13,K6:K13)/SUMPRODUCT((H6:H13&gt;0)*(K6:K13)),3)</f>
        <v>4.4999999999999998E-2</v>
      </c>
      <c r="I16" s="100"/>
      <c r="J16" s="100"/>
      <c r="K16" s="101">
        <f>SUM(K6:K15)</f>
        <v>5775.17</v>
      </c>
      <c r="L16" s="102">
        <f>ROUND(M16*10000/SUM(K6:K14),0)</f>
        <v>3200</v>
      </c>
      <c r="M16" s="102">
        <f>SUM(M6:M14)</f>
        <v>1848</v>
      </c>
      <c r="N16" s="103">
        <f>ROUND(SUMPRODUCT(M6:M14,N6:N14)/M16,3)</f>
        <v>0.95</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2007</v>
      </c>
      <c r="B18" s="2276"/>
      <c r="C18" s="2273"/>
      <c r="D18" s="2274"/>
      <c r="E18" s="2273"/>
      <c r="F18" s="2273"/>
      <c r="G18" s="2273"/>
      <c r="H18" s="2273"/>
      <c r="I18" s="2273"/>
      <c r="J18" s="2273"/>
      <c r="K18" s="168"/>
      <c r="L18" s="168"/>
      <c r="M18" s="1581"/>
      <c r="N18" s="1581"/>
      <c r="O18" s="1581"/>
      <c r="P18" s="1581"/>
      <c r="Q18" s="1581"/>
      <c r="R18" s="1581"/>
      <c r="S18" s="1581"/>
      <c r="T18" s="1581"/>
      <c r="U18" s="1581">
        <v>3</v>
      </c>
      <c r="V18" s="1581">
        <f>ROUND(U18*(1+AA6)^AF6,2)</f>
        <v>3.31</v>
      </c>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2008</v>
      </c>
      <c r="B19" s="112">
        <v>0</v>
      </c>
      <c r="C19" s="2273" t="s">
        <v>2009</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2010</v>
      </c>
      <c r="B20" s="113">
        <v>2</v>
      </c>
      <c r="C20" s="2273" t="s">
        <v>2011</v>
      </c>
      <c r="D20" s="2274"/>
      <c r="E20" s="2273"/>
      <c r="F20" s="2273"/>
      <c r="G20" s="2273"/>
      <c r="H20" s="2273"/>
      <c r="I20" s="2273"/>
      <c r="J20" s="2273"/>
      <c r="K20" s="168"/>
      <c r="L20" s="168"/>
      <c r="M20" s="1581"/>
      <c r="N20" s="1581">
        <v>2016</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2012</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2013</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2014</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2015</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2016</v>
      </c>
      <c r="B26" s="2316" t="s">
        <v>2017</v>
      </c>
      <c r="C26" s="2317" t="s">
        <v>2018</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2019</v>
      </c>
      <c r="B27" s="116">
        <v>220</v>
      </c>
      <c r="C27" s="1764" t="s">
        <v>2020</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2021</v>
      </c>
      <c r="B28" s="119">
        <v>220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2022</v>
      </c>
      <c r="B29" s="121"/>
      <c r="C29" s="1764" t="s">
        <v>2023</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2024</v>
      </c>
      <c r="B30" s="724">
        <v>220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2025</v>
      </c>
      <c r="B31" s="120">
        <f>B30-B32</f>
        <v>220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2026</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2027</v>
      </c>
      <c r="B33" s="726">
        <v>0.03</v>
      </c>
      <c r="C33" s="1763" t="s">
        <v>2028</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2029</v>
      </c>
      <c r="B34" s="122"/>
      <c r="C34" s="1763" t="s">
        <v>2030</v>
      </c>
      <c r="D34" s="2274" t="s">
        <v>2031</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2032</v>
      </c>
      <c r="B35" s="119">
        <v>220</v>
      </c>
      <c r="C35" s="1763" t="s">
        <v>2033</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2034</v>
      </c>
      <c r="B36" s="123">
        <v>1.4999999999999999E-2</v>
      </c>
      <c r="C36" s="1763" t="s">
        <v>2035</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2036</v>
      </c>
      <c r="B37" s="124">
        <v>0.02</v>
      </c>
      <c r="C37" s="1763" t="s">
        <v>2037</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2038</v>
      </c>
      <c r="B38" s="122">
        <v>0.02</v>
      </c>
      <c r="C38" s="1763" t="s">
        <v>2037</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2039</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2040</v>
      </c>
      <c r="B40" s="1300">
        <f ca="1">存贷款利率!G1</f>
        <v>4.7500000000000001E-2</v>
      </c>
      <c r="C40" s="1763" t="s">
        <v>2041</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2042</v>
      </c>
      <c r="B41" s="125">
        <f>B42+B43</f>
        <v>5.6000000000000001E-2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2043</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2044</v>
      </c>
      <c r="B43" s="127">
        <f>B42*(B44+B45+B46)+B47</f>
        <v>6.000000000000001E-3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2045</v>
      </c>
      <c r="B44" s="128">
        <v>7.0000000000000007E-2</v>
      </c>
      <c r="C44" s="1763" t="s">
        <v>2046</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2047</v>
      </c>
      <c r="B45" s="126">
        <v>0.03</v>
      </c>
      <c r="C45" s="1764" t="s">
        <v>2048</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2049</v>
      </c>
      <c r="B46" s="126">
        <v>0.02</v>
      </c>
      <c r="C46" s="1764" t="s">
        <v>2050</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2051</v>
      </c>
      <c r="B47" s="129"/>
      <c r="C47" s="1764" t="s">
        <v>2052</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2053</v>
      </c>
      <c r="B48" s="130">
        <v>0.03</v>
      </c>
      <c r="C48" s="1771" t="s">
        <v>2054</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2055</v>
      </c>
      <c r="B49" s="126">
        <v>5.0000000000000001E-4</v>
      </c>
      <c r="C49" s="1771" t="s">
        <v>2056</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2057</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2058</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2059</v>
      </c>
      <c r="B52" s="133">
        <f>SUMIF(A54:A63,B53,B54:B63)</f>
        <v>0</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2060</v>
      </c>
      <c r="B53" s="2332"/>
      <c r="C53" s="1427" t="s">
        <v>2061</v>
      </c>
      <c r="D53" s="2333" t="s">
        <v>2062</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2063</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2064</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2065</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2066</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2067</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2068</v>
      </c>
      <c r="B59" s="84"/>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2069</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2070</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2071</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2072</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6" t="s">
        <v>2073</v>
      </c>
      <c r="B1" s="3057"/>
      <c r="C1" s="3057"/>
      <c r="D1" s="3057"/>
      <c r="E1" s="3057"/>
      <c r="F1" s="3057"/>
      <c r="G1" s="305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2074</v>
      </c>
      <c r="D2" s="2362"/>
      <c r="E2" s="2363"/>
      <c r="F2" s="2282"/>
      <c r="G2" s="2361" t="s">
        <v>2075</v>
      </c>
      <c r="H2" s="2364"/>
      <c r="I2" s="2364"/>
      <c r="J2" s="2364"/>
      <c r="K2" s="2364"/>
      <c r="L2" s="2364"/>
      <c r="M2" s="2364"/>
      <c r="N2" s="2364"/>
      <c r="O2" s="2364"/>
      <c r="P2" s="2364"/>
      <c r="Q2" s="2364"/>
      <c r="R2" s="2364"/>
    </row>
    <row r="3" spans="1:29" ht="54">
      <c r="A3" s="415" t="s">
        <v>2076</v>
      </c>
      <c r="B3" s="1268" t="s">
        <v>2077</v>
      </c>
      <c r="C3" s="2366" t="s">
        <v>2078</v>
      </c>
      <c r="D3" s="2367"/>
      <c r="E3" s="431" t="s">
        <v>2076</v>
      </c>
      <c r="F3" s="2368" t="s">
        <v>2079</v>
      </c>
      <c r="G3" s="2369" t="s">
        <v>2080</v>
      </c>
      <c r="H3" s="2364"/>
      <c r="I3" s="2364"/>
      <c r="J3" s="2364"/>
      <c r="K3" s="2364"/>
      <c r="L3" s="2364"/>
      <c r="M3" s="2364"/>
      <c r="N3" s="2364"/>
      <c r="O3" s="2364"/>
      <c r="P3" s="2364"/>
      <c r="Q3" s="2364"/>
      <c r="R3" s="2364"/>
    </row>
    <row r="4" spans="1:29" ht="41.25">
      <c r="A4" s="431"/>
      <c r="B4" s="1795" t="s">
        <v>2081</v>
      </c>
      <c r="C4" s="2370" t="s">
        <v>2082</v>
      </c>
      <c r="D4" s="2367"/>
      <c r="E4" s="2371"/>
      <c r="F4" s="42" t="s">
        <v>2083</v>
      </c>
      <c r="G4" s="2372" t="s">
        <v>2084</v>
      </c>
      <c r="H4" s="2364"/>
      <c r="I4" s="2364"/>
      <c r="J4" s="2364"/>
      <c r="K4" s="2364"/>
      <c r="L4" s="2364"/>
      <c r="M4" s="2364"/>
      <c r="N4" s="2364"/>
      <c r="O4" s="2364"/>
      <c r="P4" s="2364"/>
      <c r="Q4" s="2364"/>
      <c r="R4" s="2364"/>
    </row>
    <row r="5" spans="1:29" ht="41.25">
      <c r="A5" s="431"/>
      <c r="B5" s="1795" t="s">
        <v>2085</v>
      </c>
      <c r="C5" s="2370" t="s">
        <v>2086</v>
      </c>
      <c r="D5" s="2367"/>
      <c r="E5" s="2371"/>
      <c r="F5" s="1795" t="s">
        <v>2087</v>
      </c>
      <c r="G5" s="2372" t="s">
        <v>2088</v>
      </c>
      <c r="H5" s="2364"/>
      <c r="I5" s="2364"/>
      <c r="J5" s="2364"/>
      <c r="K5" s="2364"/>
      <c r="L5" s="2364"/>
      <c r="M5" s="2364"/>
      <c r="N5" s="2364"/>
      <c r="O5" s="2364"/>
      <c r="P5" s="2364"/>
      <c r="Q5" s="2364"/>
      <c r="R5" s="2364"/>
    </row>
    <row r="6" spans="1:29" ht="54">
      <c r="A6" s="431"/>
      <c r="B6" s="1795" t="s">
        <v>2089</v>
      </c>
      <c r="C6" s="2372" t="s">
        <v>2084</v>
      </c>
      <c r="D6" s="2367"/>
      <c r="E6" s="2371"/>
      <c r="F6" s="1795" t="s">
        <v>2090</v>
      </c>
      <c r="G6" s="2372" t="s">
        <v>2091</v>
      </c>
      <c r="H6" s="2364"/>
      <c r="I6" s="2364"/>
      <c r="J6" s="2364"/>
      <c r="K6" s="2364"/>
      <c r="L6" s="2364"/>
      <c r="M6" s="2364"/>
      <c r="N6" s="2364"/>
      <c r="O6" s="2364"/>
      <c r="P6" s="2364"/>
      <c r="Q6" s="2364"/>
      <c r="R6" s="2364"/>
    </row>
    <row r="7" spans="1:29" ht="41.25" thickBot="1">
      <c r="A7" s="431"/>
      <c r="B7" s="1795" t="s">
        <v>2087</v>
      </c>
      <c r="C7" s="2372" t="s">
        <v>2088</v>
      </c>
      <c r="D7" s="2373"/>
      <c r="E7" s="2374"/>
      <c r="F7" s="2375" t="s">
        <v>2092</v>
      </c>
      <c r="G7" s="2376" t="s">
        <v>2093</v>
      </c>
      <c r="H7" s="2364"/>
      <c r="I7" s="2364"/>
      <c r="J7" s="2364"/>
      <c r="K7" s="2364"/>
      <c r="L7" s="2364"/>
      <c r="M7" s="2364"/>
      <c r="N7" s="2364"/>
      <c r="O7" s="2364"/>
      <c r="P7" s="2364"/>
      <c r="Q7" s="2364"/>
      <c r="R7" s="2364"/>
    </row>
    <row r="8" spans="1:29" ht="27">
      <c r="A8" s="431"/>
      <c r="B8" s="1795" t="s">
        <v>2090</v>
      </c>
      <c r="C8" s="2372" t="s">
        <v>2091</v>
      </c>
      <c r="D8" s="2373"/>
      <c r="E8" s="2373"/>
      <c r="F8" s="1133"/>
      <c r="G8" s="1133"/>
      <c r="H8" s="2364"/>
      <c r="I8" s="2364"/>
      <c r="J8" s="2364"/>
      <c r="K8" s="2364"/>
      <c r="L8" s="2364"/>
      <c r="M8" s="2364"/>
      <c r="N8" s="2364"/>
      <c r="O8" s="2364"/>
      <c r="P8" s="2364"/>
      <c r="Q8" s="2364"/>
      <c r="R8" s="2364"/>
    </row>
    <row r="9" spans="1:29" ht="27">
      <c r="A9" s="431"/>
      <c r="B9" s="1795" t="s">
        <v>2094</v>
      </c>
      <c r="C9" s="2370" t="s">
        <v>2095</v>
      </c>
      <c r="D9" s="2367"/>
      <c r="E9" s="2373"/>
      <c r="F9" s="1133"/>
      <c r="G9" s="1133"/>
      <c r="H9" s="2364"/>
      <c r="I9" s="2364"/>
      <c r="J9" s="2364"/>
      <c r="K9" s="2364"/>
      <c r="L9" s="2364"/>
      <c r="M9" s="2364"/>
      <c r="N9" s="2364"/>
      <c r="O9" s="2364"/>
      <c r="P9" s="2364"/>
      <c r="Q9" s="2364"/>
      <c r="R9" s="2364"/>
    </row>
    <row r="10" spans="1:29" s="117" customFormat="1" ht="15.75" thickBot="1">
      <c r="A10" s="2377"/>
      <c r="B10" s="2378" t="s">
        <v>2096</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2097</v>
      </c>
      <c r="B13" s="2384"/>
      <c r="C13" s="2384"/>
      <c r="D13" s="2391"/>
      <c r="E13" s="2384"/>
      <c r="F13" s="2384"/>
      <c r="G13" s="2384"/>
    </row>
    <row r="14" spans="1:29" ht="15.75" thickBot="1">
      <c r="A14" s="2395"/>
      <c r="B14" s="2396"/>
      <c r="C14" s="2397" t="s">
        <v>2098</v>
      </c>
      <c r="D14" s="2367"/>
      <c r="E14" s="2398"/>
      <c r="F14" s="2398"/>
      <c r="G14" s="2361" t="s">
        <v>2099</v>
      </c>
    </row>
    <row r="15" spans="1:29" ht="57">
      <c r="A15" s="68" t="s">
        <v>2100</v>
      </c>
      <c r="B15" s="1267" t="s">
        <v>2077</v>
      </c>
      <c r="C15" s="2399" t="str">
        <f>C3</f>
        <v>估价对象周边居住用地比例、居住小区规模和社区发展完善程度，综合评价居住社区成熟度一般</v>
      </c>
      <c r="D15" s="2367"/>
      <c r="E15" s="2400" t="s">
        <v>2101</v>
      </c>
      <c r="F15" s="1267" t="s">
        <v>2102</v>
      </c>
      <c r="G15" s="135" t="str">
        <f>G3</f>
        <v>估价对象位于XX开发区，园区建设成熟度XX，产业集聚程度XX</v>
      </c>
    </row>
    <row r="16" spans="1:29" ht="42.75">
      <c r="A16" s="645"/>
      <c r="B16" s="2401" t="s">
        <v>2081</v>
      </c>
      <c r="C16" s="2402" t="str">
        <f>C4</f>
        <v>估价对象位于XX商圈，周边商业氛围成熟，人流量大，商业繁华度好</v>
      </c>
      <c r="D16" s="2367"/>
      <c r="E16" s="2403"/>
      <c r="F16" s="2404" t="s">
        <v>2083</v>
      </c>
      <c r="G16" s="136" t="str">
        <f>G4</f>
        <v>估价对象周边道路状况、公共交通通达情况、停车便捷程度，综合评价交通便捷度较好</v>
      </c>
    </row>
    <row r="17" spans="1:18" ht="42.75">
      <c r="A17" s="645"/>
      <c r="B17" s="2401" t="s">
        <v>2085</v>
      </c>
      <c r="C17" s="2402" t="str">
        <f>C5</f>
        <v>估价对象位于XX商圈，周边办公楼项目较多，入驻率高，办公集聚程度较好</v>
      </c>
      <c r="D17" s="2373"/>
      <c r="E17" s="2403"/>
      <c r="F17" s="2404" t="s">
        <v>2103</v>
      </c>
      <c r="G17" s="1569"/>
    </row>
    <row r="18" spans="1:18" ht="57">
      <c r="A18" s="645"/>
      <c r="B18" s="2404" t="s">
        <v>2089</v>
      </c>
      <c r="C18" s="136" t="str">
        <f>C6</f>
        <v>估价对象周边道路状况、公共交通通达情况、停车便捷程度，综合评价交通便捷度较好</v>
      </c>
      <c r="D18" s="2373"/>
      <c r="E18" s="2403"/>
      <c r="F18" s="2404" t="s">
        <v>2092</v>
      </c>
      <c r="G18" s="136" t="str">
        <f>G7</f>
        <v>该园区内是否有污染型企业，绿化情况，卫生条件，整体环境状况判断</v>
      </c>
    </row>
    <row r="19" spans="1:18" ht="28.5">
      <c r="A19" s="645"/>
      <c r="B19" s="2404" t="s">
        <v>2104</v>
      </c>
      <c r="C19" s="1569"/>
      <c r="D19" s="2367"/>
      <c r="E19" s="2403"/>
      <c r="F19" s="1795" t="s">
        <v>2087</v>
      </c>
      <c r="G19" s="136" t="str">
        <f>G5</f>
        <v>估价对象所在区域公共配套设施齐备情况</v>
      </c>
    </row>
    <row r="20" spans="1:18" ht="28.5">
      <c r="A20" s="645"/>
      <c r="B20" s="2404" t="s">
        <v>2105</v>
      </c>
      <c r="C20" s="2402" t="str">
        <f>C9</f>
        <v>区域自然环境：；人文环境；综合评价环境状况一般</v>
      </c>
      <c r="D20" s="2373"/>
      <c r="E20" s="2403"/>
      <c r="F20" s="1795" t="s">
        <v>2106</v>
      </c>
      <c r="G20" s="136" t="str">
        <f>G6</f>
        <v>估价对象所在区域基础设施水平</v>
      </c>
    </row>
    <row r="21" spans="1:18" ht="28.5">
      <c r="A21" s="645"/>
      <c r="B21" s="1795" t="s">
        <v>2087</v>
      </c>
      <c r="C21" s="136" t="str">
        <f>C7</f>
        <v>估价对象所在区域公共配套设施齐备情况</v>
      </c>
      <c r="D21" s="2367"/>
      <c r="E21" s="2403"/>
      <c r="F21" s="2404" t="s">
        <v>2107</v>
      </c>
      <c r="G21" s="2405"/>
    </row>
    <row r="22" spans="1:18" ht="13.5" customHeight="1">
      <c r="A22" s="645"/>
      <c r="B22" s="1795" t="s">
        <v>2090</v>
      </c>
      <c r="C22" s="136" t="str">
        <f>C8</f>
        <v>估价对象所在区域基础设施水平</v>
      </c>
      <c r="D22" s="2367"/>
      <c r="E22" s="2403"/>
      <c r="F22" s="2404" t="s">
        <v>2096</v>
      </c>
      <c r="G22" s="1569"/>
    </row>
    <row r="23" spans="1:18" s="2364" customFormat="1" ht="15.75" thickBot="1">
      <c r="A23" s="645"/>
      <c r="B23" s="2404" t="s">
        <v>2107</v>
      </c>
      <c r="C23" s="2405"/>
      <c r="D23" s="2392"/>
      <c r="E23" s="2406"/>
      <c r="F23" s="2407" t="s">
        <v>2108</v>
      </c>
      <c r="G23" s="2408"/>
      <c r="H23" s="2392"/>
      <c r="I23" s="2393"/>
      <c r="J23" s="2392"/>
      <c r="K23" s="2392"/>
      <c r="L23" s="2393"/>
      <c r="M23" s="2392"/>
      <c r="N23" s="2392"/>
      <c r="O23" s="2393"/>
      <c r="P23" s="2392"/>
      <c r="Q23" s="2392"/>
      <c r="R23" s="2394"/>
    </row>
    <row r="24" spans="1:18" s="2364" customFormat="1" ht="15.75" thickBot="1">
      <c r="A24" s="2409"/>
      <c r="B24" s="2407" t="s">
        <v>2109</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5775.17</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43782</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6537</v>
      </c>
      <c r="C5" s="1743">
        <f ca="1">ROUND(B5*10000/$B$1,0)</f>
        <v>11319</v>
      </c>
      <c r="D5" s="1743" t="e">
        <f ca="1">ROUND(B5*10000/$B$2,0)</f>
        <v>#DIV/0!</v>
      </c>
      <c r="E5" s="1742"/>
      <c r="F5" s="1740"/>
      <c r="G5" s="1740"/>
    </row>
    <row r="6" spans="1:10" ht="16.5">
      <c r="A6" s="1743" t="s">
        <v>1352</v>
      </c>
      <c r="B6" s="1743">
        <f ca="1">SUM(G14:G23)</f>
        <v>6537</v>
      </c>
      <c r="C6" s="1743">
        <f ca="1">ROUND(B6*10000/$B$1,0)</f>
        <v>11319</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5775.17</v>
      </c>
      <c r="C14" s="1741">
        <f>结果表!C118</f>
        <v>0</v>
      </c>
      <c r="D14" s="1741">
        <f ca="1">结果表!H118</f>
        <v>6537</v>
      </c>
      <c r="E14" s="1741">
        <f ca="1">ROUND(D14*10000/B14,0)</f>
        <v>11319</v>
      </c>
      <c r="F14" s="1741" t="e">
        <f ca="1">ROUND(D14*10000/C14,0)</f>
        <v>#DIV/0!</v>
      </c>
      <c r="G14" s="1741">
        <f ca="1">结果表!D122</f>
        <v>6537</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J23" sqref="J23"/>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1" t="s">
        <v>2110</v>
      </c>
      <c r="B1" s="2415"/>
      <c r="C1" s="2416"/>
      <c r="D1" s="2415"/>
      <c r="E1" s="2415"/>
      <c r="F1" s="2417" t="s">
        <v>2111</v>
      </c>
      <c r="G1" s="2067" t="s">
        <v>3074</v>
      </c>
      <c r="H1" s="2418" t="str">
        <f>IF(G1="现房","——","估价对象范围")</f>
        <v>——</v>
      </c>
      <c r="I1" s="2419"/>
    </row>
    <row r="2" spans="1:12" ht="21.75" customHeight="1" thickBot="1">
      <c r="A2" s="3130" t="str">
        <f>项目基本情况!S2</f>
        <v>四川省成都市青羊区广富路239号31栋1层1号房地产</v>
      </c>
      <c r="B2" s="3131"/>
      <c r="C2" s="3131"/>
      <c r="D2" s="3131"/>
      <c r="E2" s="3131"/>
      <c r="F2" s="3131"/>
      <c r="G2" s="3131"/>
      <c r="H2" s="3131"/>
      <c r="I2" s="3132"/>
    </row>
    <row r="3" spans="1:12" ht="12.75">
      <c r="A3" s="3133" t="s">
        <v>2112</v>
      </c>
      <c r="B3" s="3134"/>
      <c r="C3" s="3134"/>
      <c r="D3" s="3134"/>
      <c r="E3" s="3134"/>
      <c r="F3" s="3134"/>
      <c r="G3" s="3134"/>
      <c r="H3" s="3134"/>
      <c r="I3" s="3134"/>
    </row>
    <row r="4" spans="1:12" ht="14.25">
      <c r="A4" s="2422" t="s">
        <v>2113</v>
      </c>
      <c r="B4" s="2423" t="s">
        <v>2114</v>
      </c>
      <c r="C4" s="2424" t="s">
        <v>3060</v>
      </c>
      <c r="D4" s="2424" t="s">
        <v>3061</v>
      </c>
      <c r="E4" s="3114" t="s">
        <v>2115</v>
      </c>
      <c r="F4" s="3127"/>
      <c r="G4" s="3127"/>
      <c r="H4" s="3127"/>
      <c r="I4" s="3115"/>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05" t="s">
        <v>2116</v>
      </c>
      <c r="B5" s="3031">
        <v>25</v>
      </c>
      <c r="C5" s="3135"/>
      <c r="D5" s="3123"/>
      <c r="E5" s="140" t="s">
        <v>2117</v>
      </c>
      <c r="F5" s="2426"/>
      <c r="G5" s="2426"/>
      <c r="H5" s="2426"/>
      <c r="I5" s="1831"/>
    </row>
    <row r="6" spans="1:12" ht="12.75">
      <c r="A6" s="3105"/>
      <c r="B6" s="3031"/>
      <c r="C6" s="3137"/>
      <c r="D6" s="3123"/>
      <c r="E6" s="140" t="s">
        <v>2118</v>
      </c>
      <c r="F6" s="2426"/>
      <c r="G6" s="2426"/>
      <c r="H6" s="2426"/>
      <c r="I6" s="1831"/>
    </row>
    <row r="7" spans="1:12" ht="12.75">
      <c r="A7" s="3105"/>
      <c r="B7" s="3031"/>
      <c r="C7" s="3136"/>
      <c r="D7" s="3123"/>
      <c r="E7" s="140" t="s">
        <v>2119</v>
      </c>
      <c r="F7" s="2426"/>
      <c r="G7" s="2426"/>
      <c r="H7" s="2426"/>
      <c r="I7" s="1831"/>
    </row>
    <row r="8" spans="1:12" ht="12.75">
      <c r="A8" s="3105" t="s">
        <v>2120</v>
      </c>
      <c r="B8" s="3031">
        <v>15</v>
      </c>
      <c r="C8" s="3135"/>
      <c r="D8" s="3123"/>
      <c r="E8" s="140" t="s">
        <v>2121</v>
      </c>
      <c r="F8" s="2426"/>
      <c r="G8" s="2426"/>
      <c r="H8" s="2426"/>
      <c r="I8" s="1831"/>
    </row>
    <row r="9" spans="1:12" ht="12.75">
      <c r="A9" s="3105"/>
      <c r="B9" s="3031"/>
      <c r="C9" s="3136"/>
      <c r="D9" s="3123"/>
      <c r="E9" s="140" t="s">
        <v>2122</v>
      </c>
      <c r="F9" s="2426"/>
      <c r="G9" s="2426"/>
      <c r="H9" s="2426"/>
      <c r="I9" s="1831"/>
    </row>
    <row r="10" spans="1:12" ht="12.75">
      <c r="A10" s="3105" t="s">
        <v>2123</v>
      </c>
      <c r="B10" s="3031">
        <v>15</v>
      </c>
      <c r="C10" s="3135"/>
      <c r="D10" s="3123"/>
      <c r="E10" s="140" t="s">
        <v>2124</v>
      </c>
      <c r="F10" s="2426"/>
      <c r="G10" s="2426"/>
      <c r="H10" s="2426"/>
      <c r="I10" s="1831"/>
    </row>
    <row r="11" spans="1:12" ht="12.75">
      <c r="A11" s="3105"/>
      <c r="B11" s="3031"/>
      <c r="C11" s="3136"/>
      <c r="D11" s="3123"/>
      <c r="E11" s="140" t="s">
        <v>2125</v>
      </c>
      <c r="F11" s="2426"/>
      <c r="G11" s="2426"/>
      <c r="H11" s="2426"/>
      <c r="I11" s="1831"/>
    </row>
    <row r="12" spans="1:12" ht="12.75">
      <c r="A12" s="3105" t="s">
        <v>2126</v>
      </c>
      <c r="B12" s="3031">
        <v>15</v>
      </c>
      <c r="C12" s="3135"/>
      <c r="D12" s="3123"/>
      <c r="E12" s="140" t="s">
        <v>2127</v>
      </c>
      <c r="F12" s="2426"/>
      <c r="G12" s="2426"/>
      <c r="H12" s="2426"/>
      <c r="I12" s="1831"/>
    </row>
    <row r="13" spans="1:12" ht="12.75">
      <c r="A13" s="3105"/>
      <c r="B13" s="3031"/>
      <c r="C13" s="3136"/>
      <c r="D13" s="3123"/>
      <c r="E13" s="140" t="s">
        <v>2128</v>
      </c>
      <c r="F13" s="2426"/>
      <c r="G13" s="2426"/>
      <c r="H13" s="2426"/>
      <c r="I13" s="1831"/>
    </row>
    <row r="14" spans="1:12" ht="12.75">
      <c r="A14" s="3105" t="s">
        <v>2129</v>
      </c>
      <c r="B14" s="3031">
        <v>30</v>
      </c>
      <c r="C14" s="3135">
        <v>6</v>
      </c>
      <c r="D14" s="3123">
        <v>4</v>
      </c>
      <c r="E14" s="140" t="s">
        <v>2130</v>
      </c>
      <c r="F14" s="2426"/>
      <c r="G14" s="2426"/>
      <c r="H14" s="2426"/>
      <c r="I14" s="1831"/>
    </row>
    <row r="15" spans="1:12" ht="12.75">
      <c r="A15" s="3105"/>
      <c r="B15" s="3031"/>
      <c r="C15" s="3137"/>
      <c r="D15" s="3123"/>
      <c r="E15" s="140" t="s">
        <v>2131</v>
      </c>
      <c r="F15" s="2426"/>
      <c r="G15" s="2426"/>
      <c r="H15" s="2426"/>
      <c r="I15" s="1831"/>
    </row>
    <row r="16" spans="1:12" ht="12.75">
      <c r="A16" s="3105"/>
      <c r="B16" s="3031"/>
      <c r="C16" s="3136"/>
      <c r="D16" s="3123"/>
      <c r="E16" s="140" t="s">
        <v>2132</v>
      </c>
      <c r="F16" s="2426"/>
      <c r="G16" s="2426"/>
      <c r="H16" s="2426"/>
      <c r="I16" s="1831"/>
    </row>
    <row r="17" spans="1:35" ht="15">
      <c r="A17" s="2427" t="s">
        <v>2133</v>
      </c>
      <c r="B17" s="64"/>
      <c r="C17" s="141">
        <f>SUM(C5:C16)</f>
        <v>6</v>
      </c>
      <c r="D17" s="141">
        <f>SUM(D5:D16)</f>
        <v>4</v>
      </c>
      <c r="E17" s="138"/>
      <c r="F17" s="138"/>
      <c r="G17" s="138"/>
      <c r="H17" s="138"/>
      <c r="I17" s="138"/>
      <c r="K17" s="2425"/>
      <c r="L17" s="2428" t="s">
        <v>2134</v>
      </c>
      <c r="M17" s="2428" t="s">
        <v>2135</v>
      </c>
    </row>
    <row r="18" spans="1:35" ht="15.75" thickBot="1">
      <c r="A18" s="2429" t="s">
        <v>2136</v>
      </c>
      <c r="B18" s="2430"/>
      <c r="C18" s="142">
        <f>ROUND(C17/SUM(C17:D17),2)</f>
        <v>0.6</v>
      </c>
      <c r="D18" s="142">
        <f>1-C18</f>
        <v>0.4</v>
      </c>
      <c r="E18" s="138"/>
      <c r="F18" s="138"/>
      <c r="G18" s="138"/>
      <c r="H18" s="138"/>
      <c r="I18" s="138"/>
      <c r="K18" s="2425" t="s">
        <v>2137</v>
      </c>
      <c r="L18" s="2425">
        <f>IF(C1="",'数据-汇总表'!E3,SUMIF(项目类型,C1,'数据-汇总表'!E17:E26)+SUMIF(项目类型,C1,'数据-汇总表'!I17:I26))</f>
        <v>5775.17</v>
      </c>
      <c r="M18" s="2425">
        <f>IF(C1="",'数据-汇总表'!E3,SUMIF(项目类型,C1,'数据-汇总表'!E17:E26))</f>
        <v>5775.17</v>
      </c>
    </row>
    <row r="19" spans="1:35" ht="15">
      <c r="A19" s="2431" t="s">
        <v>2138</v>
      </c>
      <c r="B19" s="2432" t="s">
        <v>2139</v>
      </c>
      <c r="C19" s="143">
        <f ca="1">SUMIF(INDIRECT("'"&amp;C4&amp;"'"&amp;"!A:A"),结果表!B19,INDIRECT("'"&amp;C4&amp;"'"&amp;"!B:B"))</f>
        <v>4736</v>
      </c>
      <c r="D19" s="144">
        <f ca="1">SUMIF(INDIRECT("'"&amp;D4&amp;"'"&amp;"!A:A"),结果表!B19,INDIRECT("'"&amp;D4&amp;"'"&amp;"!B:B"))</f>
        <v>9238</v>
      </c>
      <c r="E19" s="2431" t="s">
        <v>2140</v>
      </c>
      <c r="F19" s="2432" t="s">
        <v>2139</v>
      </c>
      <c r="G19" s="145">
        <f ca="1">ROUND(C19*$C$18+D19*$D$18,0)</f>
        <v>6537</v>
      </c>
      <c r="H19" s="2433" t="s">
        <v>2141</v>
      </c>
      <c r="I19" s="138"/>
      <c r="K19" s="2425" t="s">
        <v>2142</v>
      </c>
      <c r="L19" s="2425">
        <f>IF(C1="",'数据-汇总表'!D3,SUMIF(项目类型,C1,'数据-汇总表'!D17:D26)+SUMIF(项目类型,C1,'数据-汇总表'!H17:H27))</f>
        <v>0</v>
      </c>
      <c r="M19" s="2425">
        <f>IF(C1="",'数据-汇总表'!D3,SUMIF(项目类型,C1,'数据-汇总表'!D17:D26))</f>
        <v>0</v>
      </c>
    </row>
    <row r="20" spans="1:35" ht="15">
      <c r="A20" s="2434"/>
      <c r="B20" s="1247" t="s">
        <v>2143</v>
      </c>
      <c r="C20" s="146">
        <f ca="1">SUMIF(INDIRECT("'"&amp;C4&amp;"'"&amp;"!A:A"),结果表!B20,INDIRECT("'"&amp;C4&amp;"'"&amp;"!B:B"))</f>
        <v>8201</v>
      </c>
      <c r="D20" s="147">
        <f ca="1">SUMIF(INDIRECT("'"&amp;D4&amp;"'"&amp;"!A:A"),结果表!B20,INDIRECT("'"&amp;D4&amp;"'"&amp;"!B:B"))</f>
        <v>15996</v>
      </c>
      <c r="E20" s="2434"/>
      <c r="F20" s="1247" t="s">
        <v>2143</v>
      </c>
      <c r="G20" s="148">
        <f ca="1">ROUND(C20*$C$18+D20*$D$18,0)</f>
        <v>11319</v>
      </c>
      <c r="H20" s="980" t="s">
        <v>2144</v>
      </c>
      <c r="I20" s="138"/>
    </row>
    <row r="21" spans="1:35" ht="15" customHeight="1" thickBot="1">
      <c r="A21" s="1000"/>
      <c r="B21" s="2435" t="s">
        <v>2145</v>
      </c>
      <c r="C21" s="789" t="e">
        <f ca="1">ROUND(C19*10000/L19,0)</f>
        <v>#DIV/0!</v>
      </c>
      <c r="D21" s="790" t="e">
        <f ca="1">ROUND(D19*10000/L19,0)</f>
        <v>#DIV/0!</v>
      </c>
      <c r="E21" s="1000"/>
      <c r="F21" s="2435" t="s">
        <v>2145</v>
      </c>
      <c r="G21" s="149" t="e">
        <f ca="1">ROUND(G19*10000/L19,0)</f>
        <v>#DIV/0!</v>
      </c>
      <c r="H21" s="2436" t="s">
        <v>2144</v>
      </c>
      <c r="I21" s="138"/>
    </row>
    <row r="22" spans="1:35" ht="15" thickBot="1">
      <c r="A22" s="2277" t="s">
        <v>2146</v>
      </c>
      <c r="B22" s="2437"/>
      <c r="C22" s="2438"/>
      <c r="D22" s="791">
        <f ca="1">IF(C19&lt;D19,D19/C19-1,C19/D19-1)</f>
        <v>0.95059121621621623</v>
      </c>
      <c r="E22" s="138"/>
      <c r="F22" s="138"/>
      <c r="G22" s="138"/>
      <c r="H22" s="138"/>
      <c r="I22" s="138"/>
    </row>
    <row r="23" spans="1:35" ht="13.5" thickBot="1">
      <c r="A23" s="2415"/>
      <c r="B23" s="2415"/>
      <c r="C23" s="2415"/>
      <c r="D23" s="2415"/>
      <c r="E23" s="138"/>
      <c r="F23" s="138"/>
      <c r="G23" s="138"/>
      <c r="H23" s="138"/>
      <c r="I23" s="138"/>
    </row>
    <row r="24" spans="1:35" ht="14.25">
      <c r="A24" s="3144" t="s">
        <v>2147</v>
      </c>
      <c r="B24" s="2432" t="s">
        <v>2139</v>
      </c>
      <c r="C24" s="145">
        <f>IF(B30=0,0,D30)</f>
        <v>0</v>
      </c>
      <c r="D24" s="2439"/>
      <c r="E24" s="138"/>
      <c r="F24" s="138"/>
      <c r="G24" s="138"/>
      <c r="H24" s="138"/>
      <c r="I24" s="138"/>
    </row>
    <row r="25" spans="1:35" ht="14.25">
      <c r="A25" s="3145"/>
      <c r="B25" s="1247" t="s">
        <v>2143</v>
      </c>
      <c r="C25" s="150">
        <f>IF(B30=0,0,C30)</f>
        <v>0</v>
      </c>
      <c r="D25" s="2440"/>
      <c r="E25" s="138"/>
      <c r="F25" s="138"/>
      <c r="G25" s="138"/>
      <c r="H25" s="138"/>
      <c r="I25" s="138"/>
    </row>
    <row r="26" spans="1:35" ht="13.5" customHeight="1">
      <c r="A26" s="2441" t="s">
        <v>2148</v>
      </c>
      <c r="B26" s="151" t="s">
        <v>2149</v>
      </c>
      <c r="C26" s="151" t="s">
        <v>2150</v>
      </c>
      <c r="D26" s="152" t="s">
        <v>2151</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2152</v>
      </c>
      <c r="B30" s="151"/>
      <c r="C30" s="151"/>
      <c r="D30" s="151"/>
      <c r="E30" s="2914" t="s">
        <v>3029</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2153</v>
      </c>
      <c r="B32" s="2445"/>
      <c r="C32" s="153">
        <f ca="1">IF(D32="总价",G19-C24,G20-C25)</f>
        <v>6537</v>
      </c>
      <c r="D32" s="2446" t="s">
        <v>2154</v>
      </c>
      <c r="E32" s="138"/>
      <c r="F32" s="138"/>
      <c r="G32" s="138"/>
      <c r="H32" s="138"/>
      <c r="I32" s="138"/>
    </row>
    <row r="33" spans="1:15" ht="15">
      <c r="A33" s="957" t="s">
        <v>2155</v>
      </c>
      <c r="B33" s="2447"/>
      <c r="C33" s="2448" t="s">
        <v>3062</v>
      </c>
      <c r="D33" s="2449" t="s">
        <v>3061</v>
      </c>
      <c r="E33" s="2450" t="s">
        <v>2156</v>
      </c>
      <c r="F33" s="2451" t="str">
        <f>IF(D32="楼面单价","取值（单价）","取值（总价）")</f>
        <v>取值（总价）</v>
      </c>
      <c r="G33" s="138"/>
      <c r="H33" s="138"/>
      <c r="I33" s="138"/>
    </row>
    <row r="34" spans="1:15" ht="15">
      <c r="A34" s="2452"/>
      <c r="B34" s="2453" t="s">
        <v>2157</v>
      </c>
      <c r="C34" s="157">
        <f ca="1">IF(C33="自定义",F34,C32-C35)</f>
        <v>3922</v>
      </c>
      <c r="D34" s="1055">
        <f ca="1">IF(C33="自定义",ROUND(C34/C32,3),IF(C33="收益比率",SUMIF(INDIRECT("'"&amp;D33&amp;"'"&amp;"!b:b"),"土地收益比率",INDIRECT("'"&amp;D33&amp;"'"&amp;"!c:c")),SUMIF(INDIRECT("'"&amp;D33&amp;"'"&amp;"!b:b"),"土地成本比率",INDIRECT("'"&amp;D33&amp;"'"&amp;"!c:c"))))</f>
        <v>0.6</v>
      </c>
      <c r="E34" s="2454" t="s">
        <v>2158</v>
      </c>
      <c r="F34" s="1736"/>
      <c r="G34" s="138"/>
      <c r="H34" s="138"/>
      <c r="I34" s="138"/>
    </row>
    <row r="35" spans="1:15" ht="15.75" thickBot="1">
      <c r="A35" s="2455"/>
      <c r="B35" s="2456" t="s">
        <v>2159</v>
      </c>
      <c r="C35" s="1441">
        <f ca="1">IF(C33="自定义",F35,ROUND(C32*D35,0))</f>
        <v>2615</v>
      </c>
      <c r="D35" s="1442">
        <f ca="1">IF(C33="自定义",ROUND(C35/C32,3),IF(C33="收益比率",SUMIF(INDIRECT("'"&amp;D33&amp;"'"&amp;"!b:b"),"建筑物收益比率",INDIRECT("'"&amp;D33&amp;"'"&amp;"!c:c")),SUMIF(INDIRECT("'"&amp;D33&amp;"'"&amp;"!b:b"),"建筑物成本比率",INDIRECT("'"&amp;D33&amp;"'"&amp;"!c:c"))))</f>
        <v>0.4</v>
      </c>
      <c r="E35" s="2457" t="s">
        <v>2160</v>
      </c>
      <c r="F35" s="163"/>
      <c r="G35" s="138"/>
      <c r="H35" s="138"/>
      <c r="I35" s="138"/>
    </row>
    <row r="36" spans="1:15" ht="15.75" thickBot="1">
      <c r="A36" s="3124" t="s">
        <v>2161</v>
      </c>
      <c r="B36" s="2458" t="s">
        <v>2162</v>
      </c>
      <c r="C36" s="154"/>
      <c r="D36" s="2459"/>
      <c r="E36" s="2460"/>
      <c r="F36" s="2461"/>
      <c r="G36" s="138"/>
      <c r="H36" s="138"/>
      <c r="I36" s="138"/>
    </row>
    <row r="37" spans="1:15" ht="15.75" thickBot="1">
      <c r="A37" s="3125"/>
      <c r="B37" s="2263" t="s">
        <v>2163</v>
      </c>
      <c r="C37" s="156"/>
      <c r="D37" s="1392"/>
      <c r="E37" s="1392"/>
      <c r="F37" s="2461"/>
      <c r="G37" s="138"/>
      <c r="H37" s="138"/>
      <c r="I37" s="138"/>
    </row>
    <row r="38" spans="1:15" ht="15.75" thickBot="1">
      <c r="A38" s="3126"/>
      <c r="B38" s="2462" t="s">
        <v>2164</v>
      </c>
      <c r="C38" s="727"/>
      <c r="D38" s="2463" t="s">
        <v>2165</v>
      </c>
      <c r="E38" s="1392"/>
      <c r="F38" s="2461"/>
      <c r="G38" s="138"/>
      <c r="H38" s="138"/>
      <c r="I38" s="138"/>
    </row>
    <row r="39" spans="1:15" ht="15">
      <c r="A39" s="2434" t="s">
        <v>2166</v>
      </c>
      <c r="B39" s="2464" t="s">
        <v>2167</v>
      </c>
      <c r="C39" s="2465" t="s">
        <v>2168</v>
      </c>
      <c r="D39" s="2465" t="s">
        <v>2169</v>
      </c>
      <c r="E39" s="2466" t="s">
        <v>2170</v>
      </c>
      <c r="F39" s="2461"/>
      <c r="G39" s="138"/>
      <c r="H39" s="138"/>
      <c r="I39" s="138"/>
    </row>
    <row r="40" spans="1:15" ht="14.25">
      <c r="A40" s="2467" t="s">
        <v>2171</v>
      </c>
      <c r="B40" s="158"/>
      <c r="C40" s="159"/>
      <c r="D40" s="159"/>
      <c r="E40" s="160"/>
      <c r="F40" s="2461"/>
      <c r="G40" s="138"/>
      <c r="H40" s="138"/>
      <c r="I40" s="138"/>
    </row>
    <row r="41" spans="1:15" ht="14.25">
      <c r="A41" s="2467" t="s">
        <v>2172</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2173</v>
      </c>
      <c r="B44" s="2472"/>
      <c r="C44" s="2472"/>
      <c r="D44" s="2473"/>
      <c r="E44" s="2473"/>
      <c r="F44" s="2474"/>
      <c r="G44" s="2474"/>
      <c r="H44" s="2474"/>
      <c r="I44" s="2474"/>
      <c r="J44" s="2475" t="s">
        <v>2174</v>
      </c>
      <c r="K44" s="2476"/>
      <c r="L44" s="2476"/>
      <c r="M44" s="2476"/>
      <c r="N44" s="2476"/>
      <c r="O44" s="2476"/>
    </row>
    <row r="45" spans="1:15" ht="14.25" customHeight="1" thickBot="1">
      <c r="A45" s="3141" t="s">
        <v>2175</v>
      </c>
      <c r="B45" s="3142"/>
      <c r="C45" s="3143"/>
      <c r="D45" s="164">
        <f ca="1">ROUND(H101*F45,0)</f>
        <v>6537</v>
      </c>
      <c r="E45" s="165" t="s">
        <v>2176</v>
      </c>
      <c r="F45" s="166">
        <v>1</v>
      </c>
      <c r="G45" s="167" t="s">
        <v>2177</v>
      </c>
      <c r="H45" s="138"/>
      <c r="I45" s="138"/>
      <c r="J45" s="3060" t="s">
        <v>2178</v>
      </c>
      <c r="K45" s="3060"/>
      <c r="L45" s="3060"/>
      <c r="M45" s="3060"/>
      <c r="N45" s="3060"/>
      <c r="O45" s="3060"/>
    </row>
    <row r="46" spans="1:15" ht="14.25" customHeight="1">
      <c r="A46" s="3138" t="s">
        <v>2179</v>
      </c>
      <c r="B46" s="3139"/>
      <c r="C46" s="3139"/>
      <c r="D46" s="3139"/>
      <c r="E46" s="3139"/>
      <c r="F46" s="3139"/>
      <c r="G46" s="3140"/>
      <c r="H46" s="2477"/>
      <c r="I46" s="168"/>
      <c r="J46" s="1809">
        <v>1</v>
      </c>
      <c r="K46" s="3060" t="s">
        <v>2180</v>
      </c>
      <c r="L46" s="3060"/>
      <c r="M46" s="3061"/>
      <c r="N46" s="3061"/>
      <c r="O46" s="3061"/>
    </row>
    <row r="47" spans="1:15" ht="12" customHeight="1">
      <c r="A47" s="169" t="s">
        <v>2181</v>
      </c>
      <c r="B47" s="170"/>
      <c r="C47" s="171"/>
      <c r="D47" s="172" t="s">
        <v>2182</v>
      </c>
      <c r="E47" s="24" t="s">
        <v>2183</v>
      </c>
      <c r="F47" s="173" t="s">
        <v>2184</v>
      </c>
      <c r="G47" s="174" t="s">
        <v>2185</v>
      </c>
      <c r="H47" s="2477"/>
      <c r="I47" s="168"/>
      <c r="J47" s="1809">
        <v>2</v>
      </c>
      <c r="K47" s="3060" t="s">
        <v>2186</v>
      </c>
      <c r="L47" s="3060"/>
      <c r="M47" s="3062">
        <f>'数据-取费表'!B2</f>
        <v>43782</v>
      </c>
      <c r="N47" s="3062"/>
      <c r="O47" s="3062"/>
    </row>
    <row r="48" spans="1:15" ht="25.5">
      <c r="A48" s="3128" t="s">
        <v>2187</v>
      </c>
      <c r="B48" s="3129"/>
      <c r="C48" s="3129"/>
      <c r="D48" s="140">
        <f>IF(H48="情况1",0,IF(H48="情况2",D52,IF(H48="情况3",D53,IF(H48="情况4",D54))))</f>
        <v>0</v>
      </c>
      <c r="E48" s="1798" t="str">
        <f>IF(H48="情况4","(销售额-原购置价)×税（费）率","销售额×税（费）率")</f>
        <v>销售额×税（费）率</v>
      </c>
      <c r="F48" s="175" t="str">
        <f>IF(H48="情况1","免征",'数据-取费表'!B41)</f>
        <v>免征</v>
      </c>
      <c r="G48" s="2478" t="s">
        <v>2188</v>
      </c>
      <c r="H48" s="2479" t="s">
        <v>2189</v>
      </c>
      <c r="I48" s="2477"/>
      <c r="J48" s="1809">
        <v>3</v>
      </c>
      <c r="K48" s="3060" t="s">
        <v>2190</v>
      </c>
      <c r="L48" s="3060"/>
      <c r="M48" s="3063">
        <f ca="1">H101</f>
        <v>6537</v>
      </c>
      <c r="N48" s="3063"/>
      <c r="O48" s="3063"/>
    </row>
    <row r="49" spans="1:35" ht="25.5" customHeight="1">
      <c r="A49" s="176" t="s">
        <v>2191</v>
      </c>
      <c r="B49" s="3108" t="s">
        <v>2192</v>
      </c>
      <c r="C49" s="3108"/>
      <c r="D49" s="177">
        <v>0</v>
      </c>
      <c r="E49" s="23" t="s">
        <v>2193</v>
      </c>
      <c r="F49" s="28" t="s">
        <v>34</v>
      </c>
      <c r="G49" s="3089"/>
      <c r="H49" s="138"/>
      <c r="I49" s="2480"/>
      <c r="J49" s="1809">
        <v>4</v>
      </c>
      <c r="K49" s="3060" t="str">
        <f>IF(项目基本情况!E8="房地产抵押价值","房地产抵押价值","抵押担保权已注销时的房地产抵押价值")</f>
        <v>抵押担保权已注销时的房地产抵押价值</v>
      </c>
      <c r="L49" s="3060"/>
      <c r="M49" s="3063" t="str">
        <f>IF(项目基本情况!E8="房地产抵押价值",H107,H109)</f>
        <v>——</v>
      </c>
      <c r="N49" s="3063"/>
      <c r="O49" s="3063"/>
    </row>
    <row r="50" spans="1:35" ht="25.5" customHeight="1">
      <c r="A50" s="178"/>
      <c r="B50" s="3108" t="s">
        <v>2194</v>
      </c>
      <c r="C50" s="3108"/>
      <c r="D50" s="179"/>
      <c r="E50" s="31"/>
      <c r="F50" s="180"/>
      <c r="G50" s="3090"/>
      <c r="H50" s="138"/>
      <c r="I50" s="2480"/>
      <c r="J50" s="3060" t="s">
        <v>2195</v>
      </c>
      <c r="K50" s="3060"/>
      <c r="L50" s="3060"/>
      <c r="M50" s="3060"/>
      <c r="N50" s="3060"/>
      <c r="O50" s="3060"/>
    </row>
    <row r="51" spans="1:35" ht="12" customHeight="1">
      <c r="A51" s="181"/>
      <c r="B51" s="3108" t="s">
        <v>2196</v>
      </c>
      <c r="C51" s="3108"/>
      <c r="D51" s="182"/>
      <c r="E51" s="30"/>
      <c r="F51" s="180"/>
      <c r="G51" s="3091"/>
      <c r="H51" s="138"/>
      <c r="I51" s="2480"/>
      <c r="J51" s="2481" t="s">
        <v>2197</v>
      </c>
      <c r="K51" s="3060" t="s">
        <v>2198</v>
      </c>
      <c r="L51" s="3060"/>
      <c r="M51" s="2481" t="s">
        <v>2199</v>
      </c>
      <c r="N51" s="2481" t="s">
        <v>2200</v>
      </c>
      <c r="O51" s="2481" t="s">
        <v>2201</v>
      </c>
    </row>
    <row r="52" spans="1:35" ht="24" customHeight="1">
      <c r="A52" s="183" t="s">
        <v>2202</v>
      </c>
      <c r="B52" s="3108" t="s">
        <v>2203</v>
      </c>
      <c r="C52" s="3108"/>
      <c r="D52" s="182">
        <f ca="1">ROUND(D45*'数据-取费表'!B41/(1+'数据-取费表'!C42),0)</f>
        <v>349</v>
      </c>
      <c r="E52" s="11" t="s">
        <v>2204</v>
      </c>
      <c r="F52" s="184">
        <f>'数据-取费表'!B41</f>
        <v>5.6000000000000001E-2</v>
      </c>
      <c r="G52" s="2482"/>
      <c r="H52" s="138"/>
      <c r="I52" s="2480"/>
      <c r="J52" s="1809">
        <v>1</v>
      </c>
      <c r="K52" s="3083" t="s">
        <v>2205</v>
      </c>
      <c r="L52" s="3083"/>
      <c r="M52" s="1751">
        <f>D48</f>
        <v>0</v>
      </c>
      <c r="N52" s="1809" t="str">
        <f>E48</f>
        <v>销售额×税（费）率</v>
      </c>
      <c r="O52" s="1752" t="str">
        <f>F48</f>
        <v>免征</v>
      </c>
    </row>
    <row r="53" spans="1:35" ht="12" customHeight="1">
      <c r="A53" s="183" t="s">
        <v>2206</v>
      </c>
      <c r="B53" s="3109" t="s">
        <v>2207</v>
      </c>
      <c r="C53" s="3110"/>
      <c r="D53" s="182">
        <f ca="1">ROUND(D45*'数据-取费表'!B41/(1+'数据-取费表'!C42),0)</f>
        <v>349</v>
      </c>
      <c r="E53" s="11" t="s">
        <v>2204</v>
      </c>
      <c r="F53" s="184">
        <f>'数据-取费表'!B41</f>
        <v>5.6000000000000001E-2</v>
      </c>
      <c r="G53" s="2482"/>
      <c r="H53" s="138"/>
      <c r="I53" s="2480"/>
      <c r="J53" s="1809">
        <v>2</v>
      </c>
      <c r="K53" s="3083" t="s">
        <v>2208</v>
      </c>
      <c r="L53" s="3083"/>
      <c r="M53" s="1751">
        <f t="shared" ref="M53:O54" ca="1" si="0">D55</f>
        <v>3</v>
      </c>
      <c r="N53" s="1809" t="str">
        <f t="shared" si="0"/>
        <v>销售额×税（费）率</v>
      </c>
      <c r="O53" s="1752">
        <f t="shared" si="0"/>
        <v>5.0000000000000001E-4</v>
      </c>
    </row>
    <row r="54" spans="1:35" ht="12" customHeight="1">
      <c r="A54" s="183" t="s">
        <v>2209</v>
      </c>
      <c r="B54" s="3109" t="s">
        <v>2210</v>
      </c>
      <c r="C54" s="3110"/>
      <c r="D54" s="182">
        <f ca="1">C68</f>
        <v>349</v>
      </c>
      <c r="E54" s="30" t="s">
        <v>2211</v>
      </c>
      <c r="F54" s="184">
        <f>'数据-取费表'!B41</f>
        <v>5.6000000000000001E-2</v>
      </c>
      <c r="G54" s="2482"/>
      <c r="H54" s="2483"/>
      <c r="I54" s="2480"/>
      <c r="J54" s="1809">
        <v>3</v>
      </c>
      <c r="K54" s="3083" t="s">
        <v>2212</v>
      </c>
      <c r="L54" s="3083"/>
      <c r="M54" s="1751">
        <f t="shared" ca="1" si="0"/>
        <v>3700</v>
      </c>
      <c r="N54" s="1809" t="str">
        <f t="shared" si="0"/>
        <v>增值额×税（费）率</v>
      </c>
      <c r="O54" s="1753" t="str">
        <f t="shared" si="0"/>
        <v>——</v>
      </c>
    </row>
    <row r="55" spans="1:35" ht="24" customHeight="1">
      <c r="A55" s="3147" t="s">
        <v>2213</v>
      </c>
      <c r="B55" s="3129"/>
      <c r="C55" s="3129"/>
      <c r="D55" s="185">
        <f ca="1">IF(H55="个人住宅",0,ROUND(D45*I55,0))</f>
        <v>3</v>
      </c>
      <c r="E55" s="11" t="s">
        <v>2214</v>
      </c>
      <c r="F55" s="184">
        <f>IF(H55="正常",I55,"免征")</f>
        <v>5.0000000000000001E-4</v>
      </c>
      <c r="G55" s="2482"/>
      <c r="H55" s="2479" t="s">
        <v>2215</v>
      </c>
      <c r="I55" s="186">
        <f>'数据-取费表'!B49</f>
        <v>5.0000000000000001E-4</v>
      </c>
      <c r="J55" s="1809" t="str">
        <f>IF(H59="非个人房产","",4)</f>
        <v/>
      </c>
      <c r="K55" s="3083" t="str">
        <f>IF(H59="非个人房产","——","个人所得税")</f>
        <v>——</v>
      </c>
      <c r="L55" s="3083"/>
      <c r="M55" s="1754" t="str">
        <f>D59</f>
        <v>——</v>
      </c>
      <c r="N55" s="1807" t="str">
        <f>E59</f>
        <v>——</v>
      </c>
      <c r="O55" s="1755" t="str">
        <f>F59</f>
        <v>——</v>
      </c>
    </row>
    <row r="56" spans="1:35" ht="24.75">
      <c r="A56" s="3147" t="s">
        <v>2216</v>
      </c>
      <c r="B56" s="3129"/>
      <c r="C56" s="3129"/>
      <c r="D56" s="185">
        <f ca="1">IF(H56="个人住宅",D57,D58)</f>
        <v>3700</v>
      </c>
      <c r="E56" s="11" t="s">
        <v>2217</v>
      </c>
      <c r="F56" s="184" t="str">
        <f>IF(H56="正常",F58,"免征")</f>
        <v>——</v>
      </c>
      <c r="G56" s="2484" t="s">
        <v>2218</v>
      </c>
      <c r="H56" s="2485" t="s">
        <v>2215</v>
      </c>
      <c r="I56" s="2486"/>
      <c r="J56" s="1809" t="str">
        <f>IF(项目基本情况!K6="上海银行",IF(J55="",4,J55+1),"")</f>
        <v/>
      </c>
      <c r="K56" s="3066" t="str">
        <f>IF(项目基本情况!K6="上海银行","其他处置费用","")</f>
        <v/>
      </c>
      <c r="L56" s="3067"/>
      <c r="M56" s="1751" t="str">
        <f>IF(项目基本情况!K6="上海银行",M69,"")</f>
        <v/>
      </c>
      <c r="N56" s="3069" t="str">
        <f>IF(项目基本情况!K6="上海银行","包含处置中涉及的律师、诉讼、拍卖、评估等费用","")</f>
        <v/>
      </c>
      <c r="O56" s="3070"/>
    </row>
    <row r="57" spans="1:35" ht="12.75">
      <c r="A57" s="183" t="s">
        <v>2191</v>
      </c>
      <c r="B57" s="3114" t="s">
        <v>2219</v>
      </c>
      <c r="C57" s="3115"/>
      <c r="D57" s="187">
        <v>0</v>
      </c>
      <c r="E57" s="23" t="s">
        <v>2193</v>
      </c>
      <c r="F57" s="155"/>
      <c r="G57" s="2482"/>
      <c r="H57" s="2486"/>
      <c r="I57" s="2486"/>
      <c r="J57" s="3083">
        <f>IF(AND(J55="",J56=""),4,IF(项目基本情况!K6="上海银行",结果表!J56+1,结果表!J55+1))</f>
        <v>4</v>
      </c>
      <c r="K57" s="3083" t="s">
        <v>2220</v>
      </c>
      <c r="L57" s="2487" t="s">
        <v>2221</v>
      </c>
      <c r="M57" s="1756"/>
      <c r="N57" s="1757">
        <f ca="1">SUMIF(M52:M56,"&lt;9e307")</f>
        <v>3703</v>
      </c>
      <c r="O57" s="2488"/>
      <c r="P57" s="1750" t="e">
        <f ca="1">N57/M49</f>
        <v>#VALUE!</v>
      </c>
    </row>
    <row r="58" spans="1:35" ht="24.75">
      <c r="A58" s="183" t="s">
        <v>2202</v>
      </c>
      <c r="B58" s="3114" t="s">
        <v>2222</v>
      </c>
      <c r="C58" s="3127"/>
      <c r="D58" s="185">
        <f ca="1">IF(H58="转让取得",C81,C97)</f>
        <v>3700</v>
      </c>
      <c r="E58" s="11" t="s">
        <v>2217</v>
      </c>
      <c r="F58" s="24" t="s">
        <v>34</v>
      </c>
      <c r="G58" s="2482"/>
      <c r="H58" s="2485" t="s">
        <v>2223</v>
      </c>
      <c r="I58" s="2486"/>
      <c r="J58" s="3083"/>
      <c r="K58" s="3083"/>
      <c r="L58" s="2487" t="s">
        <v>2224</v>
      </c>
      <c r="M58" s="1758"/>
      <c r="N58" s="2489" t="str">
        <f ca="1">NUMBERSTRING(INT(N57*10000),2)&amp;"元整"</f>
        <v>叁仟柒佰零叁万元整</v>
      </c>
      <c r="O58" s="2490"/>
    </row>
    <row r="59" spans="1:35" ht="24.75" thickBot="1">
      <c r="A59" s="3087" t="s">
        <v>2225</v>
      </c>
      <c r="B59" s="3088"/>
      <c r="C59" s="3088"/>
      <c r="D59" s="188" t="str">
        <f>IF(H59="非个人房产","——",IF(H59="个人住宅",0,ROUND(D45*I59,0)))</f>
        <v>——</v>
      </c>
      <c r="E59" s="189" t="str">
        <f>IF(H59="非个人房产","——","销售额×税（费）率")</f>
        <v>——</v>
      </c>
      <c r="F59" s="190" t="str">
        <f>IF(H59="非个人房产","——",IF(H59="个人住宅","免征",I59))</f>
        <v>——</v>
      </c>
      <c r="G59" s="2491" t="s">
        <v>2218</v>
      </c>
      <c r="H59" s="2485" t="s">
        <v>2226</v>
      </c>
      <c r="I59" s="191">
        <v>0.01</v>
      </c>
      <c r="J59" s="3085">
        <f>J57+1</f>
        <v>5</v>
      </c>
      <c r="K59" s="3083" t="s">
        <v>2227</v>
      </c>
      <c r="L59" s="1809" t="s">
        <v>2221</v>
      </c>
      <c r="M59" s="1759"/>
      <c r="N59" s="1760" t="e">
        <f ca="1">M49-N57</f>
        <v>#VALUE!</v>
      </c>
      <c r="O59" s="2492"/>
    </row>
    <row r="60" spans="1:35" ht="12" customHeight="1">
      <c r="A60" s="2493"/>
      <c r="B60" s="2415"/>
      <c r="C60" s="2415"/>
      <c r="D60" s="2415"/>
      <c r="E60" s="2162"/>
      <c r="F60" s="2486"/>
      <c r="G60" s="2486"/>
      <c r="H60" s="2494"/>
      <c r="I60" s="138"/>
      <c r="J60" s="3086"/>
      <c r="K60" s="3083"/>
      <c r="L60" s="2487" t="s">
        <v>2224</v>
      </c>
      <c r="M60" s="1758"/>
      <c r="N60" s="2489" t="e">
        <f ca="1">NUMBERSTRING(INT(N59*10000),2)&amp;"元整"</f>
        <v>#VALUE!</v>
      </c>
      <c r="O60" s="2490"/>
    </row>
    <row r="61" spans="1:35" ht="13.5" thickBot="1">
      <c r="A61" s="3146" t="s">
        <v>2228</v>
      </c>
      <c r="B61" s="3146"/>
      <c r="C61" s="3146"/>
      <c r="D61" s="3146"/>
      <c r="E61" s="3146"/>
      <c r="F61" s="2486"/>
      <c r="G61" s="2486"/>
      <c r="H61" s="2494"/>
      <c r="I61" s="138"/>
      <c r="J61" s="1809">
        <f>J59+1</f>
        <v>6</v>
      </c>
      <c r="K61" s="3083" t="s">
        <v>2229</v>
      </c>
      <c r="L61" s="3083"/>
      <c r="M61" s="1761"/>
      <c r="N61" s="1762" t="e">
        <f ca="1">ROUND(N59*10000/'数据-汇总表'!E3,0)</f>
        <v>#VALUE!</v>
      </c>
      <c r="O61" s="2495"/>
    </row>
    <row r="62" spans="1:35" ht="12.75">
      <c r="A62" s="3103" t="s">
        <v>2230</v>
      </c>
      <c r="B62" s="3104"/>
      <c r="C62" s="1801"/>
      <c r="D62" s="1801" t="s">
        <v>2231</v>
      </c>
      <c r="E62" s="192" t="s">
        <v>2232</v>
      </c>
      <c r="F62" s="2486"/>
      <c r="G62" s="2486"/>
      <c r="H62" s="2494"/>
      <c r="I62" s="138"/>
    </row>
    <row r="63" spans="1:35" ht="12.75">
      <c r="A63" s="203" t="s">
        <v>775</v>
      </c>
      <c r="B63" s="193" t="s">
        <v>2233</v>
      </c>
      <c r="C63" s="194">
        <f ca="1">ROUND((C64+C65)/(1+'数据-取费表'!C42),0)</f>
        <v>6226</v>
      </c>
      <c r="D63" s="195"/>
      <c r="E63" s="196"/>
      <c r="F63" s="2486"/>
      <c r="G63" s="2486"/>
      <c r="H63" s="2494"/>
      <c r="I63" s="138"/>
      <c r="J63" s="3068" t="s">
        <v>2234</v>
      </c>
      <c r="K63" s="2496" t="s">
        <v>2235</v>
      </c>
      <c r="L63" s="1749" t="e">
        <f>IF(M49&gt;10000,M49*0.5%,IF(AND(M49&gt;1000,M49&lt;=10000),M49*1%,IF(AND(M49&gt;100,M49&lt;=1000),M49*3%,IF(AND(M49&gt;10,M49&lt;=100),M49*5%,M49*8%))))</f>
        <v>#VALUE!</v>
      </c>
      <c r="M63" s="24" t="e">
        <f>ROUND(L63,1)</f>
        <v>#VALUE!</v>
      </c>
      <c r="Z63" s="2420"/>
      <c r="AI63" s="2421"/>
    </row>
    <row r="64" spans="1:35" ht="14.25" customHeight="1">
      <c r="A64" s="197" t="s">
        <v>770</v>
      </c>
      <c r="B64" s="198" t="s">
        <v>2236</v>
      </c>
      <c r="C64" s="199">
        <f ca="1">D45</f>
        <v>6537</v>
      </c>
      <c r="D64" s="200" t="s">
        <v>32</v>
      </c>
      <c r="E64" s="201"/>
      <c r="F64" s="2486"/>
      <c r="G64" s="2486"/>
      <c r="H64" s="2494"/>
      <c r="I64" s="138"/>
      <c r="J64" s="3068"/>
      <c r="K64" s="2496" t="s">
        <v>2237</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2238</v>
      </c>
      <c r="Z64" s="2420"/>
      <c r="AI64" s="2421"/>
    </row>
    <row r="65" spans="1:35" ht="14.25" customHeight="1">
      <c r="A65" s="197" t="s">
        <v>771</v>
      </c>
      <c r="B65" s="198" t="s">
        <v>2239</v>
      </c>
      <c r="C65" s="202"/>
      <c r="D65" s="200"/>
      <c r="E65" s="201"/>
      <c r="F65" s="2486"/>
      <c r="G65" s="2486"/>
      <c r="H65" s="2494"/>
      <c r="I65" s="138"/>
      <c r="J65" s="3068"/>
      <c r="K65" s="2496" t="s">
        <v>2240</v>
      </c>
      <c r="L65" s="1749" t="e">
        <f>IF(M49&gt;1000,M49*0.1%,IF(AND(M49&gt;500,M49&lt;=1000),M49*0.5%,IF(AND(M49&gt;50,M49&lt;=500),M49*1%,IF(AND(M49&gt;1,M49&lt;=50),M49*1.5%))))</f>
        <v>#VALUE!</v>
      </c>
      <c r="M65" s="24" t="e">
        <f t="shared" si="1"/>
        <v>#VALUE!</v>
      </c>
      <c r="N65" s="138" t="s">
        <v>2238</v>
      </c>
      <c r="Z65" s="2420"/>
      <c r="AI65" s="2421"/>
    </row>
    <row r="66" spans="1:35" ht="14.25" customHeight="1">
      <c r="A66" s="203" t="s">
        <v>772</v>
      </c>
      <c r="B66" s="204" t="s">
        <v>2241</v>
      </c>
      <c r="C66" s="205"/>
      <c r="D66" s="206" t="s">
        <v>32</v>
      </c>
      <c r="E66" s="1773" t="s">
        <v>1367</v>
      </c>
      <c r="F66" s="2486"/>
      <c r="G66" s="2486"/>
      <c r="H66" s="2494"/>
      <c r="I66" s="138"/>
      <c r="J66" s="3068"/>
      <c r="K66" s="2496" t="s">
        <v>2242</v>
      </c>
      <c r="L66" s="1749" t="e">
        <f>M49*0.5%</f>
        <v>#VALUE!</v>
      </c>
      <c r="M66" s="24" t="e">
        <f>IF(L66&gt;0.5,0.5,ROUND(L66,0))</f>
        <v>#VALUE!</v>
      </c>
      <c r="N66" s="138" t="s">
        <v>2243</v>
      </c>
      <c r="Z66" s="2420"/>
      <c r="AI66" s="2421"/>
    </row>
    <row r="67" spans="1:35" ht="14.25" customHeight="1">
      <c r="A67" s="203" t="s">
        <v>773</v>
      </c>
      <c r="B67" s="204" t="s">
        <v>2244</v>
      </c>
      <c r="C67" s="207">
        <f ca="1">C63-C66</f>
        <v>6226</v>
      </c>
      <c r="D67" s="200" t="s">
        <v>32</v>
      </c>
      <c r="E67" s="201"/>
      <c r="F67" s="2486"/>
      <c r="G67" s="2486"/>
      <c r="H67" s="2494"/>
      <c r="I67" s="138"/>
      <c r="J67" s="3068"/>
      <c r="K67" s="2496" t="s">
        <v>2245</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2246</v>
      </c>
      <c r="C68" s="210">
        <f ca="1">IF(C67&lt;=0,0,ROUND(C67*D68,0))</f>
        <v>349</v>
      </c>
      <c r="D68" s="211">
        <f>'数据-取费表'!B41</f>
        <v>5.6000000000000001E-2</v>
      </c>
      <c r="E68" s="212"/>
      <c r="F68" s="2486"/>
      <c r="G68" s="2486"/>
      <c r="H68" s="2494"/>
      <c r="I68" s="138"/>
      <c r="J68" s="3068"/>
      <c r="K68" s="2496" t="s">
        <v>2247</v>
      </c>
      <c r="L68" s="1749"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2"/>
      <c r="G69" s="2162"/>
      <c r="H69" s="2161"/>
      <c r="I69" s="2415"/>
      <c r="J69" s="3068"/>
      <c r="K69" s="2496" t="s">
        <v>2248</v>
      </c>
      <c r="L69" s="2502"/>
      <c r="M69" s="24" t="e">
        <f>ROUND(SUM(M63:M68),0)</f>
        <v>#VALUE!</v>
      </c>
      <c r="N69" s="1750"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12" t="s">
        <v>2249</v>
      </c>
      <c r="B70" s="3113"/>
      <c r="C70" s="3113"/>
      <c r="D70" s="3113"/>
      <c r="E70" s="3113"/>
      <c r="F70" s="3113"/>
      <c r="G70" s="3113"/>
      <c r="H70" s="311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03" t="s">
        <v>2230</v>
      </c>
      <c r="B71" s="3104"/>
      <c r="C71" s="1801"/>
      <c r="D71" s="1801" t="s">
        <v>2231</v>
      </c>
      <c r="E71" s="213" t="s">
        <v>2232</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2250</v>
      </c>
      <c r="C72" s="207">
        <f ca="1">ROUND(D45/(1+'数据-取费表'!C42),0)</f>
        <v>6226</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2251</v>
      </c>
      <c r="C73" s="207">
        <f ca="1">C74+C78</f>
        <v>37</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2252</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2253</v>
      </c>
      <c r="C75" s="218"/>
      <c r="D75" s="200" t="s">
        <v>32</v>
      </c>
      <c r="E75" s="219" t="s">
        <v>2254</v>
      </c>
      <c r="F75" s="2508" t="s">
        <v>2255</v>
      </c>
      <c r="G75" s="219" t="s">
        <v>2256</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2257</v>
      </c>
      <c r="C76" s="200">
        <f>IF(F75="购房发票",ROUND(C75*H75*D76,0),0)</f>
        <v>0</v>
      </c>
      <c r="D76" s="222">
        <v>0.05</v>
      </c>
      <c r="E76" s="3109" t="s">
        <v>2258</v>
      </c>
      <c r="F76" s="3108"/>
      <c r="G76" s="3108"/>
      <c r="H76" s="311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10" t="s">
        <v>2261</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2262</v>
      </c>
      <c r="C78" s="225">
        <f ca="1">ROUND(D45*D78/(1+'数据-取费表'!C42),0)</f>
        <v>37</v>
      </c>
      <c r="D78" s="226">
        <f>'数据-取费表'!B43</f>
        <v>6.000000000000001E-3</v>
      </c>
      <c r="E78" s="3100" t="s">
        <v>2263</v>
      </c>
      <c r="F78" s="3101"/>
      <c r="G78" s="3101"/>
      <c r="H78" s="310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2264</v>
      </c>
      <c r="C79" s="207">
        <f ca="1">C72-C73</f>
        <v>6189</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2265</v>
      </c>
      <c r="C80" s="227">
        <f ca="1">IF(C79&lt;=0,0,C79/C73)</f>
        <v>167.27027027027026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2266</v>
      </c>
      <c r="C81" s="228">
        <f ca="1">ROUND(IF(C79&lt;=0,0,IF(C80&gt;=200%,C79*60%-C73*35%,IF(C80&gt;=100%,C79*50%-C73*15%,IF(C80&gt;=50%,C79*40%-C73*5%,IF(C80&lt;50%,C79*30%,0))))),0)</f>
        <v>3700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2" t="s">
        <v>2267</v>
      </c>
      <c r="B83" s="3113"/>
      <c r="C83" s="3113"/>
      <c r="D83" s="3113"/>
      <c r="E83" s="3113"/>
      <c r="F83" s="3113"/>
      <c r="G83" s="3113"/>
      <c r="H83" s="311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3" t="s">
        <v>2230</v>
      </c>
      <c r="B84" s="3104"/>
      <c r="C84" s="1801"/>
      <c r="D84" s="1801" t="s">
        <v>2231</v>
      </c>
      <c r="E84" s="213" t="s">
        <v>2232</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2250</v>
      </c>
      <c r="C85" s="207">
        <f ca="1">ROUND(D45/(1+'数据-取费表'!C42),0)</f>
        <v>6226</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2251</v>
      </c>
      <c r="C86" s="207">
        <f ca="1">IF(H88="仅含出让金",C87+C90+C91+C92+C93+C94,C87+C91+C92+C93+C94)</f>
        <v>37</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2268</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2269</v>
      </c>
      <c r="C88" s="236"/>
      <c r="D88" s="226"/>
      <c r="E88" s="237" t="s">
        <v>2270</v>
      </c>
      <c r="F88" s="1797"/>
      <c r="G88" s="238" t="s">
        <v>2271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2259</v>
      </c>
      <c r="C89" s="225">
        <f>ROUND(C88*D89,0)</f>
        <v>0</v>
      </c>
      <c r="D89" s="226">
        <f>'数据-取费表'!B48+'数据-取费表'!B49</f>
        <v>3.0499999999999999E-2</v>
      </c>
      <c r="E89" s="237" t="s">
        <v>2272</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2273</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2274</v>
      </c>
      <c r="B91" s="198" t="s">
        <v>2275</v>
      </c>
      <c r="C91" s="225">
        <f>IF(H91="——",成本法!C33,I91)</f>
        <v>0</v>
      </c>
      <c r="D91" s="226"/>
      <c r="E91" s="3100" t="s">
        <v>2276</v>
      </c>
      <c r="F91" s="3101"/>
      <c r="G91" s="3101"/>
      <c r="H91" s="2515" t="s">
        <v>2277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2278</v>
      </c>
      <c r="B92" s="198" t="s">
        <v>2279</v>
      </c>
      <c r="C92" s="225">
        <f>ROUND((C87+C90+C91)*D92,0)</f>
        <v>0</v>
      </c>
      <c r="D92" s="226">
        <v>0.1</v>
      </c>
      <c r="E92" s="3100" t="s">
        <v>2280</v>
      </c>
      <c r="F92" s="3101"/>
      <c r="G92" s="3101"/>
      <c r="H92" s="310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2281</v>
      </c>
      <c r="B93" s="198" t="s">
        <v>2262</v>
      </c>
      <c r="C93" s="225">
        <f ca="1">ROUND(D45*D93/(1+'数据-取费表'!C42),0)</f>
        <v>37</v>
      </c>
      <c r="D93" s="226">
        <f>'数据-取费表'!B43</f>
        <v>6.000000000000001E-3</v>
      </c>
      <c r="E93" s="3100" t="s">
        <v>2263</v>
      </c>
      <c r="F93" s="3101"/>
      <c r="G93" s="3101"/>
      <c r="H93" s="310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2282</v>
      </c>
      <c r="B94" s="198" t="s">
        <v>2283</v>
      </c>
      <c r="C94" s="236">
        <f>ROUND((C87+C90+C91)*D94,0)</f>
        <v>0</v>
      </c>
      <c r="D94" s="226">
        <v>0.2</v>
      </c>
      <c r="E94" s="3148" t="s">
        <v>2284</v>
      </c>
      <c r="F94" s="3149"/>
      <c r="G94" s="3149"/>
      <c r="H94" s="315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2264</v>
      </c>
      <c r="C95" s="207">
        <f ca="1">ROUND(C85-C86,0)</f>
        <v>6189</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2265</v>
      </c>
      <c r="C96" s="227">
        <f ca="1">IF(C95&lt;=0,0,C95/C86)</f>
        <v>167.27027027027026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2266</v>
      </c>
      <c r="C97" s="228">
        <f ca="1">ROUND(IF(C95&lt;=0,0,IF(C96&gt;=200%,C95*60%-C86*35%,IF(C96&gt;=100%,C95*50%-C86*15%,IF(C96&gt;=50%,C95*40%-C86*5%,IF(C96&lt;50%,C95*30%,0))))),0)</f>
        <v>3700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2285</v>
      </c>
      <c r="B99" s="2415"/>
      <c r="C99" s="2415"/>
      <c r="D99" s="2415"/>
      <c r="E99" s="2162"/>
      <c r="F99" s="2162"/>
      <c r="G99" s="2162"/>
      <c r="H99" s="2161"/>
      <c r="I99" s="138"/>
    </row>
    <row r="100" spans="1:35" ht="18.75" customHeight="1">
      <c r="A100" s="3052" t="s">
        <v>2286</v>
      </c>
      <c r="B100" s="3053"/>
      <c r="C100" s="3053"/>
      <c r="D100" s="3084"/>
      <c r="E100" s="3053" t="s">
        <v>2287</v>
      </c>
      <c r="F100" s="3053"/>
      <c r="G100" s="3053"/>
      <c r="H100" s="3084"/>
      <c r="I100" s="138"/>
    </row>
    <row r="101" spans="1:35" ht="18.75" customHeight="1">
      <c r="A101" s="3092" t="s">
        <v>2288</v>
      </c>
      <c r="B101" s="3093"/>
      <c r="C101" s="736" t="str">
        <f>C4</f>
        <v>比较法-工业</v>
      </c>
      <c r="D101" s="737" t="str">
        <f>D4</f>
        <v>收益法</v>
      </c>
      <c r="E101" s="3064" t="s">
        <v>2289</v>
      </c>
      <c r="F101" s="3065"/>
      <c r="G101" s="2517" t="s">
        <v>2290</v>
      </c>
      <c r="H101" s="1045">
        <f ca="1">H118</f>
        <v>6537</v>
      </c>
      <c r="I101" s="138"/>
    </row>
    <row r="102" spans="1:35" ht="18.75" customHeight="1">
      <c r="A102" s="3094" t="s">
        <v>2291</v>
      </c>
      <c r="B102" s="2517" t="s">
        <v>2290</v>
      </c>
      <c r="C102" s="736">
        <f ca="1">C19</f>
        <v>4736</v>
      </c>
      <c r="D102" s="737">
        <f ca="1">D19</f>
        <v>9238</v>
      </c>
      <c r="E102" s="3064"/>
      <c r="F102" s="3065"/>
      <c r="G102" s="2517" t="s">
        <v>2292</v>
      </c>
      <c r="H102" s="371">
        <f ca="1">I118</f>
        <v>11319</v>
      </c>
      <c r="I102" s="138"/>
    </row>
    <row r="103" spans="1:35" ht="42.75" customHeight="1">
      <c r="A103" s="3094"/>
      <c r="B103" s="2517" t="s">
        <v>2292</v>
      </c>
      <c r="C103" s="738">
        <f ca="1">C20</f>
        <v>8201</v>
      </c>
      <c r="D103" s="739">
        <f ca="1">D20</f>
        <v>15996</v>
      </c>
      <c r="E103" s="3058" t="s">
        <v>2293</v>
      </c>
      <c r="F103" s="3059"/>
      <c r="G103" s="2518" t="s">
        <v>2294</v>
      </c>
      <c r="H103" s="1045">
        <f>IF(D36="正常操作",H104+H105+H106,H105+H106)</f>
        <v>0</v>
      </c>
      <c r="I103" s="138"/>
    </row>
    <row r="104" spans="1:35" ht="18.75" customHeight="1">
      <c r="A104" s="3094" t="s">
        <v>2295</v>
      </c>
      <c r="B104" s="2519" t="s">
        <v>2290</v>
      </c>
      <c r="C104" s="740">
        <f ca="1">H118</f>
        <v>6537</v>
      </c>
      <c r="D104" s="741"/>
      <c r="E104" s="2263" t="s">
        <v>2296</v>
      </c>
      <c r="F104" s="2254"/>
      <c r="G104" s="2518" t="s">
        <v>2294</v>
      </c>
      <c r="H104" s="1046">
        <f>IF(D36="同一抵押权人同一抵押物续贷",C36&amp;"（未扣减，详见特别提示）",C36)</f>
        <v>0</v>
      </c>
      <c r="I104" s="138"/>
    </row>
    <row r="105" spans="1:35" ht="18.75" customHeight="1" thickBot="1">
      <c r="A105" s="3106"/>
      <c r="B105" s="2520" t="s">
        <v>2292</v>
      </c>
      <c r="C105" s="742">
        <f ca="1">I118</f>
        <v>11319</v>
      </c>
      <c r="D105" s="743"/>
      <c r="E105" s="2263" t="s">
        <v>2297</v>
      </c>
      <c r="F105" s="2254"/>
      <c r="G105" s="2518" t="s">
        <v>2294</v>
      </c>
      <c r="H105" s="1046">
        <f>C37</f>
        <v>0</v>
      </c>
      <c r="I105" s="138"/>
    </row>
    <row r="106" spans="1:35" ht="18.75" customHeight="1">
      <c r="A106" s="2415" t="s">
        <v>2298</v>
      </c>
      <c r="B106" s="2415"/>
      <c r="C106" s="2415"/>
      <c r="D106" s="2415"/>
      <c r="E106" s="2521" t="s">
        <v>2299</v>
      </c>
      <c r="F106" s="2254"/>
      <c r="G106" s="2518" t="s">
        <v>2294</v>
      </c>
      <c r="H106" s="1046">
        <f>C38</f>
        <v>0</v>
      </c>
      <c r="I106" s="138"/>
    </row>
    <row r="107" spans="1:35" ht="18.75" customHeight="1">
      <c r="A107" s="138"/>
      <c r="B107" s="138"/>
      <c r="C107" s="138"/>
      <c r="D107" s="138"/>
      <c r="E107" s="3095" t="str">
        <f>IF(项目基本情况!E8="已注销","——","3.房地产抵押价值")</f>
        <v>3.房地产抵押价值</v>
      </c>
      <c r="F107" s="3065"/>
      <c r="G107" s="2517" t="s">
        <v>2290</v>
      </c>
      <c r="H107" s="1045">
        <f ca="1">IF(E107="——","——",H101-H103)</f>
        <v>6537</v>
      </c>
      <c r="I107" s="138"/>
    </row>
    <row r="108" spans="1:35" ht="18.75" customHeight="1">
      <c r="A108" s="138"/>
      <c r="B108" s="138"/>
      <c r="C108" s="138"/>
      <c r="D108" s="138"/>
      <c r="E108" s="3095"/>
      <c r="F108" s="3065"/>
      <c r="G108" s="2517" t="s">
        <v>2292</v>
      </c>
      <c r="H108" s="371">
        <f ca="1">ROUND(H107*10000/'数据-汇总表'!E3,0)</f>
        <v>11319</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65"/>
      <c r="G109" s="2517" t="s">
        <v>2290</v>
      </c>
      <c r="H109" s="348" t="str">
        <f>IF(E109="——","——",H101-H105-H106)</f>
        <v>——</v>
      </c>
      <c r="I109" s="138"/>
    </row>
    <row r="110" spans="1:35" ht="18.75" customHeight="1">
      <c r="A110" s="138"/>
      <c r="B110" s="138"/>
      <c r="C110" s="138"/>
      <c r="D110" s="138"/>
      <c r="E110" s="3095"/>
      <c r="F110" s="3065"/>
      <c r="G110" s="2517" t="s">
        <v>2292</v>
      </c>
      <c r="H110" s="371" t="str">
        <f>IF(H109="——","——",ROUND(H109*10000/'数据-汇总表'!E3,0))</f>
        <v>——</v>
      </c>
      <c r="I110" s="138"/>
    </row>
    <row r="111" spans="1:35" ht="18.75" customHeight="1">
      <c r="A111" s="138"/>
      <c r="B111" s="138"/>
      <c r="C111" s="138"/>
      <c r="D111" s="138"/>
      <c r="E111" s="3096" t="str">
        <f>IF(项目基本情况!E9="抵押净值",IF(OR(项目基本情况!E8="已注销",项目基本情况!E8="房地产抵押价值"),"4.抵押净值","5.抵押净值"),"——")</f>
        <v>——</v>
      </c>
      <c r="F111" s="3097"/>
      <c r="G111" s="2517" t="s">
        <v>2290</v>
      </c>
      <c r="H111" s="1045" t="str">
        <f>IF(E111="——","——",N59)</f>
        <v>——</v>
      </c>
      <c r="I111" s="138"/>
    </row>
    <row r="112" spans="1:35" ht="18.75" customHeight="1" thickBot="1">
      <c r="A112" s="138"/>
      <c r="B112" s="138"/>
      <c r="C112" s="138"/>
      <c r="D112" s="138"/>
      <c r="E112" s="3098"/>
      <c r="F112" s="3099"/>
      <c r="G112" s="2522" t="s">
        <v>2292</v>
      </c>
      <c r="H112" s="790" t="str">
        <f>IF(E111="——","——",N61)</f>
        <v>——</v>
      </c>
      <c r="I112" s="138"/>
    </row>
    <row r="113" spans="1:11" ht="18.75" customHeight="1">
      <c r="A113" s="138"/>
      <c r="B113" s="138"/>
      <c r="C113" s="138"/>
      <c r="D113" s="138"/>
      <c r="E113" s="3107" t="s">
        <v>2298</v>
      </c>
      <c r="F113" s="3107"/>
      <c r="G113" s="3107"/>
      <c r="H113" s="3107"/>
      <c r="I113" s="138"/>
    </row>
    <row r="114" spans="1:11" ht="3.75" customHeight="1">
      <c r="A114" s="2415"/>
      <c r="B114" s="2415"/>
      <c r="C114" s="2415"/>
      <c r="D114" s="2415"/>
      <c r="E114" s="2493"/>
      <c r="F114" s="2493"/>
      <c r="G114" s="2493"/>
      <c r="H114" s="2493"/>
      <c r="I114" s="2415"/>
    </row>
    <row r="115" spans="1:11" ht="18.75" customHeight="1">
      <c r="A115" s="3120" t="s">
        <v>2300</v>
      </c>
      <c r="B115" s="3121"/>
      <c r="C115" s="3121"/>
      <c r="D115" s="3121"/>
      <c r="E115" s="3121"/>
      <c r="F115" s="3121"/>
      <c r="G115" s="3121"/>
      <c r="H115" s="3121"/>
      <c r="I115" s="3122"/>
    </row>
    <row r="116" spans="1:11" ht="27" customHeight="1">
      <c r="A116" s="3031" t="s">
        <v>2301</v>
      </c>
      <c r="B116" s="3074" t="s">
        <v>2302</v>
      </c>
      <c r="C116" s="3074" t="s">
        <v>2303</v>
      </c>
      <c r="D116" s="3080" t="s">
        <v>2304</v>
      </c>
      <c r="E116" s="3081"/>
      <c r="F116" s="3116" t="s">
        <v>2305</v>
      </c>
      <c r="G116" s="3116"/>
      <c r="H116" s="3031" t="s">
        <v>2306</v>
      </c>
      <c r="I116" s="3031"/>
    </row>
    <row r="117" spans="1:11" ht="18.75" customHeight="1">
      <c r="A117" s="3031"/>
      <c r="B117" s="3075"/>
      <c r="C117" s="3075"/>
      <c r="D117" s="1795" t="s">
        <v>2307</v>
      </c>
      <c r="E117" s="1795" t="s">
        <v>2308</v>
      </c>
      <c r="F117" s="1795" t="s">
        <v>2307</v>
      </c>
      <c r="G117" s="1795" t="s">
        <v>2309</v>
      </c>
      <c r="H117" s="1795" t="s">
        <v>2307</v>
      </c>
      <c r="I117" s="1795" t="s">
        <v>2309</v>
      </c>
    </row>
    <row r="118" spans="1:11" ht="24.75" customHeight="1">
      <c r="A118" s="2523" t="str">
        <f>项目基本情况!S2</f>
        <v>四川省成都市青羊区广富路239号31栋1层1号房地产</v>
      </c>
      <c r="B118" s="1795">
        <f>M18</f>
        <v>5775.17</v>
      </c>
      <c r="C118" s="1795">
        <f>M19</f>
        <v>0</v>
      </c>
      <c r="D118" s="1795">
        <f ca="1">ROUND(IF(D32="总价",C34,E118*B118/10000),0)</f>
        <v>3922</v>
      </c>
      <c r="E118" s="1795">
        <f ca="1">ROUND(IF(C33="自定义",IF(D32="楼面单价",C34,D118*10000/B118),I118-G118),0)</f>
        <v>6791</v>
      </c>
      <c r="F118" s="1795">
        <f ca="1">ROUND(IF(D32="总价",C35,G118*B118/10000),0)</f>
        <v>2615</v>
      </c>
      <c r="G118" s="1795">
        <f ca="1">ROUND(IF(D32="楼面单价",C35,F118*10000/B118),0)</f>
        <v>4528</v>
      </c>
      <c r="H118" s="1795">
        <f ca="1">ROUND(IF(D32="总价",C32,I118*B118/10000),0)</f>
        <v>6537</v>
      </c>
      <c r="I118" s="1795">
        <f ca="1">ROUND(IF(D32="楼面单价",C32,H118*10000/B118),0)</f>
        <v>11319</v>
      </c>
    </row>
    <row r="119" spans="1:11" ht="18.75" customHeight="1">
      <c r="A119" s="3031" t="s">
        <v>2310</v>
      </c>
      <c r="B119" s="3031"/>
      <c r="C119" s="3031"/>
      <c r="D119" s="3076" t="str">
        <f ca="1">NUMBERSTRING(INT(D118*10000),2)&amp;"元整"</f>
        <v>叁仟玖佰贰拾贰万元整</v>
      </c>
      <c r="E119" s="3077"/>
      <c r="F119" s="3076" t="str">
        <f ca="1">NUMBERSTRING(INT(F118*10000),2)&amp;"元整"</f>
        <v>贰仟陆佰壹拾伍万元整</v>
      </c>
      <c r="G119" s="3077"/>
      <c r="H119" s="3076" t="str">
        <f ca="1">NUMBERSTRING(INT(H118*10000),2)&amp;"元整"</f>
        <v>陆仟伍佰叁拾柒万元整</v>
      </c>
      <c r="I119" s="3077"/>
    </row>
    <row r="120" spans="1:11" ht="18.75" customHeight="1">
      <c r="A120" s="3071" t="str">
        <f>IF(项目基本情况!B9="房地产市场价值","",MID(E103,3,LEN(E103)-2))</f>
        <v>估价师知悉的法定优先受偿款</v>
      </c>
      <c r="B120" s="3072"/>
      <c r="C120" s="3073"/>
      <c r="D120" s="3071">
        <f>H103</f>
        <v>0</v>
      </c>
      <c r="E120" s="3072"/>
      <c r="F120" s="3072"/>
      <c r="G120" s="3072"/>
      <c r="H120" s="3072"/>
      <c r="I120" s="3073"/>
      <c r="K120" s="2420" t="str">
        <f>IF(D120=0,"故，本次评估不存在"&amp;A120,"故，本次评估"&amp;A120&amp;"为人民币"&amp;D120&amp;"万元整。")</f>
        <v>故，本次评估不存在估价师知悉的法定优先受偿款</v>
      </c>
    </row>
    <row r="121" spans="1:11" ht="18.75" customHeight="1">
      <c r="A121" s="3117" t="s">
        <v>2310</v>
      </c>
      <c r="B121" s="3118"/>
      <c r="C121" s="3119"/>
      <c r="D121" s="3076" t="str">
        <f>IF(D120=0,"零元整",NUMBERSTRING(INT(D120*10000),2)&amp;"元整")</f>
        <v>零元整</v>
      </c>
      <c r="E121" s="3078"/>
      <c r="F121" s="3078"/>
      <c r="G121" s="3078"/>
      <c r="H121" s="3078"/>
      <c r="I121" s="3077"/>
    </row>
    <row r="122" spans="1:11" ht="18.75" customHeight="1">
      <c r="A122" s="3082" t="str">
        <f>IF(项目基本情况!B9="房地产市场价值","",MID(E107,3,LEN(E107)-2))</f>
        <v>房地产抵押价值</v>
      </c>
      <c r="B122" s="3082"/>
      <c r="C122" s="3082"/>
      <c r="D122" s="3071">
        <f ca="1">H107</f>
        <v>6537</v>
      </c>
      <c r="E122" s="3072"/>
      <c r="F122" s="3072"/>
      <c r="G122" s="3072"/>
      <c r="H122" s="3072"/>
      <c r="I122" s="3073"/>
    </row>
    <row r="123" spans="1:11" ht="18.75" customHeight="1">
      <c r="A123" s="3031" t="s">
        <v>2310</v>
      </c>
      <c r="B123" s="3031"/>
      <c r="C123" s="3031"/>
      <c r="D123" s="3076" t="str">
        <f ca="1">NUMBERSTRING(INT(D122*10000),2)&amp;"元整"</f>
        <v>陆仟伍佰叁拾柒万元整</v>
      </c>
      <c r="E123" s="3078"/>
      <c r="F123" s="3078"/>
      <c r="G123" s="3078"/>
      <c r="H123" s="3078"/>
      <c r="I123" s="3077"/>
    </row>
    <row r="124" spans="1:11" ht="18.75" customHeight="1">
      <c r="A124" s="3082" t="str">
        <f>IF(项目基本情况!B9="房地产市场价值","",MID(E109,3,LEN(E109)-2))</f>
        <v/>
      </c>
      <c r="B124" s="3082"/>
      <c r="C124" s="3082"/>
      <c r="D124" s="3071" t="str">
        <f>H109</f>
        <v>——</v>
      </c>
      <c r="E124" s="3072"/>
      <c r="F124" s="3072"/>
      <c r="G124" s="3072"/>
      <c r="H124" s="3072"/>
      <c r="I124" s="3073"/>
    </row>
    <row r="125" spans="1:11" ht="18.75" customHeight="1">
      <c r="A125" s="3031" t="s">
        <v>2310</v>
      </c>
      <c r="B125" s="3031"/>
      <c r="C125" s="3031"/>
      <c r="D125" s="3076" t="e">
        <f>NUMBERSTRING(INT(D124*10000),2)&amp;"元整"</f>
        <v>#VALUE!</v>
      </c>
      <c r="E125" s="3078"/>
      <c r="F125" s="3078"/>
      <c r="G125" s="3078"/>
      <c r="H125" s="3078"/>
      <c r="I125" s="3077"/>
    </row>
    <row r="126" spans="1:11" ht="18.75" customHeight="1">
      <c r="A126" s="3082" t="str">
        <f>IF(项目基本情况!B9="房地产市场价值","",MID(E111,3,LEN(E111)-2))</f>
        <v/>
      </c>
      <c r="B126" s="3082"/>
      <c r="C126" s="3082"/>
      <c r="D126" s="3071" t="str">
        <f>H111</f>
        <v>——</v>
      </c>
      <c r="E126" s="3072"/>
      <c r="F126" s="3072"/>
      <c r="G126" s="3072"/>
      <c r="H126" s="3072"/>
      <c r="I126" s="3073"/>
    </row>
    <row r="127" spans="1:11" ht="18.75" customHeight="1">
      <c r="A127" s="3031" t="s">
        <v>2310</v>
      </c>
      <c r="B127" s="3031"/>
      <c r="C127" s="3031"/>
      <c r="D127" s="3076" t="e">
        <f>NUMBERSTRING(INT(D126*10000),2)&amp;"元整"</f>
        <v>#VALUE!</v>
      </c>
      <c r="E127" s="3078"/>
      <c r="F127" s="3078"/>
      <c r="G127" s="3078"/>
      <c r="H127" s="3078"/>
      <c r="I127" s="3077"/>
    </row>
    <row r="128" spans="1:11" ht="21.75" customHeight="1">
      <c r="A128" s="3079" t="s">
        <v>2311</v>
      </c>
      <c r="B128" s="3079"/>
      <c r="C128" s="3079"/>
      <c r="D128" s="3079"/>
      <c r="E128" s="3079"/>
      <c r="F128" s="3079"/>
      <c r="G128" s="3079"/>
      <c r="H128" s="3079"/>
      <c r="I128" s="3079"/>
    </row>
    <row r="129" spans="1:35" ht="21.75" customHeight="1">
      <c r="A129" s="2524" t="s">
        <v>2312</v>
      </c>
      <c r="B129" s="2525"/>
      <c r="C129" s="2526" t="s">
        <v>2313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2314</v>
      </c>
      <c r="G135" s="2541"/>
      <c r="H135" s="2541"/>
      <c r="I135" s="2542" t="s">
        <v>2315</v>
      </c>
    </row>
    <row r="136" spans="1:35" ht="21.75" customHeight="1">
      <c r="A136" s="795"/>
      <c r="B136" s="2543"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2317</v>
      </c>
    </row>
    <row r="139" spans="1:35" ht="21.75" customHeight="1">
      <c r="A139" s="795"/>
      <c r="B139" s="2543" t="s">
        <v>2318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2317</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6"/>
      <c r="C1" s="242"/>
      <c r="D1" s="242"/>
      <c r="E1" s="242"/>
      <c r="F1" s="242"/>
      <c r="G1" s="1379">
        <f>MATCH(B1,'数据-取费表'!A6:A16,0)+5</f>
        <v>7</v>
      </c>
    </row>
    <row r="2" spans="1:9" s="244" customFormat="1" ht="18" customHeight="1">
      <c r="A2" s="245" t="s">
        <v>2320</v>
      </c>
      <c r="B2" s="246">
        <f ca="1">IF(D2="——",C52,C52-E2)</f>
        <v>2881</v>
      </c>
      <c r="C2" s="243" t="s">
        <v>2321</v>
      </c>
      <c r="D2" s="2546" t="s">
        <v>70</v>
      </c>
      <c r="E2" s="1440" t="e">
        <f ca="1">SUMIF(INDIRECT("'"&amp;G2&amp;"'"&amp;"!A:A"),"承租人权益价值",INDIRECT("'"&amp;G2&amp;"'"&amp;"!c:c"))</f>
        <v>#REF!</v>
      </c>
      <c r="F2" s="2547" t="s">
        <v>2321</v>
      </c>
      <c r="G2" s="2548"/>
    </row>
    <row r="3" spans="1:9" s="244" customFormat="1" ht="18" customHeight="1" thickBot="1">
      <c r="A3" s="247" t="s">
        <v>2322</v>
      </c>
      <c r="B3" s="248">
        <f ca="1">ROUND(B2*10000/(IF(B1="",'数据-汇总表'!E3,INDIRECT("'数据-取费表'!k"&amp;$G$1))),0)</f>
        <v>4989</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C6+C7+C8</f>
        <v>0</v>
      </c>
      <c r="D5" s="255" t="s">
        <v>2327</v>
      </c>
      <c r="E5" s="256" t="s">
        <v>2328</v>
      </c>
      <c r="F5" s="256" t="s">
        <v>2329</v>
      </c>
      <c r="G5" s="257"/>
    </row>
    <row r="6" spans="1:9" s="258" customFormat="1" ht="13.5" customHeight="1">
      <c r="A6" s="949" t="s">
        <v>2330</v>
      </c>
      <c r="B6" s="259" t="s">
        <v>2331</v>
      </c>
      <c r="C6" s="260"/>
      <c r="D6" s="261"/>
      <c r="E6" s="262"/>
      <c r="F6" s="262"/>
      <c r="G6" s="263"/>
    </row>
    <row r="7" spans="1:9" s="258" customFormat="1" ht="13.5" customHeight="1">
      <c r="A7" s="949" t="s">
        <v>2332</v>
      </c>
      <c r="B7" s="259" t="s">
        <v>2333</v>
      </c>
      <c r="C7" s="264">
        <f>ROUND(C6*F7,0)</f>
        <v>0</v>
      </c>
      <c r="D7" s="264"/>
      <c r="E7" s="262"/>
      <c r="F7" s="265">
        <f>IF(项目基本情况!B8="出让",0,'数据-取费表'!B48+'数据-取费表'!B49)</f>
        <v>3.0499999999999999E-2</v>
      </c>
      <c r="G7" s="263"/>
    </row>
    <row r="8" spans="1:9" s="267" customFormat="1">
      <c r="A8" s="949" t="s">
        <v>2334</v>
      </c>
      <c r="B8" s="259" t="s">
        <v>2335</v>
      </c>
      <c r="C8" s="264">
        <f>IF(G8="已包含在土地购买价格中","0",IF(B1="",'数据-取费表'!B29,IF(G9="全部缴纳",C9+C10,H9)))</f>
        <v>0</v>
      </c>
      <c r="D8" s="266"/>
      <c r="E8" s="264"/>
      <c r="F8" s="265"/>
      <c r="G8" s="2549"/>
    </row>
    <row r="9" spans="1:9" s="258" customFormat="1" ht="13.5" customHeight="1">
      <c r="A9" s="950" t="s">
        <v>800</v>
      </c>
      <c r="B9" s="268" t="s">
        <v>2336</v>
      </c>
      <c r="C9" s="269">
        <f ca="1">ROUND(D9*E9/10000,0)</f>
        <v>0</v>
      </c>
      <c r="D9" s="1032">
        <f ca="1">IF(B1="",'数据-汇总表'!E5,IF(INDIRECT("'数据-取费表'!c"&amp;$G$1)="住宅",INDIRECT("'数据-取费表'!k"&amp;$G$1),0))</f>
        <v>0</v>
      </c>
      <c r="E9" s="269">
        <f>'数据-取费表'!B27</f>
        <v>220</v>
      </c>
      <c r="F9" s="265"/>
      <c r="G9" s="2550"/>
      <c r="H9" s="1390"/>
      <c r="I9" s="2551" t="s">
        <v>2337</v>
      </c>
    </row>
    <row r="10" spans="1:9" s="258" customFormat="1" ht="13.5" customHeight="1">
      <c r="A10" s="950" t="s">
        <v>801</v>
      </c>
      <c r="B10" s="268" t="s">
        <v>2338</v>
      </c>
      <c r="C10" s="269">
        <f ca="1">ROUND(D10*E10/10000,0)</f>
        <v>127</v>
      </c>
      <c r="D10" s="1032">
        <f ca="1">IF(B1="",'数据-汇总表'!E6,IF(INDIRECT("'数据-取费表'!c"&amp;$G$1)="住宅",INDIRECT("'数据-取费表'!s"&amp;$G$1),INDIRECT("'数据-取费表'!k"&amp;$G$1)+INDIRECT("'数据-取费表'!s"&amp;$G$1)))</f>
        <v>5775.17</v>
      </c>
      <c r="E10" s="269">
        <f>'数据-取费表'!B28</f>
        <v>220</v>
      </c>
      <c r="F10" s="265"/>
      <c r="G10" s="270"/>
    </row>
    <row r="11" spans="1:9" s="258" customFormat="1" ht="13.5" hidden="1" customHeight="1">
      <c r="A11" s="271" t="s">
        <v>7</v>
      </c>
      <c r="B11" s="259" t="s">
        <v>2339</v>
      </c>
      <c r="C11" s="255"/>
      <c r="D11" s="1034"/>
      <c r="E11" s="262"/>
      <c r="F11" s="262"/>
      <c r="G11" s="263"/>
    </row>
    <row r="12" spans="1:9" s="258" customFormat="1" ht="13.5" hidden="1" customHeight="1">
      <c r="A12" s="271" t="s">
        <v>8</v>
      </c>
      <c r="B12" s="259" t="s">
        <v>2340</v>
      </c>
      <c r="C12" s="255">
        <v>0</v>
      </c>
      <c r="D12" s="1034"/>
      <c r="E12" s="272"/>
      <c r="F12" s="265">
        <v>3.0499999999999999E-2</v>
      </c>
      <c r="G12" s="263"/>
    </row>
    <row r="13" spans="1:9" s="258" customFormat="1" ht="13.5" hidden="1" customHeight="1">
      <c r="A13" s="271" t="s">
        <v>9</v>
      </c>
      <c r="B13" s="259" t="s">
        <v>2341</v>
      </c>
      <c r="C13" s="255"/>
      <c r="D13" s="1034"/>
      <c r="E13" s="262"/>
      <c r="F13" s="262"/>
      <c r="G13" s="263"/>
    </row>
    <row r="14" spans="1:9" s="258" customFormat="1" ht="13.5" hidden="1" customHeight="1">
      <c r="A14" s="271" t="s">
        <v>10</v>
      </c>
      <c r="B14" s="259" t="s">
        <v>2342</v>
      </c>
      <c r="C14" s="255"/>
      <c r="D14" s="1034"/>
      <c r="E14" s="262"/>
      <c r="F14" s="262"/>
      <c r="G14" s="263" t="s">
        <v>2343</v>
      </c>
    </row>
    <row r="15" spans="1:9" s="258" customFormat="1" ht="13.5" hidden="1" customHeight="1">
      <c r="A15" s="271" t="s">
        <v>11</v>
      </c>
      <c r="B15" s="259" t="s">
        <v>2344</v>
      </c>
      <c r="C15" s="264"/>
      <c r="D15" s="1034"/>
      <c r="E15" s="262"/>
      <c r="F15" s="262"/>
      <c r="G15" s="263" t="s">
        <v>2345</v>
      </c>
    </row>
    <row r="16" spans="1:9" s="258" customFormat="1" ht="13.5" hidden="1" customHeight="1">
      <c r="A16" s="271" t="s">
        <v>12</v>
      </c>
      <c r="B16" s="259" t="s">
        <v>2342</v>
      </c>
      <c r="C16" s="264"/>
      <c r="D16" s="1034"/>
      <c r="E16" s="262"/>
      <c r="F16" s="262"/>
      <c r="G16" s="263"/>
    </row>
    <row r="17" spans="1:7" s="258" customFormat="1" ht="13.5" hidden="1" customHeight="1">
      <c r="A17" s="271" t="s">
        <v>13</v>
      </c>
      <c r="B17" s="259" t="s">
        <v>2346</v>
      </c>
      <c r="C17" s="273"/>
      <c r="D17" s="1035"/>
      <c r="E17" s="273"/>
      <c r="F17" s="273"/>
      <c r="G17" s="263" t="s">
        <v>2345</v>
      </c>
    </row>
    <row r="18" spans="1:7" s="258" customFormat="1" ht="13.5" hidden="1" customHeight="1">
      <c r="A18" s="271" t="s">
        <v>14</v>
      </c>
      <c r="B18" s="259" t="s">
        <v>2347</v>
      </c>
      <c r="C18" s="264">
        <v>0</v>
      </c>
      <c r="D18" s="1034"/>
      <c r="E18" s="262"/>
      <c r="F18" s="265">
        <v>3.0499999999999999E-2</v>
      </c>
      <c r="G18" s="263" t="s">
        <v>2348</v>
      </c>
    </row>
    <row r="19" spans="1:7" s="267" customFormat="1" ht="13.5" customHeight="1">
      <c r="A19" s="299" t="s">
        <v>2349</v>
      </c>
      <c r="B19" s="254" t="s">
        <v>2350</v>
      </c>
      <c r="C19" s="255">
        <f ca="1">IF(G19="已包含在土地取得成本中","0",ROUND(D19*E19/10000,0))</f>
        <v>127</v>
      </c>
      <c r="D19" s="1036">
        <f ca="1">D9+D10</f>
        <v>5775.17</v>
      </c>
      <c r="E19" s="255">
        <f>'数据-取费表'!B31</f>
        <v>220</v>
      </c>
      <c r="F19" s="275"/>
      <c r="G19" s="2549"/>
    </row>
    <row r="20" spans="1:7" s="258" customFormat="1" ht="13.5" customHeight="1">
      <c r="A20" s="299" t="s">
        <v>2351</v>
      </c>
      <c r="B20" s="254" t="s">
        <v>2352</v>
      </c>
      <c r="C20" s="276">
        <f ca="1">ROUND((C5+C19)*F20,0)</f>
        <v>3</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4">
        <f ca="1">ROUND(SUM(C23:C25),0)</f>
        <v>12</v>
      </c>
      <c r="D22" s="279">
        <f ca="1">C26</f>
        <v>1E-3</v>
      </c>
      <c r="E22" s="280" t="s">
        <v>2356</v>
      </c>
      <c r="F22" s="281">
        <f ca="1">'数据-取费表'!B40</f>
        <v>4.7500000000000001E-2</v>
      </c>
      <c r="G22" s="278" t="str">
        <f>IF('数据-取费表'!B22&lt;=1,"单利计息","复利计息")</f>
        <v>复利计息</v>
      </c>
    </row>
    <row r="23" spans="1:7" s="258" customFormat="1" ht="13.5" customHeight="1">
      <c r="A23" s="951" t="s">
        <v>2360</v>
      </c>
      <c r="B23" s="259" t="s">
        <v>2361</v>
      </c>
      <c r="C23" s="1355">
        <f ca="1">ROUND(IF('数据-取费表'!B22&lt;=1,C5*F22*'数据-取费表'!B23,C5*(POWER((1+F22),'数据-取费表'!B23)-1)),0)</f>
        <v>0</v>
      </c>
      <c r="D23" s="282"/>
      <c r="E23" s="282"/>
      <c r="F23" s="283"/>
      <c r="G23" s="284" t="s">
        <v>2362</v>
      </c>
    </row>
    <row r="24" spans="1:7" s="258" customFormat="1" ht="13.5" customHeight="1">
      <c r="A24" s="951" t="s">
        <v>2363</v>
      </c>
      <c r="B24" s="259" t="s">
        <v>2364</v>
      </c>
      <c r="C24" s="1355">
        <f ca="1">ROUND(IF('数据-取费表'!B22&lt;=1,C19*F22*('数据-取费表'!B19/2+'数据-取费表'!B21),C19*(POWER((1+F22),('数据-取费表'!B19/2+'数据-取费表'!B21))-1)),0)</f>
        <v>12</v>
      </c>
      <c r="D24" s="282"/>
      <c r="E24" s="282"/>
      <c r="F24" s="283"/>
      <c r="G24" s="284" t="s">
        <v>2365</v>
      </c>
    </row>
    <row r="25" spans="1:7" s="258" customFormat="1" ht="24">
      <c r="A25" s="951" t="s">
        <v>2366</v>
      </c>
      <c r="B25" s="259" t="s">
        <v>2367</v>
      </c>
      <c r="C25" s="1355">
        <f ca="1">ROUND(IF('数据-取费表'!B22&lt;=1,C20*F22*'数据-取费表'!B23/2,C20*(POWER((1+F22),'数据-取费表'!B23/2)-1)),0)</f>
        <v>0</v>
      </c>
      <c r="D25" s="282"/>
      <c r="E25" s="285"/>
      <c r="F25" s="283"/>
      <c r="G25" s="286" t="s">
        <v>2368</v>
      </c>
    </row>
    <row r="26" spans="1:7" s="258" customFormat="1">
      <c r="A26" s="951" t="s">
        <v>795</v>
      </c>
      <c r="B26" s="259" t="s">
        <v>2369</v>
      </c>
      <c r="C26" s="282">
        <f ca="1">ROUND(IF('数据-取费表'!B22&lt;=1,F21*F22*'数据-取费表'!B23/2,F21*(POWER((1+F22),'数据-取费表'!B23/2)-1)),4)</f>
        <v>1E-3</v>
      </c>
      <c r="D26" s="282"/>
      <c r="E26" s="285"/>
      <c r="F26" s="283"/>
      <c r="G26" s="287"/>
    </row>
    <row r="27" spans="1:7" s="258" customFormat="1" ht="24.75">
      <c r="A27" s="299" t="s">
        <v>2370</v>
      </c>
      <c r="B27" s="288" t="s">
        <v>2371</v>
      </c>
      <c r="C27" s="289">
        <f ca="1">C28</f>
        <v>26</v>
      </c>
      <c r="D27" s="279">
        <f ca="1">C29</f>
        <v>4.0000000000000001E-3</v>
      </c>
      <c r="E27" s="280" t="s">
        <v>2372</v>
      </c>
      <c r="F27" s="290">
        <f ca="1">IF(B1="",'数据-取费表'!Q16,INDIRECT("'数据-取费表'!q"&amp;$G$1))</f>
        <v>0.2</v>
      </c>
      <c r="G27" s="291" t="s">
        <v>2373</v>
      </c>
    </row>
    <row r="28" spans="1:7" s="258" customFormat="1" ht="13.5" customHeight="1">
      <c r="A28" s="951" t="s">
        <v>791</v>
      </c>
      <c r="B28" s="292" t="s">
        <v>2374</v>
      </c>
      <c r="C28" s="293">
        <f ca="1">ROUND((C5+C19+C20)*F27*'数据-取费表'!B21/'数据-取费表'!B20,0)</f>
        <v>26</v>
      </c>
      <c r="D28" s="279"/>
      <c r="E28" s="280"/>
      <c r="F28" s="290"/>
      <c r="G28" s="291"/>
    </row>
    <row r="29" spans="1:7" s="258" customFormat="1" ht="13.5" customHeight="1">
      <c r="A29" s="951" t="s">
        <v>792</v>
      </c>
      <c r="B29" s="292" t="s">
        <v>2375</v>
      </c>
      <c r="C29" s="282">
        <f ca="1">ROUND(C21*F27*'数据-取费表'!B21/'数据-取费表'!B20,4)</f>
        <v>4.0000000000000001E-3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182</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2058</v>
      </c>
      <c r="D33" s="276"/>
      <c r="E33" s="256"/>
      <c r="F33" s="285"/>
      <c r="G33" s="278"/>
    </row>
    <row r="34" spans="1:7" s="302" customFormat="1" ht="13.5" customHeight="1">
      <c r="A34" s="951" t="s">
        <v>791</v>
      </c>
      <c r="B34" s="259" t="s">
        <v>2383</v>
      </c>
      <c r="C34" s="264">
        <f ca="1">IF(B1="",IF(F34=100%,'数据-取费表'!M16,'数据-取费表'!O16),IF(F34=100%,INDIRECT("'数据-取费表'!m"&amp;$G$1)+INDIRECT("'数据-取费表'!t"&amp;$G$1),INDIRECT("'数据-取费表'!o"&amp;$G$1)+INDIRECT("'数据-取费表'!aq"&amp;$G$1)))</f>
        <v>1848</v>
      </c>
      <c r="D34" s="261"/>
      <c r="E34" s="264"/>
      <c r="F34" s="301">
        <f ca="1">IF('数据-取费表'!B24=0,1,IF(B1="",'数据-取费表'!N16,INDIRECT("'数据-取费表'!n"&amp;$G$1)))</f>
        <v>1</v>
      </c>
      <c r="G34" s="263" t="s">
        <v>2384</v>
      </c>
    </row>
    <row r="35" spans="1:7" ht="13.5" customHeight="1">
      <c r="A35" s="951" t="s">
        <v>796</v>
      </c>
      <c r="B35" s="259" t="s">
        <v>2385</v>
      </c>
      <c r="C35" s="264">
        <f ca="1">ROUND(C34*F35,0)</f>
        <v>55</v>
      </c>
      <c r="D35" s="264"/>
      <c r="E35" s="264"/>
      <c r="F35" s="303">
        <f>'数据-取费表'!B33</f>
        <v>0.03</v>
      </c>
      <c r="G35" s="263" t="s">
        <v>2386</v>
      </c>
    </row>
    <row r="36" spans="1:7" ht="24">
      <c r="A36" s="951"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1" t="s">
        <v>798</v>
      </c>
      <c r="B37" s="259" t="s">
        <v>2389</v>
      </c>
      <c r="C37" s="293">
        <f ca="1">ROUND(E37*D37*F34/10000,0)</f>
        <v>127</v>
      </c>
      <c r="D37" s="261">
        <f ca="1">D19</f>
        <v>5775.17</v>
      </c>
      <c r="E37" s="293">
        <f>'数据-取费表'!B35</f>
        <v>220</v>
      </c>
      <c r="F37" s="303"/>
      <c r="G37" s="305" t="s">
        <v>2390</v>
      </c>
    </row>
    <row r="38" spans="1:7" ht="13.5" customHeight="1">
      <c r="A38" s="951" t="s">
        <v>799</v>
      </c>
      <c r="B38" s="259" t="s">
        <v>2391</v>
      </c>
      <c r="C38" s="264">
        <f ca="1">ROUND(C34*F38,0)</f>
        <v>28</v>
      </c>
      <c r="D38" s="264"/>
      <c r="E38" s="264"/>
      <c r="F38" s="303">
        <f>'数据-取费表'!B36</f>
        <v>1.4999999999999999E-2</v>
      </c>
      <c r="G38" s="263" t="s">
        <v>2386</v>
      </c>
    </row>
    <row r="39" spans="1:7" s="258" customFormat="1" ht="13.5" customHeight="1">
      <c r="A39" s="299" t="s">
        <v>2392</v>
      </c>
      <c r="B39" s="254" t="s">
        <v>2393</v>
      </c>
      <c r="C39" s="276">
        <f ca="1">ROUND(C33*F20,0)</f>
        <v>41</v>
      </c>
      <c r="D39" s="276"/>
      <c r="E39" s="276"/>
      <c r="F39" s="277"/>
      <c r="G39" s="278" t="s">
        <v>2394</v>
      </c>
    </row>
    <row r="40" spans="1:7" s="258" customFormat="1" ht="13.5" customHeight="1">
      <c r="A40" s="299" t="s">
        <v>2395</v>
      </c>
      <c r="B40" s="254" t="s">
        <v>2396</v>
      </c>
      <c r="C40" s="1728">
        <f>F21</f>
        <v>0.02</v>
      </c>
      <c r="D40" s="280" t="s">
        <v>2397</v>
      </c>
      <c r="E40" s="276"/>
      <c r="F40" s="277"/>
      <c r="G40" s="278" t="s">
        <v>2398</v>
      </c>
    </row>
    <row r="41" spans="1:7" s="258" customFormat="1" ht="13.5" customHeight="1">
      <c r="A41" s="299" t="s">
        <v>2399</v>
      </c>
      <c r="B41" s="254" t="s">
        <v>2400</v>
      </c>
      <c r="C41" s="276">
        <f ca="1">ROUND(SUM(C42:C43),0)</f>
        <v>100</v>
      </c>
      <c r="D41" s="279">
        <f ca="1">C44</f>
        <v>1E-3</v>
      </c>
      <c r="E41" s="280" t="s">
        <v>2397</v>
      </c>
      <c r="F41" s="281"/>
      <c r="G41" s="278" t="str">
        <f>IF('数据-取费表'!B22&lt;=1,"单利计息","复利计息")</f>
        <v>复利计息</v>
      </c>
    </row>
    <row r="42" spans="1:7" ht="13.5" customHeight="1">
      <c r="A42" s="951" t="s">
        <v>791</v>
      </c>
      <c r="B42" s="259" t="s">
        <v>2401</v>
      </c>
      <c r="C42" s="282">
        <f ca="1">ROUND(IF('数据-取费表'!B22&lt;=1,C33*F22*'数据-取费表'!B21/2,C33*(POWER((1+F22),'数据-取费表'!B21/2)-1)),0)</f>
        <v>98</v>
      </c>
      <c r="D42" s="282"/>
      <c r="E42" s="282"/>
      <c r="F42" s="283"/>
      <c r="G42" s="3151" t="s">
        <v>2402</v>
      </c>
    </row>
    <row r="43" spans="1:7" ht="13.5" customHeight="1">
      <c r="A43" s="951" t="s">
        <v>792</v>
      </c>
      <c r="B43" s="259" t="s">
        <v>2403</v>
      </c>
      <c r="C43" s="282">
        <f ca="1">ROUND(IF('数据-取费表'!B22&lt;=1,C39*F22*'数据-取费表'!B21/2,C39*(POWER((1+F22),'数据-取费表'!B21/2)-1)),0)</f>
        <v>2</v>
      </c>
      <c r="D43" s="282"/>
      <c r="E43" s="282"/>
      <c r="F43" s="283"/>
      <c r="G43" s="3152"/>
    </row>
    <row r="44" spans="1:7" ht="13.5" customHeight="1">
      <c r="A44" s="951" t="s">
        <v>793</v>
      </c>
      <c r="B44" s="259" t="s">
        <v>2404</v>
      </c>
      <c r="C44" s="282">
        <f ca="1">ROUND(IF('数据-取费表'!B22&lt;=1,C40*F22*'数据-取费表'!B21/2,C40*(POWER((1+F22),'数据-取费表'!B21/2)-1)),4)</f>
        <v>1E-3</v>
      </c>
      <c r="D44" s="282"/>
      <c r="E44" s="282"/>
      <c r="F44" s="283"/>
      <c r="G44" s="3153"/>
    </row>
    <row r="45" spans="1:7" s="258" customFormat="1" ht="13.5" customHeight="1">
      <c r="A45" s="299" t="s">
        <v>2405</v>
      </c>
      <c r="B45" s="288" t="s">
        <v>2371</v>
      </c>
      <c r="C45" s="289">
        <f ca="1">C46</f>
        <v>420</v>
      </c>
      <c r="D45" s="279">
        <f ca="1">C47</f>
        <v>4.0000000000000001E-3</v>
      </c>
      <c r="E45" s="280" t="s">
        <v>2397</v>
      </c>
      <c r="F45" s="290"/>
      <c r="G45" s="291" t="s">
        <v>2406</v>
      </c>
    </row>
    <row r="46" spans="1:7" s="258" customFormat="1" ht="13.5" customHeight="1">
      <c r="A46" s="951" t="s">
        <v>791</v>
      </c>
      <c r="B46" s="292" t="s">
        <v>2407</v>
      </c>
      <c r="C46" s="293">
        <f ca="1">ROUND((C33+C39)*F27,0)</f>
        <v>420</v>
      </c>
      <c r="D46" s="307"/>
      <c r="E46" s="280"/>
      <c r="F46" s="290"/>
      <c r="G46" s="291"/>
    </row>
    <row r="47" spans="1:7" s="258" customFormat="1" ht="13.5" customHeight="1">
      <c r="A47" s="951" t="s">
        <v>792</v>
      </c>
      <c r="B47" s="292" t="s">
        <v>2408</v>
      </c>
      <c r="C47" s="282">
        <f ca="1">ROUND(C40*F27,4)</f>
        <v>4.0000000000000001E-3</v>
      </c>
      <c r="D47" s="307"/>
      <c r="E47" s="280"/>
      <c r="F47" s="290"/>
      <c r="G47" s="291"/>
    </row>
    <row r="48" spans="1:7" s="258" customFormat="1" ht="13.5" customHeight="1">
      <c r="A48" s="299" t="s">
        <v>2370</v>
      </c>
      <c r="B48" s="254" t="s">
        <v>2409</v>
      </c>
      <c r="C48" s="1728">
        <f>ROUND(F30/(1+'数据-取费表'!C42),4)</f>
        <v>5.33E-2</v>
      </c>
      <c r="D48" s="280" t="s">
        <v>2397</v>
      </c>
      <c r="E48" s="276"/>
      <c r="F48" s="281"/>
      <c r="G48" s="278" t="s">
        <v>2410</v>
      </c>
    </row>
    <row r="49" spans="1:7" ht="16.5" customHeight="1">
      <c r="A49" s="299" t="s">
        <v>2376</v>
      </c>
      <c r="B49" s="254" t="s">
        <v>2411</v>
      </c>
      <c r="C49" s="276">
        <f ca="1">ROUND((C33+C39+C41+C45)/(1-C40-D41-D45-C48),0)</f>
        <v>2841</v>
      </c>
      <c r="D49" s="276"/>
      <c r="E49" s="276"/>
      <c r="F49" s="308"/>
      <c r="G49" s="278" t="s">
        <v>2412</v>
      </c>
    </row>
    <row r="50" spans="1:7" s="302" customFormat="1" ht="24">
      <c r="A50" s="299" t="s">
        <v>2413</v>
      </c>
      <c r="B50" s="254" t="s">
        <v>2414</v>
      </c>
      <c r="C50" s="276"/>
      <c r="D50" s="276"/>
      <c r="E50" s="276"/>
      <c r="F50" s="308">
        <f>IF('数据-取费表'!B24=0,'数据-取费表'!N16,1)</f>
        <v>0.95</v>
      </c>
      <c r="G50" s="291" t="s">
        <v>2415</v>
      </c>
    </row>
    <row r="51" spans="1:7" ht="16.5" customHeight="1">
      <c r="A51" s="299" t="s">
        <v>2416</v>
      </c>
      <c r="B51" s="254" t="s">
        <v>2417</v>
      </c>
      <c r="C51" s="276">
        <f ca="1">ROUND(C49*F50,0)</f>
        <v>2699</v>
      </c>
      <c r="D51" s="276"/>
      <c r="E51" s="276"/>
      <c r="F51" s="308"/>
      <c r="G51" s="278" t="s">
        <v>2418</v>
      </c>
    </row>
    <row r="52" spans="1:7" s="252" customFormat="1" ht="16.5" thickBot="1">
      <c r="A52" s="309" t="s">
        <v>2419</v>
      </c>
      <c r="B52" s="310"/>
      <c r="C52" s="311">
        <f ca="1">C31+C51</f>
        <v>2881</v>
      </c>
      <c r="D52" s="310"/>
      <c r="E52" s="310"/>
      <c r="F52" s="310"/>
      <c r="G52" s="312"/>
    </row>
    <row r="55" spans="1:7" ht="15">
      <c r="B55" s="314" t="s">
        <v>2420</v>
      </c>
      <c r="C55" s="315"/>
    </row>
    <row r="56" spans="1:7">
      <c r="B56" s="317" t="s">
        <v>1507</v>
      </c>
      <c r="C56" s="319">
        <f ca="1">1-C57</f>
        <v>6.2999999999999945E-2</v>
      </c>
    </row>
    <row r="57" spans="1:7">
      <c r="B57" s="317" t="s">
        <v>1508</v>
      </c>
      <c r="C57" s="318">
        <f ca="1">ROUND(C51/C52,3)</f>
        <v>0.93700000000000006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5" t="str">
        <f>项目基本情况!B1</f>
        <v>四川省成都市青羊区广富路239号31栋1层1号房地产抵押价值预评估</v>
      </c>
      <c r="C37" s="2965"/>
      <c r="D37" s="2965"/>
      <c r="E37" s="2965"/>
      <c r="F37" s="2965"/>
      <c r="G37" s="2965"/>
      <c r="H37" s="2965"/>
      <c r="I37" s="2965"/>
    </row>
    <row r="38" spans="1:9">
      <c r="A38" s="1016"/>
      <c r="B38" s="1016"/>
    </row>
    <row r="39" spans="1:9">
      <c r="A39" s="1014" t="s">
        <v>818</v>
      </c>
      <c r="B39" s="1014" t="s">
        <v>820</v>
      </c>
    </row>
    <row r="40" spans="1:9">
      <c r="A40" s="1014"/>
      <c r="B40" s="1941" t="str">
        <f>项目基本情况!B5</f>
        <v>四川小麦飞扬科技有限公司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郑燚（注册号：1120070131)、吴薇（注册号：1419970001)</v>
      </c>
    </row>
    <row r="47" spans="1:9">
      <c r="A47" s="1014"/>
      <c r="B47" s="1014" t="str">
        <f>项目基本情况!K5</f>
        <v/>
      </c>
    </row>
    <row r="48" spans="1:9">
      <c r="A48" s="1014" t="s">
        <v>818</v>
      </c>
      <c r="B48" s="1014" t="s">
        <v>824</v>
      </c>
    </row>
    <row r="49" spans="2:2">
      <c r="B49" s="1941" t="str">
        <f>"康正预评字"&amp;项目基本情况!B2&amp;"号"</f>
        <v>康正预评字2019-1-0578号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6"/>
      <c r="C1" s="2552" t="s">
        <v>2421</v>
      </c>
      <c r="D1" s="242"/>
      <c r="E1" s="242"/>
      <c r="F1" s="242"/>
      <c r="G1" s="1379">
        <f>MATCH(B1,'数据-取费表'!A6:A16,0)+5</f>
        <v>7</v>
      </c>
      <c r="H1" s="1282" t="str">
        <f>IF(ISERROR(FIND("住宅",B1)),"非住宅","住宅")</f>
        <v>非住宅</v>
      </c>
    </row>
    <row r="2" spans="1:8" s="244" customFormat="1" ht="18" customHeight="1">
      <c r="A2" s="245" t="s">
        <v>2320</v>
      </c>
      <c r="B2" s="246">
        <f ca="1">ROUND(IF(D2="——",C52/10000,C52/10000-E2),0)</f>
        <v>3064</v>
      </c>
      <c r="C2" s="243" t="s">
        <v>2321</v>
      </c>
      <c r="D2" s="2546" t="s">
        <v>70</v>
      </c>
      <c r="E2" s="1440" t="e">
        <f ca="1">SUMIF(INDIRECT("'"&amp;G2&amp;"'"&amp;"!A:A"),"承租人权益价值",INDIRECT("'"&amp;G2&amp;"'"&amp;"!c:c"))</f>
        <v>#REF!</v>
      </c>
      <c r="F2" s="2547" t="s">
        <v>2321</v>
      </c>
      <c r="G2" s="2548"/>
    </row>
    <row r="3" spans="1:8" s="244" customFormat="1" ht="18" customHeight="1" thickBot="1">
      <c r="A3" s="247" t="s">
        <v>2322</v>
      </c>
      <c r="B3" s="248">
        <f ca="1">ROUND(B2*10000/(IF(B1="",'数据-汇总表'!E3,INDIRECT("'数据-取费表'!k"&amp;$G$1))),0)</f>
        <v>5305</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1270537</v>
      </c>
      <c r="D5" s="255" t="s">
        <v>2327</v>
      </c>
      <c r="E5" s="256" t="s">
        <v>2328</v>
      </c>
      <c r="F5" s="256" t="s">
        <v>2329</v>
      </c>
      <c r="G5" s="257"/>
    </row>
    <row r="6" spans="1:8" s="258" customFormat="1" ht="13.5" customHeight="1">
      <c r="A6" s="949" t="s">
        <v>2330</v>
      </c>
      <c r="B6" s="259" t="s">
        <v>2331</v>
      </c>
      <c r="C6" s="260"/>
      <c r="D6" s="261"/>
      <c r="E6" s="262"/>
      <c r="F6" s="262"/>
      <c r="G6" s="263"/>
    </row>
    <row r="7" spans="1:8" s="258" customFormat="1" ht="13.5" customHeight="1">
      <c r="A7" s="949" t="s">
        <v>2332</v>
      </c>
      <c r="B7" s="259" t="s">
        <v>2333</v>
      </c>
      <c r="C7" s="264">
        <f>ROUND(C6*F7,0)</f>
        <v>0</v>
      </c>
      <c r="D7" s="264"/>
      <c r="E7" s="262"/>
      <c r="F7" s="265">
        <f>IF(项目基本情况!B8="出让",0,'数据-取费表'!B48+'数据-取费表'!B49)</f>
        <v>3.0499999999999999E-2</v>
      </c>
      <c r="G7" s="263"/>
    </row>
    <row r="8" spans="1:8" s="267" customFormat="1">
      <c r="A8" s="949" t="s">
        <v>2334</v>
      </c>
      <c r="B8" s="259" t="s">
        <v>2335</v>
      </c>
      <c r="C8" s="264">
        <f ca="1">IF(G8="已包含在土地购买价格中",0,C9+C10)</f>
        <v>1270537</v>
      </c>
      <c r="D8" s="266"/>
      <c r="E8" s="264"/>
      <c r="F8" s="265"/>
      <c r="G8" s="2549"/>
    </row>
    <row r="9" spans="1:8" s="258" customFormat="1" ht="13.5" customHeight="1">
      <c r="A9" s="950" t="s">
        <v>800</v>
      </c>
      <c r="B9" s="268" t="s">
        <v>2336</v>
      </c>
      <c r="C9" s="269">
        <f ca="1">ROUND(D9*E9,0)</f>
        <v>0</v>
      </c>
      <c r="D9" s="1032">
        <f ca="1">IF(B1="",'数据-汇总表'!E5,IF(INDIRECT("'数据-取费表'!c"&amp;$G$1)="住宅",INDIRECT("'数据-取费表'!k"&amp;$G$1),0))</f>
        <v>0</v>
      </c>
      <c r="E9" s="269">
        <f>'数据-取费表'!B27</f>
        <v>220</v>
      </c>
      <c r="F9" s="265"/>
      <c r="G9" s="270"/>
    </row>
    <row r="10" spans="1:8" s="258" customFormat="1" ht="13.5" customHeight="1">
      <c r="A10" s="950" t="s">
        <v>801</v>
      </c>
      <c r="B10" s="268" t="s">
        <v>2338</v>
      </c>
      <c r="C10" s="269">
        <f ca="1">ROUND(D10*E10,0)</f>
        <v>1270537</v>
      </c>
      <c r="D10" s="1032">
        <f ca="1">IF(B1="",'数据-汇总表'!E6,IF(INDIRECT("'数据-取费表'!c"&amp;$G$1)="住宅",INDIRECT("'数据-取费表'!s"&amp;$G$1),INDIRECT("'数据-取费表'!k"&amp;$G$1)+INDIRECT("'数据-取费表'!s"&amp;$G$1)))</f>
        <v>5775.17</v>
      </c>
      <c r="E10" s="269">
        <f>'数据-取费表'!B28</f>
        <v>220</v>
      </c>
      <c r="F10" s="265"/>
      <c r="G10" s="270"/>
    </row>
    <row r="11" spans="1:8" s="258" customFormat="1" ht="13.5" hidden="1" customHeight="1">
      <c r="A11" s="271" t="s">
        <v>7</v>
      </c>
      <c r="B11" s="259" t="s">
        <v>2339</v>
      </c>
      <c r="C11" s="255"/>
      <c r="D11" s="1034"/>
      <c r="E11" s="262"/>
      <c r="F11" s="262"/>
      <c r="G11" s="263"/>
    </row>
    <row r="12" spans="1:8" s="258" customFormat="1" ht="13.5" hidden="1" customHeight="1">
      <c r="A12" s="271" t="s">
        <v>8</v>
      </c>
      <c r="B12" s="259" t="s">
        <v>2422</v>
      </c>
      <c r="C12" s="255">
        <v>0</v>
      </c>
      <c r="D12" s="1034"/>
      <c r="E12" s="272"/>
      <c r="F12" s="265">
        <v>3.0499999999999999E-2</v>
      </c>
      <c r="G12" s="263"/>
    </row>
    <row r="13" spans="1:8" s="258" customFormat="1" ht="13.5" hidden="1" customHeight="1">
      <c r="A13" s="271" t="s">
        <v>9</v>
      </c>
      <c r="B13" s="259" t="s">
        <v>2423</v>
      </c>
      <c r="C13" s="255"/>
      <c r="D13" s="1034"/>
      <c r="E13" s="262"/>
      <c r="F13" s="262"/>
      <c r="G13" s="263"/>
    </row>
    <row r="14" spans="1:8" s="258" customFormat="1" ht="13.5" hidden="1" customHeight="1">
      <c r="A14" s="271" t="s">
        <v>10</v>
      </c>
      <c r="B14" s="259" t="s">
        <v>2335</v>
      </c>
      <c r="C14" s="255"/>
      <c r="D14" s="1034"/>
      <c r="E14" s="262"/>
      <c r="F14" s="262"/>
      <c r="G14" s="263" t="s">
        <v>2424</v>
      </c>
    </row>
    <row r="15" spans="1:8" s="258" customFormat="1" ht="13.5" hidden="1" customHeight="1">
      <c r="A15" s="271" t="s">
        <v>11</v>
      </c>
      <c r="B15" s="259" t="s">
        <v>2425</v>
      </c>
      <c r="C15" s="264"/>
      <c r="D15" s="1034"/>
      <c r="E15" s="262"/>
      <c r="F15" s="262"/>
      <c r="G15" s="263" t="s">
        <v>2426</v>
      </c>
    </row>
    <row r="16" spans="1:8" s="258" customFormat="1" ht="13.5" hidden="1" customHeight="1">
      <c r="A16" s="271" t="s">
        <v>12</v>
      </c>
      <c r="B16" s="259" t="s">
        <v>2335</v>
      </c>
      <c r="C16" s="264"/>
      <c r="D16" s="1034"/>
      <c r="E16" s="262"/>
      <c r="F16" s="262"/>
      <c r="G16" s="263"/>
    </row>
    <row r="17" spans="1:7" s="258" customFormat="1" ht="13.5" hidden="1" customHeight="1">
      <c r="A17" s="271" t="s">
        <v>13</v>
      </c>
      <c r="B17" s="259" t="s">
        <v>2427</v>
      </c>
      <c r="C17" s="273"/>
      <c r="D17" s="1035"/>
      <c r="E17" s="273"/>
      <c r="F17" s="273"/>
      <c r="G17" s="263" t="s">
        <v>2426</v>
      </c>
    </row>
    <row r="18" spans="1:7" s="258" customFormat="1" ht="13.5" hidden="1" customHeight="1">
      <c r="A18" s="271" t="s">
        <v>14</v>
      </c>
      <c r="B18" s="259" t="s">
        <v>2428</v>
      </c>
      <c r="C18" s="264">
        <v>0</v>
      </c>
      <c r="D18" s="1034"/>
      <c r="E18" s="262"/>
      <c r="F18" s="265">
        <v>3.0499999999999999E-2</v>
      </c>
      <c r="G18" s="263" t="s">
        <v>2429</v>
      </c>
    </row>
    <row r="19" spans="1:7" s="267" customFormat="1" ht="13.5" customHeight="1">
      <c r="A19" s="299" t="s">
        <v>2430</v>
      </c>
      <c r="B19" s="254" t="s">
        <v>2431</v>
      </c>
      <c r="C19" s="255">
        <f ca="1">IF(G19="已包含在土地取得成本中","0",ROUND(D19*E19,0))</f>
        <v>1270537</v>
      </c>
      <c r="D19" s="1036">
        <f ca="1">D9+D10</f>
        <v>5775.17</v>
      </c>
      <c r="E19" s="255">
        <f>'数据-取费表'!B31</f>
        <v>220</v>
      </c>
      <c r="F19" s="275"/>
      <c r="G19" s="2549"/>
    </row>
    <row r="20" spans="1:7" s="258" customFormat="1" ht="13.5" customHeight="1">
      <c r="A20" s="299" t="s">
        <v>2432</v>
      </c>
      <c r="B20" s="254" t="s">
        <v>2433</v>
      </c>
      <c r="C20" s="276">
        <f ca="1">ROUND((C5+C19)*F20,0)</f>
        <v>50821</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80">
        <f ca="1">ROUND(SUM(C23:C25),0)</f>
        <v>249550</v>
      </c>
      <c r="D22" s="279">
        <f ca="1">C26</f>
        <v>1E-3</v>
      </c>
      <c r="E22" s="280" t="s">
        <v>2437</v>
      </c>
      <c r="F22" s="281">
        <f ca="1">'数据-取费表'!B40</f>
        <v>4.7500000000000001E-2</v>
      </c>
      <c r="G22" s="278" t="str">
        <f>IF('数据-取费表'!B22&lt;=1,"单利计息","复利计息")</f>
        <v>复利计息</v>
      </c>
    </row>
    <row r="23" spans="1:7" s="258" customFormat="1" ht="13.5" customHeight="1">
      <c r="A23" s="951" t="s">
        <v>2330</v>
      </c>
      <c r="B23" s="259" t="s">
        <v>2441</v>
      </c>
      <c r="C23" s="1381">
        <f ca="1">ROUND(IF('数据-取费表'!B22&lt;=1,C5*F22*'数据-取费表'!B22,C5*(POWER((1+F22),'数据-取费表'!B22)-1)),0)</f>
        <v>123568</v>
      </c>
      <c r="D23" s="282"/>
      <c r="E23" s="282"/>
      <c r="F23" s="283"/>
      <c r="G23" s="284" t="s">
        <v>2442</v>
      </c>
    </row>
    <row r="24" spans="1:7" s="258" customFormat="1" ht="13.5" customHeight="1">
      <c r="A24" s="951" t="s">
        <v>2332</v>
      </c>
      <c r="B24" s="259" t="s">
        <v>2443</v>
      </c>
      <c r="C24" s="1381">
        <f ca="1">ROUND(IF('数据-取费表'!B22&lt;=1,C19*F22*('数据-取费表'!B19/2+'数据-取费表'!B20),C19*(POWER((1+F22),('数据-取费表'!B19/2+'数据-取费表'!B20))-1)),0)</f>
        <v>123568</v>
      </c>
      <c r="D24" s="282"/>
      <c r="E24" s="282"/>
      <c r="F24" s="283"/>
      <c r="G24" s="284" t="s">
        <v>2444</v>
      </c>
    </row>
    <row r="25" spans="1:7" s="258" customFormat="1" ht="24">
      <c r="A25" s="951" t="s">
        <v>2334</v>
      </c>
      <c r="B25" s="259" t="s">
        <v>2445</v>
      </c>
      <c r="C25" s="1381">
        <f ca="1">ROUND(IF('数据-取费表'!B22&lt;=1,C20*F22*'数据-取费表'!B22/2,C20*(POWER((1+F22),'数据-取费表'!B22/2)-1)),0)</f>
        <v>2414</v>
      </c>
      <c r="D25" s="282"/>
      <c r="E25" s="285"/>
      <c r="F25" s="283"/>
      <c r="G25" s="286" t="s">
        <v>2446</v>
      </c>
    </row>
    <row r="26" spans="1:7" s="258" customFormat="1">
      <c r="A26" s="951" t="s">
        <v>795</v>
      </c>
      <c r="B26" s="259" t="s">
        <v>2369</v>
      </c>
      <c r="C26" s="282">
        <f ca="1">ROUND(IF('数据-取费表'!B22&lt;=1,F21*F22*'数据-取费表'!B22/2,F21*(POWER((1+F22),'数据-取费表'!B22/2)-1)),4)</f>
        <v>1E-3</v>
      </c>
      <c r="D26" s="282"/>
      <c r="E26" s="285"/>
      <c r="F26" s="283"/>
      <c r="G26" s="287"/>
    </row>
    <row r="27" spans="1:7" s="258" customFormat="1" ht="24.75">
      <c r="A27" s="299" t="s">
        <v>2370</v>
      </c>
      <c r="B27" s="288" t="s">
        <v>2371</v>
      </c>
      <c r="C27" s="289">
        <f ca="1">C28</f>
        <v>518379</v>
      </c>
      <c r="D27" s="279">
        <f ca="1">C29</f>
        <v>4.0000000000000001E-3</v>
      </c>
      <c r="E27" s="280" t="s">
        <v>2372</v>
      </c>
      <c r="F27" s="290">
        <f ca="1">IF(B1="",'数据-取费表'!Q16,INDIRECT("'数据-取费表'!q"&amp;$G$1))</f>
        <v>0.2</v>
      </c>
      <c r="G27" s="291" t="s">
        <v>2373</v>
      </c>
    </row>
    <row r="28" spans="1:7" s="258" customFormat="1" ht="13.5" customHeight="1">
      <c r="A28" s="951" t="s">
        <v>791</v>
      </c>
      <c r="B28" s="292" t="s">
        <v>2374</v>
      </c>
      <c r="C28" s="293">
        <f ca="1">ROUND((C5+C19+C20)*F27,0)</f>
        <v>518379</v>
      </c>
      <c r="D28" s="279"/>
      <c r="E28" s="280"/>
      <c r="F28" s="290"/>
      <c r="G28" s="291"/>
    </row>
    <row r="29" spans="1:7" s="258" customFormat="1" ht="13.5" customHeight="1">
      <c r="A29" s="951" t="s">
        <v>792</v>
      </c>
      <c r="B29" s="292" t="s">
        <v>2375</v>
      </c>
      <c r="C29" s="282">
        <f ca="1">ROUND(C21*F27,4)</f>
        <v>4.0000000000000001E-3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3645247</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20582705</v>
      </c>
      <c r="D33" s="276"/>
      <c r="E33" s="256"/>
      <c r="F33" s="285"/>
      <c r="G33" s="278"/>
    </row>
    <row r="34" spans="1:7" s="302" customFormat="1" ht="13.5" customHeight="1">
      <c r="A34" s="951" t="s">
        <v>791</v>
      </c>
      <c r="B34" s="259" t="s">
        <v>2383</v>
      </c>
      <c r="C34" s="264">
        <f ca="1">ROUND(IF(B1="",SUMPRODUCT('数据-取费表'!K6:K14,'数据-取费表'!L6:L14),INDIRECT("'数据-取费表'!l"&amp;$G$1)*INDIRECT("'数据-取费表'!k"&amp;$G$1)+'数据-取费表'!L14*INDIRECT("'数据-取费表'!S"&amp;$G$1)),0)</f>
        <v>18480544</v>
      </c>
      <c r="D34" s="261"/>
      <c r="E34" s="264"/>
      <c r="F34" s="301"/>
      <c r="G34" s="263"/>
    </row>
    <row r="35" spans="1:7" ht="13.5" customHeight="1">
      <c r="A35" s="951" t="s">
        <v>796</v>
      </c>
      <c r="B35" s="259" t="s">
        <v>2385</v>
      </c>
      <c r="C35" s="264">
        <f ca="1">ROUND(C34*F35,0)</f>
        <v>554416</v>
      </c>
      <c r="D35" s="264"/>
      <c r="E35" s="264"/>
      <c r="F35" s="303">
        <f>'数据-取费表'!B33</f>
        <v>0.03</v>
      </c>
      <c r="G35" s="263" t="s">
        <v>2386</v>
      </c>
    </row>
    <row r="36" spans="1:7" ht="24">
      <c r="A36" s="951"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1" t="s">
        <v>798</v>
      </c>
      <c r="B37" s="259" t="s">
        <v>2389</v>
      </c>
      <c r="C37" s="293">
        <f ca="1">ROUND(E37*D37,0)</f>
        <v>1270537</v>
      </c>
      <c r="D37" s="261">
        <f ca="1">D19</f>
        <v>5775.17</v>
      </c>
      <c r="E37" s="293">
        <f>'数据-取费表'!B35</f>
        <v>220</v>
      </c>
      <c r="F37" s="303"/>
      <c r="G37" s="305"/>
    </row>
    <row r="38" spans="1:7" ht="13.5" customHeight="1">
      <c r="A38" s="951" t="s">
        <v>799</v>
      </c>
      <c r="B38" s="259" t="s">
        <v>2391</v>
      </c>
      <c r="C38" s="264">
        <f ca="1">ROUND(C34*F38,0)</f>
        <v>277208</v>
      </c>
      <c r="D38" s="264"/>
      <c r="E38" s="264"/>
      <c r="F38" s="303">
        <f>'数据-取费表'!B36</f>
        <v>1.4999999999999999E-2</v>
      </c>
      <c r="G38" s="263" t="s">
        <v>2386</v>
      </c>
    </row>
    <row r="39" spans="1:7" s="258" customFormat="1" ht="13.5" customHeight="1">
      <c r="A39" s="299" t="s">
        <v>2392</v>
      </c>
      <c r="B39" s="254" t="s">
        <v>2393</v>
      </c>
      <c r="C39" s="276">
        <f ca="1">ROUND(C33*F20,0)</f>
        <v>411654</v>
      </c>
      <c r="D39" s="276"/>
      <c r="E39" s="276"/>
      <c r="F39" s="277"/>
      <c r="G39" s="278" t="s">
        <v>2394</v>
      </c>
    </row>
    <row r="40" spans="1:7" s="258" customFormat="1" ht="13.5" customHeight="1">
      <c r="A40" s="299" t="s">
        <v>2395</v>
      </c>
      <c r="B40" s="254" t="s">
        <v>2396</v>
      </c>
      <c r="C40" s="1728">
        <f>F21</f>
        <v>0.02</v>
      </c>
      <c r="D40" s="280" t="s">
        <v>2397</v>
      </c>
      <c r="E40" s="276"/>
      <c r="F40" s="277"/>
      <c r="G40" s="278" t="s">
        <v>2398</v>
      </c>
    </row>
    <row r="41" spans="1:7" s="258" customFormat="1" ht="13.5" customHeight="1">
      <c r="A41" s="299" t="s">
        <v>2399</v>
      </c>
      <c r="B41" s="254" t="s">
        <v>2400</v>
      </c>
      <c r="C41" s="276">
        <f ca="1">ROUND(SUM(C42:C43),0)</f>
        <v>997232</v>
      </c>
      <c r="D41" s="279">
        <f ca="1">C44</f>
        <v>1E-3</v>
      </c>
      <c r="E41" s="280" t="s">
        <v>2397</v>
      </c>
      <c r="F41" s="281"/>
      <c r="G41" s="278" t="str">
        <f>IF('数据-取费表'!B22&lt;=1,"单利计息","复利计息")</f>
        <v>复利计息</v>
      </c>
    </row>
    <row r="42" spans="1:7" ht="13.5" customHeight="1">
      <c r="A42" s="951" t="s">
        <v>791</v>
      </c>
      <c r="B42" s="259" t="s">
        <v>2401</v>
      </c>
      <c r="C42" s="282">
        <f ca="1">ROUND(IF('数据-取费表'!B22&lt;=1,C33*F22*'数据-取费表'!B20/2,C33*(POWER((1+F22),'数据-取费表'!B20/2)-1)),0)</f>
        <v>977678</v>
      </c>
      <c r="D42" s="282"/>
      <c r="E42" s="282"/>
      <c r="F42" s="283"/>
      <c r="G42" s="3151" t="s">
        <v>2449</v>
      </c>
    </row>
    <row r="43" spans="1:7" ht="13.5" customHeight="1">
      <c r="A43" s="951" t="s">
        <v>792</v>
      </c>
      <c r="B43" s="259" t="s">
        <v>2403</v>
      </c>
      <c r="C43" s="282">
        <f ca="1">ROUND(IF('数据-取费表'!B22&lt;=1,C39*F22*'数据-取费表'!B20/2,C39*(POWER((1+F22),'数据-取费表'!B20/2)-1)),0)</f>
        <v>19554</v>
      </c>
      <c r="D43" s="282"/>
      <c r="E43" s="282"/>
      <c r="F43" s="283"/>
      <c r="G43" s="3152"/>
    </row>
    <row r="44" spans="1:7" ht="13.5" customHeight="1">
      <c r="A44" s="951" t="s">
        <v>793</v>
      </c>
      <c r="B44" s="259" t="s">
        <v>2404</v>
      </c>
      <c r="C44" s="282">
        <f ca="1">ROUND(IF('数据-取费表'!B22&lt;=1,C40*F22*'数据-取费表'!B20/2,C40*(POWER((1+F22),'数据-取费表'!B20/2)-1)),4)</f>
        <v>1E-3</v>
      </c>
      <c r="D44" s="282"/>
      <c r="E44" s="282"/>
      <c r="F44" s="283"/>
      <c r="G44" s="3153"/>
    </row>
    <row r="45" spans="1:7" s="258" customFormat="1" ht="13.5" customHeight="1">
      <c r="A45" s="299" t="s">
        <v>2405</v>
      </c>
      <c r="B45" s="288" t="s">
        <v>2371</v>
      </c>
      <c r="C45" s="289">
        <f ca="1">C46</f>
        <v>4198872</v>
      </c>
      <c r="D45" s="279">
        <f ca="1">C47</f>
        <v>4.0000000000000001E-3</v>
      </c>
      <c r="E45" s="280" t="s">
        <v>2397</v>
      </c>
      <c r="F45" s="290"/>
      <c r="G45" s="291" t="s">
        <v>2406</v>
      </c>
    </row>
    <row r="46" spans="1:7" s="258" customFormat="1" ht="13.5" customHeight="1">
      <c r="A46" s="951" t="s">
        <v>791</v>
      </c>
      <c r="B46" s="292" t="s">
        <v>2407</v>
      </c>
      <c r="C46" s="293">
        <f ca="1">ROUND((C33+C39)*F27,0)</f>
        <v>4198872</v>
      </c>
      <c r="D46" s="307"/>
      <c r="E46" s="280"/>
      <c r="F46" s="290"/>
      <c r="G46" s="291"/>
    </row>
    <row r="47" spans="1:7" s="258" customFormat="1" ht="13.5" customHeight="1">
      <c r="A47" s="951" t="s">
        <v>792</v>
      </c>
      <c r="B47" s="292" t="s">
        <v>2408</v>
      </c>
      <c r="C47" s="282">
        <f ca="1">ROUND(C40*F27,4)</f>
        <v>4.0000000000000001E-3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28415388</v>
      </c>
      <c r="D49" s="276"/>
      <c r="E49" s="276"/>
      <c r="F49" s="308"/>
      <c r="G49" s="278" t="s">
        <v>2412</v>
      </c>
    </row>
    <row r="50" spans="1:7" s="302" customFormat="1">
      <c r="A50" s="299" t="s">
        <v>2413</v>
      </c>
      <c r="B50" s="254" t="s">
        <v>2414</v>
      </c>
      <c r="C50" s="276"/>
      <c r="D50" s="276"/>
      <c r="E50" s="276"/>
      <c r="F50" s="308">
        <f>IF('数据-取费表'!B24=0,'数据-取费表'!N16,1)</f>
        <v>0.95</v>
      </c>
      <c r="G50" s="291"/>
    </row>
    <row r="51" spans="1:7" ht="16.5" customHeight="1">
      <c r="A51" s="299" t="s">
        <v>2416</v>
      </c>
      <c r="B51" s="254" t="s">
        <v>2451</v>
      </c>
      <c r="C51" s="276">
        <f ca="1">ROUND(C49*F50,0)</f>
        <v>26994619</v>
      </c>
      <c r="D51" s="276"/>
      <c r="E51" s="276"/>
      <c r="F51" s="308"/>
      <c r="G51" s="278" t="s">
        <v>2418</v>
      </c>
    </row>
    <row r="52" spans="1:7" s="252" customFormat="1" ht="16.5" thickBot="1">
      <c r="A52" s="309" t="s">
        <v>2419</v>
      </c>
      <c r="B52" s="310"/>
      <c r="C52" s="311">
        <f ca="1">C31+C51</f>
        <v>30639866</v>
      </c>
      <c r="D52" s="310"/>
      <c r="E52" s="310"/>
      <c r="F52" s="310"/>
      <c r="G52" s="312"/>
    </row>
    <row r="55" spans="1:7" ht="15">
      <c r="B55" s="314" t="s">
        <v>2420</v>
      </c>
      <c r="C55" s="315"/>
    </row>
    <row r="56" spans="1:7">
      <c r="B56" s="317" t="s">
        <v>1507</v>
      </c>
      <c r="C56" s="319">
        <f ca="1">1-C57</f>
        <v>0.11899999999999999</v>
      </c>
    </row>
    <row r="57" spans="1:7">
      <c r="B57" s="317" t="s">
        <v>1508</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2452</v>
      </c>
      <c r="B1" s="1581"/>
      <c r="C1" s="1582"/>
      <c r="D1" s="1580"/>
      <c r="E1" s="320"/>
      <c r="F1" s="320"/>
      <c r="G1" s="1581"/>
      <c r="H1" s="320"/>
      <c r="I1" s="320"/>
      <c r="J1" s="320"/>
      <c r="K1" s="320">
        <f>MATCH(C1,'数据-取费表'!A6:A16,0)+5</f>
        <v>7</v>
      </c>
    </row>
    <row r="2" spans="1:33" ht="18" customHeight="1">
      <c r="A2" s="245" t="s">
        <v>2320</v>
      </c>
      <c r="B2" s="248">
        <f ca="1">C32</f>
        <v>-152</v>
      </c>
      <c r="C2" s="320" t="s">
        <v>2453</v>
      </c>
      <c r="D2" s="320"/>
      <c r="E2" s="320"/>
      <c r="F2" s="320"/>
      <c r="G2" s="320"/>
      <c r="H2" s="320"/>
      <c r="I2" s="320"/>
      <c r="J2" s="320"/>
      <c r="K2" s="320"/>
    </row>
    <row r="3" spans="1:33" ht="18" customHeight="1" thickBot="1">
      <c r="A3" s="247" t="s">
        <v>2322</v>
      </c>
      <c r="B3" s="248">
        <f ca="1">ROUND(B2*10000/IF(C1="",'数据-汇总表'!E3,INDIRECT("'数据-取费表'!K"&amp;$K$1)),0)</f>
        <v>-263</v>
      </c>
      <c r="C3" s="320" t="s">
        <v>2454</v>
      </c>
      <c r="D3" s="320"/>
      <c r="E3" s="320"/>
      <c r="F3" s="320"/>
      <c r="G3" s="320"/>
      <c r="H3" s="320"/>
      <c r="I3" s="320"/>
      <c r="J3" s="320"/>
      <c r="K3" s="320"/>
    </row>
    <row r="4" spans="1:33" s="956" customFormat="1" ht="16.5" customHeight="1">
      <c r="A4" s="953" t="s">
        <v>2455</v>
      </c>
      <c r="B4" s="954"/>
      <c r="C4" s="996">
        <f>SUM(C8:K8)</f>
        <v>0</v>
      </c>
      <c r="D4" s="954"/>
      <c r="E4" s="954"/>
      <c r="F4" s="954"/>
      <c r="G4" s="954"/>
      <c r="H4" s="954"/>
      <c r="I4" s="954"/>
      <c r="J4" s="954"/>
      <c r="K4" s="955"/>
    </row>
    <row r="5" spans="1:33" s="960" customFormat="1" ht="24.75">
      <c r="A5" s="957" t="s">
        <v>2456</v>
      </c>
      <c r="B5" s="958" t="s">
        <v>2457</v>
      </c>
      <c r="C5" s="2553" t="s">
        <v>2458</v>
      </c>
      <c r="D5" s="2553" t="s">
        <v>2459</v>
      </c>
      <c r="E5" s="2553" t="s">
        <v>2460</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2464</v>
      </c>
      <c r="B8" s="177" t="s">
        <v>2465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2466</v>
      </c>
      <c r="B9" s="954"/>
      <c r="C9" s="954"/>
      <c r="D9" s="954"/>
      <c r="E9" s="954"/>
      <c r="F9" s="954"/>
      <c r="G9" s="954"/>
      <c r="H9" s="954"/>
      <c r="I9" s="954"/>
      <c r="J9" s="954"/>
      <c r="K9" s="955"/>
    </row>
    <row r="10" spans="1:33" s="970" customFormat="1" ht="13.5" customHeight="1">
      <c r="A10" s="957" t="s">
        <v>2467</v>
      </c>
      <c r="B10" s="8" t="s">
        <v>2468</v>
      </c>
      <c r="C10" s="966" t="s">
        <v>2469</v>
      </c>
      <c r="D10" s="967" t="s">
        <v>2470</v>
      </c>
      <c r="E10" s="967" t="s">
        <v>2471</v>
      </c>
      <c r="F10" s="967" t="s">
        <v>2472</v>
      </c>
      <c r="G10" s="8"/>
      <c r="H10" s="968"/>
      <c r="I10" s="968"/>
      <c r="J10" s="968"/>
      <c r="K10" s="969"/>
    </row>
    <row r="11" spans="1:33" s="975" customFormat="1" ht="13.5" customHeight="1">
      <c r="A11" s="971" t="s">
        <v>1330</v>
      </c>
      <c r="B11" s="972" t="s">
        <v>2473</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2474</v>
      </c>
      <c r="C12" s="24">
        <f ca="1">ROUND(C11*F12,0)</f>
        <v>0</v>
      </c>
      <c r="D12" s="973"/>
      <c r="E12" s="375"/>
      <c r="F12" s="976">
        <f>'数据-取费表'!B33</f>
        <v>0.03</v>
      </c>
      <c r="G12" s="8" t="s">
        <v>2475</v>
      </c>
      <c r="H12" s="968"/>
      <c r="I12" s="968"/>
      <c r="J12" s="968"/>
      <c r="K12" s="969"/>
    </row>
    <row r="13" spans="1:33" s="975" customFormat="1" ht="13.5" customHeight="1">
      <c r="A13" s="971" t="s">
        <v>1332</v>
      </c>
      <c r="B13" s="972" t="s">
        <v>2476</v>
      </c>
      <c r="C13" s="24">
        <f ca="1">ROUND(IF(C1="",SUMIF('数据-取费表'!C:C,"住宅",'数据-取费表'!P:P)*F13,IF(INDIRECT("'数据-取费表'!c"&amp;$K$1)="住宅",INDIRECT("'数据-取费表'!P"&amp;$K$1)*F13,0)),0)</f>
        <v>0</v>
      </c>
      <c r="D13" s="1033"/>
      <c r="E13" s="375"/>
      <c r="F13" s="976">
        <f>'数据-取费表'!B34</f>
        <v>0</v>
      </c>
      <c r="G13" s="8" t="s">
        <v>2477</v>
      </c>
      <c r="H13" s="968"/>
      <c r="I13" s="968"/>
      <c r="J13" s="968"/>
      <c r="K13" s="969"/>
    </row>
    <row r="14" spans="1:33" s="977" customFormat="1" ht="13.5" customHeight="1">
      <c r="A14" s="971" t="s">
        <v>1333</v>
      </c>
      <c r="B14" s="972" t="s">
        <v>2478</v>
      </c>
      <c r="C14" s="24">
        <f ca="1">ROUND(D14*E14*F11/10000,0)</f>
        <v>0</v>
      </c>
      <c r="D14" s="1033">
        <f ca="1">IF(C1="",'数据-汇总表'!E3,INDIRECT("'数据-取费表'!K"&amp;$K$1)+INDIRECT("'数据-取费表'!S"&amp;$K$1))</f>
        <v>5775.17</v>
      </c>
      <c r="E14" s="24">
        <f>'数据-取费表'!B35</f>
        <v>220</v>
      </c>
      <c r="F14" s="976"/>
      <c r="G14" s="8" t="s">
        <v>2479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2480</v>
      </c>
      <c r="C15" s="983">
        <f ca="1">ROUND(C11*F15,0)</f>
        <v>0</v>
      </c>
      <c r="D15" s="978"/>
      <c r="E15" s="983"/>
      <c r="F15" s="984">
        <f>'数据-取费表'!B36</f>
        <v>1.4999999999999999E-2</v>
      </c>
      <c r="G15" s="140" t="s">
        <v>2481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2482</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2483</v>
      </c>
      <c r="C17" s="24">
        <f ca="1">ROUND(D17*E17/10000,0)</f>
        <v>0</v>
      </c>
      <c r="D17" s="1033">
        <f ca="1">D14</f>
        <v>5775.17</v>
      </c>
      <c r="E17" s="24">
        <f>'数据-取费表'!B32</f>
        <v>0</v>
      </c>
      <c r="F17" s="978"/>
      <c r="G17" s="140" t="s">
        <v>2484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2485</v>
      </c>
      <c r="C18" s="24">
        <f ca="1">C19+C20-IF(C1="",'数据-取费表'!B29,IF(G18="已全部缴纳",C19+C20,H18))</f>
        <v>127</v>
      </c>
      <c r="D18" s="1033"/>
      <c r="E18" s="24"/>
      <c r="F18" s="976"/>
      <c r="G18" s="2555"/>
      <c r="H18" s="1577"/>
      <c r="I18" s="2556" t="s">
        <v>2486</v>
      </c>
      <c r="J18" s="979"/>
      <c r="K18" s="980"/>
    </row>
    <row r="19" spans="1:33" s="975" customFormat="1" ht="13.5" customHeight="1">
      <c r="A19" s="971" t="s">
        <v>805</v>
      </c>
      <c r="B19" s="972" t="s">
        <v>2487</v>
      </c>
      <c r="C19" s="24">
        <f ca="1">ROUND(D19*E19/10000,0)</f>
        <v>0</v>
      </c>
      <c r="D19" s="1033">
        <f ca="1">IF(C1="",'数据-汇总表'!E5,IF(INDIRECT("'数据-取费表'!c"&amp;$K$1)="住宅",INDIRECT("'数据-取费表'!k"&amp;$K$1),0))</f>
        <v>0</v>
      </c>
      <c r="E19" s="24">
        <f>'数据-取费表'!B27</f>
        <v>220</v>
      </c>
      <c r="F19" s="976"/>
      <c r="G19" s="15"/>
      <c r="H19" s="1579"/>
      <c r="I19" s="981"/>
      <c r="J19" s="981"/>
      <c r="K19" s="982"/>
    </row>
    <row r="20" spans="1:33" s="975" customFormat="1" ht="13.5" customHeight="1">
      <c r="A20" s="971" t="s">
        <v>806</v>
      </c>
      <c r="B20" s="972" t="s">
        <v>2488</v>
      </c>
      <c r="C20" s="24">
        <f ca="1">ROUND(D20*E20/10000,0)</f>
        <v>127</v>
      </c>
      <c r="D20" s="1033">
        <f ca="1">IF(C1="",'数据-汇总表'!E6,IF(INDIRECT("'数据-取费表'!c"&amp;$K$1)="住宅",INDIRECT("'数据-取费表'!s"&amp;$K$1),INDIRECT("'数据-取费表'!k"&amp;$K$1)+INDIRECT("'数据-取费表'!s"&amp;$K$1)))</f>
        <v>5775.17</v>
      </c>
      <c r="E20" s="24">
        <f>'数据-取费表'!B28</f>
        <v>220</v>
      </c>
      <c r="F20" s="976"/>
      <c r="G20" s="15"/>
      <c r="H20" s="981"/>
      <c r="I20" s="981"/>
      <c r="J20" s="981"/>
      <c r="K20" s="982"/>
    </row>
    <row r="21" spans="1:33" s="975" customFormat="1" ht="13.5" customHeight="1">
      <c r="A21" s="961" t="s">
        <v>802</v>
      </c>
      <c r="B21" s="985" t="s">
        <v>2489</v>
      </c>
      <c r="C21" s="986">
        <f ca="1">C16+C17+C18</f>
        <v>127</v>
      </c>
      <c r="D21" s="987"/>
      <c r="E21" s="325"/>
      <c r="F21" s="325"/>
      <c r="G21" s="140" t="s">
        <v>2490</v>
      </c>
      <c r="H21" s="979"/>
      <c r="I21" s="979"/>
      <c r="J21" s="979"/>
      <c r="K21" s="980"/>
    </row>
    <row r="22" spans="1:33" s="975" customFormat="1" ht="13.5" customHeight="1">
      <c r="A22" s="961" t="s">
        <v>2462</v>
      </c>
      <c r="B22" s="985" t="s">
        <v>2491</v>
      </c>
      <c r="C22" s="986">
        <f ca="1">ROUND(C21*F22,0)</f>
        <v>3</v>
      </c>
      <c r="D22" s="325"/>
      <c r="E22" s="325"/>
      <c r="F22" s="988">
        <f>'数据-取费表'!B37</f>
        <v>0.02</v>
      </c>
      <c r="G22" s="8" t="s">
        <v>2492</v>
      </c>
      <c r="H22" s="968"/>
      <c r="I22" s="968"/>
      <c r="J22" s="968"/>
      <c r="K22" s="969"/>
    </row>
    <row r="23" spans="1:33" s="975" customFormat="1" ht="13.5" customHeight="1">
      <c r="A23" s="961" t="s">
        <v>2464</v>
      </c>
      <c r="B23" s="985" t="s">
        <v>2493</v>
      </c>
      <c r="C23" s="986">
        <f ca="1">ROUND(C4*F23*F11,0)</f>
        <v>0</v>
      </c>
      <c r="D23" s="325"/>
      <c r="E23" s="325"/>
      <c r="F23" s="988">
        <f>'数据-取费表'!B38</f>
        <v>0.02</v>
      </c>
      <c r="G23" s="8" t="s">
        <v>2494</v>
      </c>
      <c r="H23" s="968"/>
      <c r="I23" s="968"/>
      <c r="J23" s="968"/>
      <c r="K23" s="969"/>
    </row>
    <row r="24" spans="1:33" s="975" customFormat="1" ht="13.5" customHeight="1">
      <c r="A24" s="961" t="s">
        <v>2495</v>
      </c>
      <c r="B24" s="985" t="s">
        <v>2496</v>
      </c>
      <c r="C24" s="324">
        <f>ROUND(F24/(1+'数据-取费表'!C42),4)</f>
        <v>2.9000000000000001E-2</v>
      </c>
      <c r="D24" s="325" t="s">
        <v>15</v>
      </c>
      <c r="E24" s="325"/>
      <c r="F24" s="988">
        <f>IF(项目基本情况!B8="出让",0,'数据-取费表'!B48+'数据-取费表'!B49)</f>
        <v>3.0499999999999999E-2</v>
      </c>
      <c r="G24" s="8" t="s">
        <v>2497</v>
      </c>
      <c r="H24" s="990"/>
      <c r="I24" s="990"/>
      <c r="J24" s="990"/>
      <c r="K24" s="991"/>
    </row>
    <row r="25" spans="1:33" s="975" customFormat="1" ht="13.5" customHeight="1">
      <c r="A25" s="961" t="s">
        <v>2498</v>
      </c>
      <c r="B25" s="987" t="s">
        <v>2499</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2500</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2501</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2502</v>
      </c>
      <c r="B28" s="2558" t="s">
        <v>2503</v>
      </c>
      <c r="C28" s="331">
        <f ca="1">C30</f>
        <v>26</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2504</v>
      </c>
      <c r="C29" s="328">
        <f ca="1">ROUND((1+C24)*F28*'数据-取费表'!B24/'数据-取费表'!B20,4)</f>
        <v>0</v>
      </c>
      <c r="D29" s="328"/>
      <c r="E29" s="329"/>
      <c r="F29" s="334"/>
      <c r="G29" s="140" t="s">
        <v>2505</v>
      </c>
      <c r="H29" s="979"/>
      <c r="I29" s="979"/>
      <c r="J29" s="979"/>
      <c r="K29" s="980"/>
    </row>
    <row r="30" spans="1:33" s="335" customFormat="1" ht="13.5" customHeight="1">
      <c r="A30" s="971" t="s">
        <v>804</v>
      </c>
      <c r="B30" s="994" t="s">
        <v>2506</v>
      </c>
      <c r="C30" s="336">
        <f ca="1">ROUND((C21+C22+C23)*F28,0)</f>
        <v>26</v>
      </c>
      <c r="D30" s="328"/>
      <c r="E30" s="329"/>
      <c r="F30" s="334"/>
      <c r="G30" s="140"/>
      <c r="H30" s="979"/>
      <c r="I30" s="979"/>
      <c r="J30" s="979"/>
      <c r="K30" s="980"/>
    </row>
    <row r="31" spans="1:33" s="975" customFormat="1" ht="13.5" customHeight="1" thickBot="1">
      <c r="A31" s="2559" t="s">
        <v>2507</v>
      </c>
      <c r="B31" s="1005" t="s">
        <v>2508</v>
      </c>
      <c r="C31" s="1006">
        <f>ROUND(C4*F31/(1+'数据-取费表'!C42),0)</f>
        <v>0</v>
      </c>
      <c r="D31" s="1007"/>
      <c r="E31" s="1008"/>
      <c r="F31" s="1009">
        <f>'数据-取费表'!B41</f>
        <v>5.6000000000000001E-2</v>
      </c>
      <c r="G31" s="1010" t="s">
        <v>2509</v>
      </c>
      <c r="H31" s="1011"/>
      <c r="I31" s="1011"/>
      <c r="J31" s="1011"/>
      <c r="K31" s="1012"/>
    </row>
    <row r="32" spans="1:33" s="970" customFormat="1" ht="13.5" customHeight="1" thickBot="1">
      <c r="A32" s="1000" t="s">
        <v>2510</v>
      </c>
      <c r="B32" s="1001"/>
      <c r="C32" s="1002">
        <f ca="1">ROUND((C4-C21-C22-C23-C25-C28-C31)/(1+C24+D25+D28),0)</f>
        <v>-152</v>
      </c>
      <c r="D32" s="1001"/>
      <c r="E32" s="1001"/>
      <c r="F32" s="1001"/>
      <c r="G32" s="1003" t="s">
        <v>2511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44" sqref="J44"/>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8" t="s">
        <v>2695</v>
      </c>
      <c r="C1" s="1620" t="s">
        <v>2523</v>
      </c>
      <c r="D1" s="1621" t="s">
        <v>3056</v>
      </c>
      <c r="E1" s="1630"/>
      <c r="F1" s="2583" t="s">
        <v>3059</v>
      </c>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f>IF(C2="——",ROUND(C43*D3/10000,0),ROUND(C43*D3/10000,0)-D2)</f>
        <v>4736</v>
      </c>
      <c r="C2" s="2585" t="s">
        <v>70</v>
      </c>
      <c r="D2" s="1124" t="e">
        <f ca="1">SUMIF(INDIRECT("'"&amp;F2&amp;"'"&amp;"!A:A"),"承租人权益价值",INDIRECT("'"&amp;F2&amp;"'"&amp;"!c:c"))</f>
        <v>#REF!</v>
      </c>
      <c r="E2" s="2586" t="s">
        <v>2321</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2322</v>
      </c>
      <c r="B3" s="609">
        <f>IF(C2="——",C43,ROUND(B2*10000/D3,0))</f>
        <v>8201</v>
      </c>
      <c r="C3" s="400" t="s">
        <v>2637</v>
      </c>
      <c r="D3" s="399">
        <f>IF(D1="",'数据-汇总表'!E3,SUMIF('数据-汇总表'!$C19:$C33,D1,'数据-汇总表'!$E19:$E33))</f>
        <v>5775.17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72" t="s">
        <v>2639</v>
      </c>
      <c r="D4" s="3173"/>
      <c r="E4" s="3174" t="s">
        <v>2640</v>
      </c>
      <c r="F4" s="3175"/>
      <c r="G4" s="3172" t="s">
        <v>2641</v>
      </c>
      <c r="H4" s="3173"/>
      <c r="I4" s="3172" t="s">
        <v>2642</v>
      </c>
      <c r="J4" s="3173"/>
      <c r="K4" s="610" t="s">
        <v>2643</v>
      </c>
      <c r="L4" s="1130"/>
      <c r="M4" s="1131"/>
      <c r="N4" s="1131"/>
      <c r="O4" s="1131"/>
      <c r="P4" s="3176" t="s">
        <v>2644</v>
      </c>
      <c r="Q4" s="3177"/>
      <c r="R4" s="3159" t="s">
        <v>2640</v>
      </c>
      <c r="S4" s="3160"/>
      <c r="T4" s="3159" t="s">
        <v>2641</v>
      </c>
      <c r="U4" s="3160"/>
      <c r="V4" s="3184" t="s">
        <v>2642</v>
      </c>
      <c r="W4" s="3184"/>
      <c r="X4" s="1813"/>
      <c r="Y4" s="3159" t="s">
        <v>2644</v>
      </c>
      <c r="Z4" s="3160"/>
      <c r="AA4" s="3154" t="s">
        <v>2640</v>
      </c>
      <c r="AB4" s="3155" t="s">
        <v>2641</v>
      </c>
      <c r="AC4" s="3154" t="s">
        <v>2642</v>
      </c>
    </row>
    <row r="5" spans="1:29" ht="15">
      <c r="A5" s="404"/>
      <c r="B5" s="405"/>
      <c r="C5" s="3165" t="s">
        <v>3101</v>
      </c>
      <c r="D5" s="3166"/>
      <c r="E5" s="3163" t="s">
        <v>3102</v>
      </c>
      <c r="F5" s="3164"/>
      <c r="G5" s="3165" t="s">
        <v>3102</v>
      </c>
      <c r="H5" s="3166"/>
      <c r="I5" s="3165" t="s">
        <v>3102</v>
      </c>
      <c r="J5" s="3166"/>
      <c r="K5" s="610"/>
      <c r="L5" s="1130"/>
      <c r="M5" s="1131"/>
      <c r="N5" s="1131"/>
      <c r="O5" s="1131"/>
      <c r="P5" s="3178"/>
      <c r="Q5" s="3179"/>
      <c r="R5" s="3161"/>
      <c r="S5" s="3162"/>
      <c r="T5" s="3161"/>
      <c r="U5" s="3162"/>
      <c r="V5" s="3184"/>
      <c r="W5" s="3184"/>
      <c r="X5" s="1813"/>
      <c r="Y5" s="3161"/>
      <c r="Z5" s="3162"/>
      <c r="AA5" s="3155"/>
      <c r="AB5" s="3155"/>
      <c r="AC5" s="3155"/>
    </row>
    <row r="6" spans="1:29" ht="15.75" thickBot="1">
      <c r="A6" s="406"/>
      <c r="B6" s="407"/>
      <c r="C6" s="3167" t="s">
        <v>2539</v>
      </c>
      <c r="D6" s="3168"/>
      <c r="E6" s="3169" t="s">
        <v>2539</v>
      </c>
      <c r="F6" s="3170"/>
      <c r="G6" s="3167" t="s">
        <v>2539</v>
      </c>
      <c r="H6" s="3168"/>
      <c r="I6" s="3167" t="s">
        <v>2539</v>
      </c>
      <c r="J6" s="3168"/>
      <c r="K6" s="610" t="s">
        <v>2540</v>
      </c>
      <c r="L6" s="1130"/>
      <c r="M6" s="1131"/>
      <c r="N6" s="1131"/>
      <c r="O6" s="1131"/>
      <c r="P6" s="3180"/>
      <c r="Q6" s="3181"/>
      <c r="R6" s="3161"/>
      <c r="S6" s="3162"/>
      <c r="T6" s="3182"/>
      <c r="U6" s="3183"/>
      <c r="V6" s="3184"/>
      <c r="W6" s="3184"/>
      <c r="X6" s="1813"/>
      <c r="Y6" s="3182"/>
      <c r="Z6" s="3183"/>
      <c r="AA6" s="3156"/>
      <c r="AB6" s="3156"/>
      <c r="AC6" s="3156"/>
    </row>
    <row r="7" spans="1:29" s="117" customFormat="1" ht="15.75" thickBot="1">
      <c r="A7" s="408" t="s">
        <v>2541</v>
      </c>
      <c r="B7" s="409"/>
      <c r="C7" s="410">
        <f>'数据-取费表'!B2</f>
        <v>43782</v>
      </c>
      <c r="D7" s="411">
        <v>100</v>
      </c>
      <c r="E7" s="412">
        <f>C7</f>
        <v>43782</v>
      </c>
      <c r="F7" s="413">
        <f>SUMIF(52:52,YEAR(E7)&amp;"-"&amp;MONTH(E7),53:53)</f>
        <v>100</v>
      </c>
      <c r="G7" s="412">
        <f>C7</f>
        <v>43782</v>
      </c>
      <c r="H7" s="411">
        <f>SUMIF(52:52,YEAR(G7)&amp;"-"&amp;MONTH(G7),53:53)</f>
        <v>100</v>
      </c>
      <c r="I7" s="412">
        <f>C7</f>
        <v>43782</v>
      </c>
      <c r="J7" s="411">
        <f>SUMIF(52:52,YEAR(I7)&amp;"-"&amp;MONTH(I7),53:53)</f>
        <v>100</v>
      </c>
      <c r="K7" s="611"/>
      <c r="L7" s="1132"/>
      <c r="M7" s="1133"/>
      <c r="N7" s="1133"/>
      <c r="O7" s="1133"/>
      <c r="P7" s="3157" t="s">
        <v>2542</v>
      </c>
      <c r="Q7" s="3185"/>
      <c r="R7" s="770" t="s">
        <v>17</v>
      </c>
      <c r="S7" s="771">
        <f t="shared" ref="S7:S15" si="0">F7</f>
        <v>100</v>
      </c>
      <c r="T7" s="770" t="s">
        <v>17</v>
      </c>
      <c r="U7" s="771">
        <f t="shared" ref="U7:U15" si="1">H7</f>
        <v>100</v>
      </c>
      <c r="V7" s="770" t="s">
        <v>17</v>
      </c>
      <c r="W7" s="771">
        <f t="shared" ref="W7:W15" si="2">J7</f>
        <v>100</v>
      </c>
      <c r="X7" s="772"/>
      <c r="Y7" s="3157" t="s">
        <v>2542</v>
      </c>
      <c r="Z7" s="3158"/>
      <c r="AA7" s="773">
        <f>D7/F7</f>
        <v>1</v>
      </c>
      <c r="AB7" s="773">
        <f>D7/H7</f>
        <v>1</v>
      </c>
      <c r="AC7" s="773">
        <f>D7/J7</f>
        <v>1</v>
      </c>
    </row>
    <row r="8" spans="1:29" s="117" customFormat="1" ht="15.75" thickBot="1">
      <c r="A8" s="408" t="s">
        <v>2543</v>
      </c>
      <c r="B8" s="409"/>
      <c r="C8" s="414" t="s">
        <v>2544</v>
      </c>
      <c r="D8" s="411">
        <v>100</v>
      </c>
      <c r="E8" s="414" t="s">
        <v>3058</v>
      </c>
      <c r="F8" s="413">
        <f>SUMIF(55:55,E8,56:56)-SUMIF(55:55,C8,56:56)+100</f>
        <v>100</v>
      </c>
      <c r="G8" s="414" t="s">
        <v>3058</v>
      </c>
      <c r="H8" s="411">
        <f>SUMIF(55:55,G8,56:56)-SUMIF(55:55,C8,56:56)+100</f>
        <v>100</v>
      </c>
      <c r="I8" s="414" t="s">
        <v>3058</v>
      </c>
      <c r="J8" s="411">
        <f>SUMIF(55:55,I8,56:56)-SUMIF(55:55,C8,56:56)+100</f>
        <v>100</v>
      </c>
      <c r="K8" s="611"/>
      <c r="L8" s="1132"/>
      <c r="M8" s="1133"/>
      <c r="N8" s="1133"/>
      <c r="O8" s="1133"/>
      <c r="P8" s="3157" t="s">
        <v>2545</v>
      </c>
      <c r="Q8" s="3158"/>
      <c r="R8" s="770" t="s">
        <v>17</v>
      </c>
      <c r="S8" s="771">
        <f t="shared" si="0"/>
        <v>100</v>
      </c>
      <c r="T8" s="770" t="s">
        <v>17</v>
      </c>
      <c r="U8" s="771">
        <f t="shared" si="1"/>
        <v>100</v>
      </c>
      <c r="V8" s="770" t="s">
        <v>17</v>
      </c>
      <c r="W8" s="771">
        <f t="shared" si="2"/>
        <v>100</v>
      </c>
      <c r="X8" s="772"/>
      <c r="Y8" s="3157" t="s">
        <v>2545</v>
      </c>
      <c r="Z8" s="3158"/>
      <c r="AA8" s="773">
        <f t="shared" ref="AA8:AA40" si="3">D8/F8</f>
        <v>1</v>
      </c>
      <c r="AB8" s="773">
        <f t="shared" ref="AB8:AB40" si="4">D8/H8</f>
        <v>1</v>
      </c>
      <c r="AC8" s="773">
        <f t="shared" ref="AC8:AC40" si="5">D8/J8</f>
        <v>1</v>
      </c>
    </row>
    <row r="9" spans="1:29" s="117" customFormat="1">
      <c r="A9" s="415" t="s">
        <v>2546</v>
      </c>
      <c r="B9" s="71" t="s">
        <v>2547</v>
      </c>
      <c r="C9" s="2962" t="s">
        <v>3112</v>
      </c>
      <c r="D9" s="135">
        <v>100</v>
      </c>
      <c r="E9" s="419" t="s">
        <v>6</v>
      </c>
      <c r="F9" s="135">
        <f>SUMIF(57:57,E9,58:58)-SUMIF(57:57,C9,58:58)+100</f>
        <v>100</v>
      </c>
      <c r="G9" s="419" t="s">
        <v>6</v>
      </c>
      <c r="H9" s="135">
        <f>SUMIF(57:57,G9,58:58)-SUMIF(57:57,C9,58:58)+100</f>
        <v>100</v>
      </c>
      <c r="I9" s="419" t="s">
        <v>6</v>
      </c>
      <c r="J9" s="135">
        <f>SUMIF(57:57,I9,58:58)-SUMIF(57:57,C9,58:58)+100</f>
        <v>100</v>
      </c>
      <c r="K9" s="611"/>
      <c r="L9" s="1132"/>
      <c r="M9" s="1133"/>
      <c r="N9" s="1133"/>
      <c r="O9" s="1134"/>
      <c r="P9" s="3171" t="s">
        <v>2548</v>
      </c>
      <c r="Q9" s="1795" t="str">
        <f t="shared" ref="Q9:Q15" si="6">B9</f>
        <v>用途</v>
      </c>
      <c r="R9" s="770" t="s">
        <v>17</v>
      </c>
      <c r="S9" s="771">
        <f t="shared" si="0"/>
        <v>100</v>
      </c>
      <c r="T9" s="770" t="s">
        <v>17</v>
      </c>
      <c r="U9" s="771">
        <f t="shared" si="1"/>
        <v>100</v>
      </c>
      <c r="V9" s="770" t="s">
        <v>17</v>
      </c>
      <c r="W9" s="771">
        <f t="shared" si="2"/>
        <v>100</v>
      </c>
      <c r="X9" s="772"/>
      <c r="Y9" s="3031" t="s">
        <v>2549</v>
      </c>
      <c r="Z9" s="55" t="str">
        <f t="shared" ref="Z9:Z15" si="7">Q9</f>
        <v>用途</v>
      </c>
      <c r="AA9" s="773">
        <f t="shared" si="3"/>
        <v>1</v>
      </c>
      <c r="AB9" s="773">
        <f t="shared" si="4"/>
        <v>1</v>
      </c>
      <c r="AC9" s="773">
        <f t="shared" si="5"/>
        <v>1</v>
      </c>
    </row>
    <row r="10" spans="1:29" s="427" customFormat="1" ht="27">
      <c r="A10" s="421"/>
      <c r="B10" s="422" t="s">
        <v>2550</v>
      </c>
      <c r="C10" s="423" t="s">
        <v>3096</v>
      </c>
      <c r="D10" s="136">
        <v>100</v>
      </c>
      <c r="E10" s="423" t="s">
        <v>3096</v>
      </c>
      <c r="F10" s="136">
        <f>SUMIF(59:59,E10,60:60)-SUMIF(59:59,C10,60:60)+100</f>
        <v>100</v>
      </c>
      <c r="G10" s="423" t="s">
        <v>3096</v>
      </c>
      <c r="H10" s="136">
        <f>SUMIF(59:59,G10,60:60)-SUMIF(59:59,C10,60:60)+100</f>
        <v>100</v>
      </c>
      <c r="I10" s="423" t="s">
        <v>3096</v>
      </c>
      <c r="J10" s="136">
        <f>SUMIF(59:59,I10,60:60)-SUMIF(59:59,C10,60:60)+100</f>
        <v>100</v>
      </c>
      <c r="K10" s="612">
        <v>2</v>
      </c>
      <c r="L10" s="1135"/>
      <c r="M10" s="1136"/>
      <c r="N10" s="1136"/>
      <c r="O10" s="1137"/>
      <c r="P10" s="3171"/>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2551</v>
      </c>
      <c r="C11" s="429">
        <v>1</v>
      </c>
      <c r="D11" s="136">
        <v>100</v>
      </c>
      <c r="E11" s="429">
        <v>1</v>
      </c>
      <c r="F11" s="136">
        <f>LOOKUP(E11,62:62,63:63)-LOOKUP(C11,62:62,63:63)+100</f>
        <v>100</v>
      </c>
      <c r="G11" s="430">
        <v>1</v>
      </c>
      <c r="H11" s="136">
        <f>LOOKUP(G11,62:62,63:63)-LOOKUP(C11,62:62,63:63)+100</f>
        <v>100</v>
      </c>
      <c r="I11" s="429">
        <v>1</v>
      </c>
      <c r="J11" s="136">
        <f>LOOKUP(I11,62:62,63:63)-LOOKUP(C11,62:62,63:63)+100</f>
        <v>100</v>
      </c>
      <c r="K11" s="612"/>
      <c r="L11" s="1138"/>
      <c r="M11" s="1131"/>
      <c r="N11" s="1131"/>
      <c r="O11" s="1139"/>
      <c r="P11" s="3171"/>
      <c r="Q11" s="1795" t="str">
        <f t="shared" si="6"/>
        <v>容积率</v>
      </c>
      <c r="R11" s="770" t="s">
        <v>17</v>
      </c>
      <c r="S11" s="771">
        <f t="shared" si="0"/>
        <v>100</v>
      </c>
      <c r="T11" s="770" t="s">
        <v>17</v>
      </c>
      <c r="U11" s="771">
        <f t="shared" si="1"/>
        <v>100</v>
      </c>
      <c r="V11" s="770" t="s">
        <v>17</v>
      </c>
      <c r="W11" s="771">
        <f t="shared" si="2"/>
        <v>100</v>
      </c>
      <c r="X11" s="772"/>
      <c r="Y11" s="3031"/>
      <c r="Z11" s="55" t="str">
        <f t="shared" si="7"/>
        <v>容积率</v>
      </c>
      <c r="AA11" s="773">
        <f t="shared" si="3"/>
        <v>1</v>
      </c>
      <c r="AB11" s="773">
        <f t="shared" si="4"/>
        <v>1</v>
      </c>
      <c r="AC11" s="773">
        <f t="shared" si="5"/>
        <v>1</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71"/>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71"/>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57">
      <c r="A15" s="440" t="s">
        <v>2552</v>
      </c>
      <c r="B15" s="69" t="s">
        <v>2696</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v>2</v>
      </c>
      <c r="L15" s="1140"/>
      <c r="M15" s="1131"/>
      <c r="N15" s="1131"/>
      <c r="O15" s="1139"/>
      <c r="P15" s="3186" t="s">
        <v>2553</v>
      </c>
      <c r="Q15" s="1810" t="str">
        <f t="shared" si="6"/>
        <v>产业集聚程度</v>
      </c>
      <c r="R15" s="774" t="s">
        <v>17</v>
      </c>
      <c r="S15" s="775">
        <f t="shared" si="0"/>
        <v>100</v>
      </c>
      <c r="T15" s="774" t="s">
        <v>17</v>
      </c>
      <c r="U15" s="775">
        <f t="shared" si="1"/>
        <v>100</v>
      </c>
      <c r="V15" s="774" t="s">
        <v>17</v>
      </c>
      <c r="W15" s="775">
        <f t="shared" si="2"/>
        <v>100</v>
      </c>
      <c r="X15" s="1813"/>
      <c r="Y15" s="3186" t="s">
        <v>2553</v>
      </c>
      <c r="Z15" s="1814" t="str">
        <f t="shared" si="7"/>
        <v>产业集聚程度</v>
      </c>
      <c r="AA15" s="1811">
        <f t="shared" si="3"/>
        <v>1</v>
      </c>
      <c r="AB15" s="1811">
        <f t="shared" si="4"/>
        <v>1</v>
      </c>
      <c r="AC15" s="1811">
        <f t="shared" si="5"/>
        <v>1</v>
      </c>
    </row>
    <row r="16" spans="1:29" ht="15">
      <c r="A16" s="428"/>
      <c r="B16" s="446"/>
      <c r="C16" s="447" t="s">
        <v>3097</v>
      </c>
      <c r="D16" s="448"/>
      <c r="E16" s="447" t="s">
        <v>3097</v>
      </c>
      <c r="F16" s="449"/>
      <c r="G16" s="447" t="s">
        <v>3097</v>
      </c>
      <c r="H16" s="450"/>
      <c r="I16" s="447" t="s">
        <v>3097</v>
      </c>
      <c r="J16" s="448"/>
      <c r="K16" s="615"/>
      <c r="L16" s="1140"/>
      <c r="M16" s="1131"/>
      <c r="N16" s="1131"/>
      <c r="O16" s="1139"/>
      <c r="P16" s="3187"/>
      <c r="Q16" s="1810"/>
      <c r="R16" s="774"/>
      <c r="S16" s="775"/>
      <c r="T16" s="774"/>
      <c r="U16" s="775"/>
      <c r="V16" s="774"/>
      <c r="W16" s="775"/>
      <c r="X16" s="1813"/>
      <c r="Y16" s="3187"/>
      <c r="Z16" s="1814"/>
      <c r="AA16" s="1811">
        <v>1</v>
      </c>
      <c r="AB16" s="1811">
        <v>1</v>
      </c>
      <c r="AC16" s="1811">
        <v>1</v>
      </c>
    </row>
    <row r="17" spans="1:29" ht="85.5">
      <c r="A17" s="428"/>
      <c r="B17" s="451" t="s">
        <v>2089</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v>2</v>
      </c>
      <c r="L17" s="1140"/>
      <c r="M17" s="1131"/>
      <c r="N17" s="1131"/>
      <c r="O17" s="1139"/>
      <c r="P17" s="3187"/>
      <c r="Q17" s="1810" t="str">
        <f>B17</f>
        <v>交通便捷度</v>
      </c>
      <c r="R17" s="774" t="s">
        <v>17</v>
      </c>
      <c r="S17" s="775">
        <f>F17</f>
        <v>100</v>
      </c>
      <c r="T17" s="774" t="s">
        <v>17</v>
      </c>
      <c r="U17" s="775">
        <f>H17</f>
        <v>100</v>
      </c>
      <c r="V17" s="774" t="s">
        <v>17</v>
      </c>
      <c r="W17" s="775">
        <f>J17</f>
        <v>100</v>
      </c>
      <c r="X17" s="1813"/>
      <c r="Y17" s="3187"/>
      <c r="Z17" s="1814" t="str">
        <f>Q17</f>
        <v>交通便捷度</v>
      </c>
      <c r="AA17" s="1811">
        <f t="shared" si="3"/>
        <v>1</v>
      </c>
      <c r="AB17" s="1811">
        <f t="shared" si="4"/>
        <v>1</v>
      </c>
      <c r="AC17" s="1811">
        <f t="shared" si="5"/>
        <v>1</v>
      </c>
    </row>
    <row r="18" spans="1:29" ht="15">
      <c r="A18" s="428"/>
      <c r="B18" s="456"/>
      <c r="C18" s="2607" t="s">
        <v>3099</v>
      </c>
      <c r="D18" s="450"/>
      <c r="E18" s="2607" t="s">
        <v>3099</v>
      </c>
      <c r="F18" s="453"/>
      <c r="G18" s="2607" t="s">
        <v>3099</v>
      </c>
      <c r="H18" s="448"/>
      <c r="I18" s="2607" t="s">
        <v>3099</v>
      </c>
      <c r="J18" s="448"/>
      <c r="K18" s="615"/>
      <c r="L18" s="1140"/>
      <c r="M18" s="1131"/>
      <c r="N18" s="1131"/>
      <c r="O18" s="1139"/>
      <c r="P18" s="3187"/>
      <c r="Q18" s="1810"/>
      <c r="R18" s="774"/>
      <c r="S18" s="775"/>
      <c r="T18" s="774"/>
      <c r="U18" s="775"/>
      <c r="V18" s="774"/>
      <c r="W18" s="775"/>
      <c r="X18" s="1813"/>
      <c r="Y18" s="3187"/>
      <c r="Z18" s="1814"/>
      <c r="AA18" s="1811">
        <v>1</v>
      </c>
      <c r="AB18" s="1811">
        <v>1</v>
      </c>
      <c r="AC18" s="1811">
        <v>1</v>
      </c>
    </row>
    <row r="19" spans="1:29" ht="42.75">
      <c r="A19" s="428"/>
      <c r="B19" s="451" t="s">
        <v>2681</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v>2</v>
      </c>
      <c r="L19" s="1140"/>
      <c r="M19" s="1131"/>
      <c r="N19" s="1131"/>
      <c r="O19" s="1139"/>
      <c r="P19" s="3187"/>
      <c r="Q19" s="1810" t="str">
        <f>B19</f>
        <v>公共配套设施</v>
      </c>
      <c r="R19" s="774" t="s">
        <v>17</v>
      </c>
      <c r="S19" s="775">
        <f>F19</f>
        <v>100</v>
      </c>
      <c r="T19" s="774" t="s">
        <v>17</v>
      </c>
      <c r="U19" s="775">
        <f>H19</f>
        <v>100</v>
      </c>
      <c r="V19" s="774" t="s">
        <v>17</v>
      </c>
      <c r="W19" s="775">
        <f>J19</f>
        <v>100</v>
      </c>
      <c r="X19" s="1813"/>
      <c r="Y19" s="3187"/>
      <c r="Z19" s="1814" t="str">
        <f>Q19</f>
        <v>公共配套设施</v>
      </c>
      <c r="AA19" s="1811">
        <f t="shared" si="3"/>
        <v>1</v>
      </c>
      <c r="AB19" s="1811">
        <f t="shared" si="4"/>
        <v>1</v>
      </c>
      <c r="AC19" s="1811">
        <f t="shared" si="5"/>
        <v>1</v>
      </c>
    </row>
    <row r="20" spans="1:29" ht="15">
      <c r="A20" s="428"/>
      <c r="B20" s="456"/>
      <c r="C20" s="447" t="s">
        <v>3097</v>
      </c>
      <c r="D20" s="448"/>
      <c r="E20" s="447" t="s">
        <v>3097</v>
      </c>
      <c r="F20" s="449"/>
      <c r="G20" s="447" t="s">
        <v>3097</v>
      </c>
      <c r="H20" s="448"/>
      <c r="I20" s="447" t="s">
        <v>3097</v>
      </c>
      <c r="J20" s="448"/>
      <c r="K20" s="615"/>
      <c r="L20" s="1140"/>
      <c r="M20" s="1131"/>
      <c r="N20" s="1131"/>
      <c r="O20" s="1139"/>
      <c r="P20" s="3187"/>
      <c r="Q20" s="1810"/>
      <c r="R20" s="774"/>
      <c r="S20" s="775"/>
      <c r="T20" s="774"/>
      <c r="U20" s="775"/>
      <c r="V20" s="774"/>
      <c r="W20" s="775"/>
      <c r="X20" s="1813"/>
      <c r="Y20" s="3187"/>
      <c r="Z20" s="1814"/>
      <c r="AA20" s="1811">
        <v>1</v>
      </c>
      <c r="AB20" s="1811">
        <v>1</v>
      </c>
      <c r="AC20" s="1811">
        <v>1</v>
      </c>
    </row>
    <row r="21" spans="1:29" ht="28.5">
      <c r="A21" s="428"/>
      <c r="B21" s="1384" t="s">
        <v>2682</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v>2</v>
      </c>
      <c r="L21" s="1140"/>
      <c r="M21" s="1131"/>
      <c r="N21" s="1131"/>
      <c r="O21" s="1139"/>
      <c r="P21" s="3187"/>
      <c r="Q21" s="1810" t="str">
        <f>B21</f>
        <v>基础设施水平</v>
      </c>
      <c r="R21" s="774" t="s">
        <v>17</v>
      </c>
      <c r="S21" s="775">
        <f>F21</f>
        <v>100</v>
      </c>
      <c r="T21" s="774" t="s">
        <v>17</v>
      </c>
      <c r="U21" s="775">
        <f>H21</f>
        <v>100</v>
      </c>
      <c r="V21" s="774" t="s">
        <v>17</v>
      </c>
      <c r="W21" s="775">
        <f>J21</f>
        <v>100</v>
      </c>
      <c r="X21" s="1813"/>
      <c r="Y21" s="3187"/>
      <c r="Z21" s="1814" t="str">
        <f>Q21</f>
        <v>基础设施水平</v>
      </c>
      <c r="AA21" s="1811">
        <f t="shared" ref="AA21" si="8">D21/F21</f>
        <v>1</v>
      </c>
      <c r="AB21" s="1811">
        <f t="shared" ref="AB21" si="9">D21/H21</f>
        <v>1</v>
      </c>
      <c r="AC21" s="1811">
        <f t="shared" ref="AC21" si="10">D21/J21</f>
        <v>1</v>
      </c>
    </row>
    <row r="22" spans="1:29" ht="15">
      <c r="A22" s="428"/>
      <c r="B22" s="1384"/>
      <c r="C22" s="2607" t="s">
        <v>3098</v>
      </c>
      <c r="D22" s="448"/>
      <c r="E22" s="2607" t="s">
        <v>3098</v>
      </c>
      <c r="F22" s="449"/>
      <c r="G22" s="2607" t="s">
        <v>3098</v>
      </c>
      <c r="H22" s="448"/>
      <c r="I22" s="2607" t="s">
        <v>3098</v>
      </c>
      <c r="J22" s="448"/>
      <c r="K22" s="1383"/>
      <c r="L22" s="1140"/>
      <c r="M22" s="1131"/>
      <c r="N22" s="1131"/>
      <c r="O22" s="1139"/>
      <c r="P22" s="3187"/>
      <c r="Q22" s="1810"/>
      <c r="R22" s="774"/>
      <c r="S22" s="775"/>
      <c r="T22" s="774"/>
      <c r="U22" s="775"/>
      <c r="V22" s="774"/>
      <c r="W22" s="775"/>
      <c r="X22" s="1813"/>
      <c r="Y22" s="3187"/>
      <c r="Z22" s="1814"/>
      <c r="AA22" s="1811">
        <v>1</v>
      </c>
      <c r="AB22" s="1811">
        <v>1</v>
      </c>
      <c r="AC22" s="1811">
        <v>1</v>
      </c>
    </row>
    <row r="23" spans="1:29" ht="71.25">
      <c r="A23" s="428"/>
      <c r="B23" s="451" t="s">
        <v>2683</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v>2</v>
      </c>
      <c r="L23" s="1140"/>
      <c r="M23" s="1131"/>
      <c r="N23" s="1131"/>
      <c r="O23" s="1139"/>
      <c r="P23" s="3187"/>
      <c r="Q23" s="1810" t="str">
        <f>B23</f>
        <v>环境质量</v>
      </c>
      <c r="R23" s="774" t="s">
        <v>17</v>
      </c>
      <c r="S23" s="775">
        <f>F23</f>
        <v>100</v>
      </c>
      <c r="T23" s="774" t="s">
        <v>17</v>
      </c>
      <c r="U23" s="775">
        <f>H23</f>
        <v>100</v>
      </c>
      <c r="V23" s="774" t="s">
        <v>17</v>
      </c>
      <c r="W23" s="775">
        <f>J23</f>
        <v>100</v>
      </c>
      <c r="X23" s="1813"/>
      <c r="Y23" s="3187"/>
      <c r="Z23" s="1814" t="str">
        <f>Q23</f>
        <v>环境质量</v>
      </c>
      <c r="AA23" s="1811">
        <f t="shared" si="3"/>
        <v>1</v>
      </c>
      <c r="AB23" s="1811">
        <f t="shared" si="4"/>
        <v>1</v>
      </c>
      <c r="AC23" s="1811">
        <f t="shared" si="5"/>
        <v>1</v>
      </c>
    </row>
    <row r="24" spans="1:29" ht="15">
      <c r="A24" s="428"/>
      <c r="B24" s="1384"/>
      <c r="C24" s="447" t="s">
        <v>3099</v>
      </c>
      <c r="D24" s="448"/>
      <c r="E24" s="447" t="s">
        <v>3099</v>
      </c>
      <c r="F24" s="449"/>
      <c r="G24" s="447" t="s">
        <v>3099</v>
      </c>
      <c r="H24" s="448"/>
      <c r="I24" s="447" t="s">
        <v>3099</v>
      </c>
      <c r="J24" s="448"/>
      <c r="K24" s="615"/>
      <c r="L24" s="1140"/>
      <c r="M24" s="1131"/>
      <c r="N24" s="1131"/>
      <c r="O24" s="1139"/>
      <c r="P24" s="3187"/>
      <c r="Q24" s="1810"/>
      <c r="R24" s="774"/>
      <c r="S24" s="775"/>
      <c r="T24" s="774"/>
      <c r="U24" s="775"/>
      <c r="V24" s="774"/>
      <c r="W24" s="775"/>
      <c r="X24" s="1813"/>
      <c r="Y24" s="318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7"/>
      <c r="Q25" s="1810">
        <f>B25</f>
        <v>111</v>
      </c>
      <c r="R25" s="774" t="s">
        <v>17</v>
      </c>
      <c r="S25" s="775">
        <f>F25</f>
        <v>100</v>
      </c>
      <c r="T25" s="774" t="s">
        <v>17</v>
      </c>
      <c r="U25" s="775">
        <f>H25</f>
        <v>100</v>
      </c>
      <c r="V25" s="774" t="s">
        <v>17</v>
      </c>
      <c r="W25" s="775">
        <f>J25</f>
        <v>100</v>
      </c>
      <c r="X25" s="1813"/>
      <c r="Y25" s="318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7"/>
      <c r="Q26" s="1810">
        <f t="shared" ref="Q26:Q40" si="11">B26</f>
        <v>111</v>
      </c>
      <c r="R26" s="774" t="s">
        <v>17</v>
      </c>
      <c r="S26" s="775">
        <f>F26</f>
        <v>100</v>
      </c>
      <c r="T26" s="774" t="s">
        <v>17</v>
      </c>
      <c r="U26" s="775">
        <f>H26</f>
        <v>100</v>
      </c>
      <c r="V26" s="774" t="s">
        <v>17</v>
      </c>
      <c r="W26" s="775">
        <f>J26</f>
        <v>100</v>
      </c>
      <c r="X26" s="1813"/>
      <c r="Y26" s="318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7"/>
      <c r="Q27" s="1795">
        <f t="shared" si="11"/>
        <v>111</v>
      </c>
      <c r="R27" s="770" t="s">
        <v>17</v>
      </c>
      <c r="S27" s="771">
        <f>F27</f>
        <v>100</v>
      </c>
      <c r="T27" s="770" t="s">
        <v>17</v>
      </c>
      <c r="U27" s="771">
        <f>H27</f>
        <v>100</v>
      </c>
      <c r="V27" s="770" t="s">
        <v>17</v>
      </c>
      <c r="W27" s="771">
        <f>J27</f>
        <v>100</v>
      </c>
      <c r="X27" s="772"/>
      <c r="Y27" s="318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7"/>
      <c r="Q28" s="1810">
        <f t="shared" si="11"/>
        <v>111</v>
      </c>
      <c r="R28" s="774" t="s">
        <v>17</v>
      </c>
      <c r="S28" s="775">
        <f t="shared" ref="S28:S40" si="12">F28</f>
        <v>100</v>
      </c>
      <c r="T28" s="774" t="s">
        <v>17</v>
      </c>
      <c r="U28" s="775">
        <f t="shared" ref="U28:U40" si="13">H28</f>
        <v>100</v>
      </c>
      <c r="V28" s="774" t="s">
        <v>17</v>
      </c>
      <c r="W28" s="775">
        <f t="shared" ref="W28:W40" si="14">J28</f>
        <v>100</v>
      </c>
      <c r="X28" s="1813"/>
      <c r="Y28" s="3187"/>
      <c r="Z28" s="1814">
        <f t="shared" ref="Z28:Z40" si="15">Q28</f>
        <v>111</v>
      </c>
      <c r="AA28" s="1811">
        <f t="shared" si="3"/>
        <v>1</v>
      </c>
      <c r="AB28" s="1811">
        <f t="shared" si="4"/>
        <v>1</v>
      </c>
      <c r="AC28" s="1811">
        <f t="shared" si="5"/>
        <v>1</v>
      </c>
    </row>
    <row r="29" spans="1:29" ht="15.75" customHeight="1">
      <c r="A29" s="466" t="s">
        <v>2556</v>
      </c>
      <c r="B29" s="3296" t="s">
        <v>2686</v>
      </c>
      <c r="C29" s="2678" t="s">
        <v>3113</v>
      </c>
      <c r="D29" s="467">
        <v>100</v>
      </c>
      <c r="E29" s="2678" t="s">
        <v>3113</v>
      </c>
      <c r="F29" s="461">
        <f>SUMIF(88:88,E29,89:89)-SUMIF(88:88,C29,89:89)+100</f>
        <v>100</v>
      </c>
      <c r="G29" s="2678" t="s">
        <v>3113</v>
      </c>
      <c r="H29" s="435">
        <f>SUMIF(88:88,G29,89:89)-SUMIF(88:88,C29,89:89)+100</f>
        <v>100</v>
      </c>
      <c r="I29" s="2678" t="s">
        <v>3113</v>
      </c>
      <c r="J29" s="467">
        <f>SUMIF(88:88,I29,89:89)-SUMIF(88:88,C29,89:89)+100</f>
        <v>100</v>
      </c>
      <c r="K29" s="612">
        <v>2</v>
      </c>
      <c r="L29" s="1140"/>
      <c r="M29" s="1131"/>
      <c r="N29" s="1131"/>
      <c r="O29" s="1139"/>
      <c r="P29" s="3188" t="s">
        <v>2558</v>
      </c>
      <c r="Q29" s="1810" t="str">
        <f t="shared" si="11"/>
        <v>建筑类型</v>
      </c>
      <c r="R29" s="774" t="s">
        <v>17</v>
      </c>
      <c r="S29" s="775">
        <f t="shared" si="12"/>
        <v>100</v>
      </c>
      <c r="T29" s="774" t="s">
        <v>17</v>
      </c>
      <c r="U29" s="775">
        <f t="shared" si="13"/>
        <v>100</v>
      </c>
      <c r="V29" s="774" t="s">
        <v>17</v>
      </c>
      <c r="W29" s="775">
        <f t="shared" si="14"/>
        <v>100</v>
      </c>
      <c r="X29" s="1813"/>
      <c r="Y29" s="3189" t="s">
        <v>2558</v>
      </c>
      <c r="Z29" s="1814" t="str">
        <f t="shared" si="15"/>
        <v>建筑类型</v>
      </c>
      <c r="AA29" s="1811">
        <f t="shared" si="3"/>
        <v>1</v>
      </c>
      <c r="AB29" s="1811">
        <f t="shared" si="4"/>
        <v>1</v>
      </c>
      <c r="AC29" s="1811">
        <f t="shared" si="5"/>
        <v>1</v>
      </c>
    </row>
    <row r="30" spans="1:29" s="471" customFormat="1" ht="15">
      <c r="A30" s="468"/>
      <c r="B30" s="422" t="s">
        <v>2559</v>
      </c>
      <c r="C30" s="469">
        <f>'数据-基础表'!I13</f>
        <v>5775.17</v>
      </c>
      <c r="D30" s="136">
        <v>100</v>
      </c>
      <c r="E30" s="430">
        <v>16500</v>
      </c>
      <c r="F30" s="425">
        <f>LOOKUP(E30,91:91,92:92)-LOOKUP(C30,91:91,92:92)+100</f>
        <v>104</v>
      </c>
      <c r="G30" s="429">
        <v>2620</v>
      </c>
      <c r="H30" s="136">
        <f>LOOKUP(G30,91:91,92:92)-LOOKUP(C30,91:91,92:92)+100</f>
        <v>99</v>
      </c>
      <c r="I30" s="429">
        <v>2600</v>
      </c>
      <c r="J30" s="136">
        <f>LOOKUP(I30,91:91,92:92)-LOOKUP(C30,91:91,92:92)+100</f>
        <v>99</v>
      </c>
      <c r="K30" s="613"/>
      <c r="L30" s="1138"/>
      <c r="M30" s="1141"/>
      <c r="N30" s="1141"/>
      <c r="O30" s="1142"/>
      <c r="P30" s="3189"/>
      <c r="Q30" s="776" t="str">
        <f t="shared" si="11"/>
        <v>项目建筑规模</v>
      </c>
      <c r="R30" s="777" t="s">
        <v>17</v>
      </c>
      <c r="S30" s="778">
        <f t="shared" si="12"/>
        <v>104</v>
      </c>
      <c r="T30" s="777" t="s">
        <v>17</v>
      </c>
      <c r="U30" s="778">
        <f t="shared" si="13"/>
        <v>99</v>
      </c>
      <c r="V30" s="777" t="s">
        <v>17</v>
      </c>
      <c r="W30" s="778">
        <f t="shared" si="14"/>
        <v>99</v>
      </c>
      <c r="X30" s="779"/>
      <c r="Y30" s="3189"/>
      <c r="Z30" s="780" t="str">
        <f t="shared" si="15"/>
        <v>项目建筑规模</v>
      </c>
      <c r="AA30" s="1811">
        <f t="shared" si="3"/>
        <v>0.96153846153846156</v>
      </c>
      <c r="AB30" s="1811">
        <f t="shared" si="4"/>
        <v>1.0101010101010102</v>
      </c>
      <c r="AC30" s="1811">
        <f t="shared" si="5"/>
        <v>1.0101010101010102</v>
      </c>
    </row>
    <row r="31" spans="1:29" ht="15">
      <c r="A31" s="472"/>
      <c r="B31" s="422" t="s">
        <v>2560</v>
      </c>
      <c r="C31" s="460" t="s">
        <v>3063</v>
      </c>
      <c r="D31" s="435">
        <v>100</v>
      </c>
      <c r="E31" s="460" t="s">
        <v>3063</v>
      </c>
      <c r="F31" s="461">
        <f>SUMIF(93:93,E31,94:94)-SUMIF(93:93,C31,94:94)+100</f>
        <v>100</v>
      </c>
      <c r="G31" s="460" t="s">
        <v>3063</v>
      </c>
      <c r="H31" s="435">
        <f>SUMIF(93:93,G31,94:94)-SUMIF(93:93,C31,94:94)+100</f>
        <v>100</v>
      </c>
      <c r="I31" s="460" t="s">
        <v>3063</v>
      </c>
      <c r="J31" s="435">
        <f>SUMIF(93:93,I31,94:94)-SUMIF(93:93,C31,94:94)+100</f>
        <v>100</v>
      </c>
      <c r="K31" s="612">
        <v>2</v>
      </c>
      <c r="L31" s="1140"/>
      <c r="M31" s="1131"/>
      <c r="N31" s="1131"/>
      <c r="O31" s="1139"/>
      <c r="P31" s="3189"/>
      <c r="Q31" s="1810" t="str">
        <f t="shared" si="11"/>
        <v>建筑结构</v>
      </c>
      <c r="R31" s="774" t="s">
        <v>17</v>
      </c>
      <c r="S31" s="775">
        <f t="shared" si="12"/>
        <v>100</v>
      </c>
      <c r="T31" s="774" t="s">
        <v>17</v>
      </c>
      <c r="U31" s="775">
        <f t="shared" si="13"/>
        <v>100</v>
      </c>
      <c r="V31" s="774" t="s">
        <v>17</v>
      </c>
      <c r="W31" s="775">
        <f t="shared" si="14"/>
        <v>100</v>
      </c>
      <c r="X31" s="1813"/>
      <c r="Y31" s="3189"/>
      <c r="Z31" s="1814" t="str">
        <f t="shared" si="15"/>
        <v>建筑结构</v>
      </c>
      <c r="AA31" s="1811">
        <f t="shared" si="3"/>
        <v>1</v>
      </c>
      <c r="AB31" s="1811">
        <f t="shared" si="4"/>
        <v>1</v>
      </c>
      <c r="AC31" s="1811">
        <f t="shared" si="5"/>
        <v>1</v>
      </c>
    </row>
    <row r="32" spans="1:29" ht="15">
      <c r="A32" s="472"/>
      <c r="B32" s="422" t="s">
        <v>2654</v>
      </c>
      <c r="C32" s="460" t="s">
        <v>3068</v>
      </c>
      <c r="D32" s="435">
        <v>100</v>
      </c>
      <c r="E32" s="460" t="s">
        <v>3103</v>
      </c>
      <c r="F32" s="461">
        <f>SUMIF(95:95,E32,96:96)-SUMIF(95:95,C32,96:96)+100</f>
        <v>98</v>
      </c>
      <c r="G32" s="460" t="s">
        <v>3103</v>
      </c>
      <c r="H32" s="435">
        <f>SUMIF(95:95,G32,96:96)-SUMIF(95:95,C32,96:96)+100</f>
        <v>98</v>
      </c>
      <c r="I32" s="460" t="s">
        <v>3103</v>
      </c>
      <c r="J32" s="435">
        <f>SUMIF(95:95,I32,96:96)-SUMIF(95:95,C32,96:96)+100</f>
        <v>98</v>
      </c>
      <c r="K32" s="612">
        <v>2</v>
      </c>
      <c r="L32" s="1140"/>
      <c r="M32" s="1131"/>
      <c r="N32" s="1131"/>
      <c r="O32" s="1139"/>
      <c r="P32" s="3189"/>
      <c r="Q32" s="1810" t="str">
        <f t="shared" si="11"/>
        <v>公共部分装修</v>
      </c>
      <c r="R32" s="774" t="s">
        <v>17</v>
      </c>
      <c r="S32" s="775">
        <f t="shared" si="12"/>
        <v>98</v>
      </c>
      <c r="T32" s="774" t="s">
        <v>17</v>
      </c>
      <c r="U32" s="775">
        <f t="shared" si="13"/>
        <v>98</v>
      </c>
      <c r="V32" s="774" t="s">
        <v>17</v>
      </c>
      <c r="W32" s="775">
        <f t="shared" si="14"/>
        <v>98</v>
      </c>
      <c r="X32" s="1813"/>
      <c r="Y32" s="3189"/>
      <c r="Z32" s="1814" t="str">
        <f t="shared" si="15"/>
        <v>公共部分装修</v>
      </c>
      <c r="AA32" s="1811">
        <f t="shared" si="3"/>
        <v>1.0204081632653061</v>
      </c>
      <c r="AB32" s="1811">
        <f t="shared" si="4"/>
        <v>1.0204081632653061</v>
      </c>
      <c r="AC32" s="1811">
        <f t="shared" si="5"/>
        <v>1.0204081632653061</v>
      </c>
    </row>
    <row r="33" spans="1:29" ht="15">
      <c r="A33" s="472"/>
      <c r="B33" s="422" t="s">
        <v>2655</v>
      </c>
      <c r="C33" s="2963">
        <f>'数据-取费表'!N6</f>
        <v>0.95</v>
      </c>
      <c r="D33" s="435">
        <v>100</v>
      </c>
      <c r="E33" s="474">
        <f>C33</f>
        <v>0.95</v>
      </c>
      <c r="F33" s="461">
        <f>LOOKUP(E33,98:98,99:99)-LOOKUP(C33,98:98,99:99)+100</f>
        <v>100</v>
      </c>
      <c r="G33" s="474">
        <f>E33</f>
        <v>0.95</v>
      </c>
      <c r="H33" s="461">
        <f>LOOKUP(G33,98:98,99:99)-LOOKUP(C33,98:98,99:99)+100</f>
        <v>100</v>
      </c>
      <c r="I33" s="474">
        <f>G33</f>
        <v>0.95</v>
      </c>
      <c r="J33" s="435">
        <f>LOOKUP(I33,98:98,99:99)-LOOKUP(C33,98:98,99:99)+100</f>
        <v>100</v>
      </c>
      <c r="K33" s="612">
        <v>2</v>
      </c>
      <c r="L33" s="1140"/>
      <c r="M33" s="1131"/>
      <c r="N33" s="1131"/>
      <c r="O33" s="1139"/>
      <c r="P33" s="3189"/>
      <c r="Q33" s="1810" t="str">
        <f t="shared" si="11"/>
        <v>成新度</v>
      </c>
      <c r="R33" s="774" t="s">
        <v>17</v>
      </c>
      <c r="S33" s="775">
        <f t="shared" si="12"/>
        <v>100</v>
      </c>
      <c r="T33" s="774" t="s">
        <v>17</v>
      </c>
      <c r="U33" s="775">
        <f t="shared" si="13"/>
        <v>100</v>
      </c>
      <c r="V33" s="774" t="s">
        <v>17</v>
      </c>
      <c r="W33" s="775">
        <f t="shared" si="14"/>
        <v>100</v>
      </c>
      <c r="X33" s="1813"/>
      <c r="Y33" s="3189"/>
      <c r="Z33" s="1814" t="str">
        <f t="shared" si="15"/>
        <v>成新度</v>
      </c>
      <c r="AA33" s="1811">
        <f t="shared" si="3"/>
        <v>1</v>
      </c>
      <c r="AB33" s="1811">
        <f t="shared" si="4"/>
        <v>1</v>
      </c>
      <c r="AC33" s="1811">
        <f t="shared" si="5"/>
        <v>1</v>
      </c>
    </row>
    <row r="34" spans="1:29" s="117" customFormat="1" ht="15">
      <c r="A34" s="473"/>
      <c r="B34" s="422" t="s">
        <v>2688</v>
      </c>
      <c r="C34" s="460" t="s">
        <v>3104</v>
      </c>
      <c r="D34" s="136">
        <v>100</v>
      </c>
      <c r="E34" s="460" t="s">
        <v>3104</v>
      </c>
      <c r="F34" s="461">
        <f>SUMIF(100:100,E34,101:101)-SUMIF(100:100,C34,101:101)+100</f>
        <v>100</v>
      </c>
      <c r="G34" s="460" t="s">
        <v>3104</v>
      </c>
      <c r="H34" s="435">
        <f>SUMIF(100:100,G34,101:101)-SUMIF(100:100,C34,101:101)+100</f>
        <v>100</v>
      </c>
      <c r="I34" s="460" t="s">
        <v>3104</v>
      </c>
      <c r="J34" s="435">
        <f>SUMIF(100:100,I34,101:101)-SUMIF(100:100,C34,101:101)+100</f>
        <v>100</v>
      </c>
      <c r="K34" s="612">
        <v>2</v>
      </c>
      <c r="L34" s="1132"/>
      <c r="M34" s="1133"/>
      <c r="N34" s="1133"/>
      <c r="O34" s="1134"/>
      <c r="P34" s="3189"/>
      <c r="Q34" s="1795" t="str">
        <f t="shared" si="11"/>
        <v>物业管理</v>
      </c>
      <c r="R34" s="770" t="s">
        <v>17</v>
      </c>
      <c r="S34" s="771">
        <f t="shared" si="12"/>
        <v>100</v>
      </c>
      <c r="T34" s="770" t="s">
        <v>17</v>
      </c>
      <c r="U34" s="771">
        <f t="shared" si="13"/>
        <v>100</v>
      </c>
      <c r="V34" s="770" t="s">
        <v>17</v>
      </c>
      <c r="W34" s="771">
        <f t="shared" si="14"/>
        <v>100</v>
      </c>
      <c r="X34" s="772"/>
      <c r="Y34" s="3189"/>
      <c r="Z34" s="55" t="str">
        <f t="shared" si="15"/>
        <v>物业管理</v>
      </c>
      <c r="AA34" s="773">
        <f t="shared" si="3"/>
        <v>1</v>
      </c>
      <c r="AB34" s="773">
        <f t="shared" si="4"/>
        <v>1</v>
      </c>
      <c r="AC34" s="773">
        <f t="shared" si="5"/>
        <v>1</v>
      </c>
    </row>
    <row r="35" spans="1:29" ht="15">
      <c r="A35" s="472"/>
      <c r="B35" s="422" t="s">
        <v>2656</v>
      </c>
      <c r="C35" s="460" t="s">
        <v>3109</v>
      </c>
      <c r="D35" s="435">
        <v>100</v>
      </c>
      <c r="E35" s="460" t="s">
        <v>3109</v>
      </c>
      <c r="F35" s="461">
        <f>SUMIF(102:102,E35,103:103)-SUMIF(102:102,C35,103:103)+100</f>
        <v>100</v>
      </c>
      <c r="G35" s="460" t="s">
        <v>3109</v>
      </c>
      <c r="H35" s="435">
        <f>SUMIF(102:102,G35,103:103)-SUMIF(102:102,C35,103:103)+100</f>
        <v>100</v>
      </c>
      <c r="I35" s="460" t="s">
        <v>3109</v>
      </c>
      <c r="J35" s="435">
        <f>SUMIF(102:102,I35,103:103)-SUMIF(102:102,C35,103:103)+100</f>
        <v>100</v>
      </c>
      <c r="K35" s="612">
        <v>2</v>
      </c>
      <c r="L35" s="1140"/>
      <c r="M35" s="1131"/>
      <c r="N35" s="1131"/>
      <c r="O35" s="1139"/>
      <c r="P35" s="3189" t="s">
        <v>2558</v>
      </c>
      <c r="Q35" s="1810" t="str">
        <f t="shared" si="11"/>
        <v>市政基础设施</v>
      </c>
      <c r="R35" s="774" t="s">
        <v>17</v>
      </c>
      <c r="S35" s="775">
        <f t="shared" si="12"/>
        <v>100</v>
      </c>
      <c r="T35" s="774" t="s">
        <v>17</v>
      </c>
      <c r="U35" s="775">
        <f t="shared" si="13"/>
        <v>100</v>
      </c>
      <c r="V35" s="774" t="s">
        <v>17</v>
      </c>
      <c r="W35" s="775">
        <f t="shared" si="14"/>
        <v>100</v>
      </c>
      <c r="X35" s="1813"/>
      <c r="Y35" s="3189" t="s">
        <v>2558</v>
      </c>
      <c r="Z35" s="1814" t="str">
        <f t="shared" si="15"/>
        <v>市政基础设施</v>
      </c>
      <c r="AA35" s="1811">
        <f t="shared" si="3"/>
        <v>1</v>
      </c>
      <c r="AB35" s="1811">
        <f t="shared" si="4"/>
        <v>1</v>
      </c>
      <c r="AC35" s="1811">
        <f t="shared" si="5"/>
        <v>1</v>
      </c>
    </row>
    <row r="36" spans="1:29" ht="15">
      <c r="A36" s="472"/>
      <c r="B36" s="422" t="s">
        <v>2661</v>
      </c>
      <c r="C36" s="460" t="s">
        <v>3068</v>
      </c>
      <c r="D36" s="435">
        <v>100</v>
      </c>
      <c r="E36" s="460" t="s">
        <v>3103</v>
      </c>
      <c r="F36" s="461">
        <f>SUMIF(104:104,E36,105:105)-SUMIF(104:104,C36,105:105)+100</f>
        <v>95</v>
      </c>
      <c r="G36" s="460" t="s">
        <v>3072</v>
      </c>
      <c r="H36" s="435">
        <f>SUMIF(104:104,G36,105:105)-SUMIF(104:104,C36,105:105)+100</f>
        <v>85</v>
      </c>
      <c r="I36" s="460" t="s">
        <v>3072</v>
      </c>
      <c r="J36" s="435">
        <f>SUMIF(104:104,I36,105:105)-SUMIF(104:104,C36,105:105)+100</f>
        <v>85</v>
      </c>
      <c r="K36" s="612">
        <v>5</v>
      </c>
      <c r="L36" s="1152"/>
      <c r="M36" s="1131"/>
      <c r="N36" s="1131"/>
      <c r="O36" s="1139"/>
      <c r="P36" s="3189"/>
      <c r="Q36" s="1810" t="str">
        <f t="shared" si="11"/>
        <v>内部装修</v>
      </c>
      <c r="R36" s="774" t="s">
        <v>17</v>
      </c>
      <c r="S36" s="775">
        <f t="shared" si="12"/>
        <v>95</v>
      </c>
      <c r="T36" s="774" t="s">
        <v>17</v>
      </c>
      <c r="U36" s="775">
        <f t="shared" si="13"/>
        <v>85</v>
      </c>
      <c r="V36" s="774" t="s">
        <v>17</v>
      </c>
      <c r="W36" s="775">
        <f t="shared" si="14"/>
        <v>85</v>
      </c>
      <c r="X36" s="1813"/>
      <c r="Y36" s="3189"/>
      <c r="Z36" s="1814" t="str">
        <f t="shared" si="15"/>
        <v>内部装修</v>
      </c>
      <c r="AA36" s="1811">
        <f t="shared" si="3"/>
        <v>1.0526315789473684</v>
      </c>
      <c r="AB36" s="1811">
        <f t="shared" si="4"/>
        <v>1.1764705882352942</v>
      </c>
      <c r="AC36" s="1811">
        <f t="shared" si="5"/>
        <v>1.1764705882352942</v>
      </c>
    </row>
    <row r="37" spans="1:29" ht="15">
      <c r="A37" s="472"/>
      <c r="B37" s="422" t="s">
        <v>2697</v>
      </c>
      <c r="C37" s="616" t="s">
        <v>3097</v>
      </c>
      <c r="D37" s="435">
        <v>100</v>
      </c>
      <c r="E37" s="616" t="s">
        <v>3097</v>
      </c>
      <c r="F37" s="461">
        <f>SUMIF(106:106,E37,107:107)-SUMIF(106:106,C37,107:107)+100</f>
        <v>100</v>
      </c>
      <c r="G37" s="616" t="s">
        <v>3097</v>
      </c>
      <c r="H37" s="435">
        <f>SUMIF(106:106,G37,107:107)-SUMIF(106:106,C37,107:107)+100</f>
        <v>100</v>
      </c>
      <c r="I37" s="616" t="s">
        <v>3097</v>
      </c>
      <c r="J37" s="435">
        <f>SUMIF(106:106,I37,107:107)-SUMIF(106:106,C37,107:107)+100</f>
        <v>100</v>
      </c>
      <c r="K37" s="612">
        <v>2</v>
      </c>
      <c r="L37" s="1140"/>
      <c r="M37" s="1131"/>
      <c r="N37" s="1131"/>
      <c r="O37" s="1139"/>
      <c r="P37" s="3189"/>
      <c r="Q37" s="1810" t="str">
        <f t="shared" si="11"/>
        <v>内部装修状况</v>
      </c>
      <c r="R37" s="774" t="s">
        <v>17</v>
      </c>
      <c r="S37" s="775">
        <f t="shared" si="12"/>
        <v>100</v>
      </c>
      <c r="T37" s="774" t="s">
        <v>17</v>
      </c>
      <c r="U37" s="775">
        <f t="shared" si="13"/>
        <v>100</v>
      </c>
      <c r="V37" s="774" t="s">
        <v>17</v>
      </c>
      <c r="W37" s="775">
        <f t="shared" si="14"/>
        <v>100</v>
      </c>
      <c r="X37" s="1813"/>
      <c r="Y37" s="318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9"/>
      <c r="Q38" s="776">
        <f t="shared" si="11"/>
        <v>111</v>
      </c>
      <c r="R38" s="777" t="s">
        <v>17</v>
      </c>
      <c r="S38" s="778">
        <f t="shared" si="12"/>
        <v>100</v>
      </c>
      <c r="T38" s="777" t="s">
        <v>17</v>
      </c>
      <c r="U38" s="778">
        <f t="shared" si="13"/>
        <v>100</v>
      </c>
      <c r="V38" s="777" t="s">
        <v>17</v>
      </c>
      <c r="W38" s="778">
        <f t="shared" si="14"/>
        <v>100</v>
      </c>
      <c r="X38" s="779"/>
      <c r="Y38" s="318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9"/>
      <c r="Q39" s="1810">
        <f t="shared" si="11"/>
        <v>111</v>
      </c>
      <c r="R39" s="774" t="s">
        <v>17</v>
      </c>
      <c r="S39" s="775">
        <f t="shared" si="12"/>
        <v>100</v>
      </c>
      <c r="T39" s="774" t="s">
        <v>17</v>
      </c>
      <c r="U39" s="775">
        <f t="shared" si="13"/>
        <v>100</v>
      </c>
      <c r="V39" s="774" t="s">
        <v>17</v>
      </c>
      <c r="W39" s="775">
        <f t="shared" si="14"/>
        <v>100</v>
      </c>
      <c r="X39" s="1813"/>
      <c r="Y39" s="3189"/>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0"/>
      <c r="Q40" s="1810">
        <f t="shared" si="11"/>
        <v>111</v>
      </c>
      <c r="R40" s="774" t="s">
        <v>17</v>
      </c>
      <c r="S40" s="775">
        <f t="shared" si="12"/>
        <v>100</v>
      </c>
      <c r="T40" s="774" t="s">
        <v>17</v>
      </c>
      <c r="U40" s="775">
        <f t="shared" si="13"/>
        <v>100</v>
      </c>
      <c r="V40" s="774" t="s">
        <v>17</v>
      </c>
      <c r="W40" s="775">
        <f t="shared" si="14"/>
        <v>100</v>
      </c>
      <c r="X40" s="1813"/>
      <c r="Y40" s="3190"/>
      <c r="Z40" s="1814">
        <f t="shared" si="15"/>
        <v>111</v>
      </c>
      <c r="AA40" s="1811">
        <f t="shared" si="3"/>
        <v>1</v>
      </c>
      <c r="AB40" s="1811">
        <f t="shared" si="4"/>
        <v>1</v>
      </c>
      <c r="AC40" s="1811">
        <f t="shared" si="5"/>
        <v>1</v>
      </c>
    </row>
    <row r="41" spans="1:29" ht="15">
      <c r="A41" s="479" t="s">
        <v>2570</v>
      </c>
      <c r="B41" s="480"/>
      <c r="C41" s="1407" t="s">
        <v>1</v>
      </c>
      <c r="D41" s="1408"/>
      <c r="E41" s="1409">
        <v>7280</v>
      </c>
      <c r="F41" s="1410"/>
      <c r="G41" s="1411">
        <v>6800</v>
      </c>
      <c r="H41" s="1412"/>
      <c r="I41" s="1409">
        <v>7288</v>
      </c>
      <c r="J41" s="1412"/>
      <c r="K41" s="783"/>
      <c r="L41" s="1143"/>
      <c r="M41" s="1144"/>
      <c r="N41" s="1131"/>
      <c r="O41" s="1144"/>
      <c r="P41" s="3171" t="str">
        <f>A41</f>
        <v>成交单价（元/平方米）</v>
      </c>
      <c r="Q41" s="3171"/>
      <c r="R41" s="3191">
        <f>E41</f>
        <v>7280</v>
      </c>
      <c r="S41" s="3191"/>
      <c r="T41" s="3191">
        <f>G41</f>
        <v>6800</v>
      </c>
      <c r="U41" s="3191"/>
      <c r="V41" s="3191">
        <f>I41</f>
        <v>7288</v>
      </c>
      <c r="W41" s="3191"/>
      <c r="X41" s="759"/>
      <c r="Y41" s="781"/>
      <c r="Z41" s="759"/>
      <c r="AA41" s="759"/>
      <c r="AB41" s="759"/>
      <c r="AC41" s="759"/>
    </row>
    <row r="42" spans="1:29" ht="15.75" thickBot="1">
      <c r="A42" s="486" t="s">
        <v>2662</v>
      </c>
      <c r="B42" s="487"/>
      <c r="C42" s="1413">
        <f>R43</f>
        <v>8201</v>
      </c>
      <c r="D42" s="1414"/>
      <c r="E42" s="1415">
        <f>R42</f>
        <v>7519</v>
      </c>
      <c r="F42" s="1415"/>
      <c r="G42" s="1413">
        <f>T42</f>
        <v>8246</v>
      </c>
      <c r="H42" s="1414"/>
      <c r="I42" s="1415">
        <f>V42</f>
        <v>8837</v>
      </c>
      <c r="J42" s="1414"/>
      <c r="K42" s="784"/>
      <c r="L42" s="1143"/>
      <c r="M42" s="1144"/>
      <c r="N42" s="1131"/>
      <c r="O42" s="1144"/>
      <c r="P42" s="3171" t="str">
        <f>A42</f>
        <v>比较价值（元/平方米）</v>
      </c>
      <c r="Q42" s="3171"/>
      <c r="R42" s="3191">
        <f>IF(F1="售价",ROUND(PRODUCT(R41,AA7:AA40),0),ROUND(PRODUCT(R41,AA7:AA40),1))</f>
        <v>7519</v>
      </c>
      <c r="S42" s="3191"/>
      <c r="T42" s="3191">
        <f>IF(F1="售价",ROUND(PRODUCT(T41,AB7:AB40),0),ROUND(PRODUCT(T41,AB7:AB40),1))</f>
        <v>8246</v>
      </c>
      <c r="U42" s="3191"/>
      <c r="V42" s="3191">
        <f>IF(F1="售价",ROUND(PRODUCT(V41,AC7:AC40),0),ROUND(PRODUCT(V41,AC7:AC40),1))</f>
        <v>8837</v>
      </c>
      <c r="W42" s="3191"/>
      <c r="X42" s="759"/>
      <c r="Y42" s="759"/>
      <c r="Z42" s="759"/>
      <c r="AA42" s="759"/>
      <c r="AB42" s="759"/>
      <c r="AC42" s="759"/>
    </row>
    <row r="43" spans="1:29" ht="15.75" thickBot="1">
      <c r="A43" s="492" t="s">
        <v>2663</v>
      </c>
      <c r="B43" s="493"/>
      <c r="C43" s="1417">
        <f>R43</f>
        <v>8201</v>
      </c>
      <c r="D43" s="1417"/>
      <c r="E43" s="1417"/>
      <c r="F43" s="1417"/>
      <c r="G43" s="1417"/>
      <c r="H43" s="1417"/>
      <c r="I43" s="1417"/>
      <c r="J43" s="1417"/>
      <c r="K43" s="785"/>
      <c r="L43" s="1143"/>
      <c r="M43" s="1144"/>
      <c r="N43" s="1144"/>
      <c r="O43" s="1144"/>
      <c r="P43" s="3192" t="str">
        <f>A43</f>
        <v>估价对象XX用房的比较价值（楼面单价，元/平方米）</v>
      </c>
      <c r="Q43" s="3193"/>
      <c r="R43" s="3194">
        <f>IF(F1="售价",ROUND(AVERAGE(R42:V42),0),ROUND(AVERAGE(R42:V42),1))</f>
        <v>8201</v>
      </c>
      <c r="S43" s="3194"/>
      <c r="T43" s="3194"/>
      <c r="U43" s="3194"/>
      <c r="V43" s="3194"/>
      <c r="W43" s="319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2664</v>
      </c>
      <c r="D46" s="498"/>
      <c r="E46" s="499">
        <f>IF(E41&lt;E42,E42/E41-1,E41/E42-1)</f>
        <v>3.2829670329670435E-2</v>
      </c>
      <c r="F46" s="500" t="str">
        <f>IF(OR(E46&gt;=0.3,E46&lt;=-0.3),"超过30%","")</f>
        <v/>
      </c>
      <c r="G46" s="499">
        <f>IF(G41&lt;G42,G42/G41-1,G41/G42-1)</f>
        <v>0.21264705882352941</v>
      </c>
      <c r="H46" s="500" t="str">
        <f>IF(OR(G46&gt;=0.3,G46&lt;=-0.3),"超过30%","")</f>
        <v/>
      </c>
      <c r="I46" s="499">
        <f>IF(I41&lt;I42,I42/I41-1,I41/I42-1)</f>
        <v>0.2125411635565313</v>
      </c>
      <c r="J46" s="500" t="str">
        <f>IF(OR(I46&gt;=0.3,I46&lt;=-0.3),"超过30%","")</f>
        <v/>
      </c>
      <c r="K46" s="1105"/>
      <c r="L46" s="1106"/>
      <c r="M46" s="1144"/>
      <c r="N46" s="1144"/>
      <c r="O46" s="1144"/>
    </row>
    <row r="47" spans="1:29" ht="13.5" customHeight="1">
      <c r="A47" s="1144"/>
      <c r="B47" s="1144"/>
      <c r="C47" s="497" t="s">
        <v>2665</v>
      </c>
      <c r="D47" s="501"/>
      <c r="E47" s="499">
        <f>IF(E42&lt;G42,G42/E42-1,E42/G42-1)</f>
        <v>9.6688389413485787E-2</v>
      </c>
      <c r="F47" s="500" t="str">
        <f>IF(OR(E47&gt;=0.2,E47&lt;=-0.2),"超过20%","")</f>
        <v/>
      </c>
      <c r="G47" s="499">
        <f>IF(G42&lt;I42,I42/G42-1,G42/I42-1)</f>
        <v>7.1671113267038455E-2</v>
      </c>
      <c r="H47" s="500" t="str">
        <f>IF(OR(G47&gt;=0.2,G47&lt;=-0.2),"超过20%","")</f>
        <v/>
      </c>
      <c r="I47" s="499">
        <f>IF(I42&lt;E42,E42/I42-1,I42/E42-1)</f>
        <v>0.17528926718978588</v>
      </c>
      <c r="J47" s="500" t="str">
        <f>IF(OR(I47&gt;=0.2,I47&lt;=-0.2),"超过20%","")</f>
        <v/>
      </c>
      <c r="K47" s="1105"/>
      <c r="L47" s="1106"/>
      <c r="M47" s="1144"/>
      <c r="N47" s="1144"/>
      <c r="O47" s="1144"/>
    </row>
    <row r="48" spans="1:29" s="502" customFormat="1" ht="13.5" customHeight="1">
      <c r="A48" s="1145"/>
      <c r="B48" s="1145"/>
      <c r="C48" s="497" t="s">
        <v>2666</v>
      </c>
      <c r="D48" s="501"/>
      <c r="E48" s="499">
        <f>IF(E41&lt;G41,G41/E41-1,E41/G41-1)</f>
        <v>7.0588235294117618E-2</v>
      </c>
      <c r="F48" s="500" t="str">
        <f>IF(OR(E48&gt;=0.3,E48&lt;=-0.3),"超过30%","")</f>
        <v/>
      </c>
      <c r="G48" s="499">
        <f>IF(G41&lt;I41,I41/G41-1,G41/I41-1)</f>
        <v>7.1764705882352953E-2</v>
      </c>
      <c r="H48" s="500" t="str">
        <f>IF(OR(G48&gt;=0.3,G48&lt;=-0.3),"超过30%","")</f>
        <v/>
      </c>
      <c r="I48" s="499">
        <f>IF(I41&lt;E41,E41/I41-1,I41/E41-1)</f>
        <v>1.098901098901095E-3</v>
      </c>
      <c r="J48" s="500" t="str">
        <f>IF(OR(I48&gt;=0.3,I48&lt;=-0.3),"超过30%","")</f>
        <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2667</v>
      </c>
      <c r="B51" s="759"/>
      <c r="C51" s="764"/>
      <c r="D51" s="764"/>
      <c r="E51" s="764"/>
      <c r="F51" s="765"/>
      <c r="G51" s="765"/>
      <c r="H51" s="764"/>
      <c r="I51" s="764"/>
      <c r="J51" s="764"/>
      <c r="K51" s="1160"/>
      <c r="L51" s="1161"/>
      <c r="M51" s="1159"/>
      <c r="N51" s="1159"/>
      <c r="O51" s="1159"/>
      <c r="P51" s="503"/>
      <c r="Q51" s="504"/>
    </row>
    <row r="52" spans="1:17" s="508" customFormat="1" ht="15">
      <c r="A52" s="505" t="s">
        <v>2541</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2581</v>
      </c>
      <c r="B57" s="528" t="s">
        <v>2547</v>
      </c>
      <c r="C57" s="529" t="str">
        <f>C9</f>
        <v>工业</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2"/>
      <c r="O59" s="1152"/>
      <c r="P59" s="45"/>
      <c r="Q59" s="504"/>
    </row>
    <row r="60" spans="1:17" ht="15.75" thickBot="1">
      <c r="A60" s="534"/>
      <c r="B60" s="543"/>
      <c r="C60" s="544" t="s">
        <v>24</v>
      </c>
      <c r="D60" s="544" t="s">
        <v>25</v>
      </c>
      <c r="E60" s="544">
        <v>100</v>
      </c>
      <c r="F60" s="544">
        <f>E60-$K10</f>
        <v>98</v>
      </c>
      <c r="G60" s="544">
        <f>F60-$K10</f>
        <v>96</v>
      </c>
      <c r="H60" s="544">
        <f>G60-$K10</f>
        <v>94</v>
      </c>
      <c r="I60" s="544">
        <f>H60-$K10</f>
        <v>92</v>
      </c>
      <c r="J60" s="544"/>
      <c r="K60" s="544"/>
      <c r="L60" s="544"/>
      <c r="M60" s="545"/>
      <c r="N60" s="1153"/>
      <c r="O60" s="1153"/>
      <c r="P60" s="45"/>
      <c r="Q60" s="504"/>
    </row>
    <row r="61" spans="1:17" ht="15.75" thickTop="1">
      <c r="A61" s="534"/>
      <c r="B61" s="546" t="s">
        <v>2551</v>
      </c>
      <c r="C61" s="547" t="str">
        <f>C62&amp;"（含）"&amp;"-"&amp;D62</f>
        <v>0（含）-1</v>
      </c>
      <c r="D61" s="547" t="str">
        <f t="shared" ref="D61:L61" si="17">D62&amp;"（含）"&amp;"-"&amp;E62</f>
        <v>1（含）-2</v>
      </c>
      <c r="E61" s="547" t="str">
        <f t="shared" si="17"/>
        <v>2（含）-3</v>
      </c>
      <c r="F61" s="547" t="str">
        <f t="shared" si="17"/>
        <v>3（含）-4</v>
      </c>
      <c r="G61" s="547" t="str">
        <f t="shared" si="17"/>
        <v>4（含）-5</v>
      </c>
      <c r="H61" s="547" t="str">
        <f t="shared" si="17"/>
        <v>5（含）-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v>0</v>
      </c>
      <c r="D62" s="549">
        <v>1</v>
      </c>
      <c r="E62" s="549">
        <v>2</v>
      </c>
      <c r="F62" s="549">
        <v>3</v>
      </c>
      <c r="G62" s="549">
        <v>4</v>
      </c>
      <c r="H62" s="549">
        <v>5</v>
      </c>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2"/>
      <c r="O70" s="1152"/>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3"/>
      <c r="O71" s="1153"/>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2"/>
      <c r="O72" s="1152"/>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3"/>
      <c r="O73" s="1153"/>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2"/>
      <c r="O74" s="1152"/>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3"/>
      <c r="O75" s="1153"/>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2"/>
      <c r="N76" s="1153"/>
      <c r="O76" s="1153"/>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3"/>
      <c r="O77" s="1153"/>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2"/>
      <c r="O78" s="1152"/>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2556</v>
      </c>
      <c r="B88" s="528" t="s">
        <v>2605</v>
      </c>
      <c r="C88" s="2964" t="s">
        <v>3114</v>
      </c>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98</v>
      </c>
      <c r="E89" s="544">
        <f t="shared" si="19"/>
        <v>96</v>
      </c>
      <c r="F89" s="544">
        <f t="shared" si="19"/>
        <v>94</v>
      </c>
      <c r="G89" s="544">
        <f t="shared" si="19"/>
        <v>92</v>
      </c>
      <c r="H89" s="544">
        <f t="shared" si="19"/>
        <v>90</v>
      </c>
      <c r="I89" s="544">
        <f t="shared" si="19"/>
        <v>88</v>
      </c>
      <c r="J89" s="544">
        <f t="shared" si="19"/>
        <v>86</v>
      </c>
      <c r="K89" s="544">
        <f t="shared" si="19"/>
        <v>84</v>
      </c>
      <c r="L89" s="544">
        <f t="shared" si="19"/>
        <v>82</v>
      </c>
      <c r="M89" s="545">
        <f t="shared" si="19"/>
        <v>80</v>
      </c>
      <c r="N89" s="1153"/>
      <c r="O89" s="1153"/>
      <c r="P89" s="45"/>
      <c r="Q89" s="504"/>
    </row>
    <row r="90" spans="1:17" ht="29.25" thickTop="1">
      <c r="A90" s="534"/>
      <c r="B90" s="538" t="s">
        <v>2606</v>
      </c>
      <c r="C90" s="578" t="str">
        <f>C91&amp;"(含)"&amp;"-"&amp;D91</f>
        <v>0(含)-3000</v>
      </c>
      <c r="D90" s="578" t="str">
        <f t="shared" ref="D90:L90" si="20">D91&amp;"(含)"&amp;"-"&amp;E91</f>
        <v>3000(含)-6000</v>
      </c>
      <c r="E90" s="578" t="str">
        <f t="shared" si="20"/>
        <v>6000(含)-9000</v>
      </c>
      <c r="F90" s="578" t="str">
        <f t="shared" si="20"/>
        <v>9000(含)-12000</v>
      </c>
      <c r="G90" s="578" t="str">
        <f t="shared" si="20"/>
        <v>12000(含)-15000</v>
      </c>
      <c r="H90" s="578" t="str">
        <f t="shared" si="20"/>
        <v>15000(含)-18000</v>
      </c>
      <c r="I90" s="578" t="str">
        <f t="shared" si="20"/>
        <v>18000(含)-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v>0</v>
      </c>
      <c r="D91" s="595">
        <v>3000</v>
      </c>
      <c r="E91" s="595">
        <v>6000</v>
      </c>
      <c r="F91" s="595">
        <v>9000</v>
      </c>
      <c r="G91" s="595">
        <v>12000</v>
      </c>
      <c r="H91" s="595">
        <v>15000</v>
      </c>
      <c r="I91" s="595">
        <v>18000</v>
      </c>
      <c r="J91" s="596"/>
      <c r="K91" s="596"/>
      <c r="L91" s="597"/>
      <c r="M91" s="598"/>
      <c r="N91" s="1154"/>
      <c r="O91" s="1154"/>
      <c r="P91" s="558"/>
      <c r="Q91" s="559"/>
    </row>
    <row r="92" spans="1:17" s="471" customFormat="1" ht="15.75" thickBot="1">
      <c r="A92" s="553"/>
      <c r="B92" s="543"/>
      <c r="C92" s="560">
        <v>100</v>
      </c>
      <c r="D92" s="536">
        <v>101</v>
      </c>
      <c r="E92" s="536">
        <v>102</v>
      </c>
      <c r="F92" s="536">
        <v>103</v>
      </c>
      <c r="G92" s="536">
        <v>104</v>
      </c>
      <c r="H92" s="536">
        <v>105</v>
      </c>
      <c r="I92" s="536">
        <v>106</v>
      </c>
      <c r="J92" s="536"/>
      <c r="K92" s="536"/>
      <c r="L92" s="536"/>
      <c r="M92" s="537"/>
      <c r="N92" s="1153"/>
      <c r="O92" s="1153"/>
      <c r="P92" s="558"/>
      <c r="Q92" s="559"/>
    </row>
    <row r="93" spans="1:17" ht="15" thickTop="1">
      <c r="A93" s="599"/>
      <c r="B93" s="538" t="s">
        <v>2607</v>
      </c>
      <c r="C93" s="2953" t="s">
        <v>3100</v>
      </c>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3"/>
      <c r="O94" s="1153"/>
      <c r="P94" s="45"/>
      <c r="Q94" s="504"/>
    </row>
    <row r="95" spans="1:17" ht="15" thickTop="1">
      <c r="A95" s="599"/>
      <c r="B95" s="538" t="s">
        <v>2609</v>
      </c>
      <c r="C95" s="2953" t="s">
        <v>3069</v>
      </c>
      <c r="D95" s="2953" t="s">
        <v>3070</v>
      </c>
      <c r="E95" s="2953" t="s">
        <v>3071</v>
      </c>
      <c r="F95" s="2953" t="s">
        <v>3073</v>
      </c>
      <c r="G95" s="583"/>
      <c r="H95" s="583"/>
      <c r="I95" s="583"/>
      <c r="J95" s="583"/>
      <c r="K95" s="584"/>
      <c r="L95" s="585"/>
      <c r="M95" s="586"/>
      <c r="N95" s="1152"/>
      <c r="O95" s="1152"/>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3"/>
      <c r="O96" s="1153"/>
      <c r="P96" s="45"/>
      <c r="Q96" s="504"/>
    </row>
    <row r="97" spans="1:17" ht="1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102</v>
      </c>
      <c r="E99" s="544">
        <f t="shared" ref="E99:M99" si="23">D99+$K33</f>
        <v>104</v>
      </c>
      <c r="F99" s="544">
        <f t="shared" si="23"/>
        <v>106</v>
      </c>
      <c r="G99" s="544">
        <f t="shared" si="23"/>
        <v>108</v>
      </c>
      <c r="H99" s="544">
        <f t="shared" si="23"/>
        <v>110</v>
      </c>
      <c r="I99" s="544">
        <f t="shared" si="23"/>
        <v>112</v>
      </c>
      <c r="J99" s="544">
        <f t="shared" si="23"/>
        <v>114</v>
      </c>
      <c r="K99" s="544">
        <f t="shared" si="23"/>
        <v>116</v>
      </c>
      <c r="L99" s="544">
        <f t="shared" si="23"/>
        <v>118</v>
      </c>
      <c r="M99" s="544">
        <f t="shared" si="23"/>
        <v>120</v>
      </c>
      <c r="N99" s="1153"/>
      <c r="O99" s="1153"/>
      <c r="P99" s="45"/>
      <c r="Q99" s="504"/>
    </row>
    <row r="100" spans="1:17" s="471" customFormat="1" ht="15" thickTop="1">
      <c r="A100" s="593"/>
      <c r="B100" s="538" t="s">
        <v>2610</v>
      </c>
      <c r="C100" s="2953" t="s">
        <v>3105</v>
      </c>
      <c r="D100" s="2953" t="s">
        <v>3106</v>
      </c>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98</v>
      </c>
      <c r="E101" s="544">
        <f t="shared" ref="E101:M101" si="24">D101-$K34</f>
        <v>96</v>
      </c>
      <c r="F101" s="544">
        <f t="shared" si="24"/>
        <v>94</v>
      </c>
      <c r="G101" s="544">
        <f t="shared" si="24"/>
        <v>92</v>
      </c>
      <c r="H101" s="544">
        <f t="shared" si="24"/>
        <v>90</v>
      </c>
      <c r="I101" s="544">
        <f t="shared" si="24"/>
        <v>88</v>
      </c>
      <c r="J101" s="544">
        <f t="shared" si="24"/>
        <v>86</v>
      </c>
      <c r="K101" s="544">
        <f t="shared" si="24"/>
        <v>84</v>
      </c>
      <c r="L101" s="544">
        <f t="shared" si="24"/>
        <v>82</v>
      </c>
      <c r="M101" s="544">
        <f t="shared" si="24"/>
        <v>80</v>
      </c>
      <c r="N101" s="1154"/>
      <c r="O101" s="1154"/>
      <c r="P101" s="558"/>
      <c r="Q101" s="559"/>
    </row>
    <row r="102" spans="1:17" ht="15" thickTop="1">
      <c r="A102" s="599"/>
      <c r="B102" s="538" t="s">
        <v>2611</v>
      </c>
      <c r="C102" s="2953" t="s">
        <v>3107</v>
      </c>
      <c r="D102" s="2953" t="s">
        <v>3108</v>
      </c>
      <c r="E102" s="2953" t="s">
        <v>3110</v>
      </c>
      <c r="F102" s="2953"/>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98</v>
      </c>
      <c r="E103" s="544">
        <f t="shared" si="25"/>
        <v>96</v>
      </c>
      <c r="F103" s="544">
        <f t="shared" si="25"/>
        <v>94</v>
      </c>
      <c r="G103" s="544">
        <f t="shared" si="25"/>
        <v>92</v>
      </c>
      <c r="H103" s="544">
        <f t="shared" si="25"/>
        <v>90</v>
      </c>
      <c r="I103" s="544">
        <f t="shared" si="25"/>
        <v>88</v>
      </c>
      <c r="J103" s="544">
        <f t="shared" si="25"/>
        <v>86</v>
      </c>
      <c r="K103" s="544">
        <f t="shared" si="25"/>
        <v>84</v>
      </c>
      <c r="L103" s="544">
        <f t="shared" si="25"/>
        <v>82</v>
      </c>
      <c r="M103" s="545">
        <f t="shared" si="25"/>
        <v>80</v>
      </c>
      <c r="N103" s="1153"/>
      <c r="O103" s="1153"/>
      <c r="P103" s="45"/>
      <c r="Q103" s="504"/>
    </row>
    <row r="104" spans="1:17" ht="15" thickTop="1">
      <c r="A104" s="599"/>
      <c r="B104" s="538" t="s">
        <v>2613</v>
      </c>
      <c r="C104" s="2953" t="s">
        <v>3069</v>
      </c>
      <c r="D104" s="2953" t="s">
        <v>3070</v>
      </c>
      <c r="E104" s="2953" t="s">
        <v>3071</v>
      </c>
      <c r="F104" s="2953" t="s">
        <v>3073</v>
      </c>
      <c r="G104" s="554"/>
      <c r="H104" s="583"/>
      <c r="I104" s="583"/>
      <c r="J104" s="583"/>
      <c r="K104" s="584"/>
      <c r="L104" s="585"/>
      <c r="M104" s="586"/>
      <c r="N104" s="1152"/>
      <c r="O104" s="1152"/>
      <c r="P104" s="45"/>
      <c r="Q104" s="504"/>
    </row>
    <row r="105" spans="1:17" ht="15.75" thickBot="1">
      <c r="A105" s="534"/>
      <c r="B105" s="543"/>
      <c r="C105" s="544">
        <v>100</v>
      </c>
      <c r="D105" s="544">
        <f>C105-$K36</f>
        <v>95</v>
      </c>
      <c r="E105" s="544">
        <f>D105-$K36</f>
        <v>90</v>
      </c>
      <c r="F105" s="544">
        <f>E105-$K36</f>
        <v>85</v>
      </c>
      <c r="G105" s="544">
        <f>F105-$K36</f>
        <v>80</v>
      </c>
      <c r="H105" s="544"/>
      <c r="I105" s="544"/>
      <c r="J105" s="544"/>
      <c r="K105" s="544"/>
      <c r="L105" s="544"/>
      <c r="M105" s="545"/>
      <c r="N105" s="1153"/>
      <c r="O105" s="1153"/>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3"/>
      <c r="O106" s="1153"/>
      <c r="P106" s="637"/>
      <c r="Q106" s="638"/>
    </row>
    <row r="107" spans="1:17" ht="15.75" thickBot="1">
      <c r="A107" s="534"/>
      <c r="B107" s="543"/>
      <c r="C107" s="582">
        <v>100</v>
      </c>
      <c r="D107" s="544">
        <f t="shared" ref="D107:M107" si="26">C107-$K37</f>
        <v>98</v>
      </c>
      <c r="E107" s="544">
        <f t="shared" si="26"/>
        <v>96</v>
      </c>
      <c r="F107" s="544">
        <f t="shared" si="26"/>
        <v>94</v>
      </c>
      <c r="G107" s="544">
        <f t="shared" si="26"/>
        <v>92</v>
      </c>
      <c r="H107" s="544">
        <f t="shared" si="26"/>
        <v>90</v>
      </c>
      <c r="I107" s="544">
        <f t="shared" si="26"/>
        <v>88</v>
      </c>
      <c r="J107" s="544">
        <f t="shared" si="26"/>
        <v>86</v>
      </c>
      <c r="K107" s="544">
        <f t="shared" si="26"/>
        <v>84</v>
      </c>
      <c r="L107" s="544">
        <f t="shared" si="26"/>
        <v>82</v>
      </c>
      <c r="M107" s="544">
        <f t="shared" si="26"/>
        <v>80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32" priority="16" stopIfTrue="1" operator="containsText" text="超过">
      <formula>NOT(ISERROR(SEARCH("超过",F46)))</formula>
    </cfRule>
  </conditionalFormatting>
  <conditionalFormatting sqref="H48">
    <cfRule type="containsText" dxfId="131" priority="15" stopIfTrue="1" operator="containsText" text="超过">
      <formula>NOT(ISERROR(SEARCH("超过",H48)))</formula>
    </cfRule>
  </conditionalFormatting>
  <conditionalFormatting sqref="F48">
    <cfRule type="containsText" dxfId="130" priority="14" stopIfTrue="1" operator="containsText" text="超过">
      <formula>NOT(ISERROR(SEARCH("超过",F48)))</formula>
    </cfRule>
  </conditionalFormatting>
  <conditionalFormatting sqref="F47 H47">
    <cfRule type="containsText" dxfId="129" priority="13" stopIfTrue="1" operator="containsText" text="超过">
      <formula>NOT(ISERROR(SEARCH("超过",F47)))</formula>
    </cfRule>
  </conditionalFormatting>
  <conditionalFormatting sqref="E46">
    <cfRule type="expression" dxfId="128" priority="12" stopIfTrue="1">
      <formula>$F$46="超过30%"</formula>
    </cfRule>
  </conditionalFormatting>
  <conditionalFormatting sqref="E47">
    <cfRule type="expression" dxfId="127" priority="11" stopIfTrue="1">
      <formula>$F$47="超过20%"</formula>
    </cfRule>
  </conditionalFormatting>
  <conditionalFormatting sqref="E48">
    <cfRule type="expression" dxfId="126" priority="10" stopIfTrue="1">
      <formula>$F$48="超过30%"</formula>
    </cfRule>
  </conditionalFormatting>
  <conditionalFormatting sqref="G48">
    <cfRule type="expression" dxfId="125" priority="9" stopIfTrue="1">
      <formula>$H$48="超过30%"</formula>
    </cfRule>
  </conditionalFormatting>
  <conditionalFormatting sqref="G46">
    <cfRule type="expression" dxfId="124" priority="8" stopIfTrue="1">
      <formula>$H$46="超过30%"</formula>
    </cfRule>
  </conditionalFormatting>
  <conditionalFormatting sqref="G47">
    <cfRule type="expression" dxfId="123" priority="7" stopIfTrue="1">
      <formula>$H$47="超过20%"</formula>
    </cfRule>
  </conditionalFormatting>
  <conditionalFormatting sqref="J46">
    <cfRule type="containsText" dxfId="122" priority="6" stopIfTrue="1" operator="containsText" text="超过">
      <formula>NOT(ISERROR(SEARCH("超过",J46)))</formula>
    </cfRule>
  </conditionalFormatting>
  <conditionalFormatting sqref="J48">
    <cfRule type="containsText" dxfId="121" priority="5" stopIfTrue="1" operator="containsText" text="超过">
      <formula>NOT(ISERROR(SEARCH("超过",J48)))</formula>
    </cfRule>
  </conditionalFormatting>
  <conditionalFormatting sqref="J47">
    <cfRule type="containsText" dxfId="120" priority="4" stopIfTrue="1" operator="containsText" text="超过">
      <formula>NOT(ISERROR(SEARCH("超过",J47)))</formula>
    </cfRule>
  </conditionalFormatting>
  <conditionalFormatting sqref="I46">
    <cfRule type="expression" dxfId="119" priority="3" stopIfTrue="1">
      <formula>$J$46="超过30%"</formula>
    </cfRule>
  </conditionalFormatting>
  <conditionalFormatting sqref="I47">
    <cfRule type="expression" dxfId="118" priority="2" stopIfTrue="1">
      <formula>$J$47="超过20%"</formula>
    </cfRule>
  </conditionalFormatting>
  <conditionalFormatting sqref="I48">
    <cfRule type="expression" dxfId="11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D36" sqref="D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3056</v>
      </c>
      <c r="D1" s="1820" t="s">
        <v>70</v>
      </c>
      <c r="E1" s="1821" t="s">
        <v>1382</v>
      </c>
      <c r="F1" s="1283">
        <f ca="1">J53</f>
        <v>37.67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9238</v>
      </c>
      <c r="C2" s="1845" t="s">
        <v>1510</v>
      </c>
      <c r="D2" s="1845"/>
      <c r="E2" s="1846"/>
      <c r="F2" s="1847"/>
      <c r="G2" s="1848"/>
      <c r="H2" s="1840"/>
      <c r="I2" s="1840"/>
      <c r="J2" s="1840"/>
      <c r="K2" s="1841"/>
      <c r="L2" s="1840"/>
      <c r="M2" s="1840"/>
    </row>
    <row r="3" spans="1:37" ht="18" customHeight="1" thickBot="1">
      <c r="A3" s="1849" t="s">
        <v>1511</v>
      </c>
      <c r="B3" s="1850">
        <f ca="1">IF(ISERROR(B2*10000/F43),0,ROUND(B2*10000/F43,0))</f>
        <v>15996</v>
      </c>
      <c r="C3" s="1845" t="s">
        <v>1512</v>
      </c>
      <c r="D3" s="1845"/>
      <c r="E3" s="1846"/>
      <c r="F3" s="1847"/>
      <c r="G3" s="1848"/>
      <c r="H3" s="744" t="s">
        <v>1582</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762</v>
      </c>
      <c r="D5" s="1822" t="s">
        <v>1397</v>
      </c>
      <c r="E5" s="1293"/>
      <c r="F5" s="1294"/>
      <c r="G5" s="1851"/>
      <c r="H5" s="344">
        <v>1</v>
      </c>
      <c r="I5" s="345" t="s">
        <v>1396</v>
      </c>
      <c r="J5" s="1292">
        <f ca="1">J6+J10+J12</f>
        <v>629</v>
      </c>
      <c r="K5" s="1822" t="s">
        <v>1397</v>
      </c>
      <c r="L5" s="1293"/>
      <c r="M5" s="1294"/>
    </row>
    <row r="6" spans="1:37" ht="18" customHeight="1">
      <c r="A6" s="1291" t="s">
        <v>1032</v>
      </c>
      <c r="B6" s="3197" t="s">
        <v>1398</v>
      </c>
      <c r="C6" s="1296">
        <f ca="1">ROUND(F6*F8*F7*(1-F9)/10000,0)</f>
        <v>761</v>
      </c>
      <c r="D6" s="164" t="s">
        <v>3025</v>
      </c>
      <c r="E6" s="347" t="s">
        <v>1400</v>
      </c>
      <c r="F6" s="348">
        <f ca="1">INDIRECT("'数据-取费表'!u"&amp;$G$1)</f>
        <v>3.61</v>
      </c>
      <c r="G6" s="1851"/>
      <c r="H6" s="1291" t="s">
        <v>1032</v>
      </c>
      <c r="I6" s="3197" t="s">
        <v>1398</v>
      </c>
      <c r="J6" s="346">
        <f ca="1">ROUND(M6*M8*M7*(1-M9)/10000,0)</f>
        <v>628</v>
      </c>
      <c r="K6" s="164" t="s">
        <v>3024</v>
      </c>
      <c r="L6" s="347" t="s">
        <v>1400</v>
      </c>
      <c r="M6" s="348">
        <f ca="1">INDIRECT("'数据-取费表'!z"&amp;$G$1)</f>
        <v>3.31</v>
      </c>
    </row>
    <row r="7" spans="1:37" ht="18" customHeight="1">
      <c r="A7" s="1295"/>
      <c r="B7" s="3198"/>
      <c r="C7" s="1297"/>
      <c r="D7" s="352"/>
      <c r="E7" s="1298" t="s">
        <v>1401</v>
      </c>
      <c r="F7" s="348">
        <f ca="1">IF(INDIRECT("'数据-取费表'!ah"&amp;$G$1)="",INDIRECT("'数据-取费表'!k"&amp;$G$1),INDIRECT("'数据-取费表'!ah"&amp;$G$1))</f>
        <v>5775.17</v>
      </c>
      <c r="G7" s="1851"/>
      <c r="H7" s="349"/>
      <c r="I7" s="3198"/>
      <c r="J7" s="351"/>
      <c r="K7" s="352"/>
      <c r="L7" s="347" t="s">
        <v>1401</v>
      </c>
      <c r="M7" s="348">
        <f ca="1">F7</f>
        <v>5775.17</v>
      </c>
    </row>
    <row r="8" spans="1:37" ht="18" customHeight="1">
      <c r="A8" s="349"/>
      <c r="B8" s="3198"/>
      <c r="C8" s="351"/>
      <c r="D8" s="352"/>
      <c r="E8" s="347" t="s">
        <v>1402</v>
      </c>
      <c r="F8" s="348">
        <f ca="1">INDIRECT("'数据-取费表'!ai"&amp;$G$1)</f>
        <v>365</v>
      </c>
      <c r="G8" s="1851"/>
      <c r="H8" s="349"/>
      <c r="I8" s="3198"/>
      <c r="J8" s="351"/>
      <c r="K8" s="352"/>
      <c r="L8" s="347" t="s">
        <v>1402</v>
      </c>
      <c r="M8" s="348">
        <f ca="1">INDIRECT("'数据-取费表'!ai"&amp;$G$1)</f>
        <v>365</v>
      </c>
    </row>
    <row r="9" spans="1:37" ht="18" customHeight="1">
      <c r="A9" s="349"/>
      <c r="B9" s="3199"/>
      <c r="C9" s="351"/>
      <c r="D9" s="352"/>
      <c r="E9" s="347" t="s">
        <v>1403</v>
      </c>
      <c r="F9" s="357">
        <f ca="1">INDIRECT("'数据-取费表'!w"&amp;$G$1)</f>
        <v>0</v>
      </c>
      <c r="G9" s="1851"/>
      <c r="H9" s="349"/>
      <c r="I9" s="3199"/>
      <c r="J9" s="351"/>
      <c r="K9" s="352"/>
      <c r="L9" s="358" t="s">
        <v>1403</v>
      </c>
      <c r="M9" s="359">
        <f ca="1">INDIRECT("'数据-取费表'!ab"&amp;$G$1)</f>
        <v>0.1</v>
      </c>
    </row>
    <row r="10" spans="1:37" ht="18" customHeight="1">
      <c r="A10" s="1291" t="s">
        <v>1036</v>
      </c>
      <c r="B10" s="1823" t="s">
        <v>1404</v>
      </c>
      <c r="C10" s="361">
        <f ca="1">ROUND(IF(F10="押一",C6/12*F11,IF(F10="押二",C6/12*2*F11,IF(F10="押三",C6/12*3*F11,C11*F11))),0)</f>
        <v>1</v>
      </c>
      <c r="D10" s="1824" t="s">
        <v>3034</v>
      </c>
      <c r="E10" s="358" t="s">
        <v>1405</v>
      </c>
      <c r="F10" s="3297" t="s">
        <v>3066</v>
      </c>
      <c r="G10" s="1851"/>
      <c r="H10" s="1291" t="s">
        <v>1036</v>
      </c>
      <c r="I10" s="1823" t="s">
        <v>1404</v>
      </c>
      <c r="J10" s="346">
        <f ca="1">ROUND(IF(M10="押一",J6/12*M11,IF(M10="押二",J6/12*2*M11,IF(M10="押三",J6/12*3*M11,J11*M11))),0)</f>
        <v>1</v>
      </c>
      <c r="K10" s="1824" t="s">
        <v>3033</v>
      </c>
      <c r="L10" s="358" t="s">
        <v>1405</v>
      </c>
      <c r="M10" s="1366" t="s">
        <v>3066</v>
      </c>
    </row>
    <row r="11" spans="1:37" ht="18" customHeight="1">
      <c r="A11" s="353"/>
      <c r="B11" s="1825" t="s">
        <v>1383</v>
      </c>
      <c r="C11" s="1178"/>
      <c r="D11" s="1826"/>
      <c r="E11" s="358" t="s">
        <v>1406</v>
      </c>
      <c r="F11" s="359">
        <f ca="1">'数据-取费表'!B39</f>
        <v>1.4999999999999999E-2</v>
      </c>
      <c r="G11" s="1851"/>
      <c r="H11" s="1299"/>
      <c r="I11" s="1825" t="s">
        <v>1383</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2699</v>
      </c>
      <c r="D13" s="1331" t="s">
        <v>1409</v>
      </c>
      <c r="E13" s="1331" t="s">
        <v>1410</v>
      </c>
      <c r="F13" s="1332">
        <f ca="1">INDIRECT("'数据-取费表'!y"&amp;$G$1)</f>
        <v>0.95</v>
      </c>
      <c r="G13" s="1851"/>
      <c r="H13" s="1329">
        <v>2</v>
      </c>
      <c r="I13" s="1330" t="s">
        <v>1408</v>
      </c>
      <c r="J13" s="1290">
        <f ca="1">ROUND(J14*J15,0)</f>
        <v>2472</v>
      </c>
      <c r="K13" s="1337" t="s">
        <v>1409</v>
      </c>
      <c r="L13" s="1852"/>
      <c r="M13" s="1853"/>
    </row>
    <row r="14" spans="1:37" ht="18" customHeight="1">
      <c r="A14" s="1201" t="s">
        <v>1031</v>
      </c>
      <c r="B14" s="347" t="s">
        <v>1411</v>
      </c>
      <c r="C14" s="363">
        <f ca="1">INDIRECT("'数据-取费表'!m"&amp;$G$1)+INDIRECT("'数据-取费表'!t"&amp;$G$1)</f>
        <v>1848</v>
      </c>
      <c r="D14" s="1800" t="s">
        <v>1412</v>
      </c>
      <c r="E14" s="1794"/>
      <c r="F14" s="364"/>
      <c r="G14" s="1851"/>
      <c r="H14" s="1201" t="s">
        <v>1032</v>
      </c>
      <c r="I14" s="347" t="s">
        <v>1413</v>
      </c>
      <c r="J14" s="24">
        <f ca="1">C29</f>
        <v>2841</v>
      </c>
      <c r="K14" s="15"/>
      <c r="L14" s="979"/>
      <c r="M14" s="980"/>
    </row>
    <row r="15" spans="1:37" s="1858" customFormat="1" ht="18" customHeight="1" thickBot="1">
      <c r="A15" s="1201" t="s">
        <v>1033</v>
      </c>
      <c r="B15" s="347" t="s">
        <v>1414</v>
      </c>
      <c r="C15" s="24">
        <f ca="1">ROUND(C14*F15,0)</f>
        <v>55</v>
      </c>
      <c r="D15" s="365" t="s">
        <v>1415</v>
      </c>
      <c r="E15" s="365" t="s">
        <v>1416</v>
      </c>
      <c r="F15" s="366">
        <f>'数据-取费表'!B33</f>
        <v>0.03</v>
      </c>
      <c r="G15" s="1854"/>
      <c r="H15" s="1339" t="s">
        <v>1036</v>
      </c>
      <c r="I15" s="1340" t="s">
        <v>1410</v>
      </c>
      <c r="J15" s="1349">
        <f ca="1">INDIRECT("'数据-取费表'!ad"&amp;$G$1)</f>
        <v>0.87</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ROUND(INDIRECT("'数据-取费表'!m"&amp;$G$1)*F16,0)</f>
        <v>0</v>
      </c>
      <c r="D16" s="347" t="s">
        <v>1415</v>
      </c>
      <c r="E16" s="347" t="s">
        <v>1416</v>
      </c>
      <c r="F16" s="367">
        <f ca="1">IF(INDIRECT("'数据-取费表'!c"&amp;$G$1)="住宅",'数据-取费表'!B34,0)</f>
        <v>0</v>
      </c>
      <c r="G16" s="1851"/>
      <c r="H16" s="1329" t="s">
        <v>1027</v>
      </c>
      <c r="I16" s="1330" t="s">
        <v>1418</v>
      </c>
      <c r="J16" s="355">
        <f ca="1">ROUND(J17+J22+J23+J24,0)</f>
        <v>164</v>
      </c>
      <c r="K16" s="1337" t="s">
        <v>1419</v>
      </c>
      <c r="L16" s="1338"/>
      <c r="M16" s="1294"/>
    </row>
    <row r="17" spans="1:37" s="1858" customFormat="1" ht="18" customHeight="1">
      <c r="A17" s="1201" t="s">
        <v>1385</v>
      </c>
      <c r="B17" s="347" t="s">
        <v>1420</v>
      </c>
      <c r="C17" s="24">
        <f ca="1">ROUND(F17*(F43+INDIRECT("'数据-取费表'!S"&amp;$G$1))/10000,0)</f>
        <v>127</v>
      </c>
      <c r="D17" s="347" t="s">
        <v>1421</v>
      </c>
      <c r="E17" s="347" t="s">
        <v>1422</v>
      </c>
      <c r="F17" s="26">
        <f>'数据-取费表'!B35</f>
        <v>220</v>
      </c>
      <c r="G17" s="1854"/>
      <c r="H17" s="1201" t="s">
        <v>1032</v>
      </c>
      <c r="I17" s="347" t="s">
        <v>1423</v>
      </c>
      <c r="J17" s="24">
        <f ca="1">ROUND(IF(项目基本情况!B11="自然人",J6*M17/(1+'数据-取费表'!C42),J18+J19+J20),1)</f>
        <v>105.3</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28</v>
      </c>
      <c r="D18" s="347" t="s">
        <v>1415</v>
      </c>
      <c r="E18" s="347" t="s">
        <v>1416</v>
      </c>
      <c r="F18" s="367">
        <f>'数据-取费表'!B36</f>
        <v>1.4999999999999999E-2</v>
      </c>
      <c r="G18" s="1854"/>
      <c r="H18" s="1201" t="s">
        <v>1031</v>
      </c>
      <c r="I18" s="347" t="s">
        <v>1427</v>
      </c>
      <c r="J18" s="24">
        <f ca="1">ROUND(J6*M18/(1+'数据-取费表'!C42),2)</f>
        <v>33.49</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2058</v>
      </c>
      <c r="D19" s="140" t="s">
        <v>1430</v>
      </c>
      <c r="E19" s="1818"/>
      <c r="F19" s="26"/>
      <c r="G19" s="1851"/>
      <c r="H19" s="1201" t="s">
        <v>1033</v>
      </c>
      <c r="I19" s="347" t="s">
        <v>1431</v>
      </c>
      <c r="J19" s="24">
        <f ca="1">IF(K19="按租金收入计税",ROUND(J6*M19/(1+'数据-取费表'!C42),2),ROUND(C29*M19*0.7,2))</f>
        <v>71.77</v>
      </c>
      <c r="K19" s="1828" t="s">
        <v>3067</v>
      </c>
      <c r="L19" s="347" t="s">
        <v>1416</v>
      </c>
      <c r="M19" s="367">
        <f>IF(K19="按租金收入计税",'数据-取费表'!B51,'数据-取费表'!B50)</f>
        <v>0.12</v>
      </c>
    </row>
    <row r="20" spans="1:37" s="1858" customFormat="1" ht="18" customHeight="1">
      <c r="A20" s="1201" t="s">
        <v>1036</v>
      </c>
      <c r="B20" s="347" t="s">
        <v>1433</v>
      </c>
      <c r="C20" s="24">
        <f ca="1">ROUND(C19*F20,0)</f>
        <v>41</v>
      </c>
      <c r="D20" s="369" t="s">
        <v>1434</v>
      </c>
      <c r="E20" s="347" t="s">
        <v>1416</v>
      </c>
      <c r="F20" s="367">
        <f>'数据-取费表'!B37</f>
        <v>0.02</v>
      </c>
      <c r="G20" s="1854"/>
      <c r="H20" s="1201" t="s">
        <v>1384</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ROUND(J14*M22,1)</f>
        <v>42.6</v>
      </c>
      <c r="K22" s="1798" t="s">
        <v>1444</v>
      </c>
      <c r="L22" s="347" t="s">
        <v>1416</v>
      </c>
      <c r="M22" s="374">
        <f ca="1">INDIRECT("'数据-取费表'!Ak"&amp;$G$1)</f>
        <v>1.4999999999999999E-2</v>
      </c>
    </row>
    <row r="23" spans="1:37" s="1858" customFormat="1" ht="18" customHeight="1">
      <c r="A23" s="1201" t="s">
        <v>1031</v>
      </c>
      <c r="B23" s="347" t="s">
        <v>1445</v>
      </c>
      <c r="C23" s="24">
        <f ca="1">IF('数据-取费表'!B22&lt;=1,ROUND(C19*F24*F23/2,0)+ROUND(C20*F24*F23/2,0),ROUND(C19*(POWER((1+F24),F23/2)-1),0)+ROUND(C20*(POWER((1+F24),F23/2)-1),0))</f>
        <v>100</v>
      </c>
      <c r="D23" s="375" t="str">
        <f>IF(F23&lt;=1,"(建造成本+管理费用)×利率×(建设周期÷2)","(建造成本+管理费用)×((1+利率)^(建设周期÷2)-1)")</f>
        <v>(建造成本+管理费用)×((1+利率)^(建设周期÷2)-1)</v>
      </c>
      <c r="E23" s="347" t="s">
        <v>1446</v>
      </c>
      <c r="F23" s="371">
        <f>'数据-取费表'!B20</f>
        <v>2</v>
      </c>
      <c r="G23" s="1854"/>
      <c r="H23" s="1201" t="s">
        <v>1072</v>
      </c>
      <c r="I23" s="347" t="s">
        <v>1447</v>
      </c>
      <c r="J23" s="24">
        <f ca="1">ROUND(J13*M23,1)</f>
        <v>3.7</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ROUND(J5*M24,1)</f>
        <v>12.6</v>
      </c>
      <c r="K24" s="1342" t="s">
        <v>1453</v>
      </c>
      <c r="L24" s="1340" t="s">
        <v>1449</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1028</v>
      </c>
      <c r="I25" s="1344" t="s">
        <v>1457</v>
      </c>
      <c r="J25" s="355">
        <f ca="1">J5-J16</f>
        <v>465</v>
      </c>
      <c r="K25" s="1345" t="s">
        <v>1458</v>
      </c>
      <c r="L25" s="1346"/>
      <c r="M25" s="1347"/>
    </row>
    <row r="26" spans="1:37">
      <c r="A26" s="1201" t="s">
        <v>1031</v>
      </c>
      <c r="B26" s="347" t="s">
        <v>1459</v>
      </c>
      <c r="C26" s="24">
        <f ca="1">ROUND((C19+C20)*F26,0)</f>
        <v>420</v>
      </c>
      <c r="D26" s="369" t="s">
        <v>1460</v>
      </c>
      <c r="E26" s="358" t="s">
        <v>1461</v>
      </c>
      <c r="F26" s="357">
        <f ca="1">INDIRECT("'数据-取费表'!q"&amp;$G$1)</f>
        <v>0.2</v>
      </c>
      <c r="G26" s="1851"/>
      <c r="H26" s="344" t="s">
        <v>1029</v>
      </c>
      <c r="I26" s="345" t="s">
        <v>1462</v>
      </c>
      <c r="J26" s="346">
        <f ca="1">IF(J5&lt;&gt;0,ROUND(J25*(1-((1+M28)/(1+M26))^M27)/(M26-M28),0),0)</f>
        <v>8878</v>
      </c>
      <c r="K26" s="370" t="s">
        <v>1463</v>
      </c>
      <c r="L26" s="347" t="s">
        <v>1464</v>
      </c>
      <c r="M26" s="357">
        <f ca="1">INDIRECT("'数据-取费表'!I"&amp;$G$1)</f>
        <v>5.5E-2</v>
      </c>
    </row>
    <row r="27" spans="1:37" ht="18" customHeight="1">
      <c r="A27" s="1201" t="s">
        <v>1033</v>
      </c>
      <c r="B27" s="347" t="s">
        <v>1465</v>
      </c>
      <c r="C27" s="24">
        <f ca="1">ROUND(F21*F26,4)</f>
        <v>4.0000000000000001E-3</v>
      </c>
      <c r="D27" s="369" t="s">
        <v>1466</v>
      </c>
      <c r="E27" s="365"/>
      <c r="F27" s="366"/>
      <c r="G27" s="1851"/>
      <c r="H27" s="349"/>
      <c r="I27" s="350"/>
      <c r="J27" s="351"/>
      <c r="K27" s="378" t="s">
        <v>1467</v>
      </c>
      <c r="L27" s="347" t="s">
        <v>1468</v>
      </c>
      <c r="M27" s="379">
        <f ca="1">INDIRECT("'数据-取费表'!ag"&amp;$G$1)</f>
        <v>32.700000000000003</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0.02</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2841</v>
      </c>
      <c r="D29" s="1342"/>
      <c r="E29" s="1340"/>
      <c r="F29" s="1343"/>
      <c r="G29" s="1854"/>
      <c r="H29" s="380" t="s">
        <v>1030</v>
      </c>
      <c r="I29" s="381" t="s">
        <v>1473</v>
      </c>
      <c r="J29" s="382">
        <f ca="1">ROUND(J26/(1+F40)^F41,0)</f>
        <v>6804</v>
      </c>
      <c r="K29" s="383" t="s">
        <v>1474</v>
      </c>
      <c r="L29" s="384"/>
      <c r="M29" s="385">
        <f ca="1">INDIRECT("'数据-取费表'!k"&amp;$G$1)</f>
        <v>5775.17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189</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ROUND(IF(项目基本情况!B11="自然人",C6*F31/(1+'数据-取费表'!C42),C32+C33+C34),1)</f>
        <v>127.6</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IF(项目基本情况!B11="自然人","——",ROUND(C6*F32/(1+'数据-取费表'!C42),2))</f>
        <v>40.590000000000003</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IF(项目基本情况!B11="自然人","——",IF(D33="按租金收入计税",ROUND(C6*F33/(1+'数据-取费表'!C42),2),IF(D33="按房产原值计税",ROUND(C29*F33*0.7,2),INDIRECT("'数据-取费表'!Aj"&amp;$G$1))))</f>
        <v>86.97</v>
      </c>
      <c r="D33" s="1828" t="s">
        <v>3067</v>
      </c>
      <c r="E33" s="347" t="s">
        <v>1416</v>
      </c>
      <c r="F33" s="367">
        <f>IF(D33="按票据","——",IF(D33="按租金收入计税",'数据-取费表'!B51,'数据-取费表'!B50))</f>
        <v>0.12</v>
      </c>
      <c r="G33" s="1851"/>
      <c r="H33" s="1859"/>
      <c r="I33" s="1860"/>
      <c r="J33" s="1861"/>
      <c r="K33" s="1862"/>
      <c r="L33" s="1859"/>
      <c r="M33" s="1859"/>
    </row>
    <row r="34" spans="1:18" ht="18" customHeight="1">
      <c r="A34" s="1291" t="s">
        <v>1384</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1036</v>
      </c>
      <c r="B36" s="347" t="s">
        <v>1443</v>
      </c>
      <c r="C36" s="24">
        <f ca="1">ROUND(C29*F36,1)</f>
        <v>42.6</v>
      </c>
      <c r="D36" s="1798" t="s">
        <v>1476</v>
      </c>
      <c r="E36" s="347" t="s">
        <v>1416</v>
      </c>
      <c r="F36" s="374">
        <f ca="1">INDIRECT("'数据-取费表'!Ak"&amp;$G$1)</f>
        <v>1.4999999999999999E-2</v>
      </c>
      <c r="G36" s="1851"/>
      <c r="H36" s="1859"/>
      <c r="I36" s="1860"/>
      <c r="J36" s="1861"/>
      <c r="K36" s="751"/>
      <c r="L36" s="1859"/>
      <c r="M36" s="1859"/>
    </row>
    <row r="37" spans="1:18" ht="18" customHeight="1">
      <c r="A37" s="1201" t="s">
        <v>1072</v>
      </c>
      <c r="B37" s="347" t="s">
        <v>1447</v>
      </c>
      <c r="C37" s="24">
        <f ca="1">ROUND(C13*F37,1)</f>
        <v>4</v>
      </c>
      <c r="D37" s="1798" t="s">
        <v>1448</v>
      </c>
      <c r="E37" s="347" t="s">
        <v>1449</v>
      </c>
      <c r="F37" s="376">
        <f ca="1">INDIRECT("'数据-取费表'!Al"&amp;$G$1)</f>
        <v>1.5E-3</v>
      </c>
      <c r="G37" s="1851"/>
      <c r="H37" s="1859"/>
      <c r="I37" s="1860"/>
      <c r="J37" s="1861"/>
      <c r="K37" s="751"/>
      <c r="L37" s="1859"/>
      <c r="M37" s="1859"/>
    </row>
    <row r="38" spans="1:18" ht="18" customHeight="1" thickBot="1">
      <c r="A38" s="1339" t="s">
        <v>1388</v>
      </c>
      <c r="B38" s="1340" t="s">
        <v>1433</v>
      </c>
      <c r="C38" s="1341">
        <f ca="1">ROUND(C5*F38,1)</f>
        <v>15.2</v>
      </c>
      <c r="D38" s="1342" t="s">
        <v>1453</v>
      </c>
      <c r="E38" s="1340" t="s">
        <v>1449</v>
      </c>
      <c r="F38" s="1336">
        <f ca="1">INDIRECT("'数据-取费表'!Am"&amp;$G$1)</f>
        <v>0.02</v>
      </c>
      <c r="G38" s="1851"/>
      <c r="H38" s="1859"/>
      <c r="I38" s="1860"/>
      <c r="J38" s="1861"/>
      <c r="K38" s="1865"/>
      <c r="L38" s="1859"/>
      <c r="M38" s="1859"/>
    </row>
    <row r="39" spans="1:18" ht="24.6" customHeight="1" thickTop="1">
      <c r="A39" s="1329" t="s">
        <v>1028</v>
      </c>
      <c r="B39" s="1344" t="s">
        <v>1477</v>
      </c>
      <c r="C39" s="355">
        <f ca="1">C5-C30</f>
        <v>573</v>
      </c>
      <c r="D39" s="1345" t="s">
        <v>1478</v>
      </c>
      <c r="E39" s="1346"/>
      <c r="F39" s="1347"/>
      <c r="G39" s="1851"/>
      <c r="H39" s="1859"/>
      <c r="I39" s="1860"/>
      <c r="J39" s="1861"/>
      <c r="K39" s="1865"/>
      <c r="L39" s="1859"/>
      <c r="M39" s="1859"/>
    </row>
    <row r="40" spans="1:18" ht="18" customHeight="1">
      <c r="A40" s="344" t="s">
        <v>1029</v>
      </c>
      <c r="B40" s="345" t="s">
        <v>1479</v>
      </c>
      <c r="C40" s="346">
        <f ca="1">ROUND(C39*(1-((1+F42)/(1+F40))^F41)/(F40-F42),0)</f>
        <v>2434</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4.97</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f ca="1">ROUND(C40*10000/F43,0)</f>
        <v>4215</v>
      </c>
      <c r="D43" s="383" t="s">
        <v>1482</v>
      </c>
      <c r="E43" s="384" t="s">
        <v>1483</v>
      </c>
      <c r="F43" s="385">
        <f ca="1">INDIRECT("'数据-取费表'!k"&amp;$G$1)</f>
        <v>5775.17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-612</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1391</v>
      </c>
      <c r="B47" s="1197" t="s">
        <v>1392</v>
      </c>
      <c r="C47" s="1367" t="s">
        <v>1393</v>
      </c>
      <c r="D47" s="1197" t="s">
        <v>1394</v>
      </c>
      <c r="E47" s="1279" t="s">
        <v>1395</v>
      </c>
      <c r="F47" s="1280"/>
      <c r="G47" s="792"/>
      <c r="I47" s="1880" t="s">
        <v>1520</v>
      </c>
      <c r="J47" s="1881" t="s">
        <v>3063</v>
      </c>
      <c r="K47" s="1882" t="s">
        <v>1521</v>
      </c>
      <c r="L47" s="1883">
        <f ca="1">INDIRECT("'数据-取费表'!d"&amp;$G$1)</f>
        <v>50</v>
      </c>
      <c r="M47" s="1838" t="str">
        <f>IF(ISNUMBER(FIND("住宅",C1)),"住宅","非住宅")</f>
        <v>非住宅</v>
      </c>
      <c r="O47" s="1884" t="s">
        <v>1037</v>
      </c>
      <c r="P47" s="1885" t="s">
        <v>1522</v>
      </c>
      <c r="Q47" s="1886">
        <f ca="1">C40+J29</f>
        <v>9238</v>
      </c>
      <c r="R47" s="1886" t="s">
        <v>1523</v>
      </c>
    </row>
    <row r="48" spans="1:18" s="1842" customFormat="1" ht="28.5" thickBot="1">
      <c r="A48" s="1360" t="s">
        <v>1132</v>
      </c>
      <c r="B48" s="345" t="s">
        <v>1396</v>
      </c>
      <c r="C48" s="1817">
        <f ca="1">C49+C53+C55</f>
        <v>570</v>
      </c>
      <c r="D48" s="1362"/>
      <c r="E48" s="1363"/>
      <c r="F48" s="1181"/>
      <c r="G48" s="792"/>
      <c r="H48" s="793"/>
      <c r="I48" s="1887" t="s">
        <v>1524</v>
      </c>
      <c r="J48" s="1888" t="s">
        <v>3064</v>
      </c>
      <c r="K48" s="1889" t="s">
        <v>1525</v>
      </c>
      <c r="L48" s="1890">
        <f ca="1">INDIRECT("'数据-取费表'!f"&amp;$G$1)</f>
        <v>37.67</v>
      </c>
      <c r="O48" s="1884" t="s">
        <v>1038</v>
      </c>
      <c r="P48" s="1885" t="s">
        <v>1526</v>
      </c>
      <c r="Q48" s="1886" t="str">
        <f ca="1">J60</f>
        <v>0</v>
      </c>
      <c r="R48" s="1886" t="s">
        <v>1527</v>
      </c>
    </row>
    <row r="49" spans="1:18" s="1842" customFormat="1" ht="13.5" thickBot="1">
      <c r="A49" s="1194" t="s">
        <v>1133</v>
      </c>
      <c r="B49" s="1829" t="s">
        <v>1484</v>
      </c>
      <c r="C49" s="1364">
        <f ca="1">ROUND(F49*F51*F50*(1-F52)/10000,0)</f>
        <v>569</v>
      </c>
      <c r="D49" s="1276" t="s">
        <v>3026</v>
      </c>
      <c r="E49" s="1830" t="s">
        <v>1485</v>
      </c>
      <c r="F49" s="1281">
        <v>3</v>
      </c>
      <c r="G49" s="1891"/>
      <c r="H49" s="793"/>
      <c r="I49" s="1887" t="s">
        <v>1528</v>
      </c>
      <c r="J49" s="1892">
        <v>2016</v>
      </c>
      <c r="K49" s="1889" t="s">
        <v>1529</v>
      </c>
      <c r="L49" s="1893"/>
      <c r="O49" s="1894" t="s">
        <v>1039</v>
      </c>
      <c r="P49" s="1885" t="s">
        <v>1530</v>
      </c>
      <c r="Q49" s="1886">
        <f ca="1">C29</f>
        <v>2841</v>
      </c>
      <c r="R49" s="1886" t="s">
        <v>1523</v>
      </c>
    </row>
    <row r="50" spans="1:18" s="1842" customFormat="1" ht="13.5" thickBot="1">
      <c r="A50" s="1195"/>
      <c r="B50" s="1198"/>
      <c r="C50" s="1368"/>
      <c r="D50" s="1172"/>
      <c r="E50" s="1277" t="s">
        <v>1401</v>
      </c>
      <c r="F50" s="1278">
        <f ca="1">F7</f>
        <v>5775.17</v>
      </c>
      <c r="H50" s="793"/>
      <c r="I50" s="1887" t="s">
        <v>1531</v>
      </c>
      <c r="J50" s="1895">
        <f>SUMPRODUCT((I63:I65=J47)*(J62:L62=J48)*(J63:L65))</f>
        <v>50</v>
      </c>
      <c r="K50" s="1889" t="s">
        <v>1532</v>
      </c>
      <c r="L50" s="1893"/>
      <c r="M50" s="1896"/>
      <c r="O50" s="1894" t="s">
        <v>1040</v>
      </c>
      <c r="P50" s="1885" t="s">
        <v>1533</v>
      </c>
      <c r="Q50" s="1897" t="e">
        <f ca="1">J58</f>
        <v>#VALUE!</v>
      </c>
      <c r="R50" s="1886"/>
    </row>
    <row r="51" spans="1:18" s="1842" customFormat="1" ht="13.5" thickBot="1">
      <c r="A51" s="1196"/>
      <c r="B51" s="1198"/>
      <c r="C51" s="1199"/>
      <c r="D51" s="1172"/>
      <c r="E51" s="1200" t="s">
        <v>1402</v>
      </c>
      <c r="F51" s="348">
        <f ca="1">F8</f>
        <v>365</v>
      </c>
      <c r="I51" s="1898" t="s">
        <v>1534</v>
      </c>
      <c r="J51" s="1899">
        <f>IF(J49="",J50,J49+J50-YEAR('数据-取费表'!B2))</f>
        <v>47</v>
      </c>
      <c r="K51" s="1900" t="s">
        <v>1535</v>
      </c>
      <c r="L51" s="1901">
        <f ca="1">ROUND(-PV(INDIRECT("'数据-取费表'!h"&amp;$G$1),L48,(C39-C13*C76),0),0)</f>
        <v>6181</v>
      </c>
      <c r="M51" s="1902"/>
      <c r="O51" s="1894" t="s">
        <v>1041</v>
      </c>
      <c r="P51" s="1885" t="s">
        <v>1536</v>
      </c>
      <c r="Q51" s="1897">
        <f>J52</f>
        <v>8.5000000000000006E-2</v>
      </c>
      <c r="R51" s="1886"/>
    </row>
    <row r="52" spans="1:18" s="1842" customFormat="1" ht="13.5" thickBot="1">
      <c r="A52" s="1196"/>
      <c r="B52" s="1198"/>
      <c r="C52" s="1199"/>
      <c r="D52" s="1172"/>
      <c r="E52" s="1200" t="s">
        <v>1403</v>
      </c>
      <c r="F52" s="1275">
        <v>0.1</v>
      </c>
      <c r="I52" s="1903" t="s">
        <v>1537</v>
      </c>
      <c r="J52" s="1904">
        <v>8.5000000000000006E-2</v>
      </c>
      <c r="K52" s="1903" t="s">
        <v>1538</v>
      </c>
      <c r="L52" s="1904"/>
      <c r="O52" s="1894" t="s">
        <v>1042</v>
      </c>
      <c r="P52" s="1885" t="s">
        <v>1539</v>
      </c>
      <c r="Q52" s="1886">
        <f ca="1">J53</f>
        <v>37.67</v>
      </c>
      <c r="R52" s="1886" t="s">
        <v>1540</v>
      </c>
    </row>
    <row r="53" spans="1:18" s="1842" customFormat="1" ht="24.75" thickBot="1">
      <c r="A53" s="1405" t="s">
        <v>1134</v>
      </c>
      <c r="B53" s="1831" t="s">
        <v>1404</v>
      </c>
      <c r="C53" s="361">
        <f ca="1">ROUND(IF(F53="押一",C49/12*F11,IF(F53="押二",C49/12*2*F11,IF(F53="押三",C49/12*3*F11,C54*F11))),0)</f>
        <v>1</v>
      </c>
      <c r="D53" s="1824" t="s">
        <v>3033</v>
      </c>
      <c r="E53" s="358" t="s">
        <v>1405</v>
      </c>
      <c r="F53" s="1366" t="s">
        <v>3066</v>
      </c>
      <c r="I53" s="1905" t="s">
        <v>1541</v>
      </c>
      <c r="J53" s="2949">
        <f ca="1">IF(M47="住宅",IF(D1="——",MAX(J51,L48),MAX(J51,L48-'数据-取费表'!B24)),IF(D1="——",MIN(J51,L48),MIN(J51,L48-'数据-取费表'!B24)))</f>
        <v>37.67</v>
      </c>
      <c r="K53" s="3195" t="s">
        <v>1542</v>
      </c>
      <c r="L53" s="3196"/>
      <c r="O53" s="1884" t="s">
        <v>1043</v>
      </c>
      <c r="P53" s="1885" t="s">
        <v>1543</v>
      </c>
      <c r="Q53" s="1886">
        <f ca="1">Q47+Q48</f>
        <v>9238</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2699</v>
      </c>
      <c r="D56" s="1913"/>
      <c r="E56" s="1914"/>
      <c r="F56" s="1906"/>
      <c r="I56" s="1915" t="s">
        <v>1548</v>
      </c>
      <c r="J56" s="1916" t="s">
        <v>3055</v>
      </c>
      <c r="K56" s="1887" t="s">
        <v>1549</v>
      </c>
      <c r="L56" s="1890" t="str">
        <f ca="1">IF(L48&lt;J51,"——",L48-J53)</f>
        <v>——</v>
      </c>
      <c r="O56" s="1884" t="s">
        <v>1037</v>
      </c>
      <c r="P56" s="1885" t="s">
        <v>1522</v>
      </c>
      <c r="Q56" s="1886">
        <f ca="1">C40+J29</f>
        <v>9238</v>
      </c>
      <c r="R56" s="1886" t="s">
        <v>1523</v>
      </c>
    </row>
    <row r="57" spans="1:18" s="1842" customFormat="1" ht="24.75" thickBot="1">
      <c r="A57" s="1917"/>
      <c r="B57" s="1169" t="s">
        <v>1472</v>
      </c>
      <c r="C57" s="282">
        <f ca="1">C29</f>
        <v>2841</v>
      </c>
      <c r="D57" s="1918"/>
      <c r="E57" s="1919"/>
      <c r="F57" s="1920"/>
      <c r="I57" s="1921" t="s">
        <v>1550</v>
      </c>
      <c r="J57" s="1922" t="str">
        <f ca="1">IF(OR(M47="住宅",J51&lt;L48,J56="是"),"——",J51-L48)</f>
        <v>——</v>
      </c>
      <c r="K57" s="1887" t="s">
        <v>1551</v>
      </c>
      <c r="L57" s="1890" t="str">
        <f ca="1">IF(L48&lt;J51,"——",IF(L55="比较法",L49,IF(L55="基准地价",L50,L51)))</f>
        <v>——</v>
      </c>
      <c r="O57" s="1884" t="s">
        <v>1038</v>
      </c>
      <c r="P57" s="1885" t="s">
        <v>1552</v>
      </c>
      <c r="Q57" s="1886">
        <f ca="1">L60</f>
        <v>0</v>
      </c>
      <c r="R57" s="1886" t="s">
        <v>1553</v>
      </c>
    </row>
    <row r="58" spans="1:18" s="1842" customFormat="1" ht="24.75" thickBot="1">
      <c r="A58" s="360" t="s">
        <v>1027</v>
      </c>
      <c r="B58" s="1177" t="s">
        <v>1418</v>
      </c>
      <c r="C58" s="361">
        <f ca="1">ROUND(C59+C64+C65+C66,0)</f>
        <v>157</v>
      </c>
      <c r="D58" s="1179" t="s">
        <v>1419</v>
      </c>
      <c r="E58" s="1180"/>
      <c r="F58" s="1181"/>
      <c r="I58" s="1921" t="s">
        <v>1554</v>
      </c>
      <c r="J58" s="1923" t="e">
        <f ca="1">IF(J55&lt;0.4,0.4,J55)</f>
        <v>#VALUE!</v>
      </c>
      <c r="K58" s="1900" t="s">
        <v>1555</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ROUND(IF(项目基本情况!B11="自然人",C48*F59,C60+C61+C62),1)</f>
        <v>98.8</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IF(项目基本情况!B11="自然人","——",ROUND(C48*F60/(1+'数据-取费表'!C42),2))</f>
        <v>30.4</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68.400000000000006</v>
      </c>
      <c r="D61" s="1828" t="s">
        <v>3067</v>
      </c>
      <c r="E61" s="1169" t="s">
        <v>1488</v>
      </c>
      <c r="F61" s="367">
        <f t="shared" si="0"/>
        <v>0.12</v>
      </c>
      <c r="I61" s="1927"/>
      <c r="J61" s="1927"/>
      <c r="K61" s="1927"/>
      <c r="L61" s="1927"/>
      <c r="O61" s="1894" t="s">
        <v>1042</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1043</v>
      </c>
      <c r="P62" s="1885" t="s">
        <v>1569</v>
      </c>
      <c r="Q62" s="1886">
        <f ca="1">Q56+Q57</f>
        <v>9238</v>
      </c>
      <c r="R62" s="1886" t="s">
        <v>1044</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42.6</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4</v>
      </c>
      <c r="D65" s="1183" t="s">
        <v>1448</v>
      </c>
      <c r="E65" s="1169" t="s">
        <v>1449</v>
      </c>
      <c r="F65" s="376">
        <f t="shared" ca="1" si="0"/>
        <v>1.5E-3</v>
      </c>
      <c r="I65" s="1928" t="s">
        <v>1573</v>
      </c>
      <c r="J65" s="1929">
        <v>40</v>
      </c>
      <c r="K65" s="1929">
        <v>30</v>
      </c>
      <c r="L65" s="1929">
        <v>50</v>
      </c>
      <c r="M65" s="1931">
        <v>0.02</v>
      </c>
      <c r="O65" s="1884" t="s">
        <v>1037</v>
      </c>
      <c r="P65" s="1885" t="s">
        <v>1574</v>
      </c>
      <c r="Q65" s="1886">
        <f ca="1">C40+J29</f>
        <v>9238</v>
      </c>
      <c r="R65" s="1886" t="s">
        <v>1523</v>
      </c>
    </row>
    <row r="66" spans="1:18" s="1842" customFormat="1" ht="16.5" thickBot="1">
      <c r="A66" s="1201" t="s">
        <v>1498</v>
      </c>
      <c r="B66" s="1169" t="s">
        <v>1433</v>
      </c>
      <c r="C66" s="24">
        <f ca="1">ROUND(C48*F66,1)</f>
        <v>11.4</v>
      </c>
      <c r="D66" s="1183" t="s">
        <v>1499</v>
      </c>
      <c r="E66" s="1169" t="s">
        <v>1416</v>
      </c>
      <c r="F66" s="357">
        <f t="shared" ca="1" si="0"/>
        <v>0.02</v>
      </c>
      <c r="O66" s="1884" t="s">
        <v>1038</v>
      </c>
      <c r="P66" s="1885" t="s">
        <v>1552</v>
      </c>
      <c r="Q66" s="1886">
        <f ca="1">L60</f>
        <v>0</v>
      </c>
      <c r="R66" s="1886" t="s">
        <v>1575</v>
      </c>
    </row>
    <row r="67" spans="1:18" s="1842" customFormat="1" ht="16.5" thickBot="1">
      <c r="A67" s="1176" t="s">
        <v>1028</v>
      </c>
      <c r="B67" s="1186" t="s">
        <v>1457</v>
      </c>
      <c r="C67" s="361">
        <f ca="1">C48-C58</f>
        <v>413</v>
      </c>
      <c r="D67" s="1182" t="s">
        <v>1458</v>
      </c>
      <c r="E67" s="1187"/>
      <c r="F67" s="1188"/>
      <c r="O67" s="1894" t="s">
        <v>1039</v>
      </c>
      <c r="P67" s="1885" t="s">
        <v>1556</v>
      </c>
      <c r="Q67" s="1932">
        <f ca="1">L51</f>
        <v>6181</v>
      </c>
      <c r="R67" s="1886" t="s">
        <v>1576</v>
      </c>
    </row>
    <row r="68" spans="1:18" s="1842" customFormat="1" ht="16.5" thickBot="1">
      <c r="A68" s="1166" t="s">
        <v>1029</v>
      </c>
      <c r="B68" s="1167" t="s">
        <v>1479</v>
      </c>
      <c r="C68" s="346">
        <f ca="1">ROUND(C67*(1-((1+F70)/(1+F68))^F69)/(F68-F70),0)</f>
        <v>1822</v>
      </c>
      <c r="D68" s="1184" t="s">
        <v>1463</v>
      </c>
      <c r="E68" s="1169" t="s">
        <v>1464</v>
      </c>
      <c r="F68" s="357">
        <f ca="1">F40</f>
        <v>5.5E-2</v>
      </c>
      <c r="O68" s="1894" t="s">
        <v>1040</v>
      </c>
      <c r="P68" s="1933" t="s">
        <v>1577</v>
      </c>
      <c r="Q68" s="1886">
        <f ca="1">ROUND(Q69-Q70*Q71,0)</f>
        <v>344</v>
      </c>
      <c r="R68" s="1886" t="s">
        <v>1048</v>
      </c>
    </row>
    <row r="69" spans="1:18" s="1842" customFormat="1" ht="13.5" thickBot="1">
      <c r="A69" s="1170"/>
      <c r="B69" s="1171"/>
      <c r="C69" s="351"/>
      <c r="D69" s="1189" t="s">
        <v>1467</v>
      </c>
      <c r="E69" s="1169" t="s">
        <v>1468</v>
      </c>
      <c r="F69" s="379">
        <f ca="1">F41</f>
        <v>4.97</v>
      </c>
      <c r="O69" s="1894" t="s">
        <v>1045</v>
      </c>
      <c r="P69" s="1933" t="s">
        <v>1578</v>
      </c>
      <c r="Q69" s="1886">
        <f ca="1">C39</f>
        <v>573</v>
      </c>
      <c r="R69" s="1886" t="s">
        <v>1523</v>
      </c>
    </row>
    <row r="70" spans="1:18" s="1842" customFormat="1" ht="13.5" thickBot="1">
      <c r="A70" s="1173"/>
      <c r="B70" s="1174"/>
      <c r="C70" s="355"/>
      <c r="D70" s="1185"/>
      <c r="E70" s="1169" t="s">
        <v>1471</v>
      </c>
      <c r="F70" s="1275">
        <v>0.02</v>
      </c>
      <c r="O70" s="1894" t="s">
        <v>1046</v>
      </c>
      <c r="P70" s="1933" t="s">
        <v>1579</v>
      </c>
      <c r="Q70" s="1886">
        <f ca="1">C13</f>
        <v>2699</v>
      </c>
      <c r="R70" s="1886" t="s">
        <v>1523</v>
      </c>
    </row>
    <row r="71" spans="1:18" s="1842" customFormat="1" ht="13.5" thickBot="1">
      <c r="A71" s="1190" t="s">
        <v>1030</v>
      </c>
      <c r="B71" s="1191" t="s">
        <v>1481</v>
      </c>
      <c r="C71" s="382">
        <f ca="1">ROUND(C68*10000/F71,0)</f>
        <v>3155</v>
      </c>
      <c r="D71" s="1192" t="s">
        <v>1482</v>
      </c>
      <c r="E71" s="1193" t="s">
        <v>1483</v>
      </c>
      <c r="F71" s="385">
        <f ca="1">F43</f>
        <v>5775.17</v>
      </c>
      <c r="O71" s="1894" t="s">
        <v>1047</v>
      </c>
      <c r="P71" s="1933" t="s">
        <v>1580</v>
      </c>
      <c r="Q71" s="1897">
        <f ca="1">C76</f>
        <v>8.5000000000000006E-2</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建筑物剩余耐用年限下的土地年期修正系数Kn</v>
      </c>
      <c r="Q74" s="1886" t="e">
        <f ca="1">L59</f>
        <v>#DIV/0!</v>
      </c>
      <c r="R74" s="1886" t="s">
        <v>1563</v>
      </c>
    </row>
    <row r="75" spans="1:18" ht="13.5" thickBot="1">
      <c r="A75" s="1842"/>
      <c r="B75" s="386" t="s">
        <v>1500</v>
      </c>
      <c r="C75" s="387">
        <f ca="1">ROUND(C13*C76,0)</f>
        <v>229</v>
      </c>
      <c r="D75" s="1842"/>
      <c r="E75" s="1842"/>
      <c r="F75" s="1842"/>
      <c r="K75" s="1868"/>
      <c r="L75" s="1842"/>
      <c r="O75" s="1884" t="s">
        <v>1043</v>
      </c>
      <c r="P75" s="1885" t="s">
        <v>1543</v>
      </c>
      <c r="Q75" s="1886">
        <f ca="1">Q65+Q66</f>
        <v>9238</v>
      </c>
      <c r="R75" s="1886" t="s">
        <v>1044</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0.6</v>
      </c>
    </row>
    <row r="80" spans="1:18">
      <c r="B80" s="386" t="s">
        <v>1505</v>
      </c>
      <c r="C80" s="318">
        <f ca="1">ROUND(C75/C39,3)</f>
        <v>0.4</v>
      </c>
    </row>
    <row r="81" spans="2:3">
      <c r="B81" s="314" t="s">
        <v>1506</v>
      </c>
      <c r="C81" s="282"/>
    </row>
    <row r="82" spans="2:3">
      <c r="B82" s="317" t="s">
        <v>1507</v>
      </c>
      <c r="C82" s="319">
        <f ca="1">1-C83</f>
        <v>-0.10899999999999999</v>
      </c>
    </row>
    <row r="83" spans="2:3">
      <c r="B83" s="317" t="s">
        <v>1508</v>
      </c>
      <c r="C83" s="318">
        <f ca="1">ROUND(C13/C40,3)</f>
        <v>1.109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abSelected="1" workbookViewId="0">
      <selection activeCell="N28" sqref="N28"/>
    </sheetView>
  </sheetViews>
  <sheetFormatPr defaultRowHeight="13.5"/>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5"/>
  <sheetViews>
    <sheetView workbookViewId="0">
      <selection activeCell="C3" sqref="C3"/>
    </sheetView>
  </sheetViews>
  <sheetFormatPr defaultRowHeight="13.5"/>
  <cols>
    <col min="4" max="4" width="11.625" bestFit="1" customWidth="1"/>
    <col min="5" max="5" width="9.5" bestFit="1" customWidth="1"/>
  </cols>
  <sheetData>
    <row r="3" spans="1:8">
      <c r="A3">
        <v>2019</v>
      </c>
      <c r="B3">
        <v>7623224.4000000004</v>
      </c>
      <c r="C3">
        <f>B3/365/'数据-汇总表'!F19</f>
        <v>3.6164383561643838</v>
      </c>
    </row>
    <row r="4" spans="1:8">
      <c r="A4">
        <v>2020</v>
      </c>
      <c r="B4">
        <v>7623224.4000000004</v>
      </c>
    </row>
    <row r="5" spans="1:8">
      <c r="A5">
        <v>2021</v>
      </c>
      <c r="B5">
        <f>B3</f>
        <v>7623224.4000000004</v>
      </c>
    </row>
    <row r="6" spans="1:8">
      <c r="A6">
        <v>2022</v>
      </c>
      <c r="B6">
        <f>B3</f>
        <v>7623224.4000000004</v>
      </c>
    </row>
    <row r="7" spans="1:8">
      <c r="A7">
        <v>2023</v>
      </c>
      <c r="B7">
        <f>B4</f>
        <v>7623224.4000000004</v>
      </c>
    </row>
    <row r="8" spans="1:8">
      <c r="A8">
        <v>2024</v>
      </c>
      <c r="B8">
        <v>762324.4</v>
      </c>
    </row>
    <row r="9" spans="1:8">
      <c r="C9" s="2954" t="s">
        <v>3075</v>
      </c>
      <c r="D9" s="2954" t="s">
        <v>3076</v>
      </c>
      <c r="E9" s="2954" t="s">
        <v>3077</v>
      </c>
      <c r="F9" s="2954" t="s">
        <v>3078</v>
      </c>
      <c r="G9" s="2955"/>
      <c r="H9" s="2955"/>
    </row>
    <row r="10" spans="1:8">
      <c r="C10" s="2955">
        <v>7296</v>
      </c>
      <c r="D10" s="2955">
        <f>C10*'数据-汇总表'!F19/10000</f>
        <v>4213.5640320000002</v>
      </c>
      <c r="E10" s="2956">
        <f>4213.56+700</f>
        <v>4913.5600000000004</v>
      </c>
      <c r="F10" s="2955">
        <f>E10/'数据-汇总表'!F19*10000</f>
        <v>8508.0785500686561</v>
      </c>
      <c r="G10" s="2955"/>
      <c r="H10" s="2954" t="s">
        <v>3079</v>
      </c>
    </row>
    <row r="11" spans="1:8">
      <c r="C11" s="2955"/>
      <c r="D11" s="2955"/>
      <c r="E11" s="2955">
        <f ca="1">结果表!G19</f>
        <v>6537</v>
      </c>
      <c r="F11" s="2955"/>
      <c r="G11" s="2955"/>
      <c r="H11" s="2955">
        <f ca="1">ROUND(E11/'数据-汇总表'!F19*10000,0)</f>
        <v>11319</v>
      </c>
    </row>
    <row r="12" spans="1:8">
      <c r="C12" s="2955"/>
      <c r="D12" s="2955"/>
      <c r="E12" s="2955"/>
      <c r="F12" s="2955"/>
      <c r="G12" s="2955"/>
      <c r="H12" s="2955"/>
    </row>
    <row r="13" spans="1:8">
      <c r="C13" s="2955"/>
      <c r="D13" s="2955"/>
      <c r="E13" s="2955"/>
      <c r="F13" s="2955"/>
      <c r="G13" s="2955"/>
      <c r="H13" s="2955"/>
    </row>
    <row r="14" spans="1:8">
      <c r="C14" s="2955"/>
      <c r="D14" s="2955"/>
      <c r="E14" s="2954" t="s">
        <v>3080</v>
      </c>
      <c r="F14" s="2955"/>
      <c r="G14" s="2955"/>
      <c r="H14" s="2955"/>
    </row>
    <row r="15" spans="1:8">
      <c r="C15" s="2955"/>
      <c r="D15" s="2955"/>
      <c r="E15" s="2957">
        <f ca="1">E11/E10-1</f>
        <v>0.33039995441187231</v>
      </c>
      <c r="F15" s="2955"/>
      <c r="G15" s="2955"/>
      <c r="H15" s="2955"/>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1032</v>
      </c>
      <c r="B6" s="3197" t="s">
        <v>1398</v>
      </c>
      <c r="C6" s="1296">
        <f ca="1">ROUND(F6*F8*F7*(1-F9),0)</f>
        <v>0</v>
      </c>
      <c r="D6" s="164" t="s">
        <v>3022</v>
      </c>
      <c r="E6" s="347" t="s">
        <v>1400</v>
      </c>
      <c r="F6" s="348">
        <f ca="1">INDIRECT("'数据-取费表'!u"&amp;$G$1)</f>
        <v>0</v>
      </c>
      <c r="G6" s="1851"/>
      <c r="H6" s="1291" t="s">
        <v>1032</v>
      </c>
      <c r="I6" s="3197" t="s">
        <v>1398</v>
      </c>
      <c r="J6" s="346">
        <f ca="1">ROUND(M6*M8*M7*(1-M9),0)</f>
        <v>0</v>
      </c>
      <c r="K6" s="1834" t="s">
        <v>3023</v>
      </c>
      <c r="L6" s="347" t="s">
        <v>1400</v>
      </c>
      <c r="M6" s="348">
        <f ca="1">INDIRECT("'数据-取费表'!z"&amp;$G$1)</f>
        <v>0</v>
      </c>
    </row>
    <row r="7" spans="1:37" ht="18" customHeight="1">
      <c r="A7" s="1295"/>
      <c r="B7" s="3198"/>
      <c r="C7" s="1297"/>
      <c r="D7" s="352"/>
      <c r="E7" s="1298" t="s">
        <v>1401</v>
      </c>
      <c r="F7" s="348">
        <f ca="1">IF(INDIRECT("'数据-取费表'!ah"&amp;$G$1)="",INDIRECT("'数据-取费表'!k"&amp;$G$1),INDIRECT("'数据-取费表'!ah"&amp;$G$1))</f>
        <v>0</v>
      </c>
      <c r="G7" s="1851"/>
      <c r="H7" s="349"/>
      <c r="I7" s="3198"/>
      <c r="J7" s="351"/>
      <c r="K7" s="352"/>
      <c r="L7" s="347" t="s">
        <v>1401</v>
      </c>
      <c r="M7" s="348">
        <f ca="1">F7</f>
        <v>0</v>
      </c>
    </row>
    <row r="8" spans="1:37" ht="18" customHeight="1">
      <c r="A8" s="349"/>
      <c r="B8" s="3198"/>
      <c r="C8" s="351"/>
      <c r="D8" s="352"/>
      <c r="E8" s="347" t="s">
        <v>1402</v>
      </c>
      <c r="F8" s="348">
        <f ca="1">INDIRECT("'数据-取费表'!ai"&amp;$G$1)</f>
        <v>0</v>
      </c>
      <c r="G8" s="1851"/>
      <c r="H8" s="349"/>
      <c r="I8" s="3198"/>
      <c r="J8" s="351"/>
      <c r="K8" s="352"/>
      <c r="L8" s="347" t="s">
        <v>1402</v>
      </c>
      <c r="M8" s="348">
        <f ca="1">INDIRECT("'数据-取费表'!ai"&amp;$G$1)</f>
        <v>0</v>
      </c>
    </row>
    <row r="9" spans="1:37" ht="18" customHeight="1">
      <c r="A9" s="349"/>
      <c r="B9" s="3199"/>
      <c r="C9" s="351"/>
      <c r="D9" s="352"/>
      <c r="E9" s="347" t="s">
        <v>1403</v>
      </c>
      <c r="F9" s="357">
        <f ca="1">INDIRECT("'数据-取费表'!w"&amp;$G$1)</f>
        <v>0</v>
      </c>
      <c r="G9" s="1851"/>
      <c r="H9" s="349"/>
      <c r="I9" s="319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3033</v>
      </c>
      <c r="E10" s="358" t="s">
        <v>1405</v>
      </c>
      <c r="F10" s="1366"/>
      <c r="G10" s="1851"/>
      <c r="H10" s="1291" t="s">
        <v>1036</v>
      </c>
      <c r="I10" s="1823" t="s">
        <v>1404</v>
      </c>
      <c r="J10" s="346">
        <f ca="1">ROUND(IF(M10="押一",J6/12*M11,IF(M10="押二",J6/12*2*M11,IF(M10="押三",J6/12*3*M11,J11*M11))),0)</f>
        <v>0</v>
      </c>
      <c r="K10" s="1835" t="s">
        <v>3035</v>
      </c>
      <c r="L10" s="358" t="s">
        <v>1405</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1031</v>
      </c>
      <c r="B14" s="347" t="s">
        <v>1411</v>
      </c>
      <c r="C14" s="363">
        <f ca="1">ROUND(INDIRECT("'数据-取费表'!l"&amp;$G$1)*F43+'数据-取费表'!L14*INDIRECT("'数据-取费表'!S"&amp;$G$1),0)</f>
        <v>0</v>
      </c>
      <c r="D14" s="1800" t="s">
        <v>1412</v>
      </c>
      <c r="E14" s="1794"/>
      <c r="F14" s="364"/>
      <c r="G14" s="1851"/>
      <c r="H14" s="1201" t="s">
        <v>1032</v>
      </c>
      <c r="I14" s="347" t="s">
        <v>1413</v>
      </c>
      <c r="J14" s="24">
        <f ca="1">C29</f>
        <v>0</v>
      </c>
      <c r="K14" s="15"/>
      <c r="L14" s="979"/>
      <c r="M14" s="980"/>
    </row>
    <row r="15" spans="1:37" s="1858" customFormat="1" ht="18" customHeight="1" thickBot="1">
      <c r="A15" s="1201" t="s">
        <v>1033</v>
      </c>
      <c r="B15" s="347" t="s">
        <v>1414</v>
      </c>
      <c r="C15" s="24">
        <f ca="1">ROUND(C14*F15,0)</f>
        <v>0</v>
      </c>
      <c r="D15" s="365" t="s">
        <v>1415</v>
      </c>
      <c r="E15" s="365" t="s">
        <v>1416</v>
      </c>
      <c r="F15" s="366">
        <f>'数据-取费表'!B33</f>
        <v>0.03</v>
      </c>
      <c r="G15" s="1854"/>
      <c r="H15" s="1339" t="s">
        <v>1036</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ROUND(INDIRECT("'数据-取费表'!l"&amp;$G$1)*F43*F16,0)</f>
        <v>0</v>
      </c>
      <c r="D16" s="347" t="s">
        <v>1415</v>
      </c>
      <c r="E16" s="347" t="s">
        <v>1416</v>
      </c>
      <c r="F16" s="367">
        <f ca="1">IF(INDIRECT("'数据-取费表'!c"&amp;$G$1)="住宅",'数据-取费表'!B34,0)</f>
        <v>0</v>
      </c>
      <c r="G16" s="1851"/>
      <c r="H16" s="1329" t="s">
        <v>1027</v>
      </c>
      <c r="I16" s="1330" t="s">
        <v>1418</v>
      </c>
      <c r="J16" s="355">
        <f ca="1">ROUND(J17+J22+J23+J24,0)</f>
        <v>0</v>
      </c>
      <c r="K16" s="1337" t="s">
        <v>1419</v>
      </c>
      <c r="L16" s="1338"/>
      <c r="M16" s="1294"/>
    </row>
    <row r="17" spans="1:37" s="1858" customFormat="1" ht="18" customHeight="1">
      <c r="A17" s="1201" t="s">
        <v>1385</v>
      </c>
      <c r="B17" s="347" t="s">
        <v>1420</v>
      </c>
      <c r="C17" s="24">
        <f ca="1">ROUND(F17*(F43+INDIRECT("'数据-取费表'!S"&amp;$G$1)),0)</f>
        <v>0</v>
      </c>
      <c r="D17" s="347" t="s">
        <v>1421</v>
      </c>
      <c r="E17" s="347" t="s">
        <v>1422</v>
      </c>
      <c r="F17" s="26">
        <f>'数据-取费表'!B35</f>
        <v>220</v>
      </c>
      <c r="G17" s="1854"/>
      <c r="H17" s="1201" t="s">
        <v>1032</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0</v>
      </c>
      <c r="D18" s="347" t="s">
        <v>1415</v>
      </c>
      <c r="E18" s="347" t="s">
        <v>1416</v>
      </c>
      <c r="F18" s="367">
        <f>'数据-取费表'!B36</f>
        <v>1.4999999999999999E-2</v>
      </c>
      <c r="G18" s="1854"/>
      <c r="H18" s="1201" t="s">
        <v>1031</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0</v>
      </c>
      <c r="D19" s="140" t="s">
        <v>1430</v>
      </c>
      <c r="E19" s="1818"/>
      <c r="F19" s="26"/>
      <c r="G19" s="1851"/>
      <c r="H19" s="1201" t="s">
        <v>1033</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1036</v>
      </c>
      <c r="B20" s="347" t="s">
        <v>1433</v>
      </c>
      <c r="C20" s="24">
        <f ca="1">ROUND(C19*F20,0)</f>
        <v>0</v>
      </c>
      <c r="D20" s="369" t="s">
        <v>1434</v>
      </c>
      <c r="E20" s="347" t="s">
        <v>1416</v>
      </c>
      <c r="F20" s="367">
        <f>'数据-取费表'!B37</f>
        <v>0.02</v>
      </c>
      <c r="G20" s="1854"/>
      <c r="H20" s="1201" t="s">
        <v>1384</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ROUND(J14*M22,0)</f>
        <v>0</v>
      </c>
      <c r="K22" s="1798" t="s">
        <v>1444</v>
      </c>
      <c r="L22" s="347" t="s">
        <v>1416</v>
      </c>
      <c r="M22" s="374">
        <f ca="1">INDIRECT("'数据-取费表'!Ak"&amp;$G$1)</f>
        <v>0</v>
      </c>
    </row>
    <row r="23" spans="1:37" s="1858" customFormat="1" ht="18" customHeight="1">
      <c r="A23" s="1201" t="s">
        <v>1031</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1072</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1028</v>
      </c>
      <c r="I25" s="1344" t="s">
        <v>1457</v>
      </c>
      <c r="J25" s="355">
        <f ca="1">J5-J16</f>
        <v>0</v>
      </c>
      <c r="K25" s="1345" t="s">
        <v>1458</v>
      </c>
      <c r="L25" s="1346"/>
      <c r="M25" s="1347"/>
    </row>
    <row r="26" spans="1:37" ht="18" customHeight="1">
      <c r="A26" s="1201" t="s">
        <v>1031</v>
      </c>
      <c r="B26" s="347" t="s">
        <v>1459</v>
      </c>
      <c r="C26" s="24">
        <f ca="1">ROUND((C19+C20)*F26,0)</f>
        <v>0</v>
      </c>
      <c r="D26" s="369" t="s">
        <v>1460</v>
      </c>
      <c r="E26" s="358" t="s">
        <v>1461</v>
      </c>
      <c r="F26" s="357">
        <f ca="1">INDIRECT("'数据-取费表'!q"&amp;$G$1)</f>
        <v>0</v>
      </c>
      <c r="G26" s="1851"/>
      <c r="H26" s="344" t="s">
        <v>1029</v>
      </c>
      <c r="I26" s="345" t="s">
        <v>1462</v>
      </c>
      <c r="J26" s="346">
        <f ca="1">IF(J5&lt;&gt;0,ROUND(J25*(1-((1+M28)/(1+M26))^M27)/(M26-M28),0),0)</f>
        <v>0</v>
      </c>
      <c r="K26" s="370" t="s">
        <v>1463</v>
      </c>
      <c r="L26" s="347" t="s">
        <v>1464</v>
      </c>
      <c r="M26" s="357">
        <f ca="1">INDIRECT("'数据-取费表'!I"&amp;$G$1)</f>
        <v>0</v>
      </c>
    </row>
    <row r="27" spans="1:37" ht="18" customHeight="1">
      <c r="A27" s="1201" t="s">
        <v>1033</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0</v>
      </c>
      <c r="D29" s="1342"/>
      <c r="E29" s="1340"/>
      <c r="F29" s="1343"/>
      <c r="G29" s="1854"/>
      <c r="H29" s="380" t="s">
        <v>1030</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0</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1384</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1036</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1072</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1388</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1028</v>
      </c>
      <c r="B39" s="1344" t="s">
        <v>1477</v>
      </c>
      <c r="C39" s="355">
        <f ca="1">C5-C30</f>
        <v>0</v>
      </c>
      <c r="D39" s="1345" t="s">
        <v>1478</v>
      </c>
      <c r="E39" s="1346"/>
      <c r="F39" s="1347"/>
      <c r="G39" s="1851"/>
      <c r="H39" s="1859"/>
      <c r="I39" s="1860"/>
      <c r="J39" s="1861"/>
      <c r="K39" s="1865"/>
      <c r="L39" s="1859"/>
      <c r="M39" s="1859"/>
    </row>
    <row r="40" spans="1:18" ht="18" customHeight="1">
      <c r="A40" s="344" t="s">
        <v>1029</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1391</v>
      </c>
      <c r="B47" s="1197" t="s">
        <v>1392</v>
      </c>
      <c r="C47" s="1197" t="s">
        <v>1393</v>
      </c>
      <c r="D47" s="1197" t="s">
        <v>1394</v>
      </c>
      <c r="E47" s="1279" t="s">
        <v>1395</v>
      </c>
      <c r="F47" s="1280"/>
      <c r="G47" s="792"/>
      <c r="I47" s="1880" t="s">
        <v>1520</v>
      </c>
      <c r="J47" s="1881"/>
      <c r="K47" s="1882" t="s">
        <v>1521</v>
      </c>
      <c r="L47" s="1883">
        <f ca="1">INDIRECT("'数据-取费表'!d"&amp;$G$1)</f>
        <v>0</v>
      </c>
      <c r="M47" s="1838" t="str">
        <f>IF(ISNUMBER(FIND("住宅",C1)),"住宅","非住宅")</f>
        <v>非住宅</v>
      </c>
      <c r="O47" s="1884" t="s">
        <v>1037</v>
      </c>
      <c r="P47" s="1885" t="s">
        <v>1522</v>
      </c>
      <c r="Q47" s="1886" t="e">
        <f ca="1">C40+J29</f>
        <v>#DIV/0!</v>
      </c>
      <c r="R47" s="1886" t="s">
        <v>1523</v>
      </c>
    </row>
    <row r="48" spans="1:18" s="1842" customFormat="1" ht="28.5" thickBot="1">
      <c r="A48" s="1360" t="s">
        <v>1132</v>
      </c>
      <c r="B48" s="345" t="s">
        <v>1396</v>
      </c>
      <c r="C48" s="1817">
        <f ca="1">C49+C53+C55</f>
        <v>0</v>
      </c>
      <c r="D48" s="1362"/>
      <c r="E48" s="1363"/>
      <c r="F48" s="1181"/>
      <c r="G48" s="792"/>
      <c r="H48" s="793"/>
      <c r="I48" s="1887" t="s">
        <v>1524</v>
      </c>
      <c r="J48" s="1888"/>
      <c r="K48" s="1889" t="s">
        <v>1525</v>
      </c>
      <c r="L48" s="1890">
        <f ca="1">INDIRECT("'数据-取费表'!f"&amp;$G$1)</f>
        <v>0</v>
      </c>
      <c r="O48" s="1884" t="s">
        <v>1038</v>
      </c>
      <c r="P48" s="1885" t="s">
        <v>1526</v>
      </c>
      <c r="Q48" s="1886" t="e">
        <f ca="1">J60</f>
        <v>#DIV/0!</v>
      </c>
      <c r="R48" s="1886" t="s">
        <v>1527</v>
      </c>
    </row>
    <row r="49" spans="1:18" s="1842" customFormat="1" ht="13.5" thickBot="1">
      <c r="A49" s="1194" t="s">
        <v>1133</v>
      </c>
      <c r="B49" s="1829" t="s">
        <v>1484</v>
      </c>
      <c r="C49" s="1364">
        <f ca="1">ROUND(F49*F51*F50*(1-F52),0)</f>
        <v>0</v>
      </c>
      <c r="D49" s="1276" t="s">
        <v>1399</v>
      </c>
      <c r="E49" s="1830" t="s">
        <v>1485</v>
      </c>
      <c r="F49" s="1281"/>
      <c r="G49" s="1891"/>
      <c r="H49" s="793"/>
      <c r="I49" s="1887" t="s">
        <v>1528</v>
      </c>
      <c r="J49" s="1892"/>
      <c r="K49" s="1889" t="s">
        <v>1529</v>
      </c>
      <c r="L49" s="1893"/>
      <c r="O49" s="1894" t="s">
        <v>1039</v>
      </c>
      <c r="P49" s="1885" t="s">
        <v>1530</v>
      </c>
      <c r="Q49" s="1886">
        <f ca="1">C29</f>
        <v>0</v>
      </c>
      <c r="R49" s="1886" t="s">
        <v>1523</v>
      </c>
    </row>
    <row r="50" spans="1:18" s="1842" customFormat="1" ht="13.5" thickBot="1">
      <c r="A50" s="1195"/>
      <c r="B50" s="1198"/>
      <c r="C50" s="1199"/>
      <c r="D50" s="1172"/>
      <c r="E50" s="1277" t="s">
        <v>1401</v>
      </c>
      <c r="F50" s="1278">
        <f ca="1">F7</f>
        <v>0</v>
      </c>
      <c r="H50" s="793"/>
      <c r="I50" s="1887" t="s">
        <v>1531</v>
      </c>
      <c r="J50" s="1895">
        <f>SUMPRODUCT((I63:I65=J47)*(J62:L62=J48)*(J63:L65))</f>
        <v>0</v>
      </c>
      <c r="K50" s="1889" t="s">
        <v>1532</v>
      </c>
      <c r="L50" s="1893"/>
      <c r="M50" s="1896"/>
      <c r="O50" s="1894" t="s">
        <v>1040</v>
      </c>
      <c r="P50" s="1885" t="s">
        <v>1533</v>
      </c>
      <c r="Q50" s="1897" t="e">
        <f ca="1">J58</f>
        <v>#DIV/0!</v>
      </c>
      <c r="R50" s="1886"/>
    </row>
    <row r="51" spans="1:18" s="1842" customFormat="1" ht="13.5" thickBot="1">
      <c r="A51" s="1196"/>
      <c r="B51" s="1198"/>
      <c r="C51" s="1199"/>
      <c r="D51" s="1172"/>
      <c r="E51" s="1200" t="s">
        <v>1402</v>
      </c>
      <c r="F51" s="348">
        <f ca="1">F8</f>
        <v>0</v>
      </c>
      <c r="I51" s="1898" t="s">
        <v>1534</v>
      </c>
      <c r="J51" s="1899">
        <f>IF(J49="",J50,J49+J50-YEAR('数据-取费表'!B2))</f>
        <v>0</v>
      </c>
      <c r="K51" s="1900" t="s">
        <v>1535</v>
      </c>
      <c r="L51" s="1901">
        <f ca="1">ROUND(-PV(INDIRECT("'数据-取费表'!h"&amp;$G$1),L48,(C39-C13*C76),0),0)</f>
        <v>0</v>
      </c>
      <c r="M51" s="1902"/>
      <c r="O51" s="1894" t="s">
        <v>1041</v>
      </c>
      <c r="P51" s="1885" t="s">
        <v>1536</v>
      </c>
      <c r="Q51" s="1897">
        <f>J52</f>
        <v>0</v>
      </c>
      <c r="R51" s="1886"/>
    </row>
    <row r="52" spans="1:18" s="1842" customFormat="1" ht="13.5" thickBot="1">
      <c r="A52" s="1196"/>
      <c r="B52" s="1198"/>
      <c r="C52" s="1199"/>
      <c r="D52" s="1172"/>
      <c r="E52" s="1200" t="s">
        <v>1403</v>
      </c>
      <c r="F52" s="1275"/>
      <c r="I52" s="1903" t="s">
        <v>1537</v>
      </c>
      <c r="J52" s="1904"/>
      <c r="K52" s="1903" t="s">
        <v>1538</v>
      </c>
      <c r="L52" s="1904"/>
      <c r="O52" s="1894" t="s">
        <v>1042</v>
      </c>
      <c r="P52" s="1885" t="s">
        <v>1539</v>
      </c>
      <c r="Q52" s="1886">
        <f ca="1">J53</f>
        <v>0</v>
      </c>
      <c r="R52" s="1886" t="s">
        <v>1540</v>
      </c>
    </row>
    <row r="53" spans="1:18" s="1842" customFormat="1" ht="30.75" customHeight="1" thickBot="1">
      <c r="A53" s="1361" t="s">
        <v>1134</v>
      </c>
      <c r="B53" s="369" t="s">
        <v>1404</v>
      </c>
      <c r="C53" s="361">
        <f ca="1">ROUND(IF(F53="押一",C49/12*F11,IF(F53="押二",C49/12*2*F11,IF(F53="押三",C49/12*3*F11,C54*F11))),0)</f>
        <v>0</v>
      </c>
      <c r="D53" s="1824" t="s">
        <v>3036</v>
      </c>
      <c r="E53" s="358" t="s">
        <v>1405</v>
      </c>
      <c r="F53" s="1366"/>
      <c r="I53" s="1905" t="s">
        <v>1541</v>
      </c>
      <c r="J53" s="2949">
        <f ca="1">IF(M47="住宅",IF(D1="——",MAX(J51,L48),MAX(J51,L48-'数据-取费表'!B24)),IF(D1="——",MIN(J51,L48),MIN(J51,L48-'数据-取费表'!B24)))</f>
        <v>0</v>
      </c>
      <c r="K53" s="3195" t="s">
        <v>1542</v>
      </c>
      <c r="L53" s="3196"/>
      <c r="O53" s="1884" t="s">
        <v>1043</v>
      </c>
      <c r="P53" s="1885" t="s">
        <v>1543</v>
      </c>
      <c r="Q53" s="1886" t="e">
        <f ca="1">Q47+Q48</f>
        <v>#DIV/0!</v>
      </c>
      <c r="R53" s="1886" t="s">
        <v>1044</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1037</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1038</v>
      </c>
      <c r="P57" s="1885" t="s">
        <v>1600</v>
      </c>
      <c r="Q57" s="1886" t="e">
        <f ca="1">L60</f>
        <v>#DIV/0!</v>
      </c>
      <c r="R57" s="1886" t="s">
        <v>1601</v>
      </c>
    </row>
    <row r="58" spans="1:18" s="1842" customFormat="1" ht="24.75" thickBot="1">
      <c r="A58" s="360" t="s">
        <v>1027</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1042</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1043</v>
      </c>
      <c r="P62" s="1885" t="s">
        <v>1569</v>
      </c>
      <c r="Q62" s="1886" t="e">
        <f ca="1">Q56+Q57</f>
        <v>#DIV/0!</v>
      </c>
      <c r="R62" s="1886" t="s">
        <v>1044</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1037</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1038</v>
      </c>
      <c r="P66" s="1885" t="s">
        <v>1552</v>
      </c>
      <c r="Q66" s="1886" t="e">
        <f ca="1">L60</f>
        <v>#DIV/0!</v>
      </c>
      <c r="R66" s="1886" t="s">
        <v>1575</v>
      </c>
    </row>
    <row r="67" spans="1:18" s="1842" customFormat="1" ht="16.5" thickBot="1">
      <c r="A67" s="1176" t="s">
        <v>1028</v>
      </c>
      <c r="B67" s="1186" t="s">
        <v>1457</v>
      </c>
      <c r="C67" s="361">
        <f ca="1">C48-C58</f>
        <v>0</v>
      </c>
      <c r="D67" s="1182" t="s">
        <v>1458</v>
      </c>
      <c r="E67" s="1187"/>
      <c r="F67" s="1188"/>
      <c r="O67" s="1894" t="s">
        <v>1039</v>
      </c>
      <c r="P67" s="1885" t="s">
        <v>1556</v>
      </c>
      <c r="Q67" s="1932">
        <f ca="1">L51</f>
        <v>0</v>
      </c>
      <c r="R67" s="1886" t="s">
        <v>1576</v>
      </c>
    </row>
    <row r="68" spans="1:18" s="1842" customFormat="1" ht="16.5" thickBot="1">
      <c r="A68" s="1166" t="s">
        <v>1029</v>
      </c>
      <c r="B68" s="1167" t="s">
        <v>1479</v>
      </c>
      <c r="C68" s="346" t="e">
        <f ca="1">ROUND(C67*(1-((1+F70)/(1+F68))^F69)/(F68-F70),0)</f>
        <v>#DIV/0!</v>
      </c>
      <c r="D68" s="1184" t="s">
        <v>1463</v>
      </c>
      <c r="E68" s="1169" t="s">
        <v>1464</v>
      </c>
      <c r="F68" s="357">
        <f ca="1">F40</f>
        <v>0</v>
      </c>
      <c r="O68" s="1894" t="s">
        <v>1040</v>
      </c>
      <c r="P68" s="1933" t="s">
        <v>1577</v>
      </c>
      <c r="Q68" s="1886">
        <f ca="1">ROUND(Q69-Q70*Q71,0)</f>
        <v>0</v>
      </c>
      <c r="R68" s="1886" t="s">
        <v>1048</v>
      </c>
    </row>
    <row r="69" spans="1:18" s="1842" customFormat="1" ht="13.5" thickBot="1">
      <c r="A69" s="1170"/>
      <c r="B69" s="1171"/>
      <c r="C69" s="351"/>
      <c r="D69" s="1189" t="s">
        <v>1467</v>
      </c>
      <c r="E69" s="1169" t="s">
        <v>1468</v>
      </c>
      <c r="F69" s="379">
        <f ca="1">F41</f>
        <v>0</v>
      </c>
      <c r="O69" s="1894" t="s">
        <v>1045</v>
      </c>
      <c r="P69" s="1933" t="s">
        <v>1578</v>
      </c>
      <c r="Q69" s="1886">
        <f ca="1">C39</f>
        <v>0</v>
      </c>
      <c r="R69" s="1886" t="s">
        <v>1523</v>
      </c>
    </row>
    <row r="70" spans="1:18" s="1842" customFormat="1" ht="13.5" thickBot="1">
      <c r="A70" s="1173"/>
      <c r="B70" s="1174"/>
      <c r="C70" s="355"/>
      <c r="D70" s="1185"/>
      <c r="E70" s="1169" t="s">
        <v>1471</v>
      </c>
      <c r="F70" s="1275">
        <f ca="1">F42</f>
        <v>0</v>
      </c>
      <c r="O70" s="1894" t="s">
        <v>1046</v>
      </c>
      <c r="P70" s="1933" t="s">
        <v>1579</v>
      </c>
      <c r="Q70" s="1886">
        <f ca="1">C13</f>
        <v>0</v>
      </c>
      <c r="R70" s="1886" t="s">
        <v>1523</v>
      </c>
    </row>
    <row r="71" spans="1:18" s="1842" customFormat="1" ht="13.5" thickBot="1">
      <c r="A71" s="1190" t="s">
        <v>1030</v>
      </c>
      <c r="B71" s="1191" t="s">
        <v>1481</v>
      </c>
      <c r="C71" s="382" t="e">
        <f ca="1">ROUND(C68/F71,0)</f>
        <v>#DIV/0!</v>
      </c>
      <c r="D71" s="1192" t="s">
        <v>1482</v>
      </c>
      <c r="E71" s="1193" t="s">
        <v>1483</v>
      </c>
      <c r="F71" s="385">
        <f ca="1">F43</f>
        <v>0</v>
      </c>
      <c r="O71" s="1894" t="s">
        <v>1047</v>
      </c>
      <c r="P71" s="1933" t="s">
        <v>1580</v>
      </c>
      <c r="Q71" s="1897">
        <f ca="1">C76</f>
        <v>0</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1043</v>
      </c>
      <c r="P75" s="1885" t="s">
        <v>1543</v>
      </c>
      <c r="Q75" s="1886" t="e">
        <f ca="1">Q65+Q66</f>
        <v>#DIV/0!</v>
      </c>
      <c r="R75" s="1886" t="s">
        <v>1044</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2519</v>
      </c>
      <c r="B1" s="2561"/>
      <c r="C1" s="2561"/>
      <c r="D1" s="2561"/>
      <c r="E1" s="2562"/>
    </row>
    <row r="2" spans="1:6" ht="15.75">
      <c r="A2" s="2563" t="s">
        <v>2320</v>
      </c>
      <c r="B2" s="2564">
        <f ca="1">SUMIF(B6:B13,"&lt;&gt;#ref!",B6:B13)</f>
        <v>9238</v>
      </c>
      <c r="C2" s="2565" t="s">
        <v>2512</v>
      </c>
      <c r="D2" s="2566" t="s">
        <v>2513</v>
      </c>
      <c r="E2" s="2567">
        <f>SUM(E6:E13)</f>
        <v>5775.17</v>
      </c>
    </row>
    <row r="3" spans="1:6" ht="15.75">
      <c r="A3" s="2563" t="s">
        <v>1390</v>
      </c>
      <c r="B3" s="2564">
        <f ca="1">ROUND(B2*10000/E2,0)</f>
        <v>15996</v>
      </c>
      <c r="C3" s="2565" t="s">
        <v>2520</v>
      </c>
      <c r="D3" s="2568"/>
      <c r="E3" s="2569"/>
    </row>
    <row r="4" spans="1:6" ht="15.75">
      <c r="A4" s="2570"/>
      <c r="B4" s="2568"/>
      <c r="C4" s="2568"/>
      <c r="D4" s="2568"/>
      <c r="E4" s="2569"/>
    </row>
    <row r="5" spans="1:6" ht="15">
      <c r="A5" s="2571" t="s">
        <v>2514</v>
      </c>
      <c r="B5" s="3200" t="s">
        <v>2515</v>
      </c>
      <c r="C5" s="3200"/>
      <c r="D5" s="2572"/>
      <c r="E5" s="2573" t="s">
        <v>2516</v>
      </c>
      <c r="F5" s="2574" t="s">
        <v>2517</v>
      </c>
    </row>
    <row r="6" spans="1:6">
      <c r="A6" s="2575" t="str">
        <f>'数据-取费表'!AN6</f>
        <v>收益法</v>
      </c>
      <c r="B6" s="2574">
        <f ca="1">IF(F6="是",'数据-取费表'!AO6,0)</f>
        <v>9238</v>
      </c>
      <c r="C6" s="2565" t="s">
        <v>2512</v>
      </c>
      <c r="D6" s="2568"/>
      <c r="E6" s="2576">
        <f>IF(OR(A6=0,F6="否"),0,'数据-取费表'!K6+'数据-取费表'!S6)</f>
        <v>5775.17</v>
      </c>
      <c r="F6" s="2577" t="s">
        <v>2518</v>
      </c>
    </row>
    <row r="7" spans="1:6">
      <c r="A7" s="2575">
        <f>'数据-取费表'!AN7</f>
        <v>0</v>
      </c>
      <c r="B7" s="2574" t="e">
        <f ca="1">IF(F7="是",'数据-取费表'!AO7,0)</f>
        <v>#REF!</v>
      </c>
      <c r="C7" s="2565" t="s">
        <v>2512</v>
      </c>
      <c r="D7" s="2568"/>
      <c r="E7" s="2576">
        <f>IF(OR(A7=0,F7="否"),0,'数据-取费表'!K7+'数据-取费表'!S7)</f>
        <v>0</v>
      </c>
      <c r="F7" s="2577" t="s">
        <v>2518</v>
      </c>
    </row>
    <row r="8" spans="1:6">
      <c r="A8" s="2575">
        <f>'数据-取费表'!AN8</f>
        <v>0</v>
      </c>
      <c r="B8" s="2574" t="e">
        <f ca="1">IF(F8="是",'数据-取费表'!AO8,0)</f>
        <v>#REF!</v>
      </c>
      <c r="C8" s="2565" t="s">
        <v>2512</v>
      </c>
      <c r="D8" s="2568"/>
      <c r="E8" s="2576">
        <f>IF(OR(A8=0,F8="否"),0,'数据-取费表'!K8+'数据-取费表'!S8)</f>
        <v>0</v>
      </c>
      <c r="F8" s="2577" t="s">
        <v>2518</v>
      </c>
    </row>
    <row r="9" spans="1:6">
      <c r="A9" s="2575">
        <f>'数据-取费表'!AN9</f>
        <v>0</v>
      </c>
      <c r="B9" s="2574" t="e">
        <f ca="1">IF(F9="是",'数据-取费表'!AO9,0)</f>
        <v>#REF!</v>
      </c>
      <c r="C9" s="2565" t="s">
        <v>2512</v>
      </c>
      <c r="D9" s="2568"/>
      <c r="E9" s="2576">
        <f>IF(OR(A9=0,F9="否"),0,'数据-取费表'!K9+'数据-取费表'!S9)</f>
        <v>0</v>
      </c>
      <c r="F9" s="2577" t="s">
        <v>2518</v>
      </c>
    </row>
    <row r="10" spans="1:6">
      <c r="A10" s="2575">
        <f>'数据-取费表'!AN10</f>
        <v>0</v>
      </c>
      <c r="B10" s="2574" t="e">
        <f ca="1">IF(F10="是",'数据-取费表'!AO10,0)</f>
        <v>#REF!</v>
      </c>
      <c r="C10" s="2565" t="s">
        <v>2512</v>
      </c>
      <c r="D10" s="2568"/>
      <c r="E10" s="2576">
        <f>IF(OR(A10=0,F10="否"),0,'数据-取费表'!K10+'数据-取费表'!S10)</f>
        <v>0</v>
      </c>
      <c r="F10" s="2577" t="s">
        <v>2518</v>
      </c>
    </row>
    <row r="11" spans="1:6">
      <c r="A11" s="2575">
        <f>'数据-取费表'!AN11</f>
        <v>0</v>
      </c>
      <c r="B11" s="2574" t="e">
        <f ca="1">IF(F11="是",'数据-取费表'!AO11,0)</f>
        <v>#REF!</v>
      </c>
      <c r="C11" s="2565" t="s">
        <v>2512</v>
      </c>
      <c r="D11" s="2568"/>
      <c r="E11" s="2576">
        <f>IF(OR(A11=0,F11="否"),0,'数据-取费表'!K11+'数据-取费表'!S11)</f>
        <v>0</v>
      </c>
      <c r="F11" s="2577" t="s">
        <v>2518</v>
      </c>
    </row>
    <row r="12" spans="1:6">
      <c r="A12" s="2575">
        <f>'数据-取费表'!AN12</f>
        <v>0</v>
      </c>
      <c r="B12" s="2574" t="e">
        <f ca="1">IF(F12="是",'数据-取费表'!AO12,0)</f>
        <v>#REF!</v>
      </c>
      <c r="C12" s="2565" t="s">
        <v>2512</v>
      </c>
      <c r="D12" s="2568"/>
      <c r="E12" s="2576">
        <f>IF(OR(A12=0,F12="否"),0,'数据-取费表'!K12+'数据-取费表'!S12)</f>
        <v>0</v>
      </c>
      <c r="F12" s="2577" t="s">
        <v>2518</v>
      </c>
    </row>
    <row r="13" spans="1:6" ht="15" thickBot="1">
      <c r="A13" s="2578">
        <f>'数据-取费表'!AN13</f>
        <v>0</v>
      </c>
      <c r="B13" s="2574" t="e">
        <f ca="1">IF(F13="是",'数据-取费表'!AO13,0)</f>
        <v>#REF!</v>
      </c>
      <c r="C13" s="2579" t="s">
        <v>2512</v>
      </c>
      <c r="D13" s="2580"/>
      <c r="E13" s="2576">
        <f>IF(OR(A13=0,F13="否"),0,'数据-取费表'!K13+'数据-取费表'!S13)</f>
        <v>0</v>
      </c>
      <c r="F13" s="2577"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1" t="s">
        <v>1073</v>
      </c>
      <c r="B1" s="3202"/>
      <c r="C1" s="3203"/>
      <c r="D1" s="3204">
        <f>SUM(I10,I15,I20,I21,I23)</f>
        <v>0</v>
      </c>
      <c r="E1" s="3204"/>
      <c r="F1" s="3204"/>
      <c r="G1" s="3204"/>
      <c r="H1" s="3204"/>
      <c r="I1" s="3205"/>
    </row>
    <row r="2" spans="1:9">
      <c r="A2" s="3206" t="s">
        <v>1074</v>
      </c>
      <c r="B2" s="3207" t="s">
        <v>1075</v>
      </c>
      <c r="C2" s="3207"/>
      <c r="D2" s="1301" t="s">
        <v>1076</v>
      </c>
      <c r="E2" s="1301" t="s">
        <v>1077</v>
      </c>
      <c r="F2" s="1301" t="s">
        <v>1078</v>
      </c>
      <c r="G2" s="1301" t="s">
        <v>1079</v>
      </c>
      <c r="H2" s="1301" t="s">
        <v>1080</v>
      </c>
      <c r="I2" s="1302" t="s">
        <v>1081</v>
      </c>
    </row>
    <row r="3" spans="1:9">
      <c r="A3" s="3206"/>
      <c r="B3" s="3207" t="s">
        <v>1082</v>
      </c>
      <c r="C3" s="3207"/>
      <c r="D3" s="1303"/>
      <c r="E3" s="1301"/>
      <c r="F3" s="1304"/>
      <c r="G3" s="1304"/>
      <c r="H3" s="1305"/>
      <c r="I3" s="1306">
        <f>ROUND(D3*E3*F3*G3*H3/10000,0)</f>
        <v>0</v>
      </c>
    </row>
    <row r="4" spans="1:9">
      <c r="A4" s="3206"/>
      <c r="B4" s="3207" t="s">
        <v>1083</v>
      </c>
      <c r="C4" s="3207"/>
      <c r="D4" s="1303"/>
      <c r="E4" s="1301"/>
      <c r="F4" s="1304"/>
      <c r="G4" s="1304"/>
      <c r="H4" s="1305"/>
      <c r="I4" s="1306">
        <f t="shared" ref="I4:I9" si="0">ROUND(D4*E4*F4*G4*H4/10000,0)</f>
        <v>0</v>
      </c>
    </row>
    <row r="5" spans="1:9">
      <c r="A5" s="3206"/>
      <c r="B5" s="3207" t="s">
        <v>1084</v>
      </c>
      <c r="C5" s="3207"/>
      <c r="D5" s="1303"/>
      <c r="E5" s="1301"/>
      <c r="F5" s="1304"/>
      <c r="G5" s="1304"/>
      <c r="H5" s="1305"/>
      <c r="I5" s="1306">
        <f t="shared" si="0"/>
        <v>0</v>
      </c>
    </row>
    <row r="6" spans="1:9">
      <c r="A6" s="3206"/>
      <c r="B6" s="3207" t="s">
        <v>1085</v>
      </c>
      <c r="C6" s="3207"/>
      <c r="D6" s="1303"/>
      <c r="E6" s="1301"/>
      <c r="F6" s="1304"/>
      <c r="G6" s="1304"/>
      <c r="H6" s="1305"/>
      <c r="I6" s="1306">
        <f t="shared" si="0"/>
        <v>0</v>
      </c>
    </row>
    <row r="7" spans="1:9">
      <c r="A7" s="3206"/>
      <c r="B7" s="3207" t="s">
        <v>1086</v>
      </c>
      <c r="C7" s="3207"/>
      <c r="D7" s="1303"/>
      <c r="E7" s="1301"/>
      <c r="F7" s="1304"/>
      <c r="G7" s="1304"/>
      <c r="H7" s="1305"/>
      <c r="I7" s="1306">
        <f t="shared" si="0"/>
        <v>0</v>
      </c>
    </row>
    <row r="8" spans="1:9">
      <c r="A8" s="3206"/>
      <c r="B8" s="3207" t="s">
        <v>1087</v>
      </c>
      <c r="C8" s="3207"/>
      <c r="D8" s="1303"/>
      <c r="E8" s="1301"/>
      <c r="F8" s="1304"/>
      <c r="G8" s="1304"/>
      <c r="H8" s="1305"/>
      <c r="I8" s="1306">
        <f t="shared" si="0"/>
        <v>0</v>
      </c>
    </row>
    <row r="9" spans="1:9">
      <c r="A9" s="3206"/>
      <c r="B9" s="3207" t="s">
        <v>1088</v>
      </c>
      <c r="C9" s="3207"/>
      <c r="D9" s="1303"/>
      <c r="E9" s="1301"/>
      <c r="F9" s="1304"/>
      <c r="G9" s="1304"/>
      <c r="H9" s="1305"/>
      <c r="I9" s="1306">
        <f t="shared" si="0"/>
        <v>0</v>
      </c>
    </row>
    <row r="10" spans="1:9">
      <c r="A10" s="3206"/>
      <c r="B10" s="3208" t="s">
        <v>1089</v>
      </c>
      <c r="C10" s="3208"/>
      <c r="D10" s="1307"/>
      <c r="E10" s="1307" t="e">
        <f>ROUND(D1*10000/D10/H9,0)</f>
        <v>#DIV/0!</v>
      </c>
      <c r="F10" s="1308"/>
      <c r="G10" s="1308"/>
      <c r="H10" s="1309"/>
      <c r="I10" s="1310">
        <f>SUM(I3:I9)</f>
        <v>0</v>
      </c>
    </row>
    <row r="11" spans="1:9" ht="14.25">
      <c r="A11" s="3206" t="s">
        <v>1090</v>
      </c>
      <c r="B11" s="3207" t="s">
        <v>1091</v>
      </c>
      <c r="C11" s="3207"/>
      <c r="D11" s="1303" t="s">
        <v>1092</v>
      </c>
      <c r="E11" s="1303" t="s">
        <v>1093</v>
      </c>
      <c r="F11" s="1304" t="s">
        <v>1094</v>
      </c>
      <c r="G11" s="1304" t="s">
        <v>1080</v>
      </c>
      <c r="H11" s="1311" t="s">
        <v>1095</v>
      </c>
      <c r="I11" s="1302" t="s">
        <v>1081</v>
      </c>
    </row>
    <row r="12" spans="1:9">
      <c r="A12" s="3206"/>
      <c r="B12" s="3207" t="s">
        <v>1096</v>
      </c>
      <c r="C12" s="3207"/>
      <c r="D12" s="1303"/>
      <c r="E12" s="1303"/>
      <c r="F12" s="1304"/>
      <c r="G12" s="1305"/>
      <c r="H12" s="1312"/>
      <c r="I12" s="1302">
        <f>ROUND(D12*E12*F12*G12/10000,0)</f>
        <v>0</v>
      </c>
    </row>
    <row r="13" spans="1:9">
      <c r="A13" s="3206"/>
      <c r="B13" s="3207" t="s">
        <v>1097</v>
      </c>
      <c r="C13" s="3207"/>
      <c r="D13" s="1303"/>
      <c r="E13" s="1303"/>
      <c r="F13" s="1304"/>
      <c r="G13" s="1305"/>
      <c r="H13" s="1312"/>
      <c r="I13" s="1302">
        <f>ROUND(D13*E13*F13*G13/10000,0)</f>
        <v>0</v>
      </c>
    </row>
    <row r="14" spans="1:9">
      <c r="A14" s="3206"/>
      <c r="B14" s="3207" t="s">
        <v>1098</v>
      </c>
      <c r="C14" s="3207"/>
      <c r="D14" s="1303"/>
      <c r="E14" s="1303"/>
      <c r="F14" s="1304"/>
      <c r="G14" s="1305"/>
      <c r="H14" s="1312"/>
      <c r="I14" s="1302">
        <f>ROUND(D14*E14*F14*G14/10000,0)</f>
        <v>0</v>
      </c>
    </row>
    <row r="15" spans="1:9">
      <c r="A15" s="3206"/>
      <c r="B15" s="3208" t="s">
        <v>1089</v>
      </c>
      <c r="C15" s="3208"/>
      <c r="D15" s="1307"/>
      <c r="E15" s="1307">
        <f>SUM(E12:E14)</f>
        <v>0</v>
      </c>
      <c r="F15" s="1308"/>
      <c r="G15" s="1305"/>
      <c r="H15" s="1312"/>
      <c r="I15" s="1313">
        <f>SUM(I12:I14)</f>
        <v>0</v>
      </c>
    </row>
    <row r="16" spans="1:9" ht="24">
      <c r="A16" s="3206" t="s">
        <v>1099</v>
      </c>
      <c r="B16" s="3207" t="s">
        <v>1100</v>
      </c>
      <c r="C16" s="3207"/>
      <c r="D16" s="1303" t="s">
        <v>1076</v>
      </c>
      <c r="E16" s="1314" t="s">
        <v>1101</v>
      </c>
      <c r="F16" s="1304" t="s">
        <v>1102</v>
      </c>
      <c r="G16" s="1305" t="s">
        <v>1080</v>
      </c>
      <c r="H16" s="1311" t="s">
        <v>1095</v>
      </c>
      <c r="I16" s="1302" t="s">
        <v>1081</v>
      </c>
    </row>
    <row r="17" spans="1:9" ht="14.25">
      <c r="A17" s="3206"/>
      <c r="B17" s="3207" t="s">
        <v>1103</v>
      </c>
      <c r="C17" s="3207"/>
      <c r="D17" s="1303"/>
      <c r="E17" s="1303"/>
      <c r="F17" s="1304"/>
      <c r="G17" s="1305"/>
      <c r="H17" s="1315"/>
      <c r="I17" s="1316">
        <f>ROUND(D17*E17*F17*G17/10000,0)</f>
        <v>0</v>
      </c>
    </row>
    <row r="18" spans="1:9" ht="14.25">
      <c r="A18" s="3206"/>
      <c r="B18" s="3207" t="s">
        <v>1104</v>
      </c>
      <c r="C18" s="3207"/>
      <c r="D18" s="1303"/>
      <c r="E18" s="1303"/>
      <c r="F18" s="1304"/>
      <c r="G18" s="1305"/>
      <c r="H18" s="1315"/>
      <c r="I18" s="1316">
        <f>ROUND(D18*E18*F18*G18/10000,0)</f>
        <v>0</v>
      </c>
    </row>
    <row r="19" spans="1:9" ht="14.25">
      <c r="A19" s="3206"/>
      <c r="B19" s="3207" t="s">
        <v>1105</v>
      </c>
      <c r="C19" s="3207"/>
      <c r="D19" s="1303"/>
      <c r="E19" s="1303"/>
      <c r="F19" s="1304"/>
      <c r="G19" s="1305"/>
      <c r="H19" s="1315"/>
      <c r="I19" s="1316">
        <f>ROUND(D19*E19*F19*G19/10000,0)</f>
        <v>0</v>
      </c>
    </row>
    <row r="20" spans="1:9">
      <c r="A20" s="3206"/>
      <c r="B20" s="3208" t="s">
        <v>1089</v>
      </c>
      <c r="C20" s="3208"/>
      <c r="D20" s="1307">
        <f>SUM(D17:D19)</f>
        <v>0</v>
      </c>
      <c r="E20" s="1307"/>
      <c r="F20" s="1308"/>
      <c r="G20" s="1305"/>
      <c r="H20" s="1312"/>
      <c r="I20" s="1313">
        <f>SUM(I17:I19)</f>
        <v>0</v>
      </c>
    </row>
    <row r="21" spans="1:9">
      <c r="A21" s="3206" t="s">
        <v>1106</v>
      </c>
      <c r="B21" s="3210"/>
      <c r="C21" s="3210"/>
      <c r="D21" s="3210"/>
      <c r="E21" s="3210"/>
      <c r="F21" s="3210"/>
      <c r="G21" s="3210"/>
      <c r="H21" s="1765">
        <v>0.1</v>
      </c>
      <c r="I21" s="1310">
        <f>ROUND(I10*H21,0)</f>
        <v>0</v>
      </c>
    </row>
    <row r="22" spans="1:9" ht="14.25">
      <c r="A22" s="3211" t="s">
        <v>1107</v>
      </c>
      <c r="B22" s="3212"/>
      <c r="C22" s="3213"/>
      <c r="D22" s="1317" t="s">
        <v>1108</v>
      </c>
      <c r="E22" s="1317" t="s">
        <v>1109</v>
      </c>
      <c r="F22" s="1318" t="s">
        <v>1110</v>
      </c>
      <c r="G22" s="1318" t="s">
        <v>1111</v>
      </c>
      <c r="H22" s="1311" t="s">
        <v>1112</v>
      </c>
      <c r="I22" s="1302" t="s">
        <v>1113</v>
      </c>
    </row>
    <row r="23" spans="1:9" ht="14.25" thickBot="1">
      <c r="A23" s="3214"/>
      <c r="B23" s="3215"/>
      <c r="C23" s="3216"/>
      <c r="D23" s="1319"/>
      <c r="E23" s="1319"/>
      <c r="F23" s="1319"/>
      <c r="G23" s="1320"/>
      <c r="H23" s="1321"/>
      <c r="I23" s="1322">
        <f>ROUND(E23*D23*F23*(1-G23)/10000,0)</f>
        <v>0</v>
      </c>
    </row>
    <row r="26" spans="1:9">
      <c r="A26" s="1323" t="s">
        <v>1114</v>
      </c>
      <c r="B26" s="1323"/>
      <c r="C26" s="1323"/>
      <c r="D26" s="1323"/>
      <c r="E26" s="3217">
        <f>C27-C30-C31-C32</f>
        <v>0</v>
      </c>
      <c r="F26" s="3217"/>
      <c r="G26" s="3217"/>
      <c r="H26" s="1737" t="s">
        <v>1336</v>
      </c>
    </row>
    <row r="27" spans="1:9">
      <c r="A27" s="1324">
        <v>1</v>
      </c>
      <c r="B27" s="1325" t="s">
        <v>1115</v>
      </c>
      <c r="C27" s="1325">
        <f>C28+C29</f>
        <v>0</v>
      </c>
      <c r="D27" s="1325"/>
      <c r="E27" s="3218"/>
      <c r="F27" s="3218"/>
      <c r="G27" s="3218"/>
    </row>
    <row r="28" spans="1:9">
      <c r="A28" s="1326" t="s">
        <v>1116</v>
      </c>
      <c r="B28" s="1325" t="s">
        <v>1117</v>
      </c>
      <c r="C28" s="1325"/>
      <c r="D28" s="1325"/>
      <c r="E28" s="3218"/>
      <c r="F28" s="3218"/>
      <c r="G28" s="321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9"/>
      <c r="F32" s="3209"/>
      <c r="G32" s="3209"/>
    </row>
    <row r="33" spans="1:7" hidden="1">
      <c r="A33" s="3219" t="s">
        <v>1126</v>
      </c>
      <c r="B33" s="3220"/>
      <c r="C33" s="3220"/>
      <c r="D33" s="3221"/>
      <c r="E33" s="3217"/>
      <c r="F33" s="3217"/>
      <c r="G33" s="3217"/>
    </row>
    <row r="34" spans="1:7" hidden="1">
      <c r="A34" s="1328">
        <v>1</v>
      </c>
      <c r="B34" s="1325" t="s">
        <v>1127</v>
      </c>
      <c r="C34" s="1325"/>
      <c r="D34" s="1325"/>
      <c r="E34" s="3218"/>
      <c r="F34" s="3218"/>
      <c r="G34" s="3218"/>
    </row>
    <row r="35" spans="1:7" hidden="1">
      <c r="A35" s="1328">
        <v>2</v>
      </c>
      <c r="B35" s="1325" t="s">
        <v>1128</v>
      </c>
      <c r="C35" s="1325"/>
      <c r="D35" s="1325"/>
      <c r="E35" s="3218"/>
      <c r="F35" s="3218"/>
      <c r="G35" s="3218"/>
    </row>
    <row r="36" spans="1:7" hidden="1">
      <c r="A36" s="1328">
        <v>3</v>
      </c>
      <c r="B36" s="1325" t="s">
        <v>1129</v>
      </c>
      <c r="C36" s="1325"/>
      <c r="D36" s="1325"/>
      <c r="E36" s="3218"/>
      <c r="F36" s="3218"/>
      <c r="G36" s="3218"/>
    </row>
    <row r="37" spans="1:7" hidden="1">
      <c r="A37" s="1328">
        <v>4</v>
      </c>
      <c r="B37" s="1325" t="s">
        <v>1130</v>
      </c>
      <c r="C37" s="1325"/>
      <c r="D37" s="1325"/>
      <c r="E37" s="3218"/>
      <c r="F37" s="3218"/>
      <c r="G37" s="3218"/>
    </row>
    <row r="38" spans="1:7" hidden="1">
      <c r="A38" s="3219" t="s">
        <v>1131</v>
      </c>
      <c r="B38" s="3220"/>
      <c r="C38" s="3220"/>
      <c r="D38" s="3221"/>
      <c r="E38" s="3217"/>
      <c r="F38" s="3217"/>
      <c r="G38" s="32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1" t="s">
        <v>2522</v>
      </c>
      <c r="C1" s="1634" t="s">
        <v>2523</v>
      </c>
      <c r="D1" s="1621"/>
      <c r="E1" s="2582"/>
      <c r="F1" s="2583" t="s">
        <v>2524</v>
      </c>
      <c r="G1" s="1631" t="s">
        <v>2525</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5"/>
      <c r="D2" s="1365" t="e">
        <f ca="1">SUMIF(INDIRECT("'"&amp;F2&amp;"'"&amp;"!A:A"),"承租人权益价值",INDIRECT("'"&amp;F2&amp;"'"&amp;"!c:c"))</f>
        <v>#REF!</v>
      </c>
      <c r="E2" s="2586" t="s">
        <v>2526</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2527</v>
      </c>
      <c r="D3" s="399">
        <f>IF(D1="",'数据-汇总表'!E3,SUMIF('数据-汇总表'!$C19:$C33,D1,'数据-汇总表'!$E19:$E33))</f>
        <v>5775.17</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2528</v>
      </c>
      <c r="B4" s="402"/>
      <c r="C4" s="3172" t="s">
        <v>2529</v>
      </c>
      <c r="D4" s="3173"/>
      <c r="E4" s="3174" t="s">
        <v>2530</v>
      </c>
      <c r="F4" s="3175"/>
      <c r="G4" s="3172" t="s">
        <v>2531</v>
      </c>
      <c r="H4" s="3173"/>
      <c r="I4" s="3172" t="s">
        <v>2532</v>
      </c>
      <c r="J4" s="3173"/>
      <c r="K4" s="2595" t="s">
        <v>2533</v>
      </c>
      <c r="L4" s="1130"/>
      <c r="M4" s="1131"/>
      <c r="N4" s="1131"/>
      <c r="O4" s="1131"/>
      <c r="P4" s="3176" t="s">
        <v>2534</v>
      </c>
      <c r="Q4" s="3177"/>
      <c r="R4" s="3159" t="s">
        <v>2530</v>
      </c>
      <c r="S4" s="3160"/>
      <c r="T4" s="3159" t="s">
        <v>2531</v>
      </c>
      <c r="U4" s="3160"/>
      <c r="V4" s="3184" t="s">
        <v>2532</v>
      </c>
      <c r="W4" s="3184"/>
      <c r="X4" s="1813"/>
      <c r="Y4" s="3159" t="s">
        <v>2534</v>
      </c>
      <c r="Z4" s="3160"/>
      <c r="AA4" s="3154" t="s">
        <v>2530</v>
      </c>
      <c r="AB4" s="3154" t="s">
        <v>2531</v>
      </c>
      <c r="AC4" s="3154" t="s">
        <v>2532</v>
      </c>
    </row>
    <row r="5" spans="1:29" ht="15">
      <c r="A5" s="404"/>
      <c r="B5" s="405"/>
      <c r="C5" s="3223" t="s">
        <v>2535</v>
      </c>
      <c r="D5" s="3166"/>
      <c r="E5" s="3222" t="s">
        <v>2536</v>
      </c>
      <c r="F5" s="3164"/>
      <c r="G5" s="3223" t="s">
        <v>2537</v>
      </c>
      <c r="H5" s="3166"/>
      <c r="I5" s="3223" t="s">
        <v>2538</v>
      </c>
      <c r="J5" s="3166"/>
      <c r="K5" s="2596"/>
      <c r="L5" s="1130"/>
      <c r="M5" s="1131"/>
      <c r="N5" s="1131"/>
      <c r="O5" s="1131"/>
      <c r="P5" s="3178"/>
      <c r="Q5" s="3179"/>
      <c r="R5" s="3161"/>
      <c r="S5" s="3162"/>
      <c r="T5" s="3161"/>
      <c r="U5" s="3162"/>
      <c r="V5" s="3184"/>
      <c r="W5" s="3184"/>
      <c r="X5" s="1813"/>
      <c r="Y5" s="3161"/>
      <c r="Z5" s="3162"/>
      <c r="AA5" s="3155"/>
      <c r="AB5" s="3155"/>
      <c r="AC5" s="3155"/>
    </row>
    <row r="6" spans="1:29" ht="15.75" thickBot="1">
      <c r="A6" s="406"/>
      <c r="B6" s="407"/>
      <c r="C6" s="3167" t="s">
        <v>2539</v>
      </c>
      <c r="D6" s="3168"/>
      <c r="E6" s="3169" t="s">
        <v>2539</v>
      </c>
      <c r="F6" s="3170"/>
      <c r="G6" s="3167" t="s">
        <v>2539</v>
      </c>
      <c r="H6" s="3168"/>
      <c r="I6" s="3167" t="s">
        <v>2539</v>
      </c>
      <c r="J6" s="3168"/>
      <c r="K6" s="2596" t="s">
        <v>2540</v>
      </c>
      <c r="L6" s="1130"/>
      <c r="M6" s="1131"/>
      <c r="N6" s="1131"/>
      <c r="O6" s="1131"/>
      <c r="P6" s="3180"/>
      <c r="Q6" s="3181"/>
      <c r="R6" s="3161"/>
      <c r="S6" s="3162"/>
      <c r="T6" s="3182"/>
      <c r="U6" s="3183"/>
      <c r="V6" s="3184"/>
      <c r="W6" s="3184"/>
      <c r="X6" s="1813"/>
      <c r="Y6" s="3182"/>
      <c r="Z6" s="3183"/>
      <c r="AA6" s="3156"/>
      <c r="AB6" s="3156"/>
      <c r="AC6" s="3156"/>
    </row>
    <row r="7" spans="1:29" s="117" customFormat="1" ht="15.75" thickBot="1">
      <c r="A7" s="408" t="s">
        <v>2541</v>
      </c>
      <c r="B7" s="409"/>
      <c r="C7" s="410">
        <f>'数据-取费表'!B2</f>
        <v>43782</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57" t="s">
        <v>2542</v>
      </c>
      <c r="Q7" s="3185"/>
      <c r="R7" s="770" t="s">
        <v>23</v>
      </c>
      <c r="S7" s="771">
        <f t="shared" ref="S7:S15" si="0">F7</f>
        <v>0</v>
      </c>
      <c r="T7" s="770" t="s">
        <v>23</v>
      </c>
      <c r="U7" s="771">
        <f t="shared" ref="U7:U15" si="1">H7</f>
        <v>0</v>
      </c>
      <c r="V7" s="770" t="s">
        <v>23</v>
      </c>
      <c r="W7" s="771">
        <f t="shared" ref="W7:W15" si="2">J7</f>
        <v>0</v>
      </c>
      <c r="X7" s="772"/>
      <c r="Y7" s="3157" t="s">
        <v>2542</v>
      </c>
      <c r="Z7" s="3158"/>
      <c r="AA7" s="773" t="e">
        <f>D7/F7</f>
        <v>#DIV/0!</v>
      </c>
      <c r="AB7" s="773" t="e">
        <f>D7/H7</f>
        <v>#DIV/0!</v>
      </c>
      <c r="AC7" s="773" t="e">
        <f>D7/J7</f>
        <v>#DIV/0!</v>
      </c>
    </row>
    <row r="8" spans="1:29" s="117" customFormat="1" ht="15.75" thickBot="1">
      <c r="A8" s="408" t="s">
        <v>2543</v>
      </c>
      <c r="B8" s="409"/>
      <c r="C8" s="414" t="s">
        <v>2544</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57" t="s">
        <v>2545</v>
      </c>
      <c r="Q8" s="3158"/>
      <c r="R8" s="770" t="s">
        <v>23</v>
      </c>
      <c r="S8" s="771">
        <f t="shared" si="0"/>
        <v>0</v>
      </c>
      <c r="T8" s="770" t="s">
        <v>23</v>
      </c>
      <c r="U8" s="771">
        <f t="shared" si="1"/>
        <v>0</v>
      </c>
      <c r="V8" s="770" t="s">
        <v>23</v>
      </c>
      <c r="W8" s="771">
        <f t="shared" si="2"/>
        <v>0</v>
      </c>
      <c r="X8" s="772"/>
      <c r="Y8" s="3157" t="s">
        <v>2545</v>
      </c>
      <c r="Z8" s="3158"/>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24" t="s">
        <v>2548</v>
      </c>
      <c r="Q9" s="1795" t="str">
        <f t="shared" ref="Q9:Q15" si="6">B9</f>
        <v>用途</v>
      </c>
      <c r="R9" s="770" t="s">
        <v>17</v>
      </c>
      <c r="S9" s="771">
        <f t="shared" si="0"/>
        <v>100</v>
      </c>
      <c r="T9" s="770" t="s">
        <v>17</v>
      </c>
      <c r="U9" s="771">
        <f t="shared" si="1"/>
        <v>100</v>
      </c>
      <c r="V9" s="770" t="s">
        <v>17</v>
      </c>
      <c r="W9" s="771">
        <f t="shared" si="2"/>
        <v>100</v>
      </c>
      <c r="X9" s="772"/>
      <c r="Y9" s="3031"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4"/>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4"/>
      <c r="Q11" s="1795" t="str">
        <f t="shared" si="6"/>
        <v>容积率</v>
      </c>
      <c r="R11" s="770" t="s">
        <v>21</v>
      </c>
      <c r="S11" s="771" t="e">
        <f t="shared" si="0"/>
        <v>#N/A</v>
      </c>
      <c r="T11" s="770" t="s">
        <v>21</v>
      </c>
      <c r="U11" s="771" t="e">
        <f t="shared" si="1"/>
        <v>#N/A</v>
      </c>
      <c r="V11" s="770" t="s">
        <v>21</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24"/>
      <c r="Q12" s="1795">
        <f t="shared" si="6"/>
        <v>111</v>
      </c>
      <c r="R12" s="770" t="s">
        <v>21</v>
      </c>
      <c r="S12" s="771">
        <f t="shared" si="0"/>
        <v>100</v>
      </c>
      <c r="T12" s="770" t="s">
        <v>21</v>
      </c>
      <c r="U12" s="771">
        <f t="shared" si="1"/>
        <v>100</v>
      </c>
      <c r="V12" s="770" t="s">
        <v>21</v>
      </c>
      <c r="W12" s="771">
        <f t="shared" si="2"/>
        <v>100</v>
      </c>
      <c r="X12" s="772"/>
      <c r="Y12" s="303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24"/>
      <c r="Q13" s="1795">
        <f t="shared" si="6"/>
        <v>111</v>
      </c>
      <c r="R13" s="770" t="s">
        <v>21</v>
      </c>
      <c r="S13" s="771">
        <f t="shared" si="0"/>
        <v>100</v>
      </c>
      <c r="T13" s="770" t="s">
        <v>21</v>
      </c>
      <c r="U13" s="771">
        <f t="shared" si="1"/>
        <v>100</v>
      </c>
      <c r="V13" s="770" t="s">
        <v>21</v>
      </c>
      <c r="W13" s="771">
        <f t="shared" si="2"/>
        <v>100</v>
      </c>
      <c r="X13" s="772"/>
      <c r="Y13" s="3031"/>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24"/>
      <c r="Q14" s="1795">
        <f t="shared" si="6"/>
        <v>111</v>
      </c>
      <c r="R14" s="770" t="s">
        <v>21</v>
      </c>
      <c r="S14" s="771">
        <f t="shared" si="0"/>
        <v>100</v>
      </c>
      <c r="T14" s="770" t="s">
        <v>21</v>
      </c>
      <c r="U14" s="771">
        <f t="shared" si="1"/>
        <v>100</v>
      </c>
      <c r="V14" s="770" t="s">
        <v>21</v>
      </c>
      <c r="W14" s="771">
        <f t="shared" si="2"/>
        <v>100</v>
      </c>
      <c r="X14" s="772"/>
      <c r="Y14" s="3031"/>
      <c r="Z14" s="55">
        <f t="shared" si="7"/>
        <v>111</v>
      </c>
      <c r="AA14" s="773">
        <f t="shared" si="3"/>
        <v>1</v>
      </c>
      <c r="AB14" s="773">
        <f t="shared" si="4"/>
        <v>1</v>
      </c>
      <c r="AC14" s="773">
        <f t="shared" si="5"/>
        <v>1</v>
      </c>
    </row>
    <row r="15" spans="1:29" ht="99.75">
      <c r="A15" s="440" t="s">
        <v>2552</v>
      </c>
      <c r="B15" s="69" t="s">
        <v>2077</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8" t="s">
        <v>2553</v>
      </c>
      <c r="Q15" s="1810" t="str">
        <f t="shared" si="6"/>
        <v>居住社区成熟度</v>
      </c>
      <c r="R15" s="774" t="s">
        <v>21</v>
      </c>
      <c r="S15" s="775">
        <f t="shared" si="0"/>
        <v>100</v>
      </c>
      <c r="T15" s="774" t="s">
        <v>21</v>
      </c>
      <c r="U15" s="775">
        <f t="shared" si="1"/>
        <v>100</v>
      </c>
      <c r="V15" s="774" t="s">
        <v>21</v>
      </c>
      <c r="W15" s="775">
        <f t="shared" si="2"/>
        <v>100</v>
      </c>
      <c r="X15" s="1813"/>
      <c r="Y15" s="3186" t="s">
        <v>2553</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29"/>
      <c r="Q16" s="1810"/>
      <c r="R16" s="774"/>
      <c r="S16" s="775"/>
      <c r="T16" s="774"/>
      <c r="U16" s="775"/>
      <c r="V16" s="774"/>
      <c r="W16" s="775"/>
      <c r="X16" s="1813"/>
      <c r="Y16" s="3187"/>
      <c r="Z16" s="1814"/>
      <c r="AA16" s="1811">
        <v>1</v>
      </c>
      <c r="AB16" s="1811">
        <v>1</v>
      </c>
      <c r="AC16" s="1811">
        <v>1</v>
      </c>
    </row>
    <row r="17" spans="1:29" ht="85.5">
      <c r="A17" s="428"/>
      <c r="B17" s="451" t="s">
        <v>2089</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9"/>
      <c r="Q17" s="1810" t="str">
        <f>B17</f>
        <v>交通便捷度</v>
      </c>
      <c r="R17" s="774" t="s">
        <v>21</v>
      </c>
      <c r="S17" s="775">
        <f>F17</f>
        <v>100</v>
      </c>
      <c r="T17" s="774" t="s">
        <v>21</v>
      </c>
      <c r="U17" s="775">
        <f>H17</f>
        <v>100</v>
      </c>
      <c r="V17" s="774" t="s">
        <v>21</v>
      </c>
      <c r="W17" s="775">
        <f>J17</f>
        <v>100</v>
      </c>
      <c r="X17" s="1813"/>
      <c r="Y17" s="3187"/>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29"/>
      <c r="Q18" s="1810"/>
      <c r="R18" s="774"/>
      <c r="S18" s="775"/>
      <c r="T18" s="774"/>
      <c r="U18" s="775"/>
      <c r="V18" s="774"/>
      <c r="W18" s="775"/>
      <c r="X18" s="1813"/>
      <c r="Y18" s="3187"/>
      <c r="Z18" s="1814"/>
      <c r="AA18" s="1811">
        <v>1</v>
      </c>
      <c r="AB18" s="1811">
        <v>1</v>
      </c>
      <c r="AC18" s="1811">
        <v>1</v>
      </c>
    </row>
    <row r="19" spans="1:29" ht="42.75">
      <c r="A19" s="428"/>
      <c r="B19" s="451" t="s">
        <v>2087</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9"/>
      <c r="Q19" s="1810" t="str">
        <f>B19</f>
        <v>公共配套设施</v>
      </c>
      <c r="R19" s="774" t="s">
        <v>21</v>
      </c>
      <c r="S19" s="775">
        <f>F19</f>
        <v>100</v>
      </c>
      <c r="T19" s="774" t="s">
        <v>21</v>
      </c>
      <c r="U19" s="775">
        <f>H19</f>
        <v>100</v>
      </c>
      <c r="V19" s="774" t="s">
        <v>21</v>
      </c>
      <c r="W19" s="775">
        <f>J19</f>
        <v>100</v>
      </c>
      <c r="X19" s="1813"/>
      <c r="Y19" s="3187"/>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29"/>
      <c r="Q20" s="1810"/>
      <c r="R20" s="774"/>
      <c r="S20" s="775"/>
      <c r="T20" s="774"/>
      <c r="U20" s="775"/>
      <c r="V20" s="774"/>
      <c r="W20" s="775"/>
      <c r="X20" s="1813"/>
      <c r="Y20" s="3187"/>
      <c r="Z20" s="1814"/>
      <c r="AA20" s="1811">
        <v>1</v>
      </c>
      <c r="AB20" s="1811">
        <v>1</v>
      </c>
      <c r="AC20" s="1811">
        <v>1</v>
      </c>
    </row>
    <row r="21" spans="1:29" ht="28.5">
      <c r="A21" s="428"/>
      <c r="B21" s="1384" t="s">
        <v>2090</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9"/>
      <c r="Q21" s="1810" t="str">
        <f>B21</f>
        <v>基础设施水平</v>
      </c>
      <c r="R21" s="774" t="s">
        <v>17</v>
      </c>
      <c r="S21" s="775">
        <f>F21</f>
        <v>100</v>
      </c>
      <c r="T21" s="774" t="s">
        <v>17</v>
      </c>
      <c r="U21" s="775">
        <f>H21</f>
        <v>100</v>
      </c>
      <c r="V21" s="774" t="s">
        <v>17</v>
      </c>
      <c r="W21" s="775">
        <f>J21</f>
        <v>100</v>
      </c>
      <c r="X21" s="1813"/>
      <c r="Y21" s="3187"/>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29"/>
      <c r="Q22" s="1810"/>
      <c r="R22" s="774"/>
      <c r="S22" s="775"/>
      <c r="T22" s="774"/>
      <c r="U22" s="775"/>
      <c r="V22" s="774"/>
      <c r="W22" s="775"/>
      <c r="X22" s="1813"/>
      <c r="Y22" s="3187"/>
      <c r="Z22" s="1814"/>
      <c r="AA22" s="1811">
        <v>1</v>
      </c>
      <c r="AB22" s="1811">
        <v>1</v>
      </c>
      <c r="AC22" s="1811">
        <v>1</v>
      </c>
    </row>
    <row r="23" spans="1:29" ht="57">
      <c r="A23" s="428"/>
      <c r="B23" s="451" t="s">
        <v>2094</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9"/>
      <c r="Q23" s="1810" t="str">
        <f>B23</f>
        <v>自然及人文环境</v>
      </c>
      <c r="R23" s="774" t="s">
        <v>21</v>
      </c>
      <c r="S23" s="775">
        <f>F23</f>
        <v>100</v>
      </c>
      <c r="T23" s="774" t="s">
        <v>21</v>
      </c>
      <c r="U23" s="775">
        <f>H23</f>
        <v>100</v>
      </c>
      <c r="V23" s="774" t="s">
        <v>21</v>
      </c>
      <c r="W23" s="775">
        <f>J23</f>
        <v>100</v>
      </c>
      <c r="X23" s="1813"/>
      <c r="Y23" s="3187"/>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29"/>
      <c r="Q24" s="1810"/>
      <c r="R24" s="774"/>
      <c r="S24" s="775"/>
      <c r="T24" s="774"/>
      <c r="U24" s="775"/>
      <c r="V24" s="774"/>
      <c r="W24" s="775"/>
      <c r="X24" s="1813"/>
      <c r="Y24" s="3187"/>
      <c r="Z24" s="1814"/>
      <c r="AA24" s="1811">
        <v>1</v>
      </c>
      <c r="AB24" s="1811">
        <v>1</v>
      </c>
      <c r="AC24" s="1811">
        <v>1</v>
      </c>
    </row>
    <row r="25" spans="1:29" ht="15">
      <c r="A25" s="428"/>
      <c r="B25" s="422" t="s">
        <v>2554</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29"/>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7"/>
      <c r="Z25" s="1814" t="str">
        <f>Q25</f>
        <v>楼层-1</v>
      </c>
      <c r="AA25" s="1811">
        <f t="shared" ref="AA25:AA46" si="15">D25/F25</f>
        <v>1</v>
      </c>
      <c r="AB25" s="1811">
        <f t="shared" ref="AB25:AB46" si="16">D25/H25</f>
        <v>1</v>
      </c>
      <c r="AC25" s="1811">
        <f t="shared" ref="AC25:AC46" si="17">D25/J25</f>
        <v>1</v>
      </c>
    </row>
    <row r="26" spans="1:29" ht="15">
      <c r="A26" s="428"/>
      <c r="B26" s="422" t="s">
        <v>2555</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29"/>
      <c r="Q26" s="1810" t="str">
        <f t="shared" si="11"/>
        <v>朝向</v>
      </c>
      <c r="R26" s="774" t="s">
        <v>21</v>
      </c>
      <c r="S26" s="775">
        <f t="shared" si="12"/>
        <v>100</v>
      </c>
      <c r="T26" s="774" t="s">
        <v>21</v>
      </c>
      <c r="U26" s="775">
        <f t="shared" si="13"/>
        <v>100</v>
      </c>
      <c r="V26" s="774" t="s">
        <v>21</v>
      </c>
      <c r="W26" s="775">
        <f t="shared" si="14"/>
        <v>100</v>
      </c>
      <c r="X26" s="1813"/>
      <c r="Y26" s="318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29"/>
      <c r="Q27" s="1795">
        <f t="shared" si="11"/>
        <v>111</v>
      </c>
      <c r="R27" s="770" t="s">
        <v>21</v>
      </c>
      <c r="S27" s="771">
        <f t="shared" si="12"/>
        <v>100</v>
      </c>
      <c r="T27" s="770" t="s">
        <v>21</v>
      </c>
      <c r="U27" s="771">
        <f t="shared" si="13"/>
        <v>100</v>
      </c>
      <c r="V27" s="770" t="s">
        <v>21</v>
      </c>
      <c r="W27" s="771">
        <f t="shared" si="14"/>
        <v>100</v>
      </c>
      <c r="X27" s="772"/>
      <c r="Y27" s="318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29"/>
      <c r="Q28" s="1810">
        <f t="shared" si="11"/>
        <v>111</v>
      </c>
      <c r="R28" s="774" t="s">
        <v>21</v>
      </c>
      <c r="S28" s="775">
        <f t="shared" si="12"/>
        <v>100</v>
      </c>
      <c r="T28" s="774" t="s">
        <v>21</v>
      </c>
      <c r="U28" s="775">
        <f t="shared" si="13"/>
        <v>100</v>
      </c>
      <c r="V28" s="774" t="s">
        <v>21</v>
      </c>
      <c r="W28" s="775">
        <f t="shared" si="14"/>
        <v>100</v>
      </c>
      <c r="X28" s="1813"/>
      <c r="Y28" s="318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29"/>
      <c r="Q29" s="1810">
        <f t="shared" si="11"/>
        <v>111</v>
      </c>
      <c r="R29" s="774" t="s">
        <v>21</v>
      </c>
      <c r="S29" s="775">
        <f t="shared" si="12"/>
        <v>100</v>
      </c>
      <c r="T29" s="774" t="s">
        <v>21</v>
      </c>
      <c r="U29" s="775">
        <f t="shared" si="13"/>
        <v>100</v>
      </c>
      <c r="V29" s="774" t="s">
        <v>21</v>
      </c>
      <c r="W29" s="775">
        <f t="shared" si="14"/>
        <v>100</v>
      </c>
      <c r="X29" s="1813"/>
      <c r="Y29" s="318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29"/>
      <c r="Q30" s="1810">
        <f t="shared" si="11"/>
        <v>111</v>
      </c>
      <c r="R30" s="774" t="s">
        <v>21</v>
      </c>
      <c r="S30" s="775">
        <f t="shared" si="12"/>
        <v>100</v>
      </c>
      <c r="T30" s="774" t="s">
        <v>21</v>
      </c>
      <c r="U30" s="775">
        <f t="shared" si="13"/>
        <v>100</v>
      </c>
      <c r="V30" s="774" t="s">
        <v>21</v>
      </c>
      <c r="W30" s="775">
        <f t="shared" si="14"/>
        <v>100</v>
      </c>
      <c r="X30" s="1813"/>
      <c r="Y30" s="318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29"/>
      <c r="Q31" s="1810">
        <f t="shared" si="11"/>
        <v>111</v>
      </c>
      <c r="R31" s="774" t="s">
        <v>21</v>
      </c>
      <c r="S31" s="775">
        <f t="shared" si="12"/>
        <v>100</v>
      </c>
      <c r="T31" s="774" t="s">
        <v>21</v>
      </c>
      <c r="U31" s="775">
        <f t="shared" si="13"/>
        <v>100</v>
      </c>
      <c r="V31" s="774" t="s">
        <v>21</v>
      </c>
      <c r="W31" s="775">
        <f t="shared" si="14"/>
        <v>100</v>
      </c>
      <c r="X31" s="1813"/>
      <c r="Y31" s="3187"/>
      <c r="Z31" s="1814">
        <f t="shared" si="18"/>
        <v>111</v>
      </c>
      <c r="AA31" s="1811">
        <f t="shared" si="15"/>
        <v>1</v>
      </c>
      <c r="AB31" s="1811">
        <f t="shared" si="16"/>
        <v>1</v>
      </c>
      <c r="AC31" s="1811">
        <f t="shared" si="17"/>
        <v>1</v>
      </c>
    </row>
    <row r="32" spans="1:29" ht="15">
      <c r="A32" s="440" t="s">
        <v>2556</v>
      </c>
      <c r="B32" s="71" t="s">
        <v>2557</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25" t="s">
        <v>2558</v>
      </c>
      <c r="Q32" s="1810" t="str">
        <f t="shared" si="11"/>
        <v>建筑类型</v>
      </c>
      <c r="R32" s="774" t="s">
        <v>21</v>
      </c>
      <c r="S32" s="775">
        <f t="shared" si="12"/>
        <v>100</v>
      </c>
      <c r="T32" s="774" t="s">
        <v>21</v>
      </c>
      <c r="U32" s="775">
        <f t="shared" si="13"/>
        <v>100</v>
      </c>
      <c r="V32" s="774" t="s">
        <v>21</v>
      </c>
      <c r="W32" s="775">
        <f t="shared" si="14"/>
        <v>100</v>
      </c>
      <c r="X32" s="1813"/>
      <c r="Y32" s="3189" t="s">
        <v>2558</v>
      </c>
      <c r="Z32" s="1814" t="str">
        <f t="shared" si="18"/>
        <v>建筑类型</v>
      </c>
      <c r="AA32" s="1811">
        <f t="shared" si="15"/>
        <v>1</v>
      </c>
      <c r="AB32" s="1811">
        <f t="shared" si="16"/>
        <v>1</v>
      </c>
      <c r="AC32" s="1811">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26"/>
      <c r="Q33" s="776" t="str">
        <f t="shared" si="11"/>
        <v>项目建筑规模</v>
      </c>
      <c r="R33" s="777" t="s">
        <v>21</v>
      </c>
      <c r="S33" s="778" t="e">
        <f t="shared" si="12"/>
        <v>#N/A</v>
      </c>
      <c r="T33" s="777" t="s">
        <v>21</v>
      </c>
      <c r="U33" s="778" t="e">
        <f t="shared" si="13"/>
        <v>#N/A</v>
      </c>
      <c r="V33" s="777" t="s">
        <v>21</v>
      </c>
      <c r="W33" s="778" t="e">
        <f t="shared" si="14"/>
        <v>#N/A</v>
      </c>
      <c r="X33" s="779"/>
      <c r="Y33" s="3189"/>
      <c r="Z33" s="780" t="str">
        <f t="shared" si="18"/>
        <v>项目建筑规模</v>
      </c>
      <c r="AA33" s="1811" t="e">
        <f t="shared" si="15"/>
        <v>#N/A</v>
      </c>
      <c r="AB33" s="1811" t="e">
        <f t="shared" si="16"/>
        <v>#N/A</v>
      </c>
      <c r="AC33" s="1811" t="e">
        <f t="shared" si="17"/>
        <v>#N/A</v>
      </c>
    </row>
    <row r="34" spans="1:29" ht="15">
      <c r="A34" s="472"/>
      <c r="B34" s="422" t="s">
        <v>2560</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26"/>
      <c r="Q34" s="1810" t="str">
        <f t="shared" si="11"/>
        <v>建筑结构</v>
      </c>
      <c r="R34" s="774" t="s">
        <v>21</v>
      </c>
      <c r="S34" s="775">
        <f t="shared" si="12"/>
        <v>100</v>
      </c>
      <c r="T34" s="774" t="s">
        <v>21</v>
      </c>
      <c r="U34" s="775">
        <f t="shared" si="13"/>
        <v>100</v>
      </c>
      <c r="V34" s="774" t="s">
        <v>21</v>
      </c>
      <c r="W34" s="775">
        <f t="shared" si="14"/>
        <v>100</v>
      </c>
      <c r="X34" s="1813"/>
      <c r="Y34" s="3189"/>
      <c r="Z34" s="1814" t="str">
        <f t="shared" si="18"/>
        <v>建筑结构</v>
      </c>
      <c r="AA34" s="1811">
        <f t="shared" si="15"/>
        <v>1</v>
      </c>
      <c r="AB34" s="1811">
        <f t="shared" si="16"/>
        <v>1</v>
      </c>
      <c r="AC34" s="1811">
        <f t="shared" si="17"/>
        <v>1</v>
      </c>
    </row>
    <row r="35" spans="1:29" ht="15">
      <c r="A35" s="472"/>
      <c r="B35" s="422" t="s">
        <v>2561</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26"/>
      <c r="Q35" s="1810" t="str">
        <f t="shared" si="11"/>
        <v>建筑品质</v>
      </c>
      <c r="R35" s="774" t="s">
        <v>21</v>
      </c>
      <c r="S35" s="775">
        <f t="shared" si="12"/>
        <v>100</v>
      </c>
      <c r="T35" s="774" t="s">
        <v>21</v>
      </c>
      <c r="U35" s="775">
        <f t="shared" si="13"/>
        <v>100</v>
      </c>
      <c r="V35" s="774" t="s">
        <v>21</v>
      </c>
      <c r="W35" s="775">
        <f t="shared" si="14"/>
        <v>100</v>
      </c>
      <c r="X35" s="1813"/>
      <c r="Y35" s="3189"/>
      <c r="Z35" s="1814" t="str">
        <f t="shared" si="18"/>
        <v>建筑品质</v>
      </c>
      <c r="AA35" s="1811">
        <f t="shared" si="15"/>
        <v>1</v>
      </c>
      <c r="AB35" s="1811">
        <f t="shared" si="16"/>
        <v>1</v>
      </c>
      <c r="AC35" s="1811">
        <f t="shared" si="17"/>
        <v>1</v>
      </c>
    </row>
    <row r="36" spans="1:29" ht="15">
      <c r="A36" s="472"/>
      <c r="B36" s="422" t="s">
        <v>2562</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26"/>
      <c r="Q36" s="1810" t="str">
        <f t="shared" si="11"/>
        <v>公共部分装修</v>
      </c>
      <c r="R36" s="774" t="s">
        <v>21</v>
      </c>
      <c r="S36" s="775">
        <f t="shared" si="12"/>
        <v>100</v>
      </c>
      <c r="T36" s="774" t="s">
        <v>21</v>
      </c>
      <c r="U36" s="775">
        <f t="shared" si="13"/>
        <v>100</v>
      </c>
      <c r="V36" s="774" t="s">
        <v>21</v>
      </c>
      <c r="W36" s="775">
        <f t="shared" si="14"/>
        <v>100</v>
      </c>
      <c r="X36" s="1813"/>
      <c r="Y36" s="3189"/>
      <c r="Z36" s="1814" t="str">
        <f t="shared" si="18"/>
        <v>公共部分装修</v>
      </c>
      <c r="AA36" s="1811">
        <f t="shared" si="15"/>
        <v>1</v>
      </c>
      <c r="AB36" s="1811">
        <f t="shared" si="16"/>
        <v>1</v>
      </c>
      <c r="AC36" s="1811">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6"/>
      <c r="Q37" s="1795" t="str">
        <f t="shared" si="11"/>
        <v>成新度</v>
      </c>
      <c r="R37" s="770" t="s">
        <v>21</v>
      </c>
      <c r="S37" s="771" t="e">
        <f t="shared" si="12"/>
        <v>#N/A</v>
      </c>
      <c r="T37" s="770" t="s">
        <v>21</v>
      </c>
      <c r="U37" s="771" t="e">
        <f t="shared" si="13"/>
        <v>#N/A</v>
      </c>
      <c r="V37" s="770" t="s">
        <v>21</v>
      </c>
      <c r="W37" s="771" t="e">
        <f t="shared" si="14"/>
        <v>#N/A</v>
      </c>
      <c r="X37" s="772"/>
      <c r="Y37" s="3189"/>
      <c r="Z37" s="55" t="str">
        <f t="shared" si="18"/>
        <v>成新度</v>
      </c>
      <c r="AA37" s="773" t="e">
        <f t="shared" si="15"/>
        <v>#N/A</v>
      </c>
      <c r="AB37" s="773" t="e">
        <f t="shared" si="16"/>
        <v>#N/A</v>
      </c>
      <c r="AC37" s="773" t="e">
        <f t="shared" si="17"/>
        <v>#N/A</v>
      </c>
    </row>
    <row r="38" spans="1:29" ht="15">
      <c r="A38" s="472"/>
      <c r="B38" s="422" t="s">
        <v>2564</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26" t="s">
        <v>2558</v>
      </c>
      <c r="Q38" s="1810" t="str">
        <f t="shared" si="11"/>
        <v>物业管理</v>
      </c>
      <c r="R38" s="774" t="s">
        <v>21</v>
      </c>
      <c r="S38" s="775">
        <f t="shared" si="12"/>
        <v>100</v>
      </c>
      <c r="T38" s="774" t="s">
        <v>21</v>
      </c>
      <c r="U38" s="775">
        <f t="shared" si="13"/>
        <v>100</v>
      </c>
      <c r="V38" s="774" t="s">
        <v>21</v>
      </c>
      <c r="W38" s="775">
        <f t="shared" si="14"/>
        <v>100</v>
      </c>
      <c r="X38" s="1813"/>
      <c r="Y38" s="3189" t="s">
        <v>2558</v>
      </c>
      <c r="Z38" s="1814" t="str">
        <f t="shared" si="18"/>
        <v>物业管理</v>
      </c>
      <c r="AA38" s="1811">
        <f t="shared" si="15"/>
        <v>1</v>
      </c>
      <c r="AB38" s="1811">
        <f t="shared" si="16"/>
        <v>1</v>
      </c>
      <c r="AC38" s="1811">
        <f t="shared" si="17"/>
        <v>1</v>
      </c>
    </row>
    <row r="39" spans="1:29" ht="15">
      <c r="A39" s="472"/>
      <c r="B39" s="422" t="s">
        <v>2565</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26"/>
      <c r="Q39" s="1810" t="str">
        <f t="shared" si="11"/>
        <v>市政基础设施</v>
      </c>
      <c r="R39" s="774" t="s">
        <v>21</v>
      </c>
      <c r="S39" s="775">
        <f t="shared" si="12"/>
        <v>100</v>
      </c>
      <c r="T39" s="774" t="s">
        <v>21</v>
      </c>
      <c r="U39" s="775">
        <f t="shared" si="13"/>
        <v>100</v>
      </c>
      <c r="V39" s="774" t="s">
        <v>21</v>
      </c>
      <c r="W39" s="775">
        <f t="shared" si="14"/>
        <v>100</v>
      </c>
      <c r="X39" s="1813"/>
      <c r="Y39" s="3189"/>
      <c r="Z39" s="1814" t="str">
        <f t="shared" si="18"/>
        <v>市政基础设施</v>
      </c>
      <c r="AA39" s="1811">
        <f t="shared" si="15"/>
        <v>1</v>
      </c>
      <c r="AB39" s="1811">
        <f t="shared" si="16"/>
        <v>1</v>
      </c>
      <c r="AC39" s="1811">
        <f t="shared" si="17"/>
        <v>1</v>
      </c>
    </row>
    <row r="40" spans="1:29" ht="15">
      <c r="A40" s="472"/>
      <c r="B40" s="422" t="s">
        <v>2566</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26"/>
      <c r="Q40" s="1810" t="str">
        <f t="shared" si="11"/>
        <v>房型</v>
      </c>
      <c r="R40" s="774" t="s">
        <v>21</v>
      </c>
      <c r="S40" s="775">
        <f t="shared" si="12"/>
        <v>100</v>
      </c>
      <c r="T40" s="774" t="s">
        <v>21</v>
      </c>
      <c r="U40" s="775">
        <f t="shared" si="13"/>
        <v>100</v>
      </c>
      <c r="V40" s="774" t="s">
        <v>21</v>
      </c>
      <c r="W40" s="775">
        <f t="shared" si="14"/>
        <v>100</v>
      </c>
      <c r="X40" s="1813"/>
      <c r="Y40" s="3189"/>
      <c r="Z40" s="1814" t="str">
        <f t="shared" si="18"/>
        <v>房型</v>
      </c>
      <c r="AA40" s="1811">
        <f t="shared" si="15"/>
        <v>1</v>
      </c>
      <c r="AB40" s="1811">
        <f t="shared" si="16"/>
        <v>1</v>
      </c>
      <c r="AC40" s="1811">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26"/>
      <c r="Q41" s="776" t="str">
        <f t="shared" si="11"/>
        <v>单套/主力户型建筑面积</v>
      </c>
      <c r="R41" s="777" t="s">
        <v>21</v>
      </c>
      <c r="S41" s="778">
        <f t="shared" si="12"/>
        <v>100</v>
      </c>
      <c r="T41" s="777" t="s">
        <v>21</v>
      </c>
      <c r="U41" s="778">
        <f t="shared" si="13"/>
        <v>100</v>
      </c>
      <c r="V41" s="777" t="s">
        <v>21</v>
      </c>
      <c r="W41" s="778">
        <f t="shared" si="14"/>
        <v>100</v>
      </c>
      <c r="X41" s="779"/>
      <c r="Y41" s="3189"/>
      <c r="Z41" s="780" t="str">
        <f t="shared" si="18"/>
        <v>单套/主力户型建筑面积</v>
      </c>
      <c r="AA41" s="1811">
        <f t="shared" si="15"/>
        <v>1</v>
      </c>
      <c r="AB41" s="1811">
        <f t="shared" si="16"/>
        <v>1</v>
      </c>
      <c r="AC41" s="1811">
        <f t="shared" si="17"/>
        <v>1</v>
      </c>
    </row>
    <row r="42" spans="1:29" ht="15">
      <c r="A42" s="472"/>
      <c r="B42" s="422" t="s">
        <v>2568</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26"/>
      <c r="Q42" s="1810" t="str">
        <f t="shared" si="11"/>
        <v>内部装修</v>
      </c>
      <c r="R42" s="774" t="s">
        <v>21</v>
      </c>
      <c r="S42" s="775">
        <f t="shared" si="12"/>
        <v>100</v>
      </c>
      <c r="T42" s="774" t="s">
        <v>21</v>
      </c>
      <c r="U42" s="775">
        <f t="shared" si="13"/>
        <v>100</v>
      </c>
      <c r="V42" s="774" t="s">
        <v>21</v>
      </c>
      <c r="W42" s="775">
        <f t="shared" si="14"/>
        <v>100</v>
      </c>
      <c r="X42" s="1813"/>
      <c r="Y42" s="3189"/>
      <c r="Z42" s="1814" t="str">
        <f t="shared" si="18"/>
        <v>内部装修</v>
      </c>
      <c r="AA42" s="1811">
        <f t="shared" si="15"/>
        <v>1</v>
      </c>
      <c r="AB42" s="1811">
        <f t="shared" si="16"/>
        <v>1</v>
      </c>
      <c r="AC42" s="1811">
        <f t="shared" si="17"/>
        <v>1</v>
      </c>
    </row>
    <row r="43" spans="1:29" ht="15">
      <c r="A43" s="472"/>
      <c r="B43" s="422" t="s">
        <v>2569</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26"/>
      <c r="Q43" s="1810" t="str">
        <f t="shared" si="11"/>
        <v>内部装修维护情况</v>
      </c>
      <c r="R43" s="774" t="s">
        <v>21</v>
      </c>
      <c r="S43" s="775">
        <f t="shared" si="12"/>
        <v>100</v>
      </c>
      <c r="T43" s="774" t="s">
        <v>21</v>
      </c>
      <c r="U43" s="775">
        <f t="shared" si="13"/>
        <v>100</v>
      </c>
      <c r="V43" s="774" t="s">
        <v>21</v>
      </c>
      <c r="W43" s="775">
        <f t="shared" si="14"/>
        <v>100</v>
      </c>
      <c r="X43" s="1813"/>
      <c r="Y43" s="318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26"/>
      <c r="Q44" s="1795">
        <f t="shared" si="11"/>
        <v>111</v>
      </c>
      <c r="R44" s="770" t="s">
        <v>21</v>
      </c>
      <c r="S44" s="771">
        <f t="shared" si="12"/>
        <v>100</v>
      </c>
      <c r="T44" s="770" t="s">
        <v>21</v>
      </c>
      <c r="U44" s="771">
        <f t="shared" si="13"/>
        <v>100</v>
      </c>
      <c r="V44" s="770" t="s">
        <v>21</v>
      </c>
      <c r="W44" s="771">
        <f t="shared" si="14"/>
        <v>100</v>
      </c>
      <c r="X44" s="772"/>
      <c r="Y44" s="318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26"/>
      <c r="Q45" s="1810">
        <f t="shared" si="11"/>
        <v>111</v>
      </c>
      <c r="R45" s="774" t="s">
        <v>21</v>
      </c>
      <c r="S45" s="775">
        <f t="shared" si="12"/>
        <v>100</v>
      </c>
      <c r="T45" s="774" t="s">
        <v>21</v>
      </c>
      <c r="U45" s="775">
        <f t="shared" si="13"/>
        <v>100</v>
      </c>
      <c r="V45" s="774" t="s">
        <v>21</v>
      </c>
      <c r="W45" s="775">
        <f t="shared" si="14"/>
        <v>100</v>
      </c>
      <c r="X45" s="1813"/>
      <c r="Y45" s="3189"/>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27"/>
      <c r="Q46" s="1810">
        <f t="shared" si="11"/>
        <v>111</v>
      </c>
      <c r="R46" s="774" t="s">
        <v>20</v>
      </c>
      <c r="S46" s="775">
        <f t="shared" si="12"/>
        <v>100</v>
      </c>
      <c r="T46" s="774" t="s">
        <v>20</v>
      </c>
      <c r="U46" s="775">
        <f t="shared" si="13"/>
        <v>100</v>
      </c>
      <c r="V46" s="774" t="s">
        <v>20</v>
      </c>
      <c r="W46" s="775">
        <f t="shared" si="14"/>
        <v>100</v>
      </c>
      <c r="X46" s="1813"/>
      <c r="Y46" s="3190"/>
      <c r="Z46" s="1814">
        <f t="shared" si="18"/>
        <v>111</v>
      </c>
      <c r="AA46" s="1811">
        <f t="shared" si="15"/>
        <v>1</v>
      </c>
      <c r="AB46" s="1811">
        <f t="shared" si="16"/>
        <v>1</v>
      </c>
      <c r="AC46" s="1811">
        <f t="shared" si="17"/>
        <v>1</v>
      </c>
    </row>
    <row r="47" spans="1:29" ht="15">
      <c r="A47" s="479" t="s">
        <v>2570</v>
      </c>
      <c r="B47" s="480"/>
      <c r="C47" s="1407" t="s">
        <v>19</v>
      </c>
      <c r="D47" s="1408"/>
      <c r="E47" s="1409"/>
      <c r="F47" s="1410"/>
      <c r="G47" s="1411"/>
      <c r="H47" s="1412"/>
      <c r="I47" s="1409"/>
      <c r="J47" s="1412"/>
      <c r="K47" s="2620"/>
      <c r="L47" s="1143"/>
      <c r="M47" s="1144"/>
      <c r="N47" s="1131"/>
      <c r="O47" s="1144"/>
      <c r="P47" s="3171" t="str">
        <f>A47</f>
        <v>成交单价（元/平方米）</v>
      </c>
      <c r="Q47" s="3171"/>
      <c r="R47" s="3191">
        <f>E47</f>
        <v>0</v>
      </c>
      <c r="S47" s="3191"/>
      <c r="T47" s="3191">
        <f>G47</f>
        <v>0</v>
      </c>
      <c r="U47" s="3191"/>
      <c r="V47" s="3191">
        <f>I47</f>
        <v>0</v>
      </c>
      <c r="W47" s="3191"/>
      <c r="X47" s="759"/>
      <c r="Y47" s="781"/>
      <c r="Z47" s="759"/>
      <c r="AA47" s="759"/>
      <c r="AB47" s="759"/>
      <c r="AC47" s="759"/>
    </row>
    <row r="48" spans="1:29" ht="15.75" thickBot="1">
      <c r="A48" s="486" t="s">
        <v>2571</v>
      </c>
      <c r="B48" s="487"/>
      <c r="C48" s="1413" t="e">
        <f>R49</f>
        <v>#DIV/0!</v>
      </c>
      <c r="D48" s="1414"/>
      <c r="E48" s="1415" t="e">
        <f>R48</f>
        <v>#DIV/0!</v>
      </c>
      <c r="F48" s="1415"/>
      <c r="G48" s="1413" t="e">
        <f>T48</f>
        <v>#DIV/0!</v>
      </c>
      <c r="H48" s="1414"/>
      <c r="I48" s="1415" t="e">
        <f>V48</f>
        <v>#DIV/0!</v>
      </c>
      <c r="J48" s="1414"/>
      <c r="K48" s="2621"/>
      <c r="L48" s="1143"/>
      <c r="M48" s="1144"/>
      <c r="N48" s="1144"/>
      <c r="O48" s="1144"/>
      <c r="P48" s="3171" t="str">
        <f>A48</f>
        <v>比较价值（元/平方米）</v>
      </c>
      <c r="Q48" s="3171"/>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2572</v>
      </c>
      <c r="B49" s="493"/>
      <c r="C49" s="1416" t="e">
        <f>R49</f>
        <v>#DIV/0!</v>
      </c>
      <c r="D49" s="1417"/>
      <c r="E49" s="1417"/>
      <c r="F49" s="1417"/>
      <c r="G49" s="1417"/>
      <c r="H49" s="1417"/>
      <c r="I49" s="1417"/>
      <c r="J49" s="1417"/>
      <c r="K49" s="2622"/>
      <c r="L49" s="1143"/>
      <c r="M49" s="1144"/>
      <c r="N49" s="1144"/>
      <c r="O49" s="1144"/>
      <c r="P49" s="3192" t="str">
        <f>A49</f>
        <v>估价对象XX用房的比较价值（楼面单价，元/平方米）</v>
      </c>
      <c r="Q49" s="3193"/>
      <c r="R49" s="3194" t="e">
        <f>IF(F1="售价",ROUND(AVERAGE(R48:V48),0),ROUND(AVERAGE(R48:V48),1))</f>
        <v>#DIV/0!</v>
      </c>
      <c r="S49" s="3194"/>
      <c r="T49" s="3194"/>
      <c r="U49" s="3194"/>
      <c r="V49" s="3194"/>
      <c r="W49" s="319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2576</v>
      </c>
      <c r="B57" s="759"/>
      <c r="C57" s="764"/>
      <c r="D57" s="764"/>
      <c r="E57" s="764"/>
      <c r="F57" s="765"/>
      <c r="G57" s="765"/>
      <c r="H57" s="764"/>
      <c r="I57" s="764"/>
      <c r="J57" s="764"/>
      <c r="K57" s="1160"/>
      <c r="L57" s="1161"/>
      <c r="M57" s="1159"/>
      <c r="N57" s="1159"/>
      <c r="O57" s="1159"/>
      <c r="P57" s="2625"/>
      <c r="Q57" s="504"/>
    </row>
    <row r="58" spans="1:29" s="508" customFormat="1" ht="15">
      <c r="A58" s="505" t="s">
        <v>2577</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2579</v>
      </c>
      <c r="B61" s="510"/>
      <c r="C61" s="522" t="s">
        <v>2580</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2581</v>
      </c>
      <c r="B63" s="528" t="s">
        <v>2547</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2090</v>
      </c>
      <c r="C82" s="539" t="s">
        <v>2597</v>
      </c>
      <c r="D82" s="539" t="s">
        <v>2598</v>
      </c>
      <c r="E82" s="539" t="s">
        <v>2599</v>
      </c>
      <c r="F82" s="539" t="s">
        <v>2600</v>
      </c>
      <c r="G82" s="539" t="s">
        <v>2601</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2603</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2604</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2556</v>
      </c>
      <c r="B100" s="528" t="s">
        <v>2605</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2607</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2608</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2609</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2610</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2611</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2612</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2567</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2613</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2615</v>
      </c>
    </row>
    <row r="137" spans="1:17" ht="15">
      <c r="B137" s="2637" t="s">
        <v>2616</v>
      </c>
      <c r="C137" s="2638"/>
      <c r="D137" s="2638"/>
      <c r="E137" s="2638"/>
      <c r="F137" s="2638"/>
      <c r="G137" s="2639"/>
      <c r="H137" s="2640"/>
      <c r="I137" s="2641" t="s">
        <v>2617</v>
      </c>
      <c r="J137" s="2638"/>
      <c r="K137" s="2642"/>
    </row>
    <row r="138" spans="1:17" ht="15">
      <c r="B138" s="2643"/>
      <c r="C138" s="146" t="s">
        <v>2618</v>
      </c>
      <c r="D138" s="146" t="s">
        <v>2619</v>
      </c>
      <c r="E138" s="2644" t="s">
        <v>2620</v>
      </c>
      <c r="F138" s="2645" t="s">
        <v>2621</v>
      </c>
      <c r="G138" s="146" t="s">
        <v>2619</v>
      </c>
      <c r="H138" s="147" t="s">
        <v>2620</v>
      </c>
      <c r="I138" s="2646"/>
      <c r="J138" s="146" t="s">
        <v>2622</v>
      </c>
      <c r="K138" s="147" t="s">
        <v>2623</v>
      </c>
    </row>
    <row r="139" spans="1:17" ht="15">
      <c r="B139" s="1084">
        <v>6</v>
      </c>
      <c r="C139" s="1085">
        <v>96</v>
      </c>
      <c r="D139" s="2647" t="s">
        <v>2624</v>
      </c>
      <c r="E139" s="1086">
        <v>100</v>
      </c>
      <c r="F139" s="1087">
        <v>102.5</v>
      </c>
      <c r="G139" s="2647" t="s">
        <v>2624</v>
      </c>
      <c r="H139" s="1088">
        <v>105</v>
      </c>
      <c r="I139" s="2648" t="s">
        <v>2625</v>
      </c>
      <c r="J139" s="1085">
        <v>20</v>
      </c>
      <c r="K139" s="1089">
        <f>C145/(J139-2)</f>
        <v>4.0555555555555553E-3</v>
      </c>
    </row>
    <row r="140" spans="1:17" ht="15">
      <c r="B140" s="1090">
        <v>5</v>
      </c>
      <c r="C140" s="1091">
        <v>100</v>
      </c>
      <c r="D140" s="1091"/>
      <c r="E140" s="1092"/>
      <c r="F140" s="1093">
        <v>102</v>
      </c>
      <c r="G140" s="1091"/>
      <c r="H140" s="1094"/>
      <c r="I140" s="2649" t="s">
        <v>2626</v>
      </c>
      <c r="J140" s="315">
        <f>ROUNDUP((J139-1)/2,0)</f>
        <v>10</v>
      </c>
      <c r="K140" s="1095">
        <v>100</v>
      </c>
    </row>
    <row r="141" spans="1:17" ht="15">
      <c r="B141" s="1090">
        <v>4</v>
      </c>
      <c r="C141" s="1091">
        <v>102</v>
      </c>
      <c r="D141" s="1091"/>
      <c r="E141" s="1092"/>
      <c r="F141" s="1093">
        <v>101.5</v>
      </c>
      <c r="G141" s="1091"/>
      <c r="H141" s="1094"/>
      <c r="I141" s="2649" t="s">
        <v>2627</v>
      </c>
      <c r="J141" s="315">
        <v>1</v>
      </c>
      <c r="K141" s="1096">
        <f>ROUND(100+(J141-J140)*K139*100,1)</f>
        <v>96.4</v>
      </c>
    </row>
    <row r="142" spans="1:17" ht="15">
      <c r="B142" s="1090">
        <v>3</v>
      </c>
      <c r="C142" s="1091">
        <v>103</v>
      </c>
      <c r="D142" s="1091"/>
      <c r="E142" s="1092"/>
      <c r="F142" s="1093">
        <v>101</v>
      </c>
      <c r="G142" s="1091"/>
      <c r="H142" s="1094"/>
      <c r="I142" s="2649" t="s">
        <v>2628</v>
      </c>
      <c r="J142" s="315">
        <f>J139</f>
        <v>20</v>
      </c>
      <c r="K142" s="1097">
        <v>95</v>
      </c>
    </row>
    <row r="143" spans="1:17" ht="15">
      <c r="B143" s="1090">
        <v>2</v>
      </c>
      <c r="C143" s="1091">
        <v>100</v>
      </c>
      <c r="D143" s="1091"/>
      <c r="E143" s="1092"/>
      <c r="F143" s="1093">
        <v>100.5</v>
      </c>
      <c r="G143" s="1091"/>
      <c r="H143" s="1094"/>
      <c r="I143" s="2649" t="s">
        <v>2629</v>
      </c>
      <c r="J143" s="1091">
        <v>15</v>
      </c>
      <c r="K143" s="1096">
        <f>ROUND(100+(J143-J140)*K139*100,1)</f>
        <v>102</v>
      </c>
    </row>
    <row r="144" spans="1:17" ht="15">
      <c r="B144" s="1090">
        <v>1</v>
      </c>
      <c r="C144" s="1091">
        <v>98</v>
      </c>
      <c r="D144" s="2650" t="s">
        <v>2630</v>
      </c>
      <c r="E144" s="1092">
        <v>102</v>
      </c>
      <c r="F144" s="1098">
        <v>100</v>
      </c>
      <c r="G144" s="2650" t="s">
        <v>2630</v>
      </c>
      <c r="H144" s="1094">
        <v>105</v>
      </c>
      <c r="I144" s="2649" t="s">
        <v>2629</v>
      </c>
      <c r="J144" s="1091">
        <v>18</v>
      </c>
      <c r="K144" s="1096">
        <f>ROUND(100+(J144-J140)*K139*100,1)</f>
        <v>103.2</v>
      </c>
    </row>
    <row r="145" spans="2:11" ht="15.75" thickBot="1">
      <c r="B145" s="2651" t="s">
        <v>2631</v>
      </c>
      <c r="C145" s="1099">
        <f>ROUND(MAX(C139:C144)/MIN(C139:C144)-1,3)</f>
        <v>7.2999999999999995E-2</v>
      </c>
      <c r="D145" s="1100"/>
      <c r="E145" s="1100"/>
      <c r="F145" s="2652" t="s">
        <v>2632</v>
      </c>
      <c r="G145" s="2653"/>
      <c r="H145" s="2654"/>
      <c r="I145" s="2655" t="s">
        <v>2629</v>
      </c>
      <c r="J145" s="1101">
        <v>8</v>
      </c>
      <c r="K145" s="1102">
        <f>ROUND(100+(J145-J140)*K139*100,1)</f>
        <v>99.2</v>
      </c>
    </row>
    <row r="147" spans="2:11">
      <c r="B147" s="2636" t="s">
        <v>2633</v>
      </c>
    </row>
    <row r="148" spans="2:11">
      <c r="B148" s="2636"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四川小麦飞扬科技有限公司：</v>
      </c>
    </row>
    <row r="4" spans="1:1" ht="36">
      <c r="A4" s="1947" t="str">
        <f>"受贵公司委托，我公司对"&amp;项目基本情况!S1&amp;"进行了预评估。"</f>
        <v>受贵公司委托，我公司对四川省成都市青羊区广富路239号31栋1层1号房地产抵押价值进行了预评估。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青羊区广富路239号31栋1层1号房地产，为四川小麦飞扬科技有限公司所有。根据《国有土地使用证》[]，估价对象（分摊）出让国有建设用地使用权面积为0平方米，建筑面积为5775.17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青羊区广富路239号31栋1层1号房地产,属四川小麦飞扬科技有限公司开发建设的办公项目，该项目尚在开发建设中。根据《国有土地使用证》[]，估价对象（分摊）出让国有建设用地使用权面积为0平方米，规划建筑面积为5775.17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为估价委托人在向华夏银行股份有限公司北京姚家园支行办理贷款手续过程中，确定房地产抵押贷款额度提供参考依据而评估房地产抵押价值。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2019年11月13日（评估专业人员实地查勘之日）</v>
      </c>
    </row>
    <row r="16" spans="1:1" ht="18.75">
      <c r="A16" s="1952" t="s">
        <v>1613</v>
      </c>
    </row>
    <row r="17" spans="1:1" ht="75">
      <c r="A17" s="1947" t="s">
        <v>1614</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13日，估价对象规划用途为工业，土地取得方式为出让，出让国有建设用地使用权剩余土地使用年限为工业37.67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工业37.67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本次评估采用的主估价方法为比较法和收益法。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1" t="s">
        <v>2635</v>
      </c>
      <c r="C1" s="1634" t="s">
        <v>2523</v>
      </c>
      <c r="D1" s="1621"/>
      <c r="E1" s="2656"/>
      <c r="F1" s="2583"/>
      <c r="G1" s="1631" t="s">
        <v>2636</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2320</v>
      </c>
      <c r="B2" s="1418" t="e">
        <f ca="1">IF(C2="——",ROUND(C49*D3/10000,0),ROUND(C49*D3/10000,0)-D2)</f>
        <v>#DIV/0!</v>
      </c>
      <c r="C2" s="2585"/>
      <c r="D2" s="1365" t="e">
        <f ca="1">SUMIF(INDIRECT("'"&amp;F2&amp;"'"&amp;"!A:A"),"承租人权益价值",INDIRECT("'"&amp;F2&amp;"'"&amp;"!c:c"))</f>
        <v>#REF!</v>
      </c>
      <c r="E2" s="2586" t="s">
        <v>2321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2322</v>
      </c>
      <c r="B3" s="609" t="e">
        <f ca="1">IF(C2="——",C49,ROUND(B2*10000/D3,0))</f>
        <v>#DIV/0!</v>
      </c>
      <c r="C3" s="400" t="s">
        <v>2637</v>
      </c>
      <c r="D3" s="399">
        <f>IF(D1="",'数据-汇总表'!E3,SUMIF('数据-汇总表'!$C19:$C33,D1,'数据-汇总表'!$E19:$E33))</f>
        <v>5775.17</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2638</v>
      </c>
      <c r="B4" s="402"/>
      <c r="C4" s="3172" t="s">
        <v>2639</v>
      </c>
      <c r="D4" s="3173"/>
      <c r="E4" s="3174" t="s">
        <v>2640</v>
      </c>
      <c r="F4" s="3175"/>
      <c r="G4" s="3172" t="s">
        <v>2641</v>
      </c>
      <c r="H4" s="3173"/>
      <c r="I4" s="3172" t="s">
        <v>2642</v>
      </c>
      <c r="J4" s="3173"/>
      <c r="K4" s="610" t="s">
        <v>2643</v>
      </c>
      <c r="L4" s="1130"/>
      <c r="M4" s="1131"/>
      <c r="N4" s="1131"/>
      <c r="O4" s="1131"/>
      <c r="P4" s="3176" t="s">
        <v>2644</v>
      </c>
      <c r="Q4" s="3177"/>
      <c r="R4" s="3159" t="s">
        <v>2640</v>
      </c>
      <c r="S4" s="3160"/>
      <c r="T4" s="3159" t="s">
        <v>2641</v>
      </c>
      <c r="U4" s="3160"/>
      <c r="V4" s="3184" t="s">
        <v>2642</v>
      </c>
      <c r="W4" s="3184"/>
      <c r="X4" s="1813"/>
      <c r="Y4" s="3159" t="s">
        <v>2644</v>
      </c>
      <c r="Z4" s="3160"/>
      <c r="AA4" s="3154" t="s">
        <v>2640</v>
      </c>
      <c r="AB4" s="3184" t="s">
        <v>2641</v>
      </c>
      <c r="AC4" s="3154" t="s">
        <v>2642</v>
      </c>
    </row>
    <row r="5" spans="1:29" ht="15">
      <c r="A5" s="404"/>
      <c r="B5" s="405"/>
      <c r="C5" s="3223" t="s">
        <v>2535</v>
      </c>
      <c r="D5" s="3166"/>
      <c r="E5" s="3222" t="s">
        <v>2536</v>
      </c>
      <c r="F5" s="3164"/>
      <c r="G5" s="3223" t="s">
        <v>2537</v>
      </c>
      <c r="H5" s="3166"/>
      <c r="I5" s="3223" t="s">
        <v>2538</v>
      </c>
      <c r="J5" s="3166"/>
      <c r="K5" s="610"/>
      <c r="L5" s="1130"/>
      <c r="M5" s="1131"/>
      <c r="N5" s="1131"/>
      <c r="O5" s="1131"/>
      <c r="P5" s="3178"/>
      <c r="Q5" s="3179"/>
      <c r="R5" s="3161"/>
      <c r="S5" s="3162"/>
      <c r="T5" s="3161"/>
      <c r="U5" s="3162"/>
      <c r="V5" s="3184"/>
      <c r="W5" s="3184"/>
      <c r="X5" s="1813"/>
      <c r="Y5" s="3161"/>
      <c r="Z5" s="3162"/>
      <c r="AA5" s="3155"/>
      <c r="AB5" s="3184"/>
      <c r="AC5" s="3155"/>
    </row>
    <row r="6" spans="1:29" ht="15.75" thickBot="1">
      <c r="A6" s="406"/>
      <c r="B6" s="407"/>
      <c r="C6" s="3167" t="s">
        <v>2539</v>
      </c>
      <c r="D6" s="3168"/>
      <c r="E6" s="3169" t="s">
        <v>2539</v>
      </c>
      <c r="F6" s="3170"/>
      <c r="G6" s="3167" t="s">
        <v>2539</v>
      </c>
      <c r="H6" s="3168"/>
      <c r="I6" s="3167" t="s">
        <v>2539</v>
      </c>
      <c r="J6" s="3168"/>
      <c r="K6" s="610" t="s">
        <v>2540</v>
      </c>
      <c r="L6" s="1130"/>
      <c r="M6" s="1131"/>
      <c r="N6" s="1131"/>
      <c r="O6" s="1131"/>
      <c r="P6" s="3180"/>
      <c r="Q6" s="3181"/>
      <c r="R6" s="3161"/>
      <c r="S6" s="3162"/>
      <c r="T6" s="3182"/>
      <c r="U6" s="3183"/>
      <c r="V6" s="3184"/>
      <c r="W6" s="3184"/>
      <c r="X6" s="1813"/>
      <c r="Y6" s="3182"/>
      <c r="Z6" s="3183"/>
      <c r="AA6" s="3156"/>
      <c r="AB6" s="3184"/>
      <c r="AC6" s="3156"/>
    </row>
    <row r="7" spans="1:29" s="117" customFormat="1" ht="15.75" thickBot="1">
      <c r="A7" s="408" t="s">
        <v>2541</v>
      </c>
      <c r="B7" s="409"/>
      <c r="C7" s="410">
        <f>'数据-取费表'!B2</f>
        <v>43782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57" t="s">
        <v>2542</v>
      </c>
      <c r="Q7" s="3185"/>
      <c r="R7" s="770" t="s">
        <v>17</v>
      </c>
      <c r="S7" s="771">
        <f t="shared" ref="S7:S15" si="0">F7</f>
        <v>0</v>
      </c>
      <c r="T7" s="770" t="s">
        <v>17</v>
      </c>
      <c r="U7" s="771">
        <f t="shared" ref="U7:U15" si="1">H7</f>
        <v>0</v>
      </c>
      <c r="V7" s="770" t="s">
        <v>17</v>
      </c>
      <c r="W7" s="771">
        <f t="shared" ref="W7:W15" si="2">J7</f>
        <v>0</v>
      </c>
      <c r="X7" s="772"/>
      <c r="Y7" s="3157" t="s">
        <v>2542</v>
      </c>
      <c r="Z7" s="3158"/>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57" t="s">
        <v>2545</v>
      </c>
      <c r="Q8" s="3158"/>
      <c r="R8" s="770" t="s">
        <v>17</v>
      </c>
      <c r="S8" s="771">
        <f t="shared" si="0"/>
        <v>0</v>
      </c>
      <c r="T8" s="770" t="s">
        <v>17</v>
      </c>
      <c r="U8" s="771">
        <f t="shared" si="1"/>
        <v>0</v>
      </c>
      <c r="V8" s="770" t="s">
        <v>17</v>
      </c>
      <c r="W8" s="771">
        <f t="shared" si="2"/>
        <v>0</v>
      </c>
      <c r="X8" s="772"/>
      <c r="Y8" s="3157" t="s">
        <v>2545</v>
      </c>
      <c r="Z8" s="3158"/>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4" t="s">
        <v>2548</v>
      </c>
      <c r="Q9" s="1795" t="str">
        <f t="shared" ref="Q9:Q15" si="6">B9</f>
        <v>用途</v>
      </c>
      <c r="R9" s="770" t="s">
        <v>17</v>
      </c>
      <c r="S9" s="771">
        <f t="shared" si="0"/>
        <v>100</v>
      </c>
      <c r="T9" s="770" t="s">
        <v>17</v>
      </c>
      <c r="U9" s="771">
        <f t="shared" si="1"/>
        <v>100</v>
      </c>
      <c r="V9" s="770" t="s">
        <v>17</v>
      </c>
      <c r="W9" s="771">
        <f t="shared" si="2"/>
        <v>100</v>
      </c>
      <c r="X9" s="772"/>
      <c r="Y9" s="3031"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4"/>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4"/>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4"/>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4"/>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4"/>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71.25">
      <c r="A15" s="440" t="s">
        <v>2552</v>
      </c>
      <c r="B15" s="69" t="s">
        <v>2646</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8" t="s">
        <v>2553</v>
      </c>
      <c r="Q15" s="1810" t="str">
        <f t="shared" si="6"/>
        <v>商业繁华度</v>
      </c>
      <c r="R15" s="774" t="s">
        <v>17</v>
      </c>
      <c r="S15" s="775">
        <f t="shared" si="0"/>
        <v>100</v>
      </c>
      <c r="T15" s="774" t="s">
        <v>17</v>
      </c>
      <c r="U15" s="775">
        <f t="shared" si="1"/>
        <v>100</v>
      </c>
      <c r="V15" s="774" t="s">
        <v>17</v>
      </c>
      <c r="W15" s="775">
        <f t="shared" si="2"/>
        <v>100</v>
      </c>
      <c r="X15" s="1813"/>
      <c r="Y15" s="3186" t="s">
        <v>2553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9"/>
      <c r="Q16" s="1810"/>
      <c r="R16" s="774"/>
      <c r="S16" s="775"/>
      <c r="T16" s="774"/>
      <c r="U16" s="775"/>
      <c r="V16" s="774"/>
      <c r="W16" s="775"/>
      <c r="X16" s="1813"/>
      <c r="Y16" s="3187"/>
      <c r="Z16" s="1814"/>
      <c r="AA16" s="1811">
        <v>1</v>
      </c>
      <c r="AB16" s="1811">
        <v>1</v>
      </c>
      <c r="AC16" s="1811">
        <v>1</v>
      </c>
    </row>
    <row r="17" spans="1:29" ht="85.5">
      <c r="A17" s="428"/>
      <c r="B17" s="451" t="s">
        <v>2089</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9"/>
      <c r="Q17" s="1810" t="str">
        <f>B17</f>
        <v>交通便捷度</v>
      </c>
      <c r="R17" s="774" t="s">
        <v>17</v>
      </c>
      <c r="S17" s="775">
        <f>F17</f>
        <v>100</v>
      </c>
      <c r="T17" s="774" t="s">
        <v>17</v>
      </c>
      <c r="U17" s="775">
        <f>H17</f>
        <v>100</v>
      </c>
      <c r="V17" s="774" t="s">
        <v>17</v>
      </c>
      <c r="W17" s="775">
        <f>J17</f>
        <v>100</v>
      </c>
      <c r="X17" s="1813"/>
      <c r="Y17" s="3187"/>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29"/>
      <c r="Q18" s="1810"/>
      <c r="R18" s="774"/>
      <c r="S18" s="775"/>
      <c r="T18" s="774"/>
      <c r="U18" s="775"/>
      <c r="V18" s="774"/>
      <c r="W18" s="775"/>
      <c r="X18" s="1813"/>
      <c r="Y18" s="3187"/>
      <c r="Z18" s="1814"/>
      <c r="AA18" s="1811">
        <v>1</v>
      </c>
      <c r="AB18" s="1811">
        <v>1</v>
      </c>
      <c r="AC18" s="1811">
        <v>1</v>
      </c>
    </row>
    <row r="19" spans="1:29" ht="42.75">
      <c r="A19" s="428"/>
      <c r="B19" s="451" t="s">
        <v>2647</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9"/>
      <c r="Q19" s="1810" t="str">
        <f>B19</f>
        <v>公共配套设施</v>
      </c>
      <c r="R19" s="774" t="s">
        <v>17</v>
      </c>
      <c r="S19" s="775">
        <f>F19</f>
        <v>100</v>
      </c>
      <c r="T19" s="774" t="s">
        <v>17</v>
      </c>
      <c r="U19" s="775">
        <f>H19</f>
        <v>100</v>
      </c>
      <c r="V19" s="774" t="s">
        <v>17</v>
      </c>
      <c r="W19" s="775">
        <f>J19</f>
        <v>100</v>
      </c>
      <c r="X19" s="1813"/>
      <c r="Y19" s="3187"/>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29"/>
      <c r="Q20" s="1810"/>
      <c r="R20" s="774"/>
      <c r="S20" s="775"/>
      <c r="T20" s="774"/>
      <c r="U20" s="775"/>
      <c r="V20" s="774"/>
      <c r="W20" s="775"/>
      <c r="X20" s="1813"/>
      <c r="Y20" s="3187"/>
      <c r="Z20" s="1814"/>
      <c r="AA20" s="1811">
        <v>1</v>
      </c>
      <c r="AB20" s="1811">
        <v>1</v>
      </c>
      <c r="AC20" s="1811">
        <v>1</v>
      </c>
    </row>
    <row r="21" spans="1:29" ht="28.5">
      <c r="A21" s="428"/>
      <c r="B21" s="1384" t="s">
        <v>2648</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9"/>
      <c r="Q21" s="1810" t="str">
        <f>B21</f>
        <v>基础设施水平</v>
      </c>
      <c r="R21" s="774" t="s">
        <v>17</v>
      </c>
      <c r="S21" s="775">
        <f>F21</f>
        <v>100</v>
      </c>
      <c r="T21" s="774" t="s">
        <v>17</v>
      </c>
      <c r="U21" s="775">
        <f>H21</f>
        <v>100</v>
      </c>
      <c r="V21" s="774" t="s">
        <v>17</v>
      </c>
      <c r="W21" s="775">
        <f>J21</f>
        <v>100</v>
      </c>
      <c r="X21" s="1813"/>
      <c r="Y21" s="3187"/>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29"/>
      <c r="Q22" s="1810"/>
      <c r="R22" s="774"/>
      <c r="S22" s="775"/>
      <c r="T22" s="774"/>
      <c r="U22" s="775"/>
      <c r="V22" s="774"/>
      <c r="W22" s="775"/>
      <c r="X22" s="1813"/>
      <c r="Y22" s="3187"/>
      <c r="Z22" s="1814"/>
      <c r="AA22" s="1811">
        <v>1</v>
      </c>
      <c r="AB22" s="1811">
        <v>1</v>
      </c>
      <c r="AC22" s="1811">
        <v>1</v>
      </c>
    </row>
    <row r="23" spans="1:29" ht="57">
      <c r="A23" s="428"/>
      <c r="B23" s="451" t="s">
        <v>2094</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9"/>
      <c r="Q23" s="1810" t="str">
        <f>B23</f>
        <v>自然及人文环境</v>
      </c>
      <c r="R23" s="774" t="s">
        <v>17</v>
      </c>
      <c r="S23" s="775">
        <f>F23</f>
        <v>100</v>
      </c>
      <c r="T23" s="774" t="s">
        <v>17</v>
      </c>
      <c r="U23" s="775">
        <f>H23</f>
        <v>100</v>
      </c>
      <c r="V23" s="774" t="s">
        <v>17</v>
      </c>
      <c r="W23" s="775">
        <f>J23</f>
        <v>100</v>
      </c>
      <c r="X23" s="1813"/>
      <c r="Y23" s="3187"/>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29"/>
      <c r="Q24" s="1810"/>
      <c r="R24" s="774"/>
      <c r="S24" s="775"/>
      <c r="T24" s="774"/>
      <c r="U24" s="775"/>
      <c r="V24" s="774"/>
      <c r="W24" s="775"/>
      <c r="X24" s="1813"/>
      <c r="Y24" s="3187"/>
      <c r="Z24" s="1814"/>
      <c r="AA24" s="1811">
        <v>1</v>
      </c>
      <c r="AB24" s="1811">
        <v>1</v>
      </c>
      <c r="AC24" s="1811">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9"/>
      <c r="Q25" s="1810" t="str">
        <f t="shared" ref="Q25:Q46" si="11">B25</f>
        <v>临街状况</v>
      </c>
      <c r="R25" s="774" t="s">
        <v>17</v>
      </c>
      <c r="S25" s="775">
        <f>F25</f>
        <v>100</v>
      </c>
      <c r="T25" s="774" t="s">
        <v>17</v>
      </c>
      <c r="U25" s="775">
        <f>H25</f>
        <v>100</v>
      </c>
      <c r="V25" s="774" t="s">
        <v>17</v>
      </c>
      <c r="W25" s="775">
        <f>J25</f>
        <v>100</v>
      </c>
      <c r="X25" s="1813"/>
      <c r="Y25" s="3187"/>
      <c r="Z25" s="1814" t="str">
        <f>Q25</f>
        <v>临街状况</v>
      </c>
      <c r="AA25" s="1811">
        <f t="shared" si="3"/>
        <v>1</v>
      </c>
      <c r="AB25" s="1811">
        <f t="shared" si="4"/>
        <v>1</v>
      </c>
      <c r="AC25" s="1811">
        <f t="shared" si="5"/>
        <v>1</v>
      </c>
    </row>
    <row r="26" spans="1:29" ht="15">
      <c r="A26" s="428"/>
      <c r="B26" s="1386" t="s">
        <v>2650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9"/>
      <c r="Q26" s="1810" t="str">
        <f t="shared" si="11"/>
        <v>平面位置/可视性</v>
      </c>
      <c r="R26" s="774" t="s">
        <v>17</v>
      </c>
      <c r="S26" s="775">
        <f>F26</f>
        <v>100</v>
      </c>
      <c r="T26" s="774" t="s">
        <v>17</v>
      </c>
      <c r="U26" s="775">
        <f>H26</f>
        <v>100</v>
      </c>
      <c r="V26" s="774" t="s">
        <v>17</v>
      </c>
      <c r="W26" s="775">
        <f>J26</f>
        <v>100</v>
      </c>
      <c r="X26" s="1813"/>
      <c r="Y26" s="3187"/>
      <c r="Z26" s="1814" t="str">
        <f>Q26</f>
        <v>平面位置/可视性</v>
      </c>
      <c r="AA26" s="1811">
        <f t="shared" si="3"/>
        <v>1</v>
      </c>
      <c r="AB26" s="1811">
        <f t="shared" si="4"/>
        <v>1</v>
      </c>
      <c r="AC26" s="1811">
        <f t="shared" si="5"/>
        <v>1</v>
      </c>
    </row>
    <row r="27" spans="1:29" s="117" customFormat="1" ht="15">
      <c r="A27" s="431"/>
      <c r="B27" s="451" t="s">
        <v>2651</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29"/>
      <c r="Q27" s="1795" t="str">
        <f t="shared" si="11"/>
        <v>人流量</v>
      </c>
      <c r="R27" s="770" t="s">
        <v>17</v>
      </c>
      <c r="S27" s="771">
        <f>F27</f>
        <v>100</v>
      </c>
      <c r="T27" s="770" t="s">
        <v>17</v>
      </c>
      <c r="U27" s="771">
        <f>H27</f>
        <v>100</v>
      </c>
      <c r="V27" s="770" t="s">
        <v>17</v>
      </c>
      <c r="W27" s="771">
        <f>J27</f>
        <v>100</v>
      </c>
      <c r="X27" s="772"/>
      <c r="Y27" s="3187"/>
      <c r="Z27" s="55" t="str">
        <f>Q27</f>
        <v>人流量</v>
      </c>
      <c r="AA27" s="1811">
        <f>D27/F27</f>
        <v>1</v>
      </c>
      <c r="AB27" s="1811">
        <f>D27/H27</f>
        <v>1</v>
      </c>
      <c r="AC27" s="1811">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9"/>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9"/>
      <c r="Q29" s="1810">
        <f t="shared" si="11"/>
        <v>111</v>
      </c>
      <c r="R29" s="774" t="s">
        <v>17</v>
      </c>
      <c r="S29" s="775">
        <f t="shared" si="12"/>
        <v>100</v>
      </c>
      <c r="T29" s="774" t="s">
        <v>17</v>
      </c>
      <c r="U29" s="775">
        <f t="shared" si="13"/>
        <v>100</v>
      </c>
      <c r="V29" s="774" t="s">
        <v>17</v>
      </c>
      <c r="W29" s="775">
        <f t="shared" si="14"/>
        <v>100</v>
      </c>
      <c r="X29" s="1813"/>
      <c r="Y29" s="318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9"/>
      <c r="Q30" s="1810">
        <f t="shared" si="11"/>
        <v>111</v>
      </c>
      <c r="R30" s="774" t="s">
        <v>17</v>
      </c>
      <c r="S30" s="775">
        <f t="shared" si="12"/>
        <v>100</v>
      </c>
      <c r="T30" s="774" t="s">
        <v>17</v>
      </c>
      <c r="U30" s="775">
        <f t="shared" si="13"/>
        <v>100</v>
      </c>
      <c r="V30" s="774" t="s">
        <v>17</v>
      </c>
      <c r="W30" s="775">
        <f t="shared" si="14"/>
        <v>100</v>
      </c>
      <c r="X30" s="1813"/>
      <c r="Y30" s="318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9"/>
      <c r="Q31" s="1810">
        <f t="shared" si="11"/>
        <v>111</v>
      </c>
      <c r="R31" s="774" t="s">
        <v>17</v>
      </c>
      <c r="S31" s="775">
        <f t="shared" si="12"/>
        <v>100</v>
      </c>
      <c r="T31" s="774" t="s">
        <v>17</v>
      </c>
      <c r="U31" s="775">
        <f t="shared" si="13"/>
        <v>100</v>
      </c>
      <c r="V31" s="774" t="s">
        <v>17</v>
      </c>
      <c r="W31" s="775">
        <f t="shared" si="14"/>
        <v>100</v>
      </c>
      <c r="X31" s="1813"/>
      <c r="Y31" s="3187"/>
      <c r="Z31" s="1814">
        <f t="shared" si="15"/>
        <v>111</v>
      </c>
      <c r="AA31" s="1811">
        <f t="shared" si="3"/>
        <v>1</v>
      </c>
      <c r="AB31" s="1811">
        <f t="shared" si="4"/>
        <v>1</v>
      </c>
      <c r="AC31" s="1811">
        <f t="shared" si="5"/>
        <v>1</v>
      </c>
    </row>
    <row r="32" spans="1:29" ht="15">
      <c r="A32" s="440" t="s">
        <v>2556</v>
      </c>
      <c r="B32" s="71" t="s">
        <v>2653</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25" t="s">
        <v>2558</v>
      </c>
      <c r="Q32" s="1810" t="str">
        <f t="shared" si="11"/>
        <v>商业类型</v>
      </c>
      <c r="R32" s="774" t="s">
        <v>17</v>
      </c>
      <c r="S32" s="775">
        <f t="shared" si="12"/>
        <v>100</v>
      </c>
      <c r="T32" s="774" t="s">
        <v>17</v>
      </c>
      <c r="U32" s="775">
        <f t="shared" si="13"/>
        <v>100</v>
      </c>
      <c r="V32" s="774" t="s">
        <v>17</v>
      </c>
      <c r="W32" s="775">
        <f t="shared" si="14"/>
        <v>100</v>
      </c>
      <c r="X32" s="1813"/>
      <c r="Y32" s="3189" t="s">
        <v>2558</v>
      </c>
      <c r="Z32" s="1814" t="str">
        <f t="shared" si="15"/>
        <v>商业类型</v>
      </c>
      <c r="AA32" s="1811">
        <f t="shared" si="3"/>
        <v>1</v>
      </c>
      <c r="AB32" s="1811">
        <f t="shared" si="4"/>
        <v>1</v>
      </c>
      <c r="AC32" s="1811">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6"/>
      <c r="Q33" s="776" t="str">
        <f t="shared" si="11"/>
        <v>项目建筑规模</v>
      </c>
      <c r="R33" s="777" t="s">
        <v>17</v>
      </c>
      <c r="S33" s="778" t="e">
        <f t="shared" si="12"/>
        <v>#N/A</v>
      </c>
      <c r="T33" s="777" t="s">
        <v>17</v>
      </c>
      <c r="U33" s="778" t="e">
        <f t="shared" si="13"/>
        <v>#N/A</v>
      </c>
      <c r="V33" s="777" t="s">
        <v>17</v>
      </c>
      <c r="W33" s="778" t="e">
        <f t="shared" si="14"/>
        <v>#N/A</v>
      </c>
      <c r="X33" s="779"/>
      <c r="Y33" s="3189"/>
      <c r="Z33" s="780" t="str">
        <f t="shared" si="15"/>
        <v>项目建筑规模</v>
      </c>
      <c r="AA33" s="1811" t="e">
        <f t="shared" si="3"/>
        <v>#N/A</v>
      </c>
      <c r="AB33" s="1811" t="e">
        <f t="shared" si="4"/>
        <v>#N/A</v>
      </c>
      <c r="AC33" s="1811" t="e">
        <f t="shared" si="5"/>
        <v>#N/A</v>
      </c>
    </row>
    <row r="34" spans="1:29" ht="15">
      <c r="A34" s="472"/>
      <c r="B34" s="422" t="s">
        <v>2560</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26"/>
      <c r="Q34" s="1810" t="str">
        <f t="shared" si="11"/>
        <v>建筑结构</v>
      </c>
      <c r="R34" s="774" t="s">
        <v>17</v>
      </c>
      <c r="S34" s="775">
        <f t="shared" si="12"/>
        <v>100</v>
      </c>
      <c r="T34" s="774" t="s">
        <v>17</v>
      </c>
      <c r="U34" s="775">
        <f t="shared" si="13"/>
        <v>100</v>
      </c>
      <c r="V34" s="774" t="s">
        <v>17</v>
      </c>
      <c r="W34" s="775">
        <f t="shared" si="14"/>
        <v>100</v>
      </c>
      <c r="X34" s="1813"/>
      <c r="Y34" s="3189"/>
      <c r="Z34" s="1814" t="str">
        <f t="shared" si="15"/>
        <v>建筑结构</v>
      </c>
      <c r="AA34" s="1811">
        <f t="shared" si="3"/>
        <v>1</v>
      </c>
      <c r="AB34" s="1811">
        <f t="shared" si="4"/>
        <v>1</v>
      </c>
      <c r="AC34" s="1811">
        <f t="shared" si="5"/>
        <v>1</v>
      </c>
    </row>
    <row r="35" spans="1:29" ht="15">
      <c r="A35" s="472"/>
      <c r="B35" s="422" t="s">
        <v>2654</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26"/>
      <c r="Q35" s="1810" t="str">
        <f t="shared" si="11"/>
        <v>公共部分装修</v>
      </c>
      <c r="R35" s="774" t="s">
        <v>17</v>
      </c>
      <c r="S35" s="775">
        <f t="shared" si="12"/>
        <v>100</v>
      </c>
      <c r="T35" s="774" t="s">
        <v>17</v>
      </c>
      <c r="U35" s="775">
        <f t="shared" si="13"/>
        <v>100</v>
      </c>
      <c r="V35" s="774" t="s">
        <v>17</v>
      </c>
      <c r="W35" s="775">
        <f t="shared" si="14"/>
        <v>100</v>
      </c>
      <c r="X35" s="1813"/>
      <c r="Y35" s="3189"/>
      <c r="Z35" s="1814" t="str">
        <f t="shared" si="15"/>
        <v>公共部分装修</v>
      </c>
      <c r="AA35" s="1811">
        <f t="shared" si="3"/>
        <v>1</v>
      </c>
      <c r="AB35" s="1811">
        <f t="shared" si="4"/>
        <v>1</v>
      </c>
      <c r="AC35" s="1811">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6"/>
      <c r="Q36" s="1810" t="str">
        <f t="shared" si="11"/>
        <v>成新度</v>
      </c>
      <c r="R36" s="774" t="s">
        <v>17</v>
      </c>
      <c r="S36" s="775" t="e">
        <f t="shared" si="12"/>
        <v>#N/A</v>
      </c>
      <c r="T36" s="774" t="s">
        <v>17</v>
      </c>
      <c r="U36" s="775" t="e">
        <f t="shared" si="13"/>
        <v>#N/A</v>
      </c>
      <c r="V36" s="774" t="s">
        <v>17</v>
      </c>
      <c r="W36" s="775" t="e">
        <f t="shared" si="14"/>
        <v>#N/A</v>
      </c>
      <c r="X36" s="1813"/>
      <c r="Y36" s="3189"/>
      <c r="Z36" s="1814" t="str">
        <f t="shared" si="15"/>
        <v>成新度</v>
      </c>
      <c r="AA36" s="1811" t="e">
        <f t="shared" si="3"/>
        <v>#N/A</v>
      </c>
      <c r="AB36" s="1811" t="e">
        <f t="shared" si="4"/>
        <v>#N/A</v>
      </c>
      <c r="AC36" s="1811" t="e">
        <f t="shared" si="5"/>
        <v>#N/A</v>
      </c>
    </row>
    <row r="37" spans="1:29" s="117" customFormat="1" ht="15">
      <c r="A37" s="473"/>
      <c r="B37" s="422" t="s">
        <v>2656</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26"/>
      <c r="Q37" s="1795" t="str">
        <f t="shared" si="11"/>
        <v>市政基础设施</v>
      </c>
      <c r="R37" s="770" t="s">
        <v>17</v>
      </c>
      <c r="S37" s="771">
        <f t="shared" si="12"/>
        <v>100</v>
      </c>
      <c r="T37" s="770" t="s">
        <v>17</v>
      </c>
      <c r="U37" s="771">
        <f t="shared" si="13"/>
        <v>100</v>
      </c>
      <c r="V37" s="770" t="s">
        <v>17</v>
      </c>
      <c r="W37" s="771">
        <f t="shared" si="14"/>
        <v>100</v>
      </c>
      <c r="X37" s="772"/>
      <c r="Y37" s="3189"/>
      <c r="Z37" s="55" t="str">
        <f t="shared" si="15"/>
        <v>市政基础设施</v>
      </c>
      <c r="AA37" s="773">
        <f t="shared" si="3"/>
        <v>1</v>
      </c>
      <c r="AB37" s="773">
        <f t="shared" si="4"/>
        <v>1</v>
      </c>
      <c r="AC37" s="773">
        <f t="shared" si="5"/>
        <v>1</v>
      </c>
    </row>
    <row r="38" spans="1:29" ht="15">
      <c r="A38" s="472"/>
      <c r="B38" s="422" t="s">
        <v>2657</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26" t="s">
        <v>2558</v>
      </c>
      <c r="Q38" s="1810" t="str">
        <f t="shared" si="11"/>
        <v>业态</v>
      </c>
      <c r="R38" s="774" t="s">
        <v>17</v>
      </c>
      <c r="S38" s="775">
        <f t="shared" si="12"/>
        <v>100</v>
      </c>
      <c r="T38" s="774" t="s">
        <v>17</v>
      </c>
      <c r="U38" s="775">
        <f t="shared" si="13"/>
        <v>100</v>
      </c>
      <c r="V38" s="774" t="s">
        <v>17</v>
      </c>
      <c r="W38" s="775">
        <f t="shared" si="14"/>
        <v>100</v>
      </c>
      <c r="X38" s="1813"/>
      <c r="Y38" s="3189" t="s">
        <v>2558</v>
      </c>
      <c r="Z38" s="1814" t="str">
        <f t="shared" si="15"/>
        <v>业态</v>
      </c>
      <c r="AA38" s="1811">
        <f t="shared" si="3"/>
        <v>1</v>
      </c>
      <c r="AB38" s="1811">
        <f t="shared" si="4"/>
        <v>1</v>
      </c>
      <c r="AC38" s="1811">
        <f t="shared" si="5"/>
        <v>1</v>
      </c>
    </row>
    <row r="39" spans="1:29" ht="15">
      <c r="A39" s="472"/>
      <c r="B39" s="422" t="s">
        <v>2658</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26"/>
      <c r="Q39" s="1810" t="str">
        <f t="shared" si="11"/>
        <v>层高</v>
      </c>
      <c r="R39" s="774" t="s">
        <v>17</v>
      </c>
      <c r="S39" s="775">
        <f t="shared" si="12"/>
        <v>100</v>
      </c>
      <c r="T39" s="774" t="s">
        <v>17</v>
      </c>
      <c r="U39" s="775">
        <f t="shared" si="13"/>
        <v>100</v>
      </c>
      <c r="V39" s="774" t="s">
        <v>17</v>
      </c>
      <c r="W39" s="775">
        <f t="shared" si="14"/>
        <v>100</v>
      </c>
      <c r="X39" s="1813"/>
      <c r="Y39" s="3189"/>
      <c r="Z39" s="1814" t="str">
        <f t="shared" si="15"/>
        <v>层高</v>
      </c>
      <c r="AA39" s="1811">
        <f t="shared" si="3"/>
        <v>1</v>
      </c>
      <c r="AB39" s="1811">
        <f t="shared" si="4"/>
        <v>1</v>
      </c>
      <c r="AC39" s="1811">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6"/>
      <c r="Q40" s="1810" t="str">
        <f t="shared" si="11"/>
        <v>单套建筑面积</v>
      </c>
      <c r="R40" s="774" t="s">
        <v>17</v>
      </c>
      <c r="S40" s="775">
        <f t="shared" si="12"/>
        <v>100</v>
      </c>
      <c r="T40" s="774" t="s">
        <v>17</v>
      </c>
      <c r="U40" s="775">
        <f t="shared" si="13"/>
        <v>100</v>
      </c>
      <c r="V40" s="774" t="s">
        <v>17</v>
      </c>
      <c r="W40" s="775">
        <f t="shared" si="14"/>
        <v>100</v>
      </c>
      <c r="X40" s="1813"/>
      <c r="Y40" s="3189"/>
      <c r="Z40" s="1814" t="str">
        <f t="shared" si="15"/>
        <v>单套建筑面积</v>
      </c>
      <c r="AA40" s="1811">
        <f t="shared" si="3"/>
        <v>1</v>
      </c>
      <c r="AB40" s="1811">
        <f t="shared" si="4"/>
        <v>1</v>
      </c>
      <c r="AC40" s="1811">
        <f t="shared" si="5"/>
        <v>1</v>
      </c>
    </row>
    <row r="41" spans="1:29" s="471" customFormat="1" ht="15">
      <c r="A41" s="468"/>
      <c r="B41" s="1812"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6"/>
      <c r="Q41" s="776" t="str">
        <f t="shared" si="11"/>
        <v>进深比</v>
      </c>
      <c r="R41" s="777" t="s">
        <v>17</v>
      </c>
      <c r="S41" s="778">
        <f t="shared" si="12"/>
        <v>100</v>
      </c>
      <c r="T41" s="777" t="s">
        <v>17</v>
      </c>
      <c r="U41" s="778">
        <f t="shared" si="13"/>
        <v>100</v>
      </c>
      <c r="V41" s="777" t="s">
        <v>17</v>
      </c>
      <c r="W41" s="778">
        <f t="shared" si="14"/>
        <v>100</v>
      </c>
      <c r="X41" s="779"/>
      <c r="Y41" s="3189"/>
      <c r="Z41" s="780" t="str">
        <f t="shared" si="15"/>
        <v>进深比</v>
      </c>
      <c r="AA41" s="1811">
        <f t="shared" si="3"/>
        <v>1</v>
      </c>
      <c r="AB41" s="1811">
        <f t="shared" si="4"/>
        <v>1</v>
      </c>
      <c r="AC41" s="1811">
        <f t="shared" si="5"/>
        <v>1</v>
      </c>
    </row>
    <row r="42" spans="1:29" ht="15">
      <c r="A42" s="472"/>
      <c r="B42" s="422" t="s">
        <v>2661</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26"/>
      <c r="Q42" s="1810" t="str">
        <f t="shared" si="11"/>
        <v>内部装修</v>
      </c>
      <c r="R42" s="774" t="s">
        <v>17</v>
      </c>
      <c r="S42" s="775">
        <f t="shared" si="12"/>
        <v>100</v>
      </c>
      <c r="T42" s="774" t="s">
        <v>17</v>
      </c>
      <c r="U42" s="775">
        <f t="shared" si="13"/>
        <v>100</v>
      </c>
      <c r="V42" s="774" t="s">
        <v>17</v>
      </c>
      <c r="W42" s="775">
        <f t="shared" si="14"/>
        <v>100</v>
      </c>
      <c r="X42" s="1813"/>
      <c r="Y42" s="3189"/>
      <c r="Z42" s="1814" t="str">
        <f t="shared" si="15"/>
        <v>内部装修</v>
      </c>
      <c r="AA42" s="1811">
        <f t="shared" si="3"/>
        <v>1</v>
      </c>
      <c r="AB42" s="1811">
        <f t="shared" si="4"/>
        <v>1</v>
      </c>
      <c r="AC42" s="1811">
        <f t="shared" si="5"/>
        <v>1</v>
      </c>
    </row>
    <row r="43" spans="1:29" ht="15">
      <c r="A43" s="472"/>
      <c r="B43" s="422" t="s">
        <v>2569</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26"/>
      <c r="Q43" s="1810" t="str">
        <f t="shared" si="11"/>
        <v>内部装修维护情况</v>
      </c>
      <c r="R43" s="774" t="s">
        <v>17</v>
      </c>
      <c r="S43" s="775">
        <f t="shared" si="12"/>
        <v>100</v>
      </c>
      <c r="T43" s="774" t="s">
        <v>17</v>
      </c>
      <c r="U43" s="775">
        <f t="shared" si="13"/>
        <v>100</v>
      </c>
      <c r="V43" s="774" t="s">
        <v>17</v>
      </c>
      <c r="W43" s="775">
        <f t="shared" si="14"/>
        <v>100</v>
      </c>
      <c r="X43" s="1813"/>
      <c r="Y43" s="318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6"/>
      <c r="Q44" s="1795">
        <f t="shared" si="11"/>
        <v>111</v>
      </c>
      <c r="R44" s="770" t="s">
        <v>17</v>
      </c>
      <c r="S44" s="771">
        <f t="shared" si="12"/>
        <v>100</v>
      </c>
      <c r="T44" s="770" t="s">
        <v>17</v>
      </c>
      <c r="U44" s="771">
        <f t="shared" si="13"/>
        <v>100</v>
      </c>
      <c r="V44" s="770" t="s">
        <v>17</v>
      </c>
      <c r="W44" s="771">
        <f t="shared" si="14"/>
        <v>100</v>
      </c>
      <c r="X44" s="772"/>
      <c r="Y44" s="318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6"/>
      <c r="Q45" s="1810">
        <f t="shared" si="11"/>
        <v>111</v>
      </c>
      <c r="R45" s="774" t="s">
        <v>17</v>
      </c>
      <c r="S45" s="775">
        <f t="shared" si="12"/>
        <v>100</v>
      </c>
      <c r="T45" s="774" t="s">
        <v>17</v>
      </c>
      <c r="U45" s="775">
        <f t="shared" si="13"/>
        <v>100</v>
      </c>
      <c r="V45" s="774" t="s">
        <v>17</v>
      </c>
      <c r="W45" s="775">
        <f t="shared" si="14"/>
        <v>100</v>
      </c>
      <c r="X45" s="1813"/>
      <c r="Y45" s="3189"/>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7"/>
      <c r="Q46" s="1810">
        <f t="shared" si="11"/>
        <v>111</v>
      </c>
      <c r="R46" s="774" t="s">
        <v>17</v>
      </c>
      <c r="S46" s="775">
        <f t="shared" si="12"/>
        <v>100</v>
      </c>
      <c r="T46" s="774" t="s">
        <v>17</v>
      </c>
      <c r="U46" s="775">
        <f t="shared" si="13"/>
        <v>100</v>
      </c>
      <c r="V46" s="774" t="s">
        <v>17</v>
      </c>
      <c r="W46" s="775">
        <f t="shared" si="14"/>
        <v>100</v>
      </c>
      <c r="X46" s="1813"/>
      <c r="Y46" s="3190"/>
      <c r="Z46" s="1814">
        <f t="shared" si="15"/>
        <v>111</v>
      </c>
      <c r="AA46" s="1811">
        <f t="shared" si="3"/>
        <v>1</v>
      </c>
      <c r="AB46" s="1811">
        <f t="shared" si="4"/>
        <v>1</v>
      </c>
      <c r="AC46" s="1811">
        <f t="shared" si="5"/>
        <v>1</v>
      </c>
    </row>
    <row r="47" spans="1:29" ht="15">
      <c r="A47" s="479" t="s">
        <v>2570</v>
      </c>
      <c r="B47" s="480"/>
      <c r="C47" s="1407" t="s">
        <v>1</v>
      </c>
      <c r="D47" s="1408"/>
      <c r="E47" s="1409"/>
      <c r="F47" s="1410"/>
      <c r="G47" s="1411"/>
      <c r="H47" s="1412"/>
      <c r="I47" s="1409"/>
      <c r="J47" s="1412"/>
      <c r="K47" s="783"/>
      <c r="L47" s="1143"/>
      <c r="M47" s="1144"/>
      <c r="N47" s="1131"/>
      <c r="O47" s="1144"/>
      <c r="P47" s="3171" t="str">
        <f>A47</f>
        <v>成交单价（元/平方米）</v>
      </c>
      <c r="Q47" s="3171"/>
      <c r="R47" s="3184">
        <f>E47</f>
        <v>0</v>
      </c>
      <c r="S47" s="3184"/>
      <c r="T47" s="3184">
        <f>G47</f>
        <v>0</v>
      </c>
      <c r="U47" s="3184"/>
      <c r="V47" s="3184">
        <f>I47</f>
        <v>0</v>
      </c>
      <c r="W47" s="3184"/>
      <c r="X47" s="759"/>
      <c r="Y47" s="781"/>
      <c r="Z47" s="759"/>
      <c r="AA47" s="759"/>
      <c r="AB47" s="759"/>
      <c r="AC47" s="759"/>
    </row>
    <row r="48" spans="1:29" ht="15.75" thickBot="1">
      <c r="A48" s="486" t="s">
        <v>2662</v>
      </c>
      <c r="B48" s="487"/>
      <c r="C48" s="1413" t="e">
        <f>R49</f>
        <v>#DIV/0!</v>
      </c>
      <c r="D48" s="1414"/>
      <c r="E48" s="1415" t="e">
        <f>R48</f>
        <v>#DIV/0!</v>
      </c>
      <c r="F48" s="1415"/>
      <c r="G48" s="1413" t="e">
        <f>T48</f>
        <v>#DIV/0!</v>
      </c>
      <c r="H48" s="1414"/>
      <c r="I48" s="1415" t="e">
        <f>V48</f>
        <v>#DIV/0!</v>
      </c>
      <c r="J48" s="1414"/>
      <c r="K48" s="784"/>
      <c r="L48" s="1143"/>
      <c r="M48" s="1144"/>
      <c r="N48" s="1131"/>
      <c r="O48" s="1144"/>
      <c r="P48" s="3171" t="str">
        <f>A48</f>
        <v>比较价值（元/平方米）</v>
      </c>
      <c r="Q48" s="3171"/>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2663</v>
      </c>
      <c r="B49" s="493"/>
      <c r="C49" s="1417" t="e">
        <f>R49</f>
        <v>#DIV/0!</v>
      </c>
      <c r="D49" s="1417"/>
      <c r="E49" s="1417"/>
      <c r="F49" s="1417"/>
      <c r="G49" s="1417"/>
      <c r="H49" s="1417"/>
      <c r="I49" s="1417"/>
      <c r="J49" s="1417"/>
      <c r="K49" s="785"/>
      <c r="L49" s="1143"/>
      <c r="M49" s="1144"/>
      <c r="N49" s="1131"/>
      <c r="O49" s="1144"/>
      <c r="P49" s="3192" t="str">
        <f>A49</f>
        <v>估价对象XX用房的比较价值（楼面单价，元/平方米）</v>
      </c>
      <c r="Q49" s="3193"/>
      <c r="R49" s="3194" t="e">
        <f>IF(F1="售价",ROUND(AVERAGE(R48:V48),0),ROUND(AVERAGE(R48:V48),1))</f>
        <v>#DIV/0!</v>
      </c>
      <c r="S49" s="3194"/>
      <c r="T49" s="3194"/>
      <c r="U49" s="3194"/>
      <c r="V49" s="3194"/>
      <c r="W49" s="319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2541</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2543</v>
      </c>
      <c r="B61" s="510"/>
      <c r="C61" s="522" t="s">
        <v>2645</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2581</v>
      </c>
      <c r="B63" s="528" t="s">
        <v>2547</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2648</v>
      </c>
      <c r="C82" s="660" t="s">
        <v>2668</v>
      </c>
      <c r="D82" s="660" t="s">
        <v>2669</v>
      </c>
      <c r="E82" s="660" t="s">
        <v>2670</v>
      </c>
      <c r="F82" s="660" t="s">
        <v>2671</v>
      </c>
      <c r="G82" s="660" t="s">
        <v>2672</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2673</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2556</v>
      </c>
      <c r="B100" s="528" t="s">
        <v>2674</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2607</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2609</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2611</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2675</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2676</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2677</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2678</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2613</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8" t="s">
        <v>2679</v>
      </c>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IF(C2="——",ROUND(C50*D3/10000,0),ROUND(C50*D3/10000,0)-D2)</f>
        <v>#DIV/0!</v>
      </c>
      <c r="C2" s="2585"/>
      <c r="D2" s="1365" t="e">
        <f ca="1">SUMIF(INDIRECT("'"&amp;F2&amp;"'"&amp;"!A:A"),"承租人权益价值",INDIRECT("'"&amp;F2&amp;"'"&amp;"!c:c"))</f>
        <v>#REF!</v>
      </c>
      <c r="E2" s="2586" t="s">
        <v>2321</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5775.17</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2638</v>
      </c>
      <c r="B4" s="402"/>
      <c r="C4" s="3172" t="s">
        <v>2639</v>
      </c>
      <c r="D4" s="3173"/>
      <c r="E4" s="3174" t="s">
        <v>2640</v>
      </c>
      <c r="F4" s="3175"/>
      <c r="G4" s="3172" t="s">
        <v>2641</v>
      </c>
      <c r="H4" s="3173"/>
      <c r="I4" s="3172" t="s">
        <v>2642</v>
      </c>
      <c r="J4" s="3173"/>
      <c r="K4" s="610" t="s">
        <v>2643</v>
      </c>
      <c r="L4" s="1130"/>
      <c r="M4" s="1131"/>
      <c r="N4" s="1131"/>
      <c r="O4" s="1131"/>
      <c r="P4" s="3236" t="s">
        <v>2644</v>
      </c>
      <c r="Q4" s="3237"/>
      <c r="R4" s="3231" t="s">
        <v>2640</v>
      </c>
      <c r="S4" s="3232"/>
      <c r="T4" s="3231" t="s">
        <v>2641</v>
      </c>
      <c r="U4" s="3232"/>
      <c r="V4" s="3240" t="s">
        <v>2642</v>
      </c>
      <c r="W4" s="3240"/>
      <c r="X4" s="2669"/>
      <c r="Y4" s="3231" t="s">
        <v>2644</v>
      </c>
      <c r="Z4" s="3232"/>
      <c r="AA4" s="3230" t="s">
        <v>2640</v>
      </c>
      <c r="AB4" s="3230" t="s">
        <v>2641</v>
      </c>
      <c r="AC4" s="3233" t="s">
        <v>2642</v>
      </c>
    </row>
    <row r="5" spans="1:29" ht="15">
      <c r="A5" s="404"/>
      <c r="B5" s="405"/>
      <c r="C5" s="3223" t="s">
        <v>2535</v>
      </c>
      <c r="D5" s="3166"/>
      <c r="E5" s="3222" t="s">
        <v>2536</v>
      </c>
      <c r="F5" s="3164"/>
      <c r="G5" s="3223" t="s">
        <v>2537</v>
      </c>
      <c r="H5" s="3166"/>
      <c r="I5" s="3223" t="s">
        <v>2538</v>
      </c>
      <c r="J5" s="3166"/>
      <c r="K5" s="610"/>
      <c r="L5" s="1130"/>
      <c r="M5" s="1131"/>
      <c r="N5" s="1131"/>
      <c r="O5" s="1131"/>
      <c r="P5" s="3238"/>
      <c r="Q5" s="3179"/>
      <c r="R5" s="3161"/>
      <c r="S5" s="3162"/>
      <c r="T5" s="3161"/>
      <c r="U5" s="3162"/>
      <c r="V5" s="3184"/>
      <c r="W5" s="3184"/>
      <c r="X5" s="1813"/>
      <c r="Y5" s="3161"/>
      <c r="Z5" s="3162"/>
      <c r="AA5" s="3155"/>
      <c r="AB5" s="3155"/>
      <c r="AC5" s="3234"/>
    </row>
    <row r="6" spans="1:29" ht="15.75" thickBot="1">
      <c r="A6" s="406"/>
      <c r="B6" s="407"/>
      <c r="C6" s="3167" t="s">
        <v>2539</v>
      </c>
      <c r="D6" s="3168"/>
      <c r="E6" s="3169" t="s">
        <v>2539</v>
      </c>
      <c r="F6" s="3170"/>
      <c r="G6" s="3167" t="s">
        <v>2539</v>
      </c>
      <c r="H6" s="3168"/>
      <c r="I6" s="3167" t="s">
        <v>2539</v>
      </c>
      <c r="J6" s="3168"/>
      <c r="K6" s="610" t="s">
        <v>2540</v>
      </c>
      <c r="L6" s="1130"/>
      <c r="M6" s="1131"/>
      <c r="N6" s="1131"/>
      <c r="O6" s="1131"/>
      <c r="P6" s="3239"/>
      <c r="Q6" s="3181"/>
      <c r="R6" s="3161"/>
      <c r="S6" s="3162"/>
      <c r="T6" s="3182"/>
      <c r="U6" s="3183"/>
      <c r="V6" s="3184"/>
      <c r="W6" s="3184"/>
      <c r="X6" s="1813"/>
      <c r="Y6" s="3182"/>
      <c r="Z6" s="3183"/>
      <c r="AA6" s="3156"/>
      <c r="AB6" s="3156"/>
      <c r="AC6" s="3235"/>
    </row>
    <row r="7" spans="1:29" s="117" customFormat="1" ht="15.75" thickBot="1">
      <c r="A7" s="408" t="s">
        <v>2541</v>
      </c>
      <c r="B7" s="409"/>
      <c r="C7" s="410">
        <f>'数据-取费表'!B2</f>
        <v>43782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1" t="s">
        <v>2542</v>
      </c>
      <c r="Q7" s="3185"/>
      <c r="R7" s="770" t="s">
        <v>17</v>
      </c>
      <c r="S7" s="771">
        <f t="shared" ref="S7:S15" si="0">F7</f>
        <v>0</v>
      </c>
      <c r="T7" s="770" t="s">
        <v>17</v>
      </c>
      <c r="U7" s="771">
        <f t="shared" ref="U7:U15" si="1">H7</f>
        <v>0</v>
      </c>
      <c r="V7" s="770" t="s">
        <v>17</v>
      </c>
      <c r="W7" s="771">
        <f t="shared" ref="W7:W15" si="2">J7</f>
        <v>0</v>
      </c>
      <c r="X7" s="772"/>
      <c r="Y7" s="3157" t="s">
        <v>2542</v>
      </c>
      <c r="Z7" s="3158"/>
      <c r="AA7" s="773" t="e">
        <f>D7/F7</f>
        <v>#DIV/0!</v>
      </c>
      <c r="AB7" s="773" t="e">
        <f>D7/H7</f>
        <v>#DIV/0!</v>
      </c>
      <c r="AC7" s="2670"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1" t="s">
        <v>2545</v>
      </c>
      <c r="Q8" s="3158"/>
      <c r="R8" s="770" t="s">
        <v>17</v>
      </c>
      <c r="S8" s="771">
        <f t="shared" si="0"/>
        <v>0</v>
      </c>
      <c r="T8" s="770" t="s">
        <v>17</v>
      </c>
      <c r="U8" s="771">
        <f t="shared" si="1"/>
        <v>0</v>
      </c>
      <c r="V8" s="770" t="s">
        <v>17</v>
      </c>
      <c r="W8" s="771">
        <f t="shared" si="2"/>
        <v>0</v>
      </c>
      <c r="X8" s="772"/>
      <c r="Y8" s="3157" t="s">
        <v>2545</v>
      </c>
      <c r="Z8" s="3158"/>
      <c r="AA8" s="773" t="e">
        <f t="shared" ref="AA8:AA47" si="3">D8/F8</f>
        <v>#DIV/0!</v>
      </c>
      <c r="AB8" s="773" t="e">
        <f t="shared" ref="AB8:AB47" si="4">D8/H8</f>
        <v>#DIV/0!</v>
      </c>
      <c r="AC8" s="2670"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4" t="s">
        <v>2548</v>
      </c>
      <c r="Q9" s="1795" t="str">
        <f t="shared" ref="Q9:Q15" si="6">B9</f>
        <v>用途</v>
      </c>
      <c r="R9" s="770" t="s">
        <v>17</v>
      </c>
      <c r="S9" s="771">
        <f t="shared" si="0"/>
        <v>100</v>
      </c>
      <c r="T9" s="770" t="s">
        <v>17</v>
      </c>
      <c r="U9" s="771">
        <f t="shared" si="1"/>
        <v>100</v>
      </c>
      <c r="V9" s="770" t="s">
        <v>17</v>
      </c>
      <c r="W9" s="771">
        <f t="shared" si="2"/>
        <v>100</v>
      </c>
      <c r="X9" s="772"/>
      <c r="Y9" s="3031" t="s">
        <v>2549</v>
      </c>
      <c r="Z9" s="55" t="str">
        <f t="shared" ref="Z9:Z15" si="7">Q9</f>
        <v>用途</v>
      </c>
      <c r="AA9" s="773">
        <f t="shared" si="3"/>
        <v>1</v>
      </c>
      <c r="AB9" s="773">
        <f t="shared" si="4"/>
        <v>1</v>
      </c>
      <c r="AC9" s="2670">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4"/>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70">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4"/>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24"/>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24"/>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24"/>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70">
        <f t="shared" si="5"/>
        <v>1</v>
      </c>
    </row>
    <row r="15" spans="1:29" ht="71.25">
      <c r="A15" s="440" t="s">
        <v>2552</v>
      </c>
      <c r="B15" s="629" t="s">
        <v>2680</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8" t="s">
        <v>2553</v>
      </c>
      <c r="Q15" s="1810" t="str">
        <f t="shared" si="6"/>
        <v>办公集聚程度</v>
      </c>
      <c r="R15" s="774" t="s">
        <v>17</v>
      </c>
      <c r="S15" s="775">
        <f t="shared" si="0"/>
        <v>100</v>
      </c>
      <c r="T15" s="774" t="s">
        <v>17</v>
      </c>
      <c r="U15" s="775">
        <f t="shared" si="1"/>
        <v>100</v>
      </c>
      <c r="V15" s="774" t="s">
        <v>17</v>
      </c>
      <c r="W15" s="775">
        <f t="shared" si="2"/>
        <v>100</v>
      </c>
      <c r="X15" s="1813"/>
      <c r="Y15" s="3186" t="s">
        <v>2553</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29"/>
      <c r="Q16" s="1810"/>
      <c r="R16" s="774"/>
      <c r="S16" s="775"/>
      <c r="T16" s="774"/>
      <c r="U16" s="775"/>
      <c r="V16" s="774"/>
      <c r="W16" s="775"/>
      <c r="X16" s="1813"/>
      <c r="Y16" s="3187"/>
      <c r="Z16" s="1814"/>
      <c r="AA16" s="1811">
        <v>1</v>
      </c>
      <c r="AB16" s="1811">
        <v>1</v>
      </c>
      <c r="AC16" s="2673">
        <v>1</v>
      </c>
    </row>
    <row r="17" spans="1:29" ht="71.25">
      <c r="A17" s="428"/>
      <c r="B17" s="631" t="s">
        <v>2089</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9"/>
      <c r="Q17" s="1810" t="str">
        <f>B17</f>
        <v>交通便捷度</v>
      </c>
      <c r="R17" s="774" t="s">
        <v>17</v>
      </c>
      <c r="S17" s="775">
        <f>F17</f>
        <v>100</v>
      </c>
      <c r="T17" s="774" t="s">
        <v>17</v>
      </c>
      <c r="U17" s="775">
        <f>H17</f>
        <v>100</v>
      </c>
      <c r="V17" s="774" t="s">
        <v>17</v>
      </c>
      <c r="W17" s="775">
        <f>J17</f>
        <v>100</v>
      </c>
      <c r="X17" s="1813"/>
      <c r="Y17" s="3187"/>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29"/>
      <c r="Q18" s="1810"/>
      <c r="R18" s="774"/>
      <c r="S18" s="775"/>
      <c r="T18" s="774"/>
      <c r="U18" s="775"/>
      <c r="V18" s="774"/>
      <c r="W18" s="775"/>
      <c r="X18" s="1813"/>
      <c r="Y18" s="3187"/>
      <c r="Z18" s="1814"/>
      <c r="AA18" s="1811">
        <v>1</v>
      </c>
      <c r="AB18" s="1811">
        <v>1</v>
      </c>
      <c r="AC18" s="2673">
        <v>1</v>
      </c>
    </row>
    <row r="19" spans="1:29" ht="42.75">
      <c r="A19" s="428"/>
      <c r="B19" s="631" t="s">
        <v>2681</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9"/>
      <c r="Q19" s="1810" t="str">
        <f>B19</f>
        <v>公共配套设施</v>
      </c>
      <c r="R19" s="774" t="s">
        <v>17</v>
      </c>
      <c r="S19" s="775">
        <f>F19</f>
        <v>100</v>
      </c>
      <c r="T19" s="774" t="s">
        <v>17</v>
      </c>
      <c r="U19" s="775">
        <f>H19</f>
        <v>100</v>
      </c>
      <c r="V19" s="774" t="s">
        <v>17</v>
      </c>
      <c r="W19" s="775">
        <f>J19</f>
        <v>100</v>
      </c>
      <c r="X19" s="1813"/>
      <c r="Y19" s="3187"/>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29"/>
      <c r="Q20" s="1810"/>
      <c r="R20" s="774"/>
      <c r="S20" s="775"/>
      <c r="T20" s="774"/>
      <c r="U20" s="775"/>
      <c r="V20" s="774"/>
      <c r="W20" s="775"/>
      <c r="X20" s="1813"/>
      <c r="Y20" s="3187"/>
      <c r="Z20" s="1814"/>
      <c r="AA20" s="1811">
        <v>1</v>
      </c>
      <c r="AB20" s="1811">
        <v>1</v>
      </c>
      <c r="AC20" s="2673">
        <v>1</v>
      </c>
    </row>
    <row r="21" spans="1:29" ht="28.5">
      <c r="A21" s="428"/>
      <c r="B21" s="633" t="s">
        <v>2682</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9"/>
      <c r="Q21" s="1810" t="str">
        <f>B21</f>
        <v>基础设施水平</v>
      </c>
      <c r="R21" s="774" t="s">
        <v>17</v>
      </c>
      <c r="S21" s="775">
        <f>F21</f>
        <v>100</v>
      </c>
      <c r="T21" s="774" t="s">
        <v>17</v>
      </c>
      <c r="U21" s="775">
        <f>H21</f>
        <v>100</v>
      </c>
      <c r="V21" s="774" t="s">
        <v>17</v>
      </c>
      <c r="W21" s="775">
        <f>J21</f>
        <v>100</v>
      </c>
      <c r="X21" s="1813"/>
      <c r="Y21" s="3187"/>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29"/>
      <c r="Q22" s="1810"/>
      <c r="R22" s="774"/>
      <c r="S22" s="775"/>
      <c r="T22" s="774"/>
      <c r="U22" s="775"/>
      <c r="V22" s="774"/>
      <c r="W22" s="775"/>
      <c r="X22" s="1813"/>
      <c r="Y22" s="3187"/>
      <c r="Z22" s="1814"/>
      <c r="AA22" s="1811">
        <v>1</v>
      </c>
      <c r="AB22" s="1811">
        <v>1</v>
      </c>
      <c r="AC22" s="2673">
        <v>1</v>
      </c>
    </row>
    <row r="23" spans="1:29" ht="42.75">
      <c r="A23" s="428"/>
      <c r="B23" s="631" t="s">
        <v>2683</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9"/>
      <c r="Q23" s="1810" t="str">
        <f>B23</f>
        <v>环境质量</v>
      </c>
      <c r="R23" s="774" t="s">
        <v>17</v>
      </c>
      <c r="S23" s="775">
        <f>F23</f>
        <v>100</v>
      </c>
      <c r="T23" s="774" t="s">
        <v>17</v>
      </c>
      <c r="U23" s="775">
        <f>H23</f>
        <v>100</v>
      </c>
      <c r="V23" s="774" t="s">
        <v>17</v>
      </c>
      <c r="W23" s="775">
        <f>J23</f>
        <v>100</v>
      </c>
      <c r="X23" s="1813"/>
      <c r="Y23" s="3187"/>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29"/>
      <c r="Q24" s="1810"/>
      <c r="R24" s="774"/>
      <c r="S24" s="775"/>
      <c r="T24" s="774"/>
      <c r="U24" s="775"/>
      <c r="V24" s="774"/>
      <c r="W24" s="775"/>
      <c r="X24" s="1813"/>
      <c r="Y24" s="3187"/>
      <c r="Z24" s="1814"/>
      <c r="AA24" s="1811">
        <v>1</v>
      </c>
      <c r="AB24" s="1811">
        <v>1</v>
      </c>
      <c r="AC24" s="2673">
        <v>1</v>
      </c>
    </row>
    <row r="25" spans="1:29" ht="27">
      <c r="A25" s="404"/>
      <c r="B25" s="631" t="s">
        <v>2684</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29"/>
      <c r="Q25" s="1810" t="str">
        <f>B25</f>
        <v>毗邻道路的类型与等级</v>
      </c>
      <c r="R25" s="774" t="s">
        <v>17</v>
      </c>
      <c r="S25" s="775">
        <f>F25</f>
        <v>100</v>
      </c>
      <c r="T25" s="774" t="s">
        <v>17</v>
      </c>
      <c r="U25" s="775">
        <f>H25</f>
        <v>100</v>
      </c>
      <c r="V25" s="774" t="s">
        <v>17</v>
      </c>
      <c r="W25" s="775">
        <f>J25</f>
        <v>100</v>
      </c>
      <c r="X25" s="1813"/>
      <c r="Y25" s="3187"/>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29"/>
      <c r="Q26" s="1810"/>
      <c r="R26" s="774"/>
      <c r="S26" s="775"/>
      <c r="T26" s="774"/>
      <c r="U26" s="775"/>
      <c r="V26" s="774"/>
      <c r="W26" s="775"/>
      <c r="X26" s="1813"/>
      <c r="Y26" s="3187"/>
      <c r="Z26" s="1814"/>
      <c r="AA26" s="1811">
        <v>1</v>
      </c>
      <c r="AB26" s="1811">
        <v>1</v>
      </c>
      <c r="AC26" s="2673">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9"/>
      <c r="Q27" s="1810" t="str">
        <f t="shared" ref="Q27:Q47" si="11">B27</f>
        <v>楼层</v>
      </c>
      <c r="R27" s="774" t="s">
        <v>17</v>
      </c>
      <c r="S27" s="775">
        <f>F27</f>
        <v>100</v>
      </c>
      <c r="T27" s="774" t="s">
        <v>17</v>
      </c>
      <c r="U27" s="775">
        <f>H27</f>
        <v>100</v>
      </c>
      <c r="V27" s="774" t="s">
        <v>17</v>
      </c>
      <c r="W27" s="775">
        <f>J27</f>
        <v>100</v>
      </c>
      <c r="X27" s="1813"/>
      <c r="Y27" s="3187"/>
      <c r="Z27" s="1814" t="str">
        <f>Q27</f>
        <v>楼层</v>
      </c>
      <c r="AA27" s="1811">
        <f t="shared" si="3"/>
        <v>1</v>
      </c>
      <c r="AB27" s="1811">
        <f t="shared" si="4"/>
        <v>1</v>
      </c>
      <c r="AC27" s="2673">
        <f t="shared" si="5"/>
        <v>1</v>
      </c>
    </row>
    <row r="28" spans="1:29" s="117" customFormat="1" ht="15">
      <c r="A28" s="431"/>
      <c r="B28" s="631" t="s">
        <v>2685</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29"/>
      <c r="Q28" s="1795" t="str">
        <f t="shared" si="11"/>
        <v>朝向</v>
      </c>
      <c r="R28" s="770" t="s">
        <v>17</v>
      </c>
      <c r="S28" s="771">
        <f>F28</f>
        <v>100</v>
      </c>
      <c r="T28" s="770" t="s">
        <v>17</v>
      </c>
      <c r="U28" s="771">
        <f>H28</f>
        <v>100</v>
      </c>
      <c r="V28" s="770" t="s">
        <v>17</v>
      </c>
      <c r="W28" s="771">
        <f>J28</f>
        <v>100</v>
      </c>
      <c r="X28" s="772"/>
      <c r="Y28" s="3187"/>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29"/>
      <c r="Q29" s="1810">
        <f t="shared" si="11"/>
        <v>111</v>
      </c>
      <c r="R29" s="774" t="s">
        <v>17</v>
      </c>
      <c r="S29" s="775">
        <f t="shared" ref="S29:S47" si="12">F29</f>
        <v>100</v>
      </c>
      <c r="T29" s="774" t="s">
        <v>17</v>
      </c>
      <c r="U29" s="775">
        <f t="shared" ref="U29:U47" si="13">H29</f>
        <v>100</v>
      </c>
      <c r="V29" s="774" t="s">
        <v>17</v>
      </c>
      <c r="W29" s="775">
        <f t="shared" ref="W29:W47" si="14">J29</f>
        <v>100</v>
      </c>
      <c r="X29" s="1813"/>
      <c r="Y29" s="3187"/>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29"/>
      <c r="Q30" s="1810">
        <f t="shared" si="11"/>
        <v>111</v>
      </c>
      <c r="R30" s="774" t="s">
        <v>17</v>
      </c>
      <c r="S30" s="775">
        <f t="shared" si="12"/>
        <v>100</v>
      </c>
      <c r="T30" s="774" t="s">
        <v>17</v>
      </c>
      <c r="U30" s="775">
        <f t="shared" si="13"/>
        <v>100</v>
      </c>
      <c r="V30" s="774" t="s">
        <v>17</v>
      </c>
      <c r="W30" s="775">
        <f t="shared" si="14"/>
        <v>100</v>
      </c>
      <c r="X30" s="1813"/>
      <c r="Y30" s="3187"/>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29"/>
      <c r="Q31" s="1810">
        <f t="shared" si="11"/>
        <v>111</v>
      </c>
      <c r="R31" s="774" t="s">
        <v>17</v>
      </c>
      <c r="S31" s="775">
        <f t="shared" si="12"/>
        <v>100</v>
      </c>
      <c r="T31" s="774" t="s">
        <v>17</v>
      </c>
      <c r="U31" s="775">
        <f t="shared" si="13"/>
        <v>100</v>
      </c>
      <c r="V31" s="774" t="s">
        <v>17</v>
      </c>
      <c r="W31" s="775">
        <f t="shared" si="14"/>
        <v>100</v>
      </c>
      <c r="X31" s="1813"/>
      <c r="Y31" s="3187"/>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29"/>
      <c r="Q32" s="1810">
        <f t="shared" si="11"/>
        <v>111</v>
      </c>
      <c r="R32" s="774" t="s">
        <v>17</v>
      </c>
      <c r="S32" s="775">
        <f t="shared" si="12"/>
        <v>100</v>
      </c>
      <c r="T32" s="774" t="s">
        <v>17</v>
      </c>
      <c r="U32" s="775">
        <f t="shared" si="13"/>
        <v>100</v>
      </c>
      <c r="V32" s="774" t="s">
        <v>17</v>
      </c>
      <c r="W32" s="775">
        <f t="shared" si="14"/>
        <v>100</v>
      </c>
      <c r="X32" s="1813"/>
      <c r="Y32" s="3187"/>
      <c r="Z32" s="1814">
        <f t="shared" si="15"/>
        <v>111</v>
      </c>
      <c r="AA32" s="1811">
        <f t="shared" si="3"/>
        <v>1</v>
      </c>
      <c r="AB32" s="1811">
        <f t="shared" si="4"/>
        <v>1</v>
      </c>
      <c r="AC32" s="2673">
        <f t="shared" si="5"/>
        <v>1</v>
      </c>
    </row>
    <row r="33" spans="1:29" ht="15">
      <c r="A33" s="440" t="s">
        <v>2556</v>
      </c>
      <c r="B33" s="71" t="s">
        <v>2686</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25" t="s">
        <v>2558</v>
      </c>
      <c r="Q33" s="1810" t="str">
        <f t="shared" si="11"/>
        <v>建筑类型</v>
      </c>
      <c r="R33" s="774" t="s">
        <v>17</v>
      </c>
      <c r="S33" s="775">
        <f t="shared" si="12"/>
        <v>100</v>
      </c>
      <c r="T33" s="774" t="s">
        <v>17</v>
      </c>
      <c r="U33" s="775">
        <f t="shared" si="13"/>
        <v>100</v>
      </c>
      <c r="V33" s="774" t="s">
        <v>17</v>
      </c>
      <c r="W33" s="775">
        <f t="shared" si="14"/>
        <v>100</v>
      </c>
      <c r="X33" s="1813"/>
      <c r="Y33" s="3189" t="s">
        <v>2558</v>
      </c>
      <c r="Z33" s="1814" t="str">
        <f t="shared" si="15"/>
        <v>建筑类型</v>
      </c>
      <c r="AA33" s="1811">
        <f t="shared" si="3"/>
        <v>1</v>
      </c>
      <c r="AB33" s="1811">
        <f t="shared" si="4"/>
        <v>1</v>
      </c>
      <c r="AC33" s="2673">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6"/>
      <c r="Q34" s="776" t="str">
        <f t="shared" si="11"/>
        <v>项目建筑规模</v>
      </c>
      <c r="R34" s="777" t="s">
        <v>17</v>
      </c>
      <c r="S34" s="778" t="e">
        <f t="shared" si="12"/>
        <v>#N/A</v>
      </c>
      <c r="T34" s="777" t="s">
        <v>17</v>
      </c>
      <c r="U34" s="778" t="e">
        <f t="shared" si="13"/>
        <v>#N/A</v>
      </c>
      <c r="V34" s="777" t="s">
        <v>17</v>
      </c>
      <c r="W34" s="778" t="e">
        <f t="shared" si="14"/>
        <v>#N/A</v>
      </c>
      <c r="X34" s="779"/>
      <c r="Y34" s="3189"/>
      <c r="Z34" s="780" t="str">
        <f t="shared" si="15"/>
        <v>项目建筑规模</v>
      </c>
      <c r="AA34" s="1811" t="e">
        <f t="shared" si="3"/>
        <v>#N/A</v>
      </c>
      <c r="AB34" s="1811" t="e">
        <f t="shared" si="4"/>
        <v>#N/A</v>
      </c>
      <c r="AC34" s="2673"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6"/>
      <c r="Q35" s="1810" t="str">
        <f t="shared" si="11"/>
        <v>建筑结构</v>
      </c>
      <c r="R35" s="774" t="s">
        <v>17</v>
      </c>
      <c r="S35" s="775">
        <f t="shared" si="12"/>
        <v>100</v>
      </c>
      <c r="T35" s="774" t="s">
        <v>17</v>
      </c>
      <c r="U35" s="775">
        <f t="shared" si="13"/>
        <v>100</v>
      </c>
      <c r="V35" s="774" t="s">
        <v>17</v>
      </c>
      <c r="W35" s="775">
        <f t="shared" si="14"/>
        <v>100</v>
      </c>
      <c r="X35" s="1813"/>
      <c r="Y35" s="3189"/>
      <c r="Z35" s="1814" t="str">
        <f t="shared" si="15"/>
        <v>建筑结构</v>
      </c>
      <c r="AA35" s="1811">
        <f t="shared" si="3"/>
        <v>1</v>
      </c>
      <c r="AB35" s="1811">
        <f t="shared" si="4"/>
        <v>1</v>
      </c>
      <c r="AC35" s="2673">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6"/>
      <c r="Q36" s="1810" t="str">
        <f t="shared" si="11"/>
        <v>公共部分装修</v>
      </c>
      <c r="R36" s="774" t="s">
        <v>17</v>
      </c>
      <c r="S36" s="775">
        <f t="shared" si="12"/>
        <v>100</v>
      </c>
      <c r="T36" s="774" t="s">
        <v>17</v>
      </c>
      <c r="U36" s="775">
        <f t="shared" si="13"/>
        <v>100</v>
      </c>
      <c r="V36" s="774" t="s">
        <v>17</v>
      </c>
      <c r="W36" s="775">
        <f t="shared" si="14"/>
        <v>100</v>
      </c>
      <c r="X36" s="1813"/>
      <c r="Y36" s="3189"/>
      <c r="Z36" s="1814" t="str">
        <f t="shared" si="15"/>
        <v>公共部分装修</v>
      </c>
      <c r="AA36" s="1811">
        <f t="shared" si="3"/>
        <v>1</v>
      </c>
      <c r="AB36" s="1811">
        <f t="shared" si="4"/>
        <v>1</v>
      </c>
      <c r="AC36" s="2673">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6"/>
      <c r="Q37" s="1810" t="str">
        <f t="shared" si="11"/>
        <v>成新度</v>
      </c>
      <c r="R37" s="774" t="s">
        <v>17</v>
      </c>
      <c r="S37" s="775" t="e">
        <f t="shared" si="12"/>
        <v>#N/A</v>
      </c>
      <c r="T37" s="774" t="s">
        <v>17</v>
      </c>
      <c r="U37" s="775" t="e">
        <f t="shared" si="13"/>
        <v>#N/A</v>
      </c>
      <c r="V37" s="774" t="s">
        <v>17</v>
      </c>
      <c r="W37" s="775" t="e">
        <f t="shared" si="14"/>
        <v>#N/A</v>
      </c>
      <c r="X37" s="1813"/>
      <c r="Y37" s="3189"/>
      <c r="Z37" s="1814" t="str">
        <f t="shared" si="15"/>
        <v>成新度</v>
      </c>
      <c r="AA37" s="1811" t="e">
        <f t="shared" si="3"/>
        <v>#N/A</v>
      </c>
      <c r="AB37" s="1811" t="e">
        <f t="shared" si="4"/>
        <v>#N/A</v>
      </c>
      <c r="AC37" s="2673"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6"/>
      <c r="Q38" s="1795" t="str">
        <f t="shared" si="11"/>
        <v>写字楼等级</v>
      </c>
      <c r="R38" s="770" t="s">
        <v>17</v>
      </c>
      <c r="S38" s="771">
        <f t="shared" si="12"/>
        <v>100</v>
      </c>
      <c r="T38" s="770" t="s">
        <v>17</v>
      </c>
      <c r="U38" s="771">
        <f t="shared" si="13"/>
        <v>100</v>
      </c>
      <c r="V38" s="770" t="s">
        <v>17</v>
      </c>
      <c r="W38" s="771">
        <f t="shared" si="14"/>
        <v>100</v>
      </c>
      <c r="X38" s="772"/>
      <c r="Y38" s="3189"/>
      <c r="Z38" s="55" t="str">
        <f t="shared" si="15"/>
        <v>写字楼等级</v>
      </c>
      <c r="AA38" s="773">
        <f t="shared" si="3"/>
        <v>1</v>
      </c>
      <c r="AB38" s="773">
        <f t="shared" si="4"/>
        <v>1</v>
      </c>
      <c r="AC38" s="2670">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6" t="s">
        <v>2558</v>
      </c>
      <c r="Q39" s="1810" t="str">
        <f t="shared" si="11"/>
        <v>物业管理</v>
      </c>
      <c r="R39" s="774" t="s">
        <v>17</v>
      </c>
      <c r="S39" s="775">
        <f t="shared" si="12"/>
        <v>100</v>
      </c>
      <c r="T39" s="774" t="s">
        <v>17</v>
      </c>
      <c r="U39" s="775">
        <f t="shared" si="13"/>
        <v>100</v>
      </c>
      <c r="V39" s="774" t="s">
        <v>17</v>
      </c>
      <c r="W39" s="775">
        <f t="shared" si="14"/>
        <v>100</v>
      </c>
      <c r="X39" s="1813"/>
      <c r="Y39" s="3189" t="s">
        <v>2558</v>
      </c>
      <c r="Z39" s="1814" t="str">
        <f t="shared" si="15"/>
        <v>物业管理</v>
      </c>
      <c r="AA39" s="1811">
        <f t="shared" si="3"/>
        <v>1</v>
      </c>
      <c r="AB39" s="1811">
        <f t="shared" si="4"/>
        <v>1</v>
      </c>
      <c r="AC39" s="2673">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6"/>
      <c r="Q40" s="1810" t="str">
        <f t="shared" si="11"/>
        <v>市政基础设施</v>
      </c>
      <c r="R40" s="774" t="s">
        <v>17</v>
      </c>
      <c r="S40" s="775">
        <f t="shared" si="12"/>
        <v>100</v>
      </c>
      <c r="T40" s="774" t="s">
        <v>17</v>
      </c>
      <c r="U40" s="775">
        <f t="shared" si="13"/>
        <v>100</v>
      </c>
      <c r="V40" s="774" t="s">
        <v>17</v>
      </c>
      <c r="W40" s="775">
        <f t="shared" si="14"/>
        <v>100</v>
      </c>
      <c r="X40" s="1813"/>
      <c r="Y40" s="3189"/>
      <c r="Z40" s="1814" t="str">
        <f t="shared" si="15"/>
        <v>市政基础设施</v>
      </c>
      <c r="AA40" s="1811">
        <f t="shared" si="3"/>
        <v>1</v>
      </c>
      <c r="AB40" s="1811">
        <f t="shared" si="4"/>
        <v>1</v>
      </c>
      <c r="AC40" s="2673">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6"/>
      <c r="Q41" s="1810" t="str">
        <f t="shared" si="11"/>
        <v>层高</v>
      </c>
      <c r="R41" s="774" t="s">
        <v>17</v>
      </c>
      <c r="S41" s="775">
        <f t="shared" si="12"/>
        <v>100</v>
      </c>
      <c r="T41" s="774" t="s">
        <v>17</v>
      </c>
      <c r="U41" s="775">
        <f t="shared" si="13"/>
        <v>100</v>
      </c>
      <c r="V41" s="774" t="s">
        <v>17</v>
      </c>
      <c r="W41" s="775">
        <f t="shared" si="14"/>
        <v>100</v>
      </c>
      <c r="X41" s="1813"/>
      <c r="Y41" s="3189"/>
      <c r="Z41" s="1814" t="str">
        <f t="shared" si="15"/>
        <v>层高</v>
      </c>
      <c r="AA41" s="1811">
        <f t="shared" si="3"/>
        <v>1</v>
      </c>
      <c r="AB41" s="1811">
        <f t="shared" si="4"/>
        <v>1</v>
      </c>
      <c r="AC41" s="2673">
        <f t="shared" si="5"/>
        <v>1</v>
      </c>
    </row>
    <row r="42" spans="1:29" s="471" customFormat="1" ht="15">
      <c r="A42" s="468"/>
      <c r="B42" s="1812"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6"/>
      <c r="Q42" s="776" t="str">
        <f t="shared" si="11"/>
        <v>单套建筑面积</v>
      </c>
      <c r="R42" s="777" t="s">
        <v>17</v>
      </c>
      <c r="S42" s="778">
        <f t="shared" si="12"/>
        <v>100</v>
      </c>
      <c r="T42" s="777" t="s">
        <v>17</v>
      </c>
      <c r="U42" s="778">
        <f t="shared" si="13"/>
        <v>100</v>
      </c>
      <c r="V42" s="777" t="s">
        <v>17</v>
      </c>
      <c r="W42" s="778">
        <f t="shared" si="14"/>
        <v>100</v>
      </c>
      <c r="X42" s="779"/>
      <c r="Y42" s="3189"/>
      <c r="Z42" s="780" t="str">
        <f t="shared" si="15"/>
        <v>单套建筑面积</v>
      </c>
      <c r="AA42" s="1811">
        <f t="shared" si="3"/>
        <v>1</v>
      </c>
      <c r="AB42" s="1811">
        <f t="shared" si="4"/>
        <v>1</v>
      </c>
      <c r="AC42" s="2673">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6"/>
      <c r="Q43" s="1810" t="str">
        <f t="shared" si="11"/>
        <v>内部装修</v>
      </c>
      <c r="R43" s="774" t="s">
        <v>17</v>
      </c>
      <c r="S43" s="775">
        <f t="shared" si="12"/>
        <v>100</v>
      </c>
      <c r="T43" s="774" t="s">
        <v>17</v>
      </c>
      <c r="U43" s="775">
        <f t="shared" si="13"/>
        <v>100</v>
      </c>
      <c r="V43" s="774" t="s">
        <v>17</v>
      </c>
      <c r="W43" s="775">
        <f t="shared" si="14"/>
        <v>100</v>
      </c>
      <c r="X43" s="1813"/>
      <c r="Y43" s="3189"/>
      <c r="Z43" s="1814" t="str">
        <f t="shared" si="15"/>
        <v>内部装修</v>
      </c>
      <c r="AA43" s="1811">
        <f t="shared" si="3"/>
        <v>1</v>
      </c>
      <c r="AB43" s="1811">
        <f t="shared" si="4"/>
        <v>1</v>
      </c>
      <c r="AC43" s="2673">
        <f t="shared" si="5"/>
        <v>1</v>
      </c>
    </row>
    <row r="44" spans="1:29" ht="15">
      <c r="A44" s="472"/>
      <c r="B44" s="422" t="s">
        <v>2569</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26"/>
      <c r="Q44" s="1810" t="str">
        <f t="shared" si="11"/>
        <v>内部装修维护情况</v>
      </c>
      <c r="R44" s="774" t="s">
        <v>17</v>
      </c>
      <c r="S44" s="775">
        <f t="shared" si="12"/>
        <v>100</v>
      </c>
      <c r="T44" s="774" t="s">
        <v>17</v>
      </c>
      <c r="U44" s="775">
        <f t="shared" si="13"/>
        <v>100</v>
      </c>
      <c r="V44" s="774" t="s">
        <v>17</v>
      </c>
      <c r="W44" s="775">
        <f t="shared" si="14"/>
        <v>100</v>
      </c>
      <c r="X44" s="1813"/>
      <c r="Y44" s="3189"/>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6"/>
      <c r="Q45" s="1795">
        <f t="shared" si="11"/>
        <v>111</v>
      </c>
      <c r="R45" s="770" t="s">
        <v>17</v>
      </c>
      <c r="S45" s="771">
        <f t="shared" si="12"/>
        <v>100</v>
      </c>
      <c r="T45" s="770" t="s">
        <v>17</v>
      </c>
      <c r="U45" s="771">
        <f t="shared" si="13"/>
        <v>100</v>
      </c>
      <c r="V45" s="770" t="s">
        <v>17</v>
      </c>
      <c r="W45" s="771">
        <f t="shared" si="14"/>
        <v>100</v>
      </c>
      <c r="X45" s="772"/>
      <c r="Y45" s="3189"/>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6"/>
      <c r="Q46" s="1810">
        <f t="shared" si="11"/>
        <v>111</v>
      </c>
      <c r="R46" s="774" t="s">
        <v>17</v>
      </c>
      <c r="S46" s="775">
        <f t="shared" si="12"/>
        <v>100</v>
      </c>
      <c r="T46" s="774" t="s">
        <v>17</v>
      </c>
      <c r="U46" s="775">
        <f t="shared" si="13"/>
        <v>100</v>
      </c>
      <c r="V46" s="774" t="s">
        <v>17</v>
      </c>
      <c r="W46" s="775">
        <f t="shared" si="14"/>
        <v>100</v>
      </c>
      <c r="X46" s="1813"/>
      <c r="Y46" s="3189"/>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7"/>
      <c r="Q47" s="1810">
        <f t="shared" si="11"/>
        <v>111</v>
      </c>
      <c r="R47" s="774" t="s">
        <v>17</v>
      </c>
      <c r="S47" s="775">
        <f t="shared" si="12"/>
        <v>100</v>
      </c>
      <c r="T47" s="774" t="s">
        <v>17</v>
      </c>
      <c r="U47" s="775">
        <f t="shared" si="13"/>
        <v>100</v>
      </c>
      <c r="V47" s="774" t="s">
        <v>17</v>
      </c>
      <c r="W47" s="775">
        <f t="shared" si="14"/>
        <v>100</v>
      </c>
      <c r="X47" s="1813"/>
      <c r="Y47" s="3190"/>
      <c r="Z47" s="1814">
        <f t="shared" si="15"/>
        <v>111</v>
      </c>
      <c r="AA47" s="1811">
        <f t="shared" si="3"/>
        <v>1</v>
      </c>
      <c r="AB47" s="1811">
        <f t="shared" si="4"/>
        <v>1</v>
      </c>
      <c r="AC47" s="2673">
        <f t="shared" si="5"/>
        <v>1</v>
      </c>
    </row>
    <row r="48" spans="1:29" ht="15">
      <c r="A48" s="479" t="s">
        <v>2570</v>
      </c>
      <c r="B48" s="480"/>
      <c r="C48" s="1407" t="s">
        <v>1</v>
      </c>
      <c r="D48" s="1408"/>
      <c r="E48" s="1409"/>
      <c r="F48" s="1410"/>
      <c r="G48" s="1411"/>
      <c r="H48" s="1412"/>
      <c r="I48" s="1409"/>
      <c r="J48" s="485"/>
      <c r="K48" s="783"/>
      <c r="L48" s="1143"/>
      <c r="M48" s="1131"/>
      <c r="N48" s="1131"/>
      <c r="O48" s="1131"/>
      <c r="P48" s="3224" t="str">
        <f>A48</f>
        <v>成交单价（元/平方米）</v>
      </c>
      <c r="Q48" s="3171"/>
      <c r="R48" s="3191">
        <f>E48</f>
        <v>0</v>
      </c>
      <c r="S48" s="3191"/>
      <c r="T48" s="3191">
        <f>G48</f>
        <v>0</v>
      </c>
      <c r="U48" s="3191"/>
      <c r="V48" s="3191">
        <f>I48</f>
        <v>0</v>
      </c>
      <c r="W48" s="3191"/>
      <c r="X48" s="446"/>
      <c r="Y48" s="781"/>
      <c r="Z48" s="446"/>
      <c r="AA48" s="446"/>
      <c r="AB48" s="446"/>
      <c r="AC48" s="630"/>
    </row>
    <row r="49" spans="1:29" ht="15.75" thickBot="1">
      <c r="A49" s="486" t="s">
        <v>2662</v>
      </c>
      <c r="B49" s="487"/>
      <c r="C49" s="1413" t="e">
        <f>R50</f>
        <v>#DIV/0!</v>
      </c>
      <c r="D49" s="1414"/>
      <c r="E49" s="1415" t="e">
        <f>R49</f>
        <v>#DIV/0!</v>
      </c>
      <c r="F49" s="1415"/>
      <c r="G49" s="1413" t="e">
        <f>T49</f>
        <v>#DIV/0!</v>
      </c>
      <c r="H49" s="1414"/>
      <c r="I49" s="1415" t="e">
        <f>V49</f>
        <v>#DIV/0!</v>
      </c>
      <c r="J49" s="489"/>
      <c r="K49" s="784"/>
      <c r="L49" s="1143"/>
      <c r="M49" s="1131"/>
      <c r="N49" s="1131"/>
      <c r="O49" s="1131"/>
      <c r="P49" s="3224" t="str">
        <f>A49</f>
        <v>比较价值（元/平方米）</v>
      </c>
      <c r="Q49" s="3171"/>
      <c r="R49" s="3191" t="e">
        <f>IF(F1="售价",ROUND(PRODUCT(R48,AA7:AA47),0),ROUND(PRODUCT(R48,AA7:AA47),1))</f>
        <v>#DIV/0!</v>
      </c>
      <c r="S49" s="3191"/>
      <c r="T49" s="3191" t="e">
        <f>IF(F1="售价",ROUND(PRODUCT(T48,AB7:AB47),0),ROUND(PRODUCT(T48,AB7:AB47),1))</f>
        <v>#DIV/0!</v>
      </c>
      <c r="U49" s="3191"/>
      <c r="V49" s="3191" t="e">
        <f>IF(F1="售价",ROUND(PRODUCT(V48,AC7:AC47),0),ROUND(PRODUCT(V48,AC7:AC47),1))</f>
        <v>#DIV/0!</v>
      </c>
      <c r="W49" s="3191"/>
      <c r="X49" s="446"/>
      <c r="Y49" s="446"/>
      <c r="Z49" s="446"/>
      <c r="AA49" s="446"/>
      <c r="AB49" s="446"/>
      <c r="AC49" s="630"/>
    </row>
    <row r="50" spans="1:29" ht="15.75" thickBot="1">
      <c r="A50" s="492" t="s">
        <v>2663</v>
      </c>
      <c r="B50" s="493"/>
      <c r="C50" s="1417" t="e">
        <f>R50</f>
        <v>#DIV/0!</v>
      </c>
      <c r="D50" s="1417"/>
      <c r="E50" s="1417"/>
      <c r="F50" s="1417"/>
      <c r="G50" s="1417"/>
      <c r="H50" s="1417"/>
      <c r="I50" s="1417"/>
      <c r="J50" s="494"/>
      <c r="K50" s="785"/>
      <c r="L50" s="1143"/>
      <c r="M50" s="1131"/>
      <c r="N50" s="1131"/>
      <c r="O50" s="1131"/>
      <c r="P50" s="3242" t="str">
        <f>A50</f>
        <v>估价对象XX用房的比较价值（楼面单价，元/平方米）</v>
      </c>
      <c r="Q50" s="3243"/>
      <c r="R50" s="3244" t="e">
        <f>IF(F1="售价",ROUND(AVERAGE(R49:V49),0),ROUND(AVERAGE(R49:V49),1))</f>
        <v>#DIV/0!</v>
      </c>
      <c r="S50" s="3244"/>
      <c r="T50" s="3244"/>
      <c r="U50" s="3244"/>
      <c r="V50" s="3244"/>
      <c r="W50" s="3244"/>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2667</v>
      </c>
      <c r="B58" s="759"/>
      <c r="C58" s="764"/>
      <c r="D58" s="764"/>
      <c r="E58" s="764"/>
      <c r="F58" s="765"/>
      <c r="G58" s="765"/>
      <c r="H58" s="764"/>
      <c r="I58" s="764"/>
      <c r="J58" s="764"/>
      <c r="K58" s="766"/>
      <c r="L58" s="1161"/>
      <c r="M58" s="1159"/>
      <c r="N58" s="1159"/>
      <c r="O58" s="1159"/>
      <c r="P58" s="2680"/>
      <c r="Q58" s="504"/>
    </row>
    <row r="59" spans="1:29" s="508" customFormat="1" ht="15">
      <c r="A59" s="505" t="s">
        <v>2541</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2578</v>
      </c>
      <c r="B61" s="516"/>
      <c r="C61" s="517"/>
      <c r="D61" s="518"/>
      <c r="E61" s="518"/>
      <c r="F61" s="518"/>
      <c r="G61" s="518"/>
      <c r="H61" s="518"/>
      <c r="I61" s="518"/>
      <c r="J61" s="518"/>
      <c r="K61" s="518"/>
      <c r="L61" s="518"/>
      <c r="M61" s="519"/>
      <c r="N61" s="518"/>
      <c r="O61" s="519"/>
      <c r="P61" s="2681"/>
      <c r="Q61" s="504"/>
    </row>
    <row r="62" spans="1:29" s="117" customFormat="1" ht="15">
      <c r="A62" s="521" t="s">
        <v>2543</v>
      </c>
      <c r="B62" s="510"/>
      <c r="C62" s="522" t="s">
        <v>2645</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2581</v>
      </c>
      <c r="B64" s="528" t="s">
        <v>2547</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2682</v>
      </c>
      <c r="C83" s="660" t="s">
        <v>2668</v>
      </c>
      <c r="D83" s="660" t="s">
        <v>2669</v>
      </c>
      <c r="E83" s="660" t="s">
        <v>2670</v>
      </c>
      <c r="F83" s="660" t="s">
        <v>2671</v>
      </c>
      <c r="G83" s="660" t="s">
        <v>2672</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2692</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2556</v>
      </c>
      <c r="B101" s="528" t="s">
        <v>2605</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2607</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2609</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2693</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2610</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2611</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2694</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2677</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2613</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6" priority="16" stopIfTrue="1" operator="containsText" text="超过">
      <formula>NOT(ISERROR(SEARCH("超过",F53)))</formula>
    </cfRule>
  </conditionalFormatting>
  <conditionalFormatting sqref="H55">
    <cfRule type="containsText" dxfId="75" priority="15" stopIfTrue="1" operator="containsText" text="超过">
      <formula>NOT(ISERROR(SEARCH("超过",H55)))</formula>
    </cfRule>
  </conditionalFormatting>
  <conditionalFormatting sqref="F55">
    <cfRule type="containsText" dxfId="74" priority="14" stopIfTrue="1" operator="containsText" text="超过">
      <formula>NOT(ISERROR(SEARCH("超过",F55)))</formula>
    </cfRule>
  </conditionalFormatting>
  <conditionalFormatting sqref="F54 H54">
    <cfRule type="containsText" dxfId="73" priority="13" stopIfTrue="1" operator="containsText" text="超过">
      <formula>NOT(ISERROR(SEARCH("超过",F54)))</formula>
    </cfRule>
  </conditionalFormatting>
  <conditionalFormatting sqref="E53">
    <cfRule type="expression" dxfId="72" priority="12" stopIfTrue="1">
      <formula>$F$53="超过30%"</formula>
    </cfRule>
  </conditionalFormatting>
  <conditionalFormatting sqref="E54">
    <cfRule type="expression" dxfId="71" priority="11" stopIfTrue="1">
      <formula>$F$54="超过20%"</formula>
    </cfRule>
  </conditionalFormatting>
  <conditionalFormatting sqref="E55">
    <cfRule type="expression" dxfId="70" priority="10" stopIfTrue="1">
      <formula>$F$55="超过30%"</formula>
    </cfRule>
  </conditionalFormatting>
  <conditionalFormatting sqref="G55">
    <cfRule type="expression" dxfId="69" priority="9" stopIfTrue="1">
      <formula>$H$55="超过30%"</formula>
    </cfRule>
  </conditionalFormatting>
  <conditionalFormatting sqref="G53">
    <cfRule type="expression" dxfId="68" priority="8" stopIfTrue="1">
      <formula>$H$53="超过30%"</formula>
    </cfRule>
  </conditionalFormatting>
  <conditionalFormatting sqref="G54">
    <cfRule type="expression" dxfId="67" priority="7" stopIfTrue="1">
      <formula>$H$54="超过20%"</formula>
    </cfRule>
  </conditionalFormatting>
  <conditionalFormatting sqref="J53">
    <cfRule type="containsText" dxfId="66" priority="6" stopIfTrue="1" operator="containsText" text="超过">
      <formula>NOT(ISERROR(SEARCH("超过",J53)))</formula>
    </cfRule>
  </conditionalFormatting>
  <conditionalFormatting sqref="J55">
    <cfRule type="containsText" dxfId="65" priority="5" stopIfTrue="1" operator="containsText" text="超过">
      <formula>NOT(ISERROR(SEARCH("超过",J55)))</formula>
    </cfRule>
  </conditionalFormatting>
  <conditionalFormatting sqref="J54">
    <cfRule type="containsText" dxfId="64" priority="4" stopIfTrue="1" operator="containsText" text="超过">
      <formula>NOT(ISERROR(SEARCH("超过",J54)))</formula>
    </cfRule>
  </conditionalFormatting>
  <conditionalFormatting sqref="I53">
    <cfRule type="expression" dxfId="63" priority="3" stopIfTrue="1">
      <formula>$J$53="超过30%"</formula>
    </cfRule>
  </conditionalFormatting>
  <conditionalFormatting sqref="I54">
    <cfRule type="expression" dxfId="62" priority="2" stopIfTrue="1">
      <formula>$J$53+$J$54="超过20%"</formula>
    </cfRule>
  </conditionalFormatting>
  <conditionalFormatting sqref="I55">
    <cfRule type="expression" dxfId="6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22"/>
      <c r="F1" s="2583"/>
      <c r="G1" s="1623" t="s">
        <v>2636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2320</v>
      </c>
      <c r="B2" s="1418" t="e">
        <f ca="1">IF(C2="——",IF(B37="元/平方米",ROUND(C39*D3/10000,0),ROUND(F3*C39/10000,0)),IF(B37="元/平方米",ROUND(C39*D3/10000,0),ROUND(F3*C39/10000,0))-D2)</f>
        <v>#DIV/0!</v>
      </c>
      <c r="C2" s="2585"/>
      <c r="D2" s="1124" t="e">
        <f ca="1">SUMIF(INDIRECT("'"&amp;F2&amp;"'"&amp;"!A:A"),"承租人权益价值",INDIRECT("'"&amp;F2&amp;"'"&amp;"!c:c"))</f>
        <v>#REF!</v>
      </c>
      <c r="E2" s="2586" t="s">
        <v>2321</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2638</v>
      </c>
      <c r="B4" s="402"/>
      <c r="C4" s="3172" t="s">
        <v>2639</v>
      </c>
      <c r="D4" s="3173"/>
      <c r="E4" s="3174" t="s">
        <v>2640</v>
      </c>
      <c r="F4" s="3175"/>
      <c r="G4" s="3172" t="s">
        <v>2641</v>
      </c>
      <c r="H4" s="3173"/>
      <c r="I4" s="3172" t="s">
        <v>2642</v>
      </c>
      <c r="J4" s="3173"/>
      <c r="K4" s="610" t="s">
        <v>2643</v>
      </c>
      <c r="L4" s="1130"/>
      <c r="M4" s="1131"/>
      <c r="N4" s="1131"/>
      <c r="O4" s="1131"/>
      <c r="P4" s="3176" t="s">
        <v>2644</v>
      </c>
      <c r="Q4" s="3177"/>
      <c r="R4" s="3159" t="s">
        <v>2640</v>
      </c>
      <c r="S4" s="3160"/>
      <c r="T4" s="3159" t="s">
        <v>2641</v>
      </c>
      <c r="U4" s="3160"/>
      <c r="V4" s="3184" t="s">
        <v>2642</v>
      </c>
      <c r="W4" s="3184"/>
      <c r="X4" s="1813"/>
      <c r="Y4" s="3159" t="s">
        <v>2644</v>
      </c>
      <c r="Z4" s="3160"/>
      <c r="AA4" s="3154" t="s">
        <v>2640</v>
      </c>
      <c r="AB4" s="3155" t="s">
        <v>2641</v>
      </c>
      <c r="AC4" s="3154" t="s">
        <v>2642</v>
      </c>
    </row>
    <row r="5" spans="1:29" ht="15">
      <c r="A5" s="404"/>
      <c r="B5" s="405"/>
      <c r="C5" s="3223" t="s">
        <v>2535</v>
      </c>
      <c r="D5" s="3166"/>
      <c r="E5" s="3222" t="s">
        <v>2536</v>
      </c>
      <c r="F5" s="3164"/>
      <c r="G5" s="3223" t="s">
        <v>2537</v>
      </c>
      <c r="H5" s="3166"/>
      <c r="I5" s="3223" t="s">
        <v>2538</v>
      </c>
      <c r="J5" s="3166"/>
      <c r="K5" s="610"/>
      <c r="L5" s="1130"/>
      <c r="M5" s="1131"/>
      <c r="N5" s="1131"/>
      <c r="O5" s="1131"/>
      <c r="P5" s="3178"/>
      <c r="Q5" s="3179"/>
      <c r="R5" s="3161"/>
      <c r="S5" s="3162"/>
      <c r="T5" s="3161"/>
      <c r="U5" s="3162"/>
      <c r="V5" s="3184"/>
      <c r="W5" s="3184"/>
      <c r="X5" s="1813"/>
      <c r="Y5" s="3161"/>
      <c r="Z5" s="3162"/>
      <c r="AA5" s="3155"/>
      <c r="AB5" s="3155"/>
      <c r="AC5" s="3155"/>
    </row>
    <row r="6" spans="1:29" ht="15.75" thickBot="1">
      <c r="A6" s="406"/>
      <c r="B6" s="407"/>
      <c r="C6" s="3167" t="s">
        <v>2539</v>
      </c>
      <c r="D6" s="3168"/>
      <c r="E6" s="3169" t="s">
        <v>2539</v>
      </c>
      <c r="F6" s="3170"/>
      <c r="G6" s="3167" t="s">
        <v>2539</v>
      </c>
      <c r="H6" s="3168"/>
      <c r="I6" s="3167" t="s">
        <v>2539</v>
      </c>
      <c r="J6" s="3168"/>
      <c r="K6" s="610" t="s">
        <v>2540</v>
      </c>
      <c r="L6" s="1130"/>
      <c r="M6" s="1131"/>
      <c r="N6" s="1131"/>
      <c r="O6" s="1131"/>
      <c r="P6" s="3180"/>
      <c r="Q6" s="3181"/>
      <c r="R6" s="3161"/>
      <c r="S6" s="3162"/>
      <c r="T6" s="3182"/>
      <c r="U6" s="3183"/>
      <c r="V6" s="3184"/>
      <c r="W6" s="3184"/>
      <c r="X6" s="1813"/>
      <c r="Y6" s="3182"/>
      <c r="Z6" s="3183"/>
      <c r="AA6" s="3156"/>
      <c r="AB6" s="3156"/>
      <c r="AC6" s="3156"/>
    </row>
    <row r="7" spans="1:29" s="117" customFormat="1" ht="15.75" thickBot="1">
      <c r="A7" s="408" t="s">
        <v>2541</v>
      </c>
      <c r="B7" s="409"/>
      <c r="C7" s="410">
        <f>'数据-取费表'!B2</f>
        <v>43782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57" t="s">
        <v>2542</v>
      </c>
      <c r="Q7" s="3185"/>
      <c r="R7" s="770" t="s">
        <v>17</v>
      </c>
      <c r="S7" s="771">
        <f t="shared" ref="S7:S14" si="0">F7</f>
        <v>0</v>
      </c>
      <c r="T7" s="770" t="s">
        <v>17</v>
      </c>
      <c r="U7" s="771">
        <f t="shared" ref="U7:U14" si="1">H7</f>
        <v>0</v>
      </c>
      <c r="V7" s="770" t="s">
        <v>17</v>
      </c>
      <c r="W7" s="771">
        <f t="shared" ref="W7:W14" si="2">J7</f>
        <v>0</v>
      </c>
      <c r="X7" s="772"/>
      <c r="Y7" s="3157" t="s">
        <v>2542</v>
      </c>
      <c r="Z7" s="3158"/>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57" t="s">
        <v>2545</v>
      </c>
      <c r="Q8" s="3158"/>
      <c r="R8" s="770" t="s">
        <v>17</v>
      </c>
      <c r="S8" s="771">
        <f t="shared" si="0"/>
        <v>0</v>
      </c>
      <c r="T8" s="770" t="s">
        <v>17</v>
      </c>
      <c r="U8" s="771">
        <f t="shared" si="1"/>
        <v>0</v>
      </c>
      <c r="V8" s="770" t="s">
        <v>17</v>
      </c>
      <c r="W8" s="771">
        <f t="shared" si="2"/>
        <v>0</v>
      </c>
      <c r="X8" s="772"/>
      <c r="Y8" s="3157" t="s">
        <v>2545</v>
      </c>
      <c r="Z8" s="3158"/>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1" t="s">
        <v>2548</v>
      </c>
      <c r="Q9" s="1795" t="str">
        <f t="shared" ref="Q9:Q14" si="6">B9</f>
        <v>用途</v>
      </c>
      <c r="R9" s="770" t="s">
        <v>17</v>
      </c>
      <c r="S9" s="771">
        <f t="shared" si="0"/>
        <v>100</v>
      </c>
      <c r="T9" s="770" t="s">
        <v>17</v>
      </c>
      <c r="U9" s="771">
        <f t="shared" si="1"/>
        <v>100</v>
      </c>
      <c r="V9" s="770" t="s">
        <v>17</v>
      </c>
      <c r="W9" s="771">
        <f t="shared" si="2"/>
        <v>100</v>
      </c>
      <c r="X9" s="772"/>
      <c r="Y9" s="3031"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1"/>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1"/>
      <c r="Q11" s="1795">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1"/>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1"/>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01" t="s">
        <v>2552</v>
      </c>
      <c r="B14" s="629" t="s">
        <v>2702</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6" t="s">
        <v>2553</v>
      </c>
      <c r="Q14" s="1810" t="str">
        <f t="shared" si="6"/>
        <v>交通便捷度</v>
      </c>
      <c r="R14" s="774" t="s">
        <v>17</v>
      </c>
      <c r="S14" s="775">
        <f t="shared" si="0"/>
        <v>100</v>
      </c>
      <c r="T14" s="774" t="s">
        <v>17</v>
      </c>
      <c r="U14" s="775">
        <f t="shared" si="1"/>
        <v>100</v>
      </c>
      <c r="V14" s="774" t="s">
        <v>17</v>
      </c>
      <c r="W14" s="775">
        <f t="shared" si="2"/>
        <v>100</v>
      </c>
      <c r="X14" s="1813"/>
      <c r="Y14" s="3186" t="s">
        <v>2553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7"/>
      <c r="Q15" s="1810"/>
      <c r="R15" s="774"/>
      <c r="S15" s="775"/>
      <c r="T15" s="774"/>
      <c r="U15" s="775"/>
      <c r="V15" s="774"/>
      <c r="W15" s="775"/>
      <c r="X15" s="1813"/>
      <c r="Y15" s="3187"/>
      <c r="Z15" s="1814"/>
      <c r="AA15" s="1811">
        <v>1</v>
      </c>
      <c r="AB15" s="1811">
        <v>1</v>
      </c>
      <c r="AC15" s="1811">
        <v>1</v>
      </c>
    </row>
    <row r="16" spans="1:29" ht="42.75">
      <c r="A16" s="404"/>
      <c r="B16" s="631" t="s">
        <v>2681</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7"/>
      <c r="Q16" s="1810" t="str">
        <f>B16</f>
        <v>公共配套设施</v>
      </c>
      <c r="R16" s="774" t="s">
        <v>17</v>
      </c>
      <c r="S16" s="775">
        <f>F16</f>
        <v>100</v>
      </c>
      <c r="T16" s="774" t="s">
        <v>17</v>
      </c>
      <c r="U16" s="775">
        <f>H16</f>
        <v>100</v>
      </c>
      <c r="V16" s="774" t="s">
        <v>17</v>
      </c>
      <c r="W16" s="775">
        <f>J16</f>
        <v>100</v>
      </c>
      <c r="X16" s="1813"/>
      <c r="Y16" s="3187"/>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87"/>
      <c r="Q17" s="1810"/>
      <c r="R17" s="774"/>
      <c r="S17" s="775"/>
      <c r="T17" s="774"/>
      <c r="U17" s="775"/>
      <c r="V17" s="774"/>
      <c r="W17" s="775"/>
      <c r="X17" s="1813"/>
      <c r="Y17" s="3187"/>
      <c r="Z17" s="1814"/>
      <c r="AA17" s="1811">
        <v>1</v>
      </c>
      <c r="AB17" s="1811">
        <v>1</v>
      </c>
      <c r="AC17" s="1811">
        <v>1</v>
      </c>
    </row>
    <row r="18" spans="1:29" ht="28.5">
      <c r="A18" s="404"/>
      <c r="B18" s="633" t="s">
        <v>2682</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7"/>
      <c r="Q18" s="1810" t="str">
        <f>B18</f>
        <v>基础设施水平</v>
      </c>
      <c r="R18" s="774" t="s">
        <v>17</v>
      </c>
      <c r="S18" s="775">
        <f>F18</f>
        <v>100</v>
      </c>
      <c r="T18" s="774" t="s">
        <v>17</v>
      </c>
      <c r="U18" s="775">
        <f>H18</f>
        <v>100</v>
      </c>
      <c r="V18" s="774" t="s">
        <v>17</v>
      </c>
      <c r="W18" s="775">
        <f>J18</f>
        <v>100</v>
      </c>
      <c r="X18" s="1813"/>
      <c r="Y18" s="3187"/>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187"/>
      <c r="Q19" s="1810"/>
      <c r="R19" s="774"/>
      <c r="S19" s="775"/>
      <c r="T19" s="774"/>
      <c r="U19" s="775"/>
      <c r="V19" s="774"/>
      <c r="W19" s="775"/>
      <c r="X19" s="1813"/>
      <c r="Y19" s="3187"/>
      <c r="Z19" s="1814"/>
      <c r="AA19" s="1811">
        <v>1</v>
      </c>
      <c r="AB19" s="1811">
        <v>1</v>
      </c>
      <c r="AC19" s="1811">
        <v>1</v>
      </c>
    </row>
    <row r="20" spans="1:29" ht="57">
      <c r="A20" s="404"/>
      <c r="B20" s="631" t="s">
        <v>2703</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7"/>
      <c r="Q20" s="1810" t="str">
        <f>B20</f>
        <v>自然及人文环境</v>
      </c>
      <c r="R20" s="774" t="s">
        <v>17</v>
      </c>
      <c r="S20" s="775">
        <f>F20</f>
        <v>100</v>
      </c>
      <c r="T20" s="774" t="s">
        <v>17</v>
      </c>
      <c r="U20" s="775">
        <f>H20</f>
        <v>100</v>
      </c>
      <c r="V20" s="774" t="s">
        <v>17</v>
      </c>
      <c r="W20" s="775">
        <f>J20</f>
        <v>100</v>
      </c>
      <c r="X20" s="1813"/>
      <c r="Y20" s="318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7"/>
      <c r="Q21" s="1810"/>
      <c r="R21" s="774"/>
      <c r="S21" s="775"/>
      <c r="T21" s="774"/>
      <c r="U21" s="775"/>
      <c r="V21" s="774"/>
      <c r="W21" s="775"/>
      <c r="X21" s="1813"/>
      <c r="Y21" s="3187"/>
      <c r="Z21" s="1814"/>
      <c r="AA21" s="1811">
        <v>1</v>
      </c>
      <c r="AB21" s="1811">
        <v>1</v>
      </c>
      <c r="AC21" s="1811">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7"/>
      <c r="Q22" s="1810" t="str">
        <f>B22</f>
        <v>楼层</v>
      </c>
      <c r="R22" s="774" t="s">
        <v>17</v>
      </c>
      <c r="S22" s="775">
        <f>F22</f>
        <v>100</v>
      </c>
      <c r="T22" s="774" t="s">
        <v>17</v>
      </c>
      <c r="U22" s="775">
        <f>H22</f>
        <v>100</v>
      </c>
      <c r="V22" s="774" t="s">
        <v>17</v>
      </c>
      <c r="W22" s="775">
        <f>J22</f>
        <v>100</v>
      </c>
      <c r="X22" s="1813"/>
      <c r="Y22" s="318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7"/>
      <c r="Q23" s="1810">
        <f>B23</f>
        <v>111</v>
      </c>
      <c r="R23" s="774" t="s">
        <v>17</v>
      </c>
      <c r="S23" s="775">
        <f>F23</f>
        <v>100</v>
      </c>
      <c r="T23" s="774" t="s">
        <v>17</v>
      </c>
      <c r="U23" s="775">
        <f>H23</f>
        <v>100</v>
      </c>
      <c r="V23" s="774" t="s">
        <v>17</v>
      </c>
      <c r="W23" s="775">
        <f>J23</f>
        <v>100</v>
      </c>
      <c r="X23" s="1813"/>
      <c r="Y23" s="318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7"/>
      <c r="Q24" s="1810">
        <f t="shared" ref="Q24:Q36" si="11">B24</f>
        <v>111</v>
      </c>
      <c r="R24" s="774" t="s">
        <v>17</v>
      </c>
      <c r="S24" s="775">
        <f>F24</f>
        <v>100</v>
      </c>
      <c r="T24" s="774" t="s">
        <v>17</v>
      </c>
      <c r="U24" s="775">
        <f>H24</f>
        <v>100</v>
      </c>
      <c r="V24" s="774" t="s">
        <v>17</v>
      </c>
      <c r="W24" s="775">
        <f>J24</f>
        <v>100</v>
      </c>
      <c r="X24" s="1813"/>
      <c r="Y24" s="318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7"/>
      <c r="Q25" s="1795">
        <f t="shared" si="11"/>
        <v>111</v>
      </c>
      <c r="R25" s="770" t="s">
        <v>17</v>
      </c>
      <c r="S25" s="771">
        <f>F25</f>
        <v>100</v>
      </c>
      <c r="T25" s="770" t="s">
        <v>17</v>
      </c>
      <c r="U25" s="771">
        <f>H25</f>
        <v>100</v>
      </c>
      <c r="V25" s="770" t="s">
        <v>17</v>
      </c>
      <c r="W25" s="771">
        <f>J25</f>
        <v>100</v>
      </c>
      <c r="X25" s="772"/>
      <c r="Y25" s="3187"/>
      <c r="Z25" s="55">
        <f>Q25</f>
        <v>111</v>
      </c>
      <c r="AA25" s="1811">
        <f>D25/F25</f>
        <v>1</v>
      </c>
      <c r="AB25" s="1811">
        <f>D25/H25</f>
        <v>1</v>
      </c>
      <c r="AC25" s="1811">
        <f>D25/J25</f>
        <v>1</v>
      </c>
    </row>
    <row r="26" spans="1:29" ht="28.5">
      <c r="A26" s="652" t="s">
        <v>2556</v>
      </c>
      <c r="B26" s="70" t="s">
        <v>2705</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8" t="s">
        <v>2558</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9" t="s">
        <v>2558</v>
      </c>
      <c r="Z26" s="1814" t="str">
        <f t="shared" ref="Z26:Z36" si="15">Q26</f>
        <v>配套类型</v>
      </c>
      <c r="AA26" s="1811">
        <f t="shared" si="3"/>
        <v>1</v>
      </c>
      <c r="AB26" s="1811">
        <f t="shared" si="4"/>
        <v>1</v>
      </c>
      <c r="AC26" s="1811">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9"/>
      <c r="Q27" s="776" t="str">
        <f t="shared" si="11"/>
        <v>项目停车位配比</v>
      </c>
      <c r="R27" s="777" t="s">
        <v>17</v>
      </c>
      <c r="S27" s="778">
        <f t="shared" si="12"/>
        <v>100</v>
      </c>
      <c r="T27" s="777" t="s">
        <v>17</v>
      </c>
      <c r="U27" s="778">
        <f t="shared" si="13"/>
        <v>100</v>
      </c>
      <c r="V27" s="777" t="s">
        <v>17</v>
      </c>
      <c r="W27" s="778">
        <f t="shared" si="14"/>
        <v>100</v>
      </c>
      <c r="X27" s="779"/>
      <c r="Y27" s="3189"/>
      <c r="Z27" s="780" t="str">
        <f t="shared" si="15"/>
        <v>项目停车位配比</v>
      </c>
      <c r="AA27" s="1811">
        <f t="shared" si="3"/>
        <v>1</v>
      </c>
      <c r="AB27" s="1811">
        <f t="shared" si="4"/>
        <v>1</v>
      </c>
      <c r="AC27" s="1811">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9"/>
      <c r="Q28" s="1810" t="str">
        <f t="shared" si="11"/>
        <v>公共部分装修</v>
      </c>
      <c r="R28" s="774" t="s">
        <v>17</v>
      </c>
      <c r="S28" s="775">
        <f t="shared" si="12"/>
        <v>100</v>
      </c>
      <c r="T28" s="774" t="s">
        <v>17</v>
      </c>
      <c r="U28" s="775">
        <f t="shared" si="13"/>
        <v>100</v>
      </c>
      <c r="V28" s="774" t="s">
        <v>17</v>
      </c>
      <c r="W28" s="775">
        <f t="shared" si="14"/>
        <v>100</v>
      </c>
      <c r="X28" s="1813"/>
      <c r="Y28" s="3189"/>
      <c r="Z28" s="1814" t="str">
        <f t="shared" si="15"/>
        <v>公共部分装修</v>
      </c>
      <c r="AA28" s="1811">
        <f t="shared" si="3"/>
        <v>1</v>
      </c>
      <c r="AB28" s="1811">
        <f t="shared" si="4"/>
        <v>1</v>
      </c>
      <c r="AC28" s="1811">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9"/>
      <c r="Q29" s="1810" t="str">
        <f t="shared" si="11"/>
        <v>成新率</v>
      </c>
      <c r="R29" s="774" t="s">
        <v>17</v>
      </c>
      <c r="S29" s="775" t="e">
        <f t="shared" si="12"/>
        <v>#N/A</v>
      </c>
      <c r="T29" s="774" t="s">
        <v>17</v>
      </c>
      <c r="U29" s="775" t="e">
        <f t="shared" si="13"/>
        <v>#N/A</v>
      </c>
      <c r="V29" s="774" t="s">
        <v>17</v>
      </c>
      <c r="W29" s="775" t="e">
        <f t="shared" si="14"/>
        <v>#N/A</v>
      </c>
      <c r="X29" s="1813"/>
      <c r="Y29" s="3189"/>
      <c r="Z29" s="1814" t="str">
        <f t="shared" si="15"/>
        <v>成新率</v>
      </c>
      <c r="AA29" s="1811" t="e">
        <f t="shared" si="3"/>
        <v>#N/A</v>
      </c>
      <c r="AB29" s="1811" t="e">
        <f t="shared" si="4"/>
        <v>#N/A</v>
      </c>
      <c r="AC29" s="1811"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9"/>
      <c r="Q30" s="1810" t="str">
        <f t="shared" si="11"/>
        <v>物业等级</v>
      </c>
      <c r="R30" s="774" t="s">
        <v>17</v>
      </c>
      <c r="S30" s="775">
        <f t="shared" si="12"/>
        <v>100</v>
      </c>
      <c r="T30" s="774" t="s">
        <v>17</v>
      </c>
      <c r="U30" s="775">
        <f t="shared" si="13"/>
        <v>100</v>
      </c>
      <c r="V30" s="774" t="s">
        <v>17</v>
      </c>
      <c r="W30" s="775">
        <f t="shared" si="14"/>
        <v>100</v>
      </c>
      <c r="X30" s="1813"/>
      <c r="Y30" s="3189"/>
      <c r="Z30" s="1814" t="str">
        <f t="shared" si="15"/>
        <v>物业等级</v>
      </c>
      <c r="AA30" s="1811">
        <f t="shared" si="3"/>
        <v>1</v>
      </c>
      <c r="AB30" s="1811">
        <f t="shared" si="4"/>
        <v>1</v>
      </c>
      <c r="AC30" s="1811">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9"/>
      <c r="Q31" s="1795" t="str">
        <f t="shared" si="11"/>
        <v>停车位面积</v>
      </c>
      <c r="R31" s="770" t="s">
        <v>17</v>
      </c>
      <c r="S31" s="771" t="e">
        <f t="shared" si="12"/>
        <v>#N/A</v>
      </c>
      <c r="T31" s="770" t="s">
        <v>17</v>
      </c>
      <c r="U31" s="771" t="e">
        <f t="shared" si="13"/>
        <v>#N/A</v>
      </c>
      <c r="V31" s="770" t="s">
        <v>17</v>
      </c>
      <c r="W31" s="771" t="e">
        <f t="shared" si="14"/>
        <v>#N/A</v>
      </c>
      <c r="X31" s="772"/>
      <c r="Y31" s="3189"/>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9" t="s">
        <v>2558</v>
      </c>
      <c r="Q32" s="1810" t="str">
        <f t="shared" si="11"/>
        <v>车位类型</v>
      </c>
      <c r="R32" s="774" t="s">
        <v>17</v>
      </c>
      <c r="S32" s="775">
        <f t="shared" si="12"/>
        <v>100</v>
      </c>
      <c r="T32" s="774" t="s">
        <v>17</v>
      </c>
      <c r="U32" s="775">
        <f t="shared" si="13"/>
        <v>100</v>
      </c>
      <c r="V32" s="774" t="s">
        <v>17</v>
      </c>
      <c r="W32" s="775">
        <f t="shared" si="14"/>
        <v>100</v>
      </c>
      <c r="X32" s="1813"/>
      <c r="Y32" s="3189" t="s">
        <v>2558</v>
      </c>
      <c r="Z32" s="1814" t="str">
        <f t="shared" si="15"/>
        <v>车位类型</v>
      </c>
      <c r="AA32" s="1811">
        <f t="shared" si="3"/>
        <v>1</v>
      </c>
      <c r="AB32" s="1811">
        <f t="shared" si="4"/>
        <v>1</v>
      </c>
      <c r="AC32" s="1811">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9"/>
      <c r="Q33" s="1810" t="str">
        <f t="shared" si="11"/>
        <v>是否直接入户</v>
      </c>
      <c r="R33" s="774" t="s">
        <v>17</v>
      </c>
      <c r="S33" s="775">
        <f t="shared" si="12"/>
        <v>100</v>
      </c>
      <c r="T33" s="774" t="s">
        <v>17</v>
      </c>
      <c r="U33" s="775">
        <f t="shared" si="13"/>
        <v>100</v>
      </c>
      <c r="V33" s="774" t="s">
        <v>17</v>
      </c>
      <c r="W33" s="775">
        <f t="shared" si="14"/>
        <v>100</v>
      </c>
      <c r="X33" s="1813"/>
      <c r="Y33" s="318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9"/>
      <c r="Q34" s="1810">
        <f t="shared" si="11"/>
        <v>111</v>
      </c>
      <c r="R34" s="774" t="s">
        <v>17</v>
      </c>
      <c r="S34" s="775">
        <f t="shared" si="12"/>
        <v>100</v>
      </c>
      <c r="T34" s="774" t="s">
        <v>17</v>
      </c>
      <c r="U34" s="775">
        <f t="shared" si="13"/>
        <v>100</v>
      </c>
      <c r="V34" s="774" t="s">
        <v>17</v>
      </c>
      <c r="W34" s="775">
        <f t="shared" si="14"/>
        <v>100</v>
      </c>
      <c r="X34" s="1813"/>
      <c r="Y34" s="318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9"/>
      <c r="Q35" s="776">
        <f t="shared" si="11"/>
        <v>111</v>
      </c>
      <c r="R35" s="777" t="s">
        <v>17</v>
      </c>
      <c r="S35" s="778">
        <f t="shared" si="12"/>
        <v>100</v>
      </c>
      <c r="T35" s="777" t="s">
        <v>17</v>
      </c>
      <c r="U35" s="778">
        <f t="shared" si="13"/>
        <v>100</v>
      </c>
      <c r="V35" s="777" t="s">
        <v>17</v>
      </c>
      <c r="W35" s="778">
        <f t="shared" si="14"/>
        <v>100</v>
      </c>
      <c r="X35" s="779"/>
      <c r="Y35" s="318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9"/>
      <c r="Q36" s="1810">
        <f t="shared" si="11"/>
        <v>111</v>
      </c>
      <c r="R36" s="774" t="s">
        <v>17</v>
      </c>
      <c r="S36" s="775">
        <f t="shared" si="12"/>
        <v>100</v>
      </c>
      <c r="T36" s="774" t="s">
        <v>17</v>
      </c>
      <c r="U36" s="775">
        <f t="shared" si="13"/>
        <v>100</v>
      </c>
      <c r="V36" s="774" t="s">
        <v>17</v>
      </c>
      <c r="W36" s="775">
        <f t="shared" si="14"/>
        <v>100</v>
      </c>
      <c r="X36" s="1813"/>
      <c r="Y36" s="3189"/>
      <c r="Z36" s="1814">
        <f t="shared" si="15"/>
        <v>111</v>
      </c>
      <c r="AA36" s="1811">
        <f t="shared" si="3"/>
        <v>1</v>
      </c>
      <c r="AB36" s="1811">
        <f t="shared" si="4"/>
        <v>1</v>
      </c>
      <c r="AC36" s="1811">
        <f t="shared" si="5"/>
        <v>1</v>
      </c>
    </row>
    <row r="37" spans="1:29" ht="15">
      <c r="A37" s="479" t="s">
        <v>2713</v>
      </c>
      <c r="B37" s="2694" t="s">
        <v>2714</v>
      </c>
      <c r="C37" s="1407" t="s">
        <v>1</v>
      </c>
      <c r="D37" s="1408"/>
      <c r="E37" s="1409"/>
      <c r="F37" s="1410"/>
      <c r="G37" s="1411"/>
      <c r="H37" s="1412"/>
      <c r="I37" s="1409"/>
      <c r="J37" s="1412"/>
      <c r="K37" s="619"/>
      <c r="L37" s="1143"/>
      <c r="M37" s="1144"/>
      <c r="N37" s="1131"/>
      <c r="O37" s="1144"/>
      <c r="P37" s="3171" t="str">
        <f>A37</f>
        <v>成交单价</v>
      </c>
      <c r="Q37" s="3171"/>
      <c r="R37" s="3191">
        <f>E37</f>
        <v>0</v>
      </c>
      <c r="S37" s="3191"/>
      <c r="T37" s="3191">
        <f>G37</f>
        <v>0</v>
      </c>
      <c r="U37" s="3191"/>
      <c r="V37" s="3191">
        <f>I37</f>
        <v>0</v>
      </c>
      <c r="W37" s="3191"/>
      <c r="X37" s="759"/>
      <c r="Y37" s="781"/>
      <c r="Z37" s="759"/>
      <c r="AA37" s="759"/>
      <c r="AB37" s="759"/>
      <c r="AC37" s="759"/>
    </row>
    <row r="38" spans="1:29" ht="15.75" thickBot="1">
      <c r="A38" s="486" t="s">
        <v>2715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1" t="str">
        <f>A38</f>
        <v>比较价值（元/平方米）</v>
      </c>
      <c r="Q38" s="3171"/>
      <c r="R38" s="3191" t="e">
        <f>IF(F1="售价",ROUND(PRODUCT(R37,AA7:AA36),0),ROUND(PRODUCT(R37,AA7:AA36),1))</f>
        <v>#DIV/0!</v>
      </c>
      <c r="S38" s="3191"/>
      <c r="T38" s="3191" t="e">
        <f>IF(F1="售价",ROUND(PRODUCT(T37,AB7:AB36),0),ROUND(PRODUCT(T37,AB7:AB36),1))</f>
        <v>#DIV/0!</v>
      </c>
      <c r="U38" s="3191"/>
      <c r="V38" s="3191" t="e">
        <f>IF(F1="售价",ROUND(PRODUCT(V37,AC7:AC36),0),ROUND(PRODUCT(V37,AC7:AC36),1))</f>
        <v>#DIV/0!</v>
      </c>
      <c r="W38" s="3191"/>
      <c r="X38" s="759"/>
      <c r="Y38" s="759"/>
      <c r="Z38" s="759"/>
      <c r="AA38" s="759"/>
      <c r="AB38" s="759"/>
      <c r="AC38" s="759"/>
    </row>
    <row r="39" spans="1:29" ht="15.75" thickBot="1">
      <c r="A39" s="492" t="s">
        <v>2716</v>
      </c>
      <c r="B39" s="493"/>
      <c r="C39" s="1417" t="e">
        <f>R39</f>
        <v>#DIV/0!</v>
      </c>
      <c r="D39" s="1417"/>
      <c r="E39" s="1417"/>
      <c r="F39" s="1417"/>
      <c r="G39" s="1417"/>
      <c r="H39" s="1417"/>
      <c r="I39" s="1417"/>
      <c r="J39" s="1417"/>
      <c r="K39" s="621"/>
      <c r="L39" s="1143"/>
      <c r="M39" s="1144"/>
      <c r="N39" s="1144"/>
      <c r="O39" s="1144"/>
      <c r="P39" s="3192" t="str">
        <f>A39</f>
        <v>估价对象XX用房的比较价值（楼面单价，元/平方米）</v>
      </c>
      <c r="Q39" s="3193"/>
      <c r="R39" s="3194" t="e">
        <f>IF(F1="售价",ROUND(AVERAGE(R38:V38),0),ROUND(AVERAGE(R38:V38),1))</f>
        <v>#DIV/0!</v>
      </c>
      <c r="S39" s="3194"/>
      <c r="T39" s="3194"/>
      <c r="U39" s="3194"/>
      <c r="V39" s="3194"/>
      <c r="W39" s="319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2721</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2543</v>
      </c>
      <c r="B51" s="510"/>
      <c r="C51" s="522" t="s">
        <v>2645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2581</v>
      </c>
      <c r="B53" s="528" t="s">
        <v>2547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2596</v>
      </c>
      <c r="C65" s="578" t="s">
        <v>2590</v>
      </c>
      <c r="D65" s="578" t="s">
        <v>2591</v>
      </c>
      <c r="E65" s="578" t="s">
        <v>2592</v>
      </c>
      <c r="F65" s="578" t="s">
        <v>2593</v>
      </c>
      <c r="G65" s="578" t="s">
        <v>2594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2682</v>
      </c>
      <c r="C67" s="660" t="s">
        <v>2668</v>
      </c>
      <c r="D67" s="660" t="s">
        <v>2669</v>
      </c>
      <c r="E67" s="660" t="s">
        <v>2670</v>
      </c>
      <c r="F67" s="660" t="s">
        <v>2671</v>
      </c>
      <c r="G67" s="660" t="s">
        <v>2672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2602</v>
      </c>
      <c r="C69" s="578" t="s">
        <v>2590</v>
      </c>
      <c r="D69" s="578" t="s">
        <v>2591</v>
      </c>
      <c r="E69" s="578" t="s">
        <v>2592</v>
      </c>
      <c r="F69" s="578" t="s">
        <v>2593</v>
      </c>
      <c r="G69" s="578" t="s">
        <v>2594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2556</v>
      </c>
      <c r="B79" s="528" t="s">
        <v>2723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IF(C2="——",ROUND(C37*D3/10000,0),ROUND(C37*D3/10000,0)-D2)</f>
        <v>#DIV/0!</v>
      </c>
      <c r="C2" s="2585"/>
      <c r="D2" s="1124" t="e">
        <f ca="1">SUMIF(INDIRECT("'"&amp;F2&amp;"'"&amp;"!A:A"),"承租人权益价值",INDIRECT("'"&amp;F2&amp;"'"&amp;"!c:c"))</f>
        <v>#REF!</v>
      </c>
      <c r="E2" s="2586" t="s">
        <v>2321</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72" t="s">
        <v>2639</v>
      </c>
      <c r="D4" s="3173"/>
      <c r="E4" s="3174" t="s">
        <v>2640</v>
      </c>
      <c r="F4" s="3175"/>
      <c r="G4" s="3172" t="s">
        <v>2641</v>
      </c>
      <c r="H4" s="3173"/>
      <c r="I4" s="3172" t="s">
        <v>2642</v>
      </c>
      <c r="J4" s="3173"/>
      <c r="K4" s="610" t="s">
        <v>2643</v>
      </c>
      <c r="L4" s="1130"/>
      <c r="M4" s="1131"/>
      <c r="N4" s="1131"/>
      <c r="O4" s="1131"/>
      <c r="P4" s="3176" t="s">
        <v>2644</v>
      </c>
      <c r="Q4" s="3177"/>
      <c r="R4" s="3159" t="s">
        <v>2640</v>
      </c>
      <c r="S4" s="3160"/>
      <c r="T4" s="3159" t="s">
        <v>2641</v>
      </c>
      <c r="U4" s="3160"/>
      <c r="V4" s="3184" t="s">
        <v>2642</v>
      </c>
      <c r="W4" s="3184"/>
      <c r="X4" s="1813"/>
      <c r="Y4" s="3159" t="s">
        <v>2644</v>
      </c>
      <c r="Z4" s="3160"/>
      <c r="AA4" s="3154" t="s">
        <v>2640</v>
      </c>
      <c r="AB4" s="3155" t="s">
        <v>2641</v>
      </c>
      <c r="AC4" s="3154" t="s">
        <v>2642</v>
      </c>
    </row>
    <row r="5" spans="1:29" ht="15">
      <c r="A5" s="404"/>
      <c r="B5" s="405"/>
      <c r="C5" s="3223" t="s">
        <v>2535</v>
      </c>
      <c r="D5" s="3166"/>
      <c r="E5" s="3222" t="s">
        <v>2536</v>
      </c>
      <c r="F5" s="3164"/>
      <c r="G5" s="3223" t="s">
        <v>2537</v>
      </c>
      <c r="H5" s="3166"/>
      <c r="I5" s="3223" t="s">
        <v>2538</v>
      </c>
      <c r="J5" s="3166"/>
      <c r="K5" s="610"/>
      <c r="L5" s="1130"/>
      <c r="M5" s="1131"/>
      <c r="N5" s="1131"/>
      <c r="O5" s="1131"/>
      <c r="P5" s="3178"/>
      <c r="Q5" s="3179"/>
      <c r="R5" s="3161"/>
      <c r="S5" s="3162"/>
      <c r="T5" s="3161"/>
      <c r="U5" s="3162"/>
      <c r="V5" s="3184"/>
      <c r="W5" s="3184"/>
      <c r="X5" s="1813"/>
      <c r="Y5" s="3161"/>
      <c r="Z5" s="3162"/>
      <c r="AA5" s="3155"/>
      <c r="AB5" s="3155"/>
      <c r="AC5" s="3155"/>
    </row>
    <row r="6" spans="1:29" ht="15.75" thickBot="1">
      <c r="A6" s="406"/>
      <c r="B6" s="407"/>
      <c r="C6" s="3167" t="s">
        <v>2539</v>
      </c>
      <c r="D6" s="3168"/>
      <c r="E6" s="3169" t="s">
        <v>2539</v>
      </c>
      <c r="F6" s="3170"/>
      <c r="G6" s="3167" t="s">
        <v>2539</v>
      </c>
      <c r="H6" s="3168"/>
      <c r="I6" s="3167" t="s">
        <v>2539</v>
      </c>
      <c r="J6" s="3168"/>
      <c r="K6" s="610" t="s">
        <v>2540</v>
      </c>
      <c r="L6" s="1130"/>
      <c r="M6" s="1131"/>
      <c r="N6" s="1131"/>
      <c r="O6" s="1131"/>
      <c r="P6" s="3180"/>
      <c r="Q6" s="3181"/>
      <c r="R6" s="3161"/>
      <c r="S6" s="3162"/>
      <c r="T6" s="3182"/>
      <c r="U6" s="3183"/>
      <c r="V6" s="3184"/>
      <c r="W6" s="3184"/>
      <c r="X6" s="1813"/>
      <c r="Y6" s="3182"/>
      <c r="Z6" s="3183"/>
      <c r="AA6" s="3156"/>
      <c r="AB6" s="3156"/>
      <c r="AC6" s="3156"/>
    </row>
    <row r="7" spans="1:29" s="117" customFormat="1" ht="15.75" thickBot="1">
      <c r="A7" s="408" t="s">
        <v>2541</v>
      </c>
      <c r="B7" s="409"/>
      <c r="C7" s="410">
        <f>'数据-取费表'!B2</f>
        <v>43782</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57" t="s">
        <v>2542</v>
      </c>
      <c r="Q7" s="3185"/>
      <c r="R7" s="770" t="s">
        <v>17</v>
      </c>
      <c r="S7" s="771">
        <f t="shared" ref="S7:S14" si="0">F7</f>
        <v>0</v>
      </c>
      <c r="T7" s="770" t="s">
        <v>17</v>
      </c>
      <c r="U7" s="771">
        <f t="shared" ref="U7:U14" si="1">H7</f>
        <v>0</v>
      </c>
      <c r="V7" s="770" t="s">
        <v>17</v>
      </c>
      <c r="W7" s="771">
        <f t="shared" ref="W7:W14" si="2">J7</f>
        <v>0</v>
      </c>
      <c r="X7" s="772"/>
      <c r="Y7" s="3157" t="s">
        <v>2542</v>
      </c>
      <c r="Z7" s="3158"/>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57" t="s">
        <v>2545</v>
      </c>
      <c r="Q8" s="3158"/>
      <c r="R8" s="770" t="s">
        <v>17</v>
      </c>
      <c r="S8" s="771">
        <f t="shared" si="0"/>
        <v>0</v>
      </c>
      <c r="T8" s="770" t="s">
        <v>17</v>
      </c>
      <c r="U8" s="771">
        <f t="shared" si="1"/>
        <v>0</v>
      </c>
      <c r="V8" s="770" t="s">
        <v>17</v>
      </c>
      <c r="W8" s="771">
        <f t="shared" si="2"/>
        <v>0</v>
      </c>
      <c r="X8" s="772"/>
      <c r="Y8" s="3157" t="s">
        <v>2545</v>
      </c>
      <c r="Z8" s="3158"/>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1" t="s">
        <v>2548</v>
      </c>
      <c r="Q9" s="1795" t="str">
        <f t="shared" ref="Q9:Q14" si="6">B9</f>
        <v>用途</v>
      </c>
      <c r="R9" s="770" t="s">
        <v>17</v>
      </c>
      <c r="S9" s="771">
        <f t="shared" si="0"/>
        <v>100</v>
      </c>
      <c r="T9" s="770" t="s">
        <v>17</v>
      </c>
      <c r="U9" s="771">
        <f t="shared" si="1"/>
        <v>100</v>
      </c>
      <c r="V9" s="770" t="s">
        <v>17</v>
      </c>
      <c r="W9" s="771">
        <f t="shared" si="2"/>
        <v>100</v>
      </c>
      <c r="X9" s="772"/>
      <c r="Y9" s="3031"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1"/>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1"/>
      <c r="Q11" s="1795">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1"/>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40" t="s">
        <v>2552</v>
      </c>
      <c r="B14" s="69" t="s">
        <v>2702</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6" t="s">
        <v>2553</v>
      </c>
      <c r="Q14" s="1810" t="str">
        <f t="shared" si="6"/>
        <v>交通便捷度</v>
      </c>
      <c r="R14" s="774" t="s">
        <v>17</v>
      </c>
      <c r="S14" s="775">
        <f t="shared" si="0"/>
        <v>100</v>
      </c>
      <c r="T14" s="774" t="s">
        <v>17</v>
      </c>
      <c r="U14" s="775">
        <f t="shared" si="1"/>
        <v>100</v>
      </c>
      <c r="V14" s="774" t="s">
        <v>17</v>
      </c>
      <c r="W14" s="775">
        <f t="shared" si="2"/>
        <v>100</v>
      </c>
      <c r="X14" s="1813"/>
      <c r="Y14" s="3186" t="s">
        <v>2553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7"/>
      <c r="Q15" s="1810"/>
      <c r="R15" s="774"/>
      <c r="S15" s="775"/>
      <c r="T15" s="774"/>
      <c r="U15" s="775"/>
      <c r="V15" s="774"/>
      <c r="W15" s="775"/>
      <c r="X15" s="1813"/>
      <c r="Y15" s="3187"/>
      <c r="Z15" s="1814"/>
      <c r="AA15" s="1811">
        <v>1</v>
      </c>
      <c r="AB15" s="1811">
        <v>1</v>
      </c>
      <c r="AC15" s="1811">
        <v>1</v>
      </c>
    </row>
    <row r="16" spans="1:29" ht="42.75">
      <c r="A16" s="428"/>
      <c r="B16" s="451" t="s">
        <v>2681</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7"/>
      <c r="Q16" s="1810" t="str">
        <f>B16</f>
        <v>公共配套设施</v>
      </c>
      <c r="R16" s="774" t="s">
        <v>17</v>
      </c>
      <c r="S16" s="775">
        <f>F16</f>
        <v>100</v>
      </c>
      <c r="T16" s="774" t="s">
        <v>17</v>
      </c>
      <c r="U16" s="775">
        <f>H16</f>
        <v>100</v>
      </c>
      <c r="V16" s="774" t="s">
        <v>17</v>
      </c>
      <c r="W16" s="775">
        <f>J16</f>
        <v>100</v>
      </c>
      <c r="X16" s="1813"/>
      <c r="Y16" s="3187"/>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87"/>
      <c r="Q17" s="1810"/>
      <c r="R17" s="774"/>
      <c r="S17" s="775"/>
      <c r="T17" s="774"/>
      <c r="U17" s="775"/>
      <c r="V17" s="774"/>
      <c r="W17" s="775"/>
      <c r="X17" s="1813"/>
      <c r="Y17" s="3187"/>
      <c r="Z17" s="1814"/>
      <c r="AA17" s="1811">
        <v>1</v>
      </c>
      <c r="AB17" s="1811">
        <v>1</v>
      </c>
      <c r="AC17" s="1811">
        <v>1</v>
      </c>
    </row>
    <row r="18" spans="1:29" ht="28.5">
      <c r="A18" s="428"/>
      <c r="B18" s="1384" t="s">
        <v>2682</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7"/>
      <c r="Q18" s="1810" t="str">
        <f>B18</f>
        <v>基础设施水平</v>
      </c>
      <c r="R18" s="774" t="s">
        <v>17</v>
      </c>
      <c r="S18" s="775">
        <f>F18</f>
        <v>100</v>
      </c>
      <c r="T18" s="774" t="s">
        <v>17</v>
      </c>
      <c r="U18" s="775">
        <f>H18</f>
        <v>100</v>
      </c>
      <c r="V18" s="774" t="s">
        <v>17</v>
      </c>
      <c r="W18" s="775">
        <f>J18</f>
        <v>100</v>
      </c>
      <c r="X18" s="1813"/>
      <c r="Y18" s="3187"/>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87"/>
      <c r="Q19" s="1810"/>
      <c r="R19" s="774"/>
      <c r="S19" s="775"/>
      <c r="T19" s="774"/>
      <c r="U19" s="775"/>
      <c r="V19" s="774"/>
      <c r="W19" s="775"/>
      <c r="X19" s="1813"/>
      <c r="Y19" s="3187"/>
      <c r="Z19" s="1814"/>
      <c r="AA19" s="1811">
        <v>1</v>
      </c>
      <c r="AB19" s="1811">
        <v>1</v>
      </c>
      <c r="AC19" s="1811">
        <v>1</v>
      </c>
    </row>
    <row r="20" spans="1:29" ht="57">
      <c r="A20" s="428"/>
      <c r="B20" s="451" t="s">
        <v>2703</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7"/>
      <c r="Q20" s="1810" t="str">
        <f>B20</f>
        <v>自然及人文环境</v>
      </c>
      <c r="R20" s="774" t="s">
        <v>17</v>
      </c>
      <c r="S20" s="775">
        <f>F20</f>
        <v>100</v>
      </c>
      <c r="T20" s="774" t="s">
        <v>17</v>
      </c>
      <c r="U20" s="775">
        <f>H20</f>
        <v>100</v>
      </c>
      <c r="V20" s="774" t="s">
        <v>17</v>
      </c>
      <c r="W20" s="775">
        <f>J20</f>
        <v>100</v>
      </c>
      <c r="X20" s="1813"/>
      <c r="Y20" s="318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7"/>
      <c r="Q21" s="1810"/>
      <c r="R21" s="774"/>
      <c r="S21" s="775"/>
      <c r="T21" s="774"/>
      <c r="U21" s="775"/>
      <c r="V21" s="774"/>
      <c r="W21" s="775"/>
      <c r="X21" s="1813"/>
      <c r="Y21" s="3187"/>
      <c r="Z21" s="1814"/>
      <c r="AA21" s="1811">
        <v>1</v>
      </c>
      <c r="AB21" s="1811">
        <v>1</v>
      </c>
      <c r="AC21" s="1811">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7"/>
      <c r="Q22" s="1810" t="str">
        <f>B22</f>
        <v>楼层</v>
      </c>
      <c r="R22" s="774" t="s">
        <v>17</v>
      </c>
      <c r="S22" s="775">
        <f>F22</f>
        <v>100</v>
      </c>
      <c r="T22" s="774" t="s">
        <v>17</v>
      </c>
      <c r="U22" s="775">
        <f>H22</f>
        <v>100</v>
      </c>
      <c r="V22" s="774" t="s">
        <v>17</v>
      </c>
      <c r="W22" s="775">
        <f>J22</f>
        <v>100</v>
      </c>
      <c r="X22" s="1813"/>
      <c r="Y22" s="3187"/>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7"/>
      <c r="Q23" s="1810">
        <f>B23</f>
        <v>111</v>
      </c>
      <c r="R23" s="774" t="s">
        <v>17</v>
      </c>
      <c r="S23" s="775">
        <f>F23</f>
        <v>100</v>
      </c>
      <c r="T23" s="774" t="s">
        <v>17</v>
      </c>
      <c r="U23" s="775">
        <f>H23</f>
        <v>100</v>
      </c>
      <c r="V23" s="774" t="s">
        <v>17</v>
      </c>
      <c r="W23" s="775">
        <f>J23</f>
        <v>100</v>
      </c>
      <c r="X23" s="1813"/>
      <c r="Y23" s="3187"/>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7"/>
      <c r="Q24" s="1810">
        <f t="shared" ref="Q24:Q34" si="11">B24</f>
        <v>111</v>
      </c>
      <c r="R24" s="774" t="s">
        <v>17</v>
      </c>
      <c r="S24" s="775">
        <f>F24</f>
        <v>100</v>
      </c>
      <c r="T24" s="774" t="s">
        <v>17</v>
      </c>
      <c r="U24" s="775">
        <f>H24</f>
        <v>100</v>
      </c>
      <c r="V24" s="774" t="s">
        <v>17</v>
      </c>
      <c r="W24" s="775">
        <f>J24</f>
        <v>100</v>
      </c>
      <c r="X24" s="1813"/>
      <c r="Y24" s="3187"/>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87"/>
      <c r="Q25" s="1795">
        <f t="shared" si="11"/>
        <v>111</v>
      </c>
      <c r="R25" s="770" t="s">
        <v>17</v>
      </c>
      <c r="S25" s="771">
        <f>F25</f>
        <v>100</v>
      </c>
      <c r="T25" s="770" t="s">
        <v>17</v>
      </c>
      <c r="U25" s="771">
        <f>H25</f>
        <v>100</v>
      </c>
      <c r="V25" s="770" t="s">
        <v>17</v>
      </c>
      <c r="W25" s="771">
        <f>J25</f>
        <v>100</v>
      </c>
      <c r="X25" s="772"/>
      <c r="Y25" s="3187"/>
      <c r="Z25" s="55">
        <f>Q25</f>
        <v>111</v>
      </c>
      <c r="AA25" s="1811">
        <f>D25/F25</f>
        <v>1</v>
      </c>
      <c r="AB25" s="1811">
        <f>D25/H25</f>
        <v>1</v>
      </c>
      <c r="AC25" s="1811">
        <f>D25/J25</f>
        <v>1</v>
      </c>
    </row>
    <row r="26" spans="1:29" ht="28.5">
      <c r="A26" s="466" t="s">
        <v>2556</v>
      </c>
      <c r="B26" s="71" t="s">
        <v>2707</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88" t="s">
        <v>2558</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9" t="s">
        <v>2558</v>
      </c>
      <c r="Z26" s="1814" t="str">
        <f t="shared" ref="Z26:Z34" si="15">Q26</f>
        <v>公共部分装修</v>
      </c>
      <c r="AA26" s="1811">
        <f t="shared" si="3"/>
        <v>1</v>
      </c>
      <c r="AB26" s="1811">
        <f t="shared" si="4"/>
        <v>1</v>
      </c>
      <c r="AC26" s="1811">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9"/>
      <c r="Q27" s="776" t="str">
        <f t="shared" si="11"/>
        <v>成新率</v>
      </c>
      <c r="R27" s="777" t="s">
        <v>17</v>
      </c>
      <c r="S27" s="778" t="e">
        <f t="shared" si="12"/>
        <v>#N/A</v>
      </c>
      <c r="T27" s="777" t="s">
        <v>17</v>
      </c>
      <c r="U27" s="778" t="e">
        <f t="shared" si="13"/>
        <v>#N/A</v>
      </c>
      <c r="V27" s="777" t="s">
        <v>17</v>
      </c>
      <c r="W27" s="778" t="e">
        <f t="shared" si="14"/>
        <v>#N/A</v>
      </c>
      <c r="X27" s="779"/>
      <c r="Y27" s="3189"/>
      <c r="Z27" s="780" t="str">
        <f t="shared" si="15"/>
        <v>成新率</v>
      </c>
      <c r="AA27" s="1811" t="e">
        <f t="shared" si="3"/>
        <v>#N/A</v>
      </c>
      <c r="AB27" s="1811" t="e">
        <f t="shared" si="4"/>
        <v>#N/A</v>
      </c>
      <c r="AC27" s="1811"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9"/>
      <c r="Q28" s="1810" t="str">
        <f t="shared" si="11"/>
        <v>物业等级</v>
      </c>
      <c r="R28" s="774" t="s">
        <v>17</v>
      </c>
      <c r="S28" s="775">
        <f t="shared" si="12"/>
        <v>100</v>
      </c>
      <c r="T28" s="774" t="s">
        <v>17</v>
      </c>
      <c r="U28" s="775">
        <f t="shared" si="13"/>
        <v>100</v>
      </c>
      <c r="V28" s="774" t="s">
        <v>17</v>
      </c>
      <c r="W28" s="775">
        <f t="shared" si="14"/>
        <v>100</v>
      </c>
      <c r="X28" s="1813"/>
      <c r="Y28" s="3189"/>
      <c r="Z28" s="1814" t="str">
        <f t="shared" si="15"/>
        <v>物业等级</v>
      </c>
      <c r="AA28" s="1811">
        <f t="shared" si="3"/>
        <v>1</v>
      </c>
      <c r="AB28" s="1811">
        <f t="shared" si="4"/>
        <v>1</v>
      </c>
      <c r="AC28" s="1811">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9"/>
      <c r="Q29" s="1810" t="str">
        <f t="shared" si="11"/>
        <v>有无电梯</v>
      </c>
      <c r="R29" s="774" t="s">
        <v>17</v>
      </c>
      <c r="S29" s="775">
        <f t="shared" si="12"/>
        <v>100</v>
      </c>
      <c r="T29" s="774" t="s">
        <v>17</v>
      </c>
      <c r="U29" s="775">
        <f t="shared" si="13"/>
        <v>100</v>
      </c>
      <c r="V29" s="774" t="s">
        <v>17</v>
      </c>
      <c r="W29" s="775">
        <f t="shared" si="14"/>
        <v>100</v>
      </c>
      <c r="X29" s="1813"/>
      <c r="Y29" s="3189"/>
      <c r="Z29" s="1814" t="str">
        <f t="shared" si="15"/>
        <v>有无电梯</v>
      </c>
      <c r="AA29" s="1811">
        <f t="shared" si="3"/>
        <v>1</v>
      </c>
      <c r="AB29" s="1811">
        <f t="shared" si="4"/>
        <v>1</v>
      </c>
      <c r="AC29" s="1811">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9"/>
      <c r="Q30" s="1810" t="str">
        <f t="shared" si="11"/>
        <v>建筑面积</v>
      </c>
      <c r="R30" s="774" t="s">
        <v>17</v>
      </c>
      <c r="S30" s="775" t="e">
        <f t="shared" si="12"/>
        <v>#N/A</v>
      </c>
      <c r="T30" s="774" t="s">
        <v>17</v>
      </c>
      <c r="U30" s="775" t="e">
        <f t="shared" si="13"/>
        <v>#N/A</v>
      </c>
      <c r="V30" s="774" t="s">
        <v>17</v>
      </c>
      <c r="W30" s="775" t="e">
        <f t="shared" si="14"/>
        <v>#N/A</v>
      </c>
      <c r="X30" s="1813"/>
      <c r="Y30" s="3189"/>
      <c r="Z30" s="1814" t="str">
        <f t="shared" si="15"/>
        <v>建筑面积</v>
      </c>
      <c r="AA30" s="1811" t="e">
        <f t="shared" si="3"/>
        <v>#N/A</v>
      </c>
      <c r="AB30" s="1811" t="e">
        <f t="shared" si="4"/>
        <v>#N/A</v>
      </c>
      <c r="AC30" s="1811"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9"/>
      <c r="Q31" s="1795" t="str">
        <f t="shared" si="11"/>
        <v>是否封闭</v>
      </c>
      <c r="R31" s="770" t="s">
        <v>17</v>
      </c>
      <c r="S31" s="771">
        <f t="shared" si="12"/>
        <v>100</v>
      </c>
      <c r="T31" s="770" t="s">
        <v>17</v>
      </c>
      <c r="U31" s="771">
        <f t="shared" si="13"/>
        <v>100</v>
      </c>
      <c r="V31" s="770" t="s">
        <v>17</v>
      </c>
      <c r="W31" s="771">
        <f t="shared" si="14"/>
        <v>100</v>
      </c>
      <c r="X31" s="772"/>
      <c r="Y31" s="3189"/>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9" t="s">
        <v>2558</v>
      </c>
      <c r="Q32" s="1810">
        <f t="shared" si="11"/>
        <v>111</v>
      </c>
      <c r="R32" s="774" t="s">
        <v>17</v>
      </c>
      <c r="S32" s="775">
        <f t="shared" si="12"/>
        <v>100</v>
      </c>
      <c r="T32" s="774" t="s">
        <v>17</v>
      </c>
      <c r="U32" s="775">
        <f t="shared" si="13"/>
        <v>100</v>
      </c>
      <c r="V32" s="774" t="s">
        <v>17</v>
      </c>
      <c r="W32" s="775">
        <f t="shared" si="14"/>
        <v>100</v>
      </c>
      <c r="X32" s="1813"/>
      <c r="Y32" s="3189" t="s">
        <v>2558</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9"/>
      <c r="Q33" s="1810">
        <f t="shared" si="11"/>
        <v>111</v>
      </c>
      <c r="R33" s="774" t="s">
        <v>17</v>
      </c>
      <c r="S33" s="775">
        <f t="shared" si="12"/>
        <v>100</v>
      </c>
      <c r="T33" s="774" t="s">
        <v>17</v>
      </c>
      <c r="U33" s="775">
        <f t="shared" si="13"/>
        <v>100</v>
      </c>
      <c r="V33" s="774" t="s">
        <v>17</v>
      </c>
      <c r="W33" s="775">
        <f t="shared" si="14"/>
        <v>100</v>
      </c>
      <c r="X33" s="1813"/>
      <c r="Y33" s="3189"/>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89"/>
      <c r="Q34" s="1810">
        <f t="shared" si="11"/>
        <v>111</v>
      </c>
      <c r="R34" s="774" t="s">
        <v>17</v>
      </c>
      <c r="S34" s="775">
        <f t="shared" si="12"/>
        <v>100</v>
      </c>
      <c r="T34" s="774" t="s">
        <v>17</v>
      </c>
      <c r="U34" s="775">
        <f t="shared" si="13"/>
        <v>100</v>
      </c>
      <c r="V34" s="774" t="s">
        <v>17</v>
      </c>
      <c r="W34" s="775">
        <f t="shared" si="14"/>
        <v>100</v>
      </c>
      <c r="X34" s="1813"/>
      <c r="Y34" s="3189"/>
      <c r="Z34" s="1814">
        <f t="shared" si="15"/>
        <v>111</v>
      </c>
      <c r="AA34" s="1811">
        <f t="shared" si="3"/>
        <v>1</v>
      </c>
      <c r="AB34" s="1811">
        <f t="shared" si="4"/>
        <v>1</v>
      </c>
      <c r="AC34" s="1811">
        <f t="shared" si="5"/>
        <v>1</v>
      </c>
    </row>
    <row r="35" spans="1:29" ht="15">
      <c r="A35" s="479" t="s">
        <v>2570</v>
      </c>
      <c r="B35" s="480"/>
      <c r="C35" s="1407" t="s">
        <v>1</v>
      </c>
      <c r="D35" s="1408"/>
      <c r="E35" s="1409"/>
      <c r="F35" s="1410"/>
      <c r="G35" s="1411"/>
      <c r="H35" s="1412"/>
      <c r="I35" s="1409"/>
      <c r="J35" s="1412"/>
      <c r="K35" s="783"/>
      <c r="L35" s="1143"/>
      <c r="M35" s="1144"/>
      <c r="N35" s="1131"/>
      <c r="O35" s="1144"/>
      <c r="P35" s="3171" t="str">
        <f>A35</f>
        <v>成交单价（元/平方米）</v>
      </c>
      <c r="Q35" s="3171"/>
      <c r="R35" s="3191">
        <f>E35</f>
        <v>0</v>
      </c>
      <c r="S35" s="3191"/>
      <c r="T35" s="3191">
        <f>G35</f>
        <v>0</v>
      </c>
      <c r="U35" s="3191"/>
      <c r="V35" s="3191">
        <f>I35</f>
        <v>0</v>
      </c>
      <c r="W35" s="3191"/>
      <c r="X35" s="759"/>
      <c r="Y35" s="781"/>
      <c r="Z35" s="759"/>
      <c r="AA35" s="759"/>
      <c r="AB35" s="759"/>
      <c r="AC35" s="759"/>
    </row>
    <row r="36" spans="1:29" ht="15.75" thickBot="1">
      <c r="A36" s="486" t="s">
        <v>2662</v>
      </c>
      <c r="B36" s="487"/>
      <c r="C36" s="1413" t="e">
        <f>R37</f>
        <v>#DIV/0!</v>
      </c>
      <c r="D36" s="1414"/>
      <c r="E36" s="1415" t="e">
        <f>R36</f>
        <v>#DIV/0!</v>
      </c>
      <c r="F36" s="1415"/>
      <c r="G36" s="1413" t="e">
        <f>T36</f>
        <v>#DIV/0!</v>
      </c>
      <c r="H36" s="1414"/>
      <c r="I36" s="1415" t="e">
        <f>V36</f>
        <v>#DIV/0!</v>
      </c>
      <c r="J36" s="1414"/>
      <c r="K36" s="784"/>
      <c r="L36" s="1143"/>
      <c r="M36" s="1144"/>
      <c r="N36" s="1131"/>
      <c r="O36" s="1144"/>
      <c r="P36" s="3171" t="str">
        <f>A36</f>
        <v>比较价值（元/平方米）</v>
      </c>
      <c r="Q36" s="3171"/>
      <c r="R36" s="3191" t="e">
        <f>IF(F1="售价",ROUND(PRODUCT(R35,AA7:AA34),0),ROUND(PRODUCT(R35,AA7:AA34),1))</f>
        <v>#DIV/0!</v>
      </c>
      <c r="S36" s="3191"/>
      <c r="T36" s="3191" t="e">
        <f>IF(F1="售价",ROUND(PRODUCT(T35,AB7:AB34),0),ROUND(PRODUCT(T35,AB7:AB34),1))</f>
        <v>#DIV/0!</v>
      </c>
      <c r="U36" s="3191"/>
      <c r="V36" s="3191" t="e">
        <f>IF(F1="售价",ROUND(PRODUCT(V35,AC7:AC34),0),ROUND(PRODUCT(V35,AC7:AC34),1))</f>
        <v>#DIV/0!</v>
      </c>
      <c r="W36" s="3191"/>
      <c r="X36" s="759"/>
      <c r="Y36" s="759"/>
      <c r="Z36" s="759"/>
      <c r="AA36" s="759"/>
      <c r="AB36" s="759"/>
      <c r="AC36" s="759"/>
    </row>
    <row r="37" spans="1:29" ht="15.75" thickBot="1">
      <c r="A37" s="492" t="s">
        <v>2663</v>
      </c>
      <c r="B37" s="493"/>
      <c r="C37" s="1417" t="e">
        <f>R37</f>
        <v>#DIV/0!</v>
      </c>
      <c r="D37" s="1417"/>
      <c r="E37" s="1417"/>
      <c r="F37" s="1417"/>
      <c r="G37" s="1417"/>
      <c r="H37" s="1417"/>
      <c r="I37" s="1417"/>
      <c r="J37" s="1417"/>
      <c r="K37" s="785"/>
      <c r="L37" s="1143"/>
      <c r="M37" s="1144"/>
      <c r="N37" s="1144"/>
      <c r="O37" s="1144"/>
      <c r="P37" s="3192" t="str">
        <f>A37</f>
        <v>估价对象XX用房的比较价值（楼面单价，元/平方米）</v>
      </c>
      <c r="Q37" s="3193"/>
      <c r="R37" s="3194" t="e">
        <f>IF(F1="售价",ROUND(AVERAGE(R36:V36),0),ROUND(AVERAGE(R36:V36),1))</f>
        <v>#DIV/0!</v>
      </c>
      <c r="S37" s="3194"/>
      <c r="T37" s="3194"/>
      <c r="U37" s="3194"/>
      <c r="V37" s="3194"/>
      <c r="W37" s="319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2581</v>
      </c>
      <c r="B51" s="528" t="s">
        <v>2547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2556</v>
      </c>
      <c r="B77" s="528" t="s">
        <v>2609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2638</v>
      </c>
      <c r="B4" s="402"/>
      <c r="C4" s="3172" t="s">
        <v>2639</v>
      </c>
      <c r="D4" s="3173"/>
      <c r="E4" s="3174" t="s">
        <v>2640</v>
      </c>
      <c r="F4" s="3175"/>
      <c r="G4" s="3172" t="s">
        <v>2641</v>
      </c>
      <c r="H4" s="3173"/>
      <c r="I4" s="3172" t="s">
        <v>2642</v>
      </c>
      <c r="J4" s="3173"/>
      <c r="K4" s="610" t="s">
        <v>2643</v>
      </c>
      <c r="L4" s="1130"/>
      <c r="M4" s="1131"/>
      <c r="N4" s="1131"/>
      <c r="O4" s="1131"/>
      <c r="P4" s="3176" t="s">
        <v>2644</v>
      </c>
      <c r="Q4" s="3177"/>
      <c r="R4" s="3159" t="s">
        <v>2640</v>
      </c>
      <c r="S4" s="3160"/>
      <c r="T4" s="3159" t="s">
        <v>2641</v>
      </c>
      <c r="U4" s="3160"/>
      <c r="V4" s="3184" t="s">
        <v>2642</v>
      </c>
      <c r="W4" s="3184"/>
      <c r="X4" s="1813"/>
      <c r="Y4" s="3159" t="s">
        <v>2644</v>
      </c>
      <c r="Z4" s="3160"/>
      <c r="AA4" s="3154" t="s">
        <v>2640</v>
      </c>
      <c r="AB4" s="3155" t="s">
        <v>2641</v>
      </c>
      <c r="AC4" s="3154" t="s">
        <v>2642</v>
      </c>
    </row>
    <row r="5" spans="1:30" ht="15">
      <c r="A5" s="404"/>
      <c r="B5" s="405"/>
      <c r="C5" s="3223" t="s">
        <v>2535</v>
      </c>
      <c r="D5" s="3166"/>
      <c r="E5" s="3222" t="s">
        <v>2536</v>
      </c>
      <c r="F5" s="3164"/>
      <c r="G5" s="3223" t="s">
        <v>2537</v>
      </c>
      <c r="H5" s="3166"/>
      <c r="I5" s="3223" t="s">
        <v>2538</v>
      </c>
      <c r="J5" s="3166"/>
      <c r="K5" s="610"/>
      <c r="L5" s="1130"/>
      <c r="M5" s="1131"/>
      <c r="N5" s="1131"/>
      <c r="O5" s="1131"/>
      <c r="P5" s="3178"/>
      <c r="Q5" s="3179"/>
      <c r="R5" s="3161"/>
      <c r="S5" s="3162"/>
      <c r="T5" s="3161"/>
      <c r="U5" s="3162"/>
      <c r="V5" s="3184"/>
      <c r="W5" s="3184"/>
      <c r="X5" s="1813"/>
      <c r="Y5" s="3161"/>
      <c r="Z5" s="3162"/>
      <c r="AA5" s="3155"/>
      <c r="AB5" s="3155"/>
      <c r="AC5" s="3155"/>
    </row>
    <row r="6" spans="1:30" ht="15.75" thickBot="1">
      <c r="A6" s="406"/>
      <c r="B6" s="407"/>
      <c r="C6" s="3167" t="s">
        <v>2539</v>
      </c>
      <c r="D6" s="3168"/>
      <c r="E6" s="3169" t="s">
        <v>2539</v>
      </c>
      <c r="F6" s="3170"/>
      <c r="G6" s="3167" t="s">
        <v>2539</v>
      </c>
      <c r="H6" s="3168"/>
      <c r="I6" s="3167" t="s">
        <v>2539</v>
      </c>
      <c r="J6" s="3168"/>
      <c r="K6" s="610" t="s">
        <v>2540</v>
      </c>
      <c r="L6" s="1130"/>
      <c r="M6" s="1131"/>
      <c r="N6" s="1131"/>
      <c r="O6" s="1131"/>
      <c r="P6" s="3180"/>
      <c r="Q6" s="3181"/>
      <c r="R6" s="3161"/>
      <c r="S6" s="3162"/>
      <c r="T6" s="3182"/>
      <c r="U6" s="3183"/>
      <c r="V6" s="3184"/>
      <c r="W6" s="3184"/>
      <c r="X6" s="1813"/>
      <c r="Y6" s="3182"/>
      <c r="Z6" s="3183"/>
      <c r="AA6" s="3156"/>
      <c r="AB6" s="3156"/>
      <c r="AC6" s="3156"/>
    </row>
    <row r="7" spans="1:30" s="117" customFormat="1" ht="15.75" thickBot="1">
      <c r="A7" s="408" t="s">
        <v>2541</v>
      </c>
      <c r="B7" s="409"/>
      <c r="C7" s="410">
        <f>'数据-取费表'!B2</f>
        <v>43782</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57" t="s">
        <v>2542</v>
      </c>
      <c r="Q7" s="3185"/>
      <c r="R7" s="770" t="s">
        <v>17</v>
      </c>
      <c r="S7" s="771">
        <f t="shared" ref="S7:S15" si="0">F7</f>
        <v>0</v>
      </c>
      <c r="T7" s="770" t="s">
        <v>17</v>
      </c>
      <c r="U7" s="771">
        <f t="shared" ref="U7:U15" si="1">H7</f>
        <v>0</v>
      </c>
      <c r="V7" s="770" t="s">
        <v>17</v>
      </c>
      <c r="W7" s="771">
        <f t="shared" ref="W7:W15" si="2">J7</f>
        <v>0</v>
      </c>
      <c r="X7" s="772"/>
      <c r="Y7" s="3157" t="s">
        <v>2542</v>
      </c>
      <c r="Z7" s="3158"/>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57" t="s">
        <v>2545</v>
      </c>
      <c r="Q8" s="3158"/>
      <c r="R8" s="770" t="s">
        <v>17</v>
      </c>
      <c r="S8" s="771">
        <f t="shared" si="0"/>
        <v>0</v>
      </c>
      <c r="T8" s="770" t="s">
        <v>17</v>
      </c>
      <c r="U8" s="771">
        <f t="shared" si="1"/>
        <v>0</v>
      </c>
      <c r="V8" s="770" t="s">
        <v>17</v>
      </c>
      <c r="W8" s="771">
        <f t="shared" si="2"/>
        <v>0</v>
      </c>
      <c r="X8" s="772"/>
      <c r="Y8" s="3157" t="s">
        <v>2545</v>
      </c>
      <c r="Z8" s="3158"/>
      <c r="AA8" s="773" t="e">
        <f t="shared" ref="AA8:AA45" si="3">D8/F8</f>
        <v>#DIV/0!</v>
      </c>
      <c r="AB8" s="773" t="e">
        <f t="shared" ref="AB8:AB45" si="4">D8/H8</f>
        <v>#DIV/0!</v>
      </c>
      <c r="AC8" s="773" t="e">
        <f t="shared" ref="AC8:AC45" si="5">D8/J8</f>
        <v>#DIV/0!</v>
      </c>
    </row>
    <row r="9" spans="1:30" s="117" customFormat="1">
      <c r="A9" s="415" t="s">
        <v>2546</v>
      </c>
      <c r="B9" s="71" t="s">
        <v>2547</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71" t="s">
        <v>2548</v>
      </c>
      <c r="Q9" s="1795" t="str">
        <f t="shared" ref="Q9:Q15" si="6">B9</f>
        <v>用途</v>
      </c>
      <c r="R9" s="770" t="s">
        <v>17</v>
      </c>
      <c r="S9" s="771">
        <f t="shared" si="0"/>
        <v>100</v>
      </c>
      <c r="T9" s="770" t="s">
        <v>17</v>
      </c>
      <c r="U9" s="771">
        <f t="shared" si="1"/>
        <v>100</v>
      </c>
      <c r="V9" s="770" t="s">
        <v>17</v>
      </c>
      <c r="W9" s="771">
        <f t="shared" si="2"/>
        <v>100</v>
      </c>
      <c r="X9" s="772"/>
      <c r="Y9" s="3031"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110</v>
      </c>
      <c r="G10" s="463"/>
      <c r="H10" s="136">
        <f>ROUND(100/'数据-取费表'!G16,0)</f>
        <v>110</v>
      </c>
      <c r="I10" s="463"/>
      <c r="J10" s="136">
        <f>ROUND(100/'数据-取费表'!G16,0)</f>
        <v>110</v>
      </c>
      <c r="K10" s="672"/>
      <c r="L10" s="1135"/>
      <c r="M10" s="1136"/>
      <c r="N10" s="1136"/>
      <c r="O10" s="1137"/>
      <c r="P10" s="3171"/>
      <c r="Q10" s="1795" t="str">
        <f t="shared" si="6"/>
        <v>土地使用年限（年）</v>
      </c>
      <c r="R10" s="770" t="s">
        <v>17</v>
      </c>
      <c r="S10" s="771">
        <f t="shared" si="0"/>
        <v>110</v>
      </c>
      <c r="T10" s="770" t="s">
        <v>17</v>
      </c>
      <c r="U10" s="771">
        <f t="shared" si="1"/>
        <v>110</v>
      </c>
      <c r="V10" s="770" t="s">
        <v>17</v>
      </c>
      <c r="W10" s="771">
        <f t="shared" si="2"/>
        <v>110</v>
      </c>
      <c r="X10" s="772"/>
      <c r="Y10" s="3031"/>
      <c r="Z10" s="55" t="str">
        <f t="shared" si="7"/>
        <v>土地使用年限（年）</v>
      </c>
      <c r="AA10" s="773">
        <f t="shared" si="3"/>
        <v>0.90909090909090906</v>
      </c>
      <c r="AB10" s="773">
        <f t="shared" si="4"/>
        <v>0.90909090909090906</v>
      </c>
      <c r="AC10" s="773">
        <f t="shared" si="5"/>
        <v>0.90909090909090906</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1"/>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30" s="117" customFormat="1" ht="15">
      <c r="A12" s="431"/>
      <c r="B12" s="2599" t="s">
        <v>2740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1"/>
      <c r="Q12" s="1795" t="str">
        <f t="shared" si="6"/>
        <v>配建</v>
      </c>
      <c r="R12" s="770" t="s">
        <v>17</v>
      </c>
      <c r="S12" s="771">
        <f t="shared" si="0"/>
        <v>100</v>
      </c>
      <c r="T12" s="770" t="s">
        <v>17</v>
      </c>
      <c r="U12" s="771">
        <f t="shared" si="1"/>
        <v>100</v>
      </c>
      <c r="V12" s="770" t="s">
        <v>17</v>
      </c>
      <c r="W12" s="771">
        <f t="shared" si="2"/>
        <v>100</v>
      </c>
      <c r="X12" s="772"/>
      <c r="Y12" s="3031"/>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3031"/>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1"/>
      <c r="Q14" s="1795">
        <f t="shared" si="6"/>
        <v>111</v>
      </c>
      <c r="R14" s="770" t="s">
        <v>17</v>
      </c>
      <c r="S14" s="771">
        <f t="shared" si="0"/>
        <v>100</v>
      </c>
      <c r="T14" s="770" t="s">
        <v>17</v>
      </c>
      <c r="U14" s="771">
        <f t="shared" si="1"/>
        <v>100</v>
      </c>
      <c r="V14" s="770" t="s">
        <v>17</v>
      </c>
      <c r="W14" s="771">
        <f t="shared" si="2"/>
        <v>100</v>
      </c>
      <c r="X14" s="772"/>
      <c r="Y14" s="3031"/>
      <c r="Z14" s="55">
        <f t="shared" si="7"/>
        <v>111</v>
      </c>
      <c r="AA14" s="773">
        <f>D14/F14</f>
        <v>1</v>
      </c>
      <c r="AB14" s="773">
        <f>D14/H14</f>
        <v>1</v>
      </c>
      <c r="AC14" s="773">
        <f>D14/J14</f>
        <v>1</v>
      </c>
    </row>
    <row r="15" spans="1:30" ht="99.75">
      <c r="A15" s="440" t="s">
        <v>2552</v>
      </c>
      <c r="B15" s="69" t="s">
        <v>2077</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6" t="s">
        <v>2553</v>
      </c>
      <c r="Q15" s="1810" t="str">
        <f t="shared" si="6"/>
        <v>居住社区成熟度</v>
      </c>
      <c r="R15" s="774" t="s">
        <v>17</v>
      </c>
      <c r="S15" s="775">
        <f t="shared" si="0"/>
        <v>100</v>
      </c>
      <c r="T15" s="774" t="s">
        <v>17</v>
      </c>
      <c r="U15" s="775">
        <f t="shared" si="1"/>
        <v>100</v>
      </c>
      <c r="V15" s="774" t="s">
        <v>17</v>
      </c>
      <c r="W15" s="775">
        <f t="shared" si="2"/>
        <v>100</v>
      </c>
      <c r="X15" s="1813"/>
      <c r="Y15" s="3186" t="s">
        <v>2553</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187"/>
      <c r="Q16" s="1810"/>
      <c r="R16" s="774"/>
      <c r="S16" s="775"/>
      <c r="T16" s="774"/>
      <c r="U16" s="775"/>
      <c r="V16" s="774"/>
      <c r="W16" s="775"/>
      <c r="X16" s="1813"/>
      <c r="Y16" s="3187"/>
      <c r="Z16" s="1814"/>
      <c r="AA16" s="1811">
        <v>1</v>
      </c>
      <c r="AB16" s="1811">
        <v>1</v>
      </c>
      <c r="AC16" s="1811">
        <v>1</v>
      </c>
    </row>
    <row r="17" spans="1:29" ht="71.25">
      <c r="A17" s="428"/>
      <c r="B17" s="451" t="s">
        <v>2646</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7"/>
      <c r="Q17" s="1810" t="str">
        <f>B17</f>
        <v>商业繁华度</v>
      </c>
      <c r="R17" s="774" t="s">
        <v>17</v>
      </c>
      <c r="S17" s="775">
        <f>F17</f>
        <v>100</v>
      </c>
      <c r="T17" s="774" t="s">
        <v>17</v>
      </c>
      <c r="U17" s="775">
        <f>H17</f>
        <v>100</v>
      </c>
      <c r="V17" s="774" t="s">
        <v>17</v>
      </c>
      <c r="W17" s="775">
        <f>J17</f>
        <v>100</v>
      </c>
      <c r="X17" s="1813"/>
      <c r="Y17" s="3187"/>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187"/>
      <c r="Q18" s="1810"/>
      <c r="R18" s="774"/>
      <c r="S18" s="775"/>
      <c r="T18" s="774"/>
      <c r="U18" s="775"/>
      <c r="V18" s="774"/>
      <c r="W18" s="775"/>
      <c r="X18" s="1813"/>
      <c r="Y18" s="3187"/>
      <c r="Z18" s="1814"/>
      <c r="AA18" s="1811">
        <v>1</v>
      </c>
      <c r="AB18" s="1811">
        <v>1</v>
      </c>
      <c r="AC18" s="1811">
        <v>1</v>
      </c>
    </row>
    <row r="19" spans="1:29" ht="71.25">
      <c r="A19" s="428"/>
      <c r="B19" s="451" t="s">
        <v>2680</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7"/>
      <c r="Q19" s="1810" t="str">
        <f>B19</f>
        <v>办公集聚程度</v>
      </c>
      <c r="R19" s="774" t="s">
        <v>17</v>
      </c>
      <c r="S19" s="775">
        <f>F19</f>
        <v>100</v>
      </c>
      <c r="T19" s="774" t="s">
        <v>17</v>
      </c>
      <c r="U19" s="775">
        <f>H19</f>
        <v>100</v>
      </c>
      <c r="V19" s="774" t="s">
        <v>17</v>
      </c>
      <c r="W19" s="775">
        <f>J19</f>
        <v>100</v>
      </c>
      <c r="X19" s="1813"/>
      <c r="Y19" s="3187"/>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187"/>
      <c r="Q20" s="1810"/>
      <c r="R20" s="774"/>
      <c r="S20" s="775"/>
      <c r="T20" s="774"/>
      <c r="U20" s="775"/>
      <c r="V20" s="774"/>
      <c r="W20" s="775"/>
      <c r="X20" s="1813"/>
      <c r="Y20" s="3187"/>
      <c r="Z20" s="1814"/>
      <c r="AA20" s="1811">
        <v>1</v>
      </c>
      <c r="AB20" s="1811">
        <v>1</v>
      </c>
      <c r="AC20" s="1811">
        <v>1</v>
      </c>
    </row>
    <row r="21" spans="1:29" ht="85.5">
      <c r="A21" s="428"/>
      <c r="B21" s="451" t="s">
        <v>2702</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7"/>
      <c r="Q21" s="1810" t="str">
        <f>B21</f>
        <v>交通便捷度</v>
      </c>
      <c r="R21" s="774" t="s">
        <v>17</v>
      </c>
      <c r="S21" s="775">
        <f>F21</f>
        <v>100</v>
      </c>
      <c r="T21" s="774" t="s">
        <v>17</v>
      </c>
      <c r="U21" s="775">
        <f>H21</f>
        <v>100</v>
      </c>
      <c r="V21" s="774" t="s">
        <v>17</v>
      </c>
      <c r="W21" s="775">
        <f>J21</f>
        <v>100</v>
      </c>
      <c r="X21" s="1813"/>
      <c r="Y21" s="3187"/>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187"/>
      <c r="Q22" s="1810"/>
      <c r="R22" s="774"/>
      <c r="S22" s="775"/>
      <c r="T22" s="774"/>
      <c r="U22" s="775"/>
      <c r="V22" s="774"/>
      <c r="W22" s="775"/>
      <c r="X22" s="1813"/>
      <c r="Y22" s="3187"/>
      <c r="Z22" s="1814"/>
      <c r="AA22" s="1811">
        <v>1</v>
      </c>
      <c r="AB22" s="1811">
        <v>1</v>
      </c>
      <c r="AC22" s="1811">
        <v>1</v>
      </c>
    </row>
    <row r="23" spans="1:29" ht="15">
      <c r="A23" s="404"/>
      <c r="B23" s="451" t="s">
        <v>2741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7"/>
      <c r="Q23" s="1810" t="str">
        <f t="shared" ref="Q23:Q37" si="8">B23</f>
        <v>区域土地利用方向</v>
      </c>
      <c r="R23" s="774" t="s">
        <v>17</v>
      </c>
      <c r="S23" s="775">
        <f>F23</f>
        <v>100</v>
      </c>
      <c r="T23" s="774" t="s">
        <v>17</v>
      </c>
      <c r="U23" s="775">
        <f>H23</f>
        <v>100</v>
      </c>
      <c r="V23" s="774" t="s">
        <v>17</v>
      </c>
      <c r="W23" s="775">
        <f>J23</f>
        <v>100</v>
      </c>
      <c r="X23" s="1813"/>
      <c r="Y23" s="3187"/>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187"/>
      <c r="Q24" s="1810"/>
      <c r="R24" s="774"/>
      <c r="S24" s="775"/>
      <c r="T24" s="774"/>
      <c r="U24" s="775"/>
      <c r="V24" s="774"/>
      <c r="W24" s="775"/>
      <c r="X24" s="1813"/>
      <c r="Y24" s="3187"/>
      <c r="Z24" s="1814"/>
      <c r="AA24" s="1811"/>
      <c r="AB24" s="1811"/>
      <c r="AC24" s="1811"/>
    </row>
    <row r="25" spans="1:29" ht="57">
      <c r="A25" s="404"/>
      <c r="B25" s="1384" t="s">
        <v>2742</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7"/>
      <c r="Q25" s="1810" t="str">
        <f t="shared" si="8"/>
        <v>自然及人文环境状况</v>
      </c>
      <c r="R25" s="774" t="s">
        <v>17</v>
      </c>
      <c r="S25" s="775">
        <f>F25</f>
        <v>100</v>
      </c>
      <c r="T25" s="774" t="s">
        <v>17</v>
      </c>
      <c r="U25" s="775">
        <f>H25</f>
        <v>100</v>
      </c>
      <c r="V25" s="774" t="s">
        <v>17</v>
      </c>
      <c r="W25" s="775">
        <f>J25</f>
        <v>100</v>
      </c>
      <c r="X25" s="1813"/>
      <c r="Y25" s="3187"/>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187"/>
      <c r="Q26" s="1810"/>
      <c r="R26" s="774"/>
      <c r="S26" s="775"/>
      <c r="T26" s="774"/>
      <c r="U26" s="775"/>
      <c r="V26" s="774"/>
      <c r="W26" s="775"/>
      <c r="X26" s="1813"/>
      <c r="Y26" s="3187"/>
      <c r="Z26" s="1814"/>
      <c r="AA26" s="1811">
        <v>1</v>
      </c>
      <c r="AB26" s="1811">
        <v>1</v>
      </c>
      <c r="AC26" s="1811">
        <v>1</v>
      </c>
    </row>
    <row r="27" spans="1:29" s="117" customFormat="1" ht="42.75">
      <c r="A27" s="649"/>
      <c r="B27" s="1384" t="s">
        <v>2647</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7"/>
      <c r="Q27" s="1795" t="str">
        <f t="shared" si="8"/>
        <v>公共配套设施</v>
      </c>
      <c r="R27" s="770" t="s">
        <v>17</v>
      </c>
      <c r="S27" s="771">
        <f>F27</f>
        <v>100</v>
      </c>
      <c r="T27" s="770" t="s">
        <v>17</v>
      </c>
      <c r="U27" s="771">
        <f>H27</f>
        <v>100</v>
      </c>
      <c r="V27" s="770" t="s">
        <v>17</v>
      </c>
      <c r="W27" s="771">
        <f>J27</f>
        <v>100</v>
      </c>
      <c r="X27" s="772"/>
      <c r="Y27" s="3187"/>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187"/>
      <c r="Q28" s="1795"/>
      <c r="R28" s="770"/>
      <c r="S28" s="771"/>
      <c r="T28" s="770"/>
      <c r="U28" s="771"/>
      <c r="V28" s="770"/>
      <c r="W28" s="771"/>
      <c r="X28" s="772"/>
      <c r="Y28" s="3187"/>
      <c r="Z28" s="55"/>
      <c r="AA28" s="1811">
        <v>1</v>
      </c>
      <c r="AB28" s="1811">
        <v>1</v>
      </c>
      <c r="AC28" s="1811">
        <v>1</v>
      </c>
    </row>
    <row r="29" spans="1:29" s="117" customFormat="1" ht="28.5">
      <c r="A29" s="649"/>
      <c r="B29" s="1384" t="s">
        <v>2648</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7"/>
      <c r="Q29" s="1795" t="str">
        <f t="shared" ref="Q29" si="9">B29</f>
        <v>基础设施水平</v>
      </c>
      <c r="R29" s="770" t="s">
        <v>17</v>
      </c>
      <c r="S29" s="771">
        <f>F29</f>
        <v>100</v>
      </c>
      <c r="T29" s="770" t="s">
        <v>17</v>
      </c>
      <c r="U29" s="771">
        <f>H29</f>
        <v>100</v>
      </c>
      <c r="V29" s="770" t="s">
        <v>17</v>
      </c>
      <c r="W29" s="771">
        <f>J29</f>
        <v>100</v>
      </c>
      <c r="X29" s="772"/>
      <c r="Y29" s="3187"/>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187"/>
      <c r="Q30" s="1795"/>
      <c r="R30" s="770"/>
      <c r="S30" s="771"/>
      <c r="T30" s="770"/>
      <c r="U30" s="771"/>
      <c r="V30" s="770"/>
      <c r="W30" s="771"/>
      <c r="X30" s="772"/>
      <c r="Y30" s="3187"/>
      <c r="Z30" s="55"/>
      <c r="AA30" s="1811">
        <v>1</v>
      </c>
      <c r="AB30" s="1811">
        <v>1</v>
      </c>
      <c r="AC30" s="1811">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7"/>
      <c r="Z31" s="1814" t="str">
        <f t="shared" ref="Z31:Z45" si="13">Q31</f>
        <v>临街状况</v>
      </c>
      <c r="AA31" s="1811">
        <f t="shared" si="3"/>
        <v>1</v>
      </c>
      <c r="AB31" s="1811">
        <f t="shared" si="4"/>
        <v>1</v>
      </c>
      <c r="AC31" s="1811">
        <f t="shared" si="5"/>
        <v>1</v>
      </c>
    </row>
    <row r="32" spans="1:29" ht="27">
      <c r="A32" s="428"/>
      <c r="B32" s="1384"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7"/>
      <c r="Q32" s="1810" t="str">
        <f t="shared" si="8"/>
        <v>毗邻道路的类型与等级</v>
      </c>
      <c r="R32" s="774" t="s">
        <v>17</v>
      </c>
      <c r="S32" s="775">
        <f t="shared" si="10"/>
        <v>100</v>
      </c>
      <c r="T32" s="774" t="s">
        <v>17</v>
      </c>
      <c r="U32" s="775">
        <f t="shared" si="11"/>
        <v>100</v>
      </c>
      <c r="V32" s="774" t="s">
        <v>17</v>
      </c>
      <c r="W32" s="775">
        <f t="shared" si="12"/>
        <v>100</v>
      </c>
      <c r="X32" s="1813"/>
      <c r="Y32" s="3187"/>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87"/>
      <c r="Q33" s="1810"/>
      <c r="R33" s="774"/>
      <c r="S33" s="775"/>
      <c r="T33" s="774"/>
      <c r="U33" s="775"/>
      <c r="V33" s="774"/>
      <c r="W33" s="775"/>
      <c r="X33" s="1813"/>
      <c r="Y33" s="3187"/>
      <c r="Z33" s="1814"/>
      <c r="AA33" s="1811">
        <v>1</v>
      </c>
      <c r="AB33" s="1811">
        <v>1</v>
      </c>
      <c r="AC33" s="1811">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7"/>
      <c r="Q34" s="1810" t="str">
        <f t="shared" si="8"/>
        <v>土地级别</v>
      </c>
      <c r="R34" s="774" t="s">
        <v>17</v>
      </c>
      <c r="S34" s="775">
        <f t="shared" si="10"/>
        <v>100</v>
      </c>
      <c r="T34" s="774" t="s">
        <v>17</v>
      </c>
      <c r="U34" s="775">
        <f t="shared" si="11"/>
        <v>100</v>
      </c>
      <c r="V34" s="774" t="s">
        <v>17</v>
      </c>
      <c r="W34" s="775">
        <f t="shared" si="12"/>
        <v>100</v>
      </c>
      <c r="X34" s="1813"/>
      <c r="Y34" s="318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7"/>
      <c r="Q35" s="1810">
        <f t="shared" si="8"/>
        <v>111</v>
      </c>
      <c r="R35" s="774" t="s">
        <v>17</v>
      </c>
      <c r="S35" s="775">
        <f t="shared" si="10"/>
        <v>100</v>
      </c>
      <c r="T35" s="774" t="s">
        <v>17</v>
      </c>
      <c r="U35" s="775">
        <f t="shared" si="11"/>
        <v>100</v>
      </c>
      <c r="V35" s="774" t="s">
        <v>17</v>
      </c>
      <c r="W35" s="775">
        <f t="shared" si="12"/>
        <v>100</v>
      </c>
      <c r="X35" s="1813"/>
      <c r="Y35" s="318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8" t="s">
        <v>2558</v>
      </c>
      <c r="Q36" s="1810">
        <f t="shared" si="8"/>
        <v>111</v>
      </c>
      <c r="R36" s="774" t="s">
        <v>17</v>
      </c>
      <c r="S36" s="775">
        <f t="shared" si="10"/>
        <v>100</v>
      </c>
      <c r="T36" s="774" t="s">
        <v>17</v>
      </c>
      <c r="U36" s="775">
        <f t="shared" si="11"/>
        <v>100</v>
      </c>
      <c r="V36" s="774" t="s">
        <v>17</v>
      </c>
      <c r="W36" s="775">
        <f t="shared" si="12"/>
        <v>100</v>
      </c>
      <c r="X36" s="1813"/>
      <c r="Y36" s="3189" t="s">
        <v>2558</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9"/>
      <c r="Q37" s="1810">
        <f t="shared" si="8"/>
        <v>111</v>
      </c>
      <c r="R37" s="777" t="s">
        <v>17</v>
      </c>
      <c r="S37" s="778">
        <f t="shared" si="10"/>
        <v>100</v>
      </c>
      <c r="T37" s="777" t="s">
        <v>17</v>
      </c>
      <c r="U37" s="778">
        <f t="shared" si="11"/>
        <v>100</v>
      </c>
      <c r="V37" s="777" t="s">
        <v>17</v>
      </c>
      <c r="W37" s="778">
        <f t="shared" si="12"/>
        <v>100</v>
      </c>
      <c r="X37" s="779"/>
      <c r="Y37" s="3189"/>
      <c r="Z37" s="780">
        <f t="shared" si="13"/>
        <v>111</v>
      </c>
      <c r="AA37" s="1811">
        <f t="shared" si="3"/>
        <v>1</v>
      </c>
      <c r="AB37" s="1811">
        <f t="shared" si="4"/>
        <v>1</v>
      </c>
      <c r="AC37" s="1811">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9"/>
      <c r="Q38" s="1810" t="str">
        <f>B38</f>
        <v>宗地面积</v>
      </c>
      <c r="R38" s="774" t="s">
        <v>17</v>
      </c>
      <c r="S38" s="775" t="e">
        <f t="shared" si="10"/>
        <v>#N/A</v>
      </c>
      <c r="T38" s="774" t="s">
        <v>17</v>
      </c>
      <c r="U38" s="775" t="e">
        <f t="shared" si="11"/>
        <v>#N/A</v>
      </c>
      <c r="V38" s="774" t="s">
        <v>17</v>
      </c>
      <c r="W38" s="775" t="e">
        <f t="shared" si="12"/>
        <v>#N/A</v>
      </c>
      <c r="X38" s="1813"/>
      <c r="Y38" s="3189"/>
      <c r="Z38" s="1814" t="str">
        <f t="shared" si="13"/>
        <v>宗地面积</v>
      </c>
      <c r="AA38" s="1811" t="e">
        <f t="shared" si="3"/>
        <v>#N/A</v>
      </c>
      <c r="AB38" s="1811" t="e">
        <f t="shared" si="4"/>
        <v>#N/A</v>
      </c>
      <c r="AC38" s="1811" t="e">
        <f t="shared" si="5"/>
        <v>#N/A</v>
      </c>
    </row>
    <row r="39" spans="1:29" ht="15">
      <c r="A39" s="472"/>
      <c r="B39" s="422" t="s">
        <v>2745</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189"/>
      <c r="Q39" s="1810" t="str">
        <f t="shared" ref="Q39:Q45" si="14">B39</f>
        <v>宗地形状</v>
      </c>
      <c r="R39" s="774" t="s">
        <v>17</v>
      </c>
      <c r="S39" s="775">
        <f t="shared" si="10"/>
        <v>100</v>
      </c>
      <c r="T39" s="774" t="s">
        <v>17</v>
      </c>
      <c r="U39" s="775">
        <f t="shared" si="11"/>
        <v>100</v>
      </c>
      <c r="V39" s="774" t="s">
        <v>17</v>
      </c>
      <c r="W39" s="775">
        <f t="shared" si="12"/>
        <v>100</v>
      </c>
      <c r="X39" s="1813"/>
      <c r="Y39" s="3189"/>
      <c r="Z39" s="1814" t="str">
        <f t="shared" si="13"/>
        <v>宗地形状</v>
      </c>
      <c r="AA39" s="1811">
        <f t="shared" si="3"/>
        <v>1</v>
      </c>
      <c r="AB39" s="1811">
        <f t="shared" si="4"/>
        <v>1</v>
      </c>
      <c r="AC39" s="1811">
        <f t="shared" si="5"/>
        <v>1</v>
      </c>
    </row>
    <row r="40" spans="1:29" ht="15">
      <c r="A40" s="472"/>
      <c r="B40" s="422" t="s">
        <v>2746</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89"/>
      <c r="Q40" s="1810" t="str">
        <f t="shared" si="14"/>
        <v>临街宽度及深度</v>
      </c>
      <c r="R40" s="774" t="s">
        <v>17</v>
      </c>
      <c r="S40" s="775">
        <f t="shared" si="10"/>
        <v>100</v>
      </c>
      <c r="T40" s="774" t="s">
        <v>17</v>
      </c>
      <c r="U40" s="775">
        <f t="shared" si="11"/>
        <v>100</v>
      </c>
      <c r="V40" s="774" t="s">
        <v>17</v>
      </c>
      <c r="W40" s="775">
        <f t="shared" si="12"/>
        <v>100</v>
      </c>
      <c r="X40" s="1813"/>
      <c r="Y40" s="3189"/>
      <c r="Z40" s="1814" t="str">
        <f t="shared" si="13"/>
        <v>临街宽度及深度</v>
      </c>
      <c r="AA40" s="1811">
        <f t="shared" si="3"/>
        <v>1</v>
      </c>
      <c r="AB40" s="1811">
        <f t="shared" si="4"/>
        <v>1</v>
      </c>
      <c r="AC40" s="1811">
        <f t="shared" si="5"/>
        <v>1</v>
      </c>
    </row>
    <row r="41" spans="1:29" s="117" customFormat="1" ht="15">
      <c r="A41" s="473"/>
      <c r="B41" s="422" t="s">
        <v>2747</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89"/>
      <c r="Q41" s="1810" t="str">
        <f t="shared" si="14"/>
        <v>宗地开发程度</v>
      </c>
      <c r="R41" s="770" t="s">
        <v>17</v>
      </c>
      <c r="S41" s="771">
        <f t="shared" si="10"/>
        <v>100</v>
      </c>
      <c r="T41" s="770" t="s">
        <v>17</v>
      </c>
      <c r="U41" s="771">
        <f t="shared" si="11"/>
        <v>100</v>
      </c>
      <c r="V41" s="770" t="s">
        <v>17</v>
      </c>
      <c r="W41" s="771">
        <f t="shared" si="12"/>
        <v>100</v>
      </c>
      <c r="X41" s="772"/>
      <c r="Y41" s="3189"/>
      <c r="Z41" s="55" t="str">
        <f t="shared" si="13"/>
        <v>宗地开发程度</v>
      </c>
      <c r="AA41" s="773">
        <f t="shared" si="3"/>
        <v>1</v>
      </c>
      <c r="AB41" s="773">
        <f t="shared" si="4"/>
        <v>1</v>
      </c>
      <c r="AC41" s="773">
        <f t="shared" si="5"/>
        <v>1</v>
      </c>
    </row>
    <row r="42" spans="1:29" ht="15">
      <c r="A42" s="472"/>
      <c r="B42" s="422" t="s">
        <v>2748</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89" t="s">
        <v>2558</v>
      </c>
      <c r="Q42" s="1810" t="str">
        <f t="shared" si="14"/>
        <v>工程地质条件</v>
      </c>
      <c r="R42" s="774" t="s">
        <v>17</v>
      </c>
      <c r="S42" s="775">
        <f t="shared" si="10"/>
        <v>100</v>
      </c>
      <c r="T42" s="774" t="s">
        <v>17</v>
      </c>
      <c r="U42" s="775">
        <f t="shared" si="11"/>
        <v>100</v>
      </c>
      <c r="V42" s="774" t="s">
        <v>17</v>
      </c>
      <c r="W42" s="775">
        <f t="shared" si="12"/>
        <v>100</v>
      </c>
      <c r="X42" s="1813"/>
      <c r="Y42" s="3189" t="s">
        <v>2558</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9"/>
      <c r="Q43" s="1810">
        <f t="shared" si="14"/>
        <v>111</v>
      </c>
      <c r="R43" s="774" t="s">
        <v>17</v>
      </c>
      <c r="S43" s="775">
        <f t="shared" si="10"/>
        <v>100</v>
      </c>
      <c r="T43" s="774" t="s">
        <v>17</v>
      </c>
      <c r="U43" s="775">
        <f t="shared" si="11"/>
        <v>100</v>
      </c>
      <c r="V43" s="774" t="s">
        <v>17</v>
      </c>
      <c r="W43" s="775">
        <f t="shared" si="12"/>
        <v>100</v>
      </c>
      <c r="X43" s="1813"/>
      <c r="Y43" s="318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9"/>
      <c r="Q44" s="1810">
        <f t="shared" si="14"/>
        <v>111</v>
      </c>
      <c r="R44" s="774" t="s">
        <v>17</v>
      </c>
      <c r="S44" s="775">
        <f t="shared" si="10"/>
        <v>100</v>
      </c>
      <c r="T44" s="774" t="s">
        <v>17</v>
      </c>
      <c r="U44" s="775">
        <f t="shared" si="11"/>
        <v>100</v>
      </c>
      <c r="V44" s="774" t="s">
        <v>17</v>
      </c>
      <c r="W44" s="775">
        <f t="shared" si="12"/>
        <v>100</v>
      </c>
      <c r="X44" s="1813"/>
      <c r="Y44" s="3189"/>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9"/>
      <c r="Q45" s="1810">
        <f t="shared" si="14"/>
        <v>111</v>
      </c>
      <c r="R45" s="777" t="s">
        <v>17</v>
      </c>
      <c r="S45" s="778">
        <f t="shared" si="10"/>
        <v>100</v>
      </c>
      <c r="T45" s="777" t="s">
        <v>17</v>
      </c>
      <c r="U45" s="778">
        <f t="shared" si="11"/>
        <v>100</v>
      </c>
      <c r="V45" s="777" t="s">
        <v>17</v>
      </c>
      <c r="W45" s="778">
        <f t="shared" si="12"/>
        <v>100</v>
      </c>
      <c r="X45" s="779"/>
      <c r="Y45" s="3189"/>
      <c r="Z45" s="780">
        <f t="shared" si="13"/>
        <v>111</v>
      </c>
      <c r="AA45" s="1811">
        <f t="shared" si="3"/>
        <v>1</v>
      </c>
      <c r="AB45" s="1811">
        <f t="shared" si="4"/>
        <v>1</v>
      </c>
      <c r="AC45" s="1811">
        <f t="shared" si="5"/>
        <v>1</v>
      </c>
    </row>
    <row r="46" spans="1:29" ht="15">
      <c r="A46" s="479" t="s">
        <v>2713</v>
      </c>
      <c r="B46" s="2703" t="s">
        <v>2749</v>
      </c>
      <c r="C46" s="682" t="s">
        <v>1</v>
      </c>
      <c r="D46" s="481"/>
      <c r="E46" s="482"/>
      <c r="F46" s="483"/>
      <c r="G46" s="484"/>
      <c r="H46" s="485"/>
      <c r="I46" s="482"/>
      <c r="J46" s="485"/>
      <c r="K46" s="783"/>
      <c r="L46" s="1143"/>
      <c r="M46" s="1144"/>
      <c r="N46" s="1131"/>
      <c r="O46" s="1144"/>
      <c r="P46" s="3171" t="str">
        <f>A46</f>
        <v>成交单价</v>
      </c>
      <c r="Q46" s="3171"/>
      <c r="R46" s="3184">
        <f>E46</f>
        <v>0</v>
      </c>
      <c r="S46" s="3184"/>
      <c r="T46" s="3184">
        <f>G46</f>
        <v>0</v>
      </c>
      <c r="U46" s="3184"/>
      <c r="V46" s="3184">
        <f>I46</f>
        <v>0</v>
      </c>
      <c r="W46" s="3184"/>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3"/>
      <c r="M47" s="1144"/>
      <c r="N47" s="1144"/>
      <c r="O47" s="1144"/>
      <c r="P47" s="3171" t="str">
        <f>A47</f>
        <v>比较价值（元/平方米）</v>
      </c>
      <c r="Q47" s="3171"/>
      <c r="R47" s="3245" t="e">
        <f>ROUND(PRODUCT(R46,AA7:AA45),0)</f>
        <v>#DIV/0!</v>
      </c>
      <c r="S47" s="3245"/>
      <c r="T47" s="3245" t="e">
        <f>ROUND(PRODUCT(T46,AB7:AB45),0)</f>
        <v>#DIV/0!</v>
      </c>
      <c r="U47" s="3245"/>
      <c r="V47" s="3245" t="e">
        <f>ROUND(PRODUCT(V46,AC7:AC45),0)</f>
        <v>#DIV/0!</v>
      </c>
      <c r="W47" s="3245"/>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3"/>
      <c r="M48" s="1144"/>
      <c r="N48" s="1144"/>
      <c r="O48" s="1144"/>
      <c r="P48" s="3192" t="str">
        <f>A48</f>
        <v>估价对象XX用房的比较价值（楼面单价，元/平方米）</v>
      </c>
      <c r="Q48" s="3193"/>
      <c r="R48" s="3246" t="e">
        <f>ROUND(AVERAGE(R47:V47),0)</f>
        <v>#DIV/0!</v>
      </c>
      <c r="S48" s="3246"/>
      <c r="T48" s="3246"/>
      <c r="U48" s="3246"/>
      <c r="V48" s="3246"/>
      <c r="W48" s="324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4" t="s">
        <v>2753</v>
      </c>
      <c r="D55" s="2705" t="s">
        <v>2754</v>
      </c>
      <c r="E55" s="686" t="s">
        <v>2755</v>
      </c>
      <c r="F55" s="1107" t="s">
        <v>2756</v>
      </c>
      <c r="G55" s="3172" t="s">
        <v>2757</v>
      </c>
      <c r="H55" s="3247"/>
      <c r="I55" s="144" t="s">
        <v>2758</v>
      </c>
      <c r="J55" s="2706">
        <f>项目基本情况!F35</f>
        <v>0</v>
      </c>
      <c r="K55" s="2707" t="s">
        <v>2759</v>
      </c>
      <c r="L55" s="1106"/>
      <c r="M55" s="1144"/>
      <c r="N55" s="1144"/>
      <c r="O55" s="1144"/>
    </row>
    <row r="56" spans="1:15" s="692" customFormat="1">
      <c r="A56" s="688" t="s">
        <v>2760</v>
      </c>
      <c r="B56" s="689" t="e">
        <f>C48</f>
        <v>#DIV/0!</v>
      </c>
      <c r="C56" s="690">
        <v>1</v>
      </c>
      <c r="D56" s="1163">
        <v>1</v>
      </c>
      <c r="E56" s="690">
        <f>'数据-汇总表'!E8+'数据-汇总表'!E9</f>
        <v>5775.17</v>
      </c>
      <c r="F56" s="1103" t="e">
        <f t="shared" ref="F56:F65" si="15">ROUND(B56*E56/10000,0)</f>
        <v>#DIV/0!</v>
      </c>
      <c r="G56" s="3224"/>
      <c r="H56" s="3171"/>
      <c r="I56" s="1108">
        <v>1</v>
      </c>
      <c r="J56" s="1111">
        <v>1</v>
      </c>
      <c r="K56" s="1145"/>
      <c r="L56" s="941"/>
      <c r="M56" s="941"/>
      <c r="N56" s="941"/>
      <c r="O56" s="941"/>
    </row>
    <row r="57" spans="1:15" s="692" customFormat="1">
      <c r="A57" s="693" t="s">
        <v>2761</v>
      </c>
      <c r="B57" s="262" t="e">
        <f>ROUND($C$48*C57*D57,0)</f>
        <v>#DIV/0!</v>
      </c>
      <c r="C57" s="200">
        <f t="shared" ref="C57:C65" si="16">IF($C$55="北京市系数",I57,J57)</f>
        <v>0</v>
      </c>
      <c r="D57" s="1164">
        <v>0.25</v>
      </c>
      <c r="E57" s="694"/>
      <c r="F57" s="1103" t="e">
        <f t="shared" si="15"/>
        <v>#DIV/0!</v>
      </c>
      <c r="G57" s="3248" t="s">
        <v>2762</v>
      </c>
      <c r="H57" s="1104">
        <f>项目基本情况!B37</f>
        <v>0</v>
      </c>
      <c r="I57" s="1108">
        <f>SUMIF(修正!A45:A56,H57,修正!B45:B56)</f>
        <v>0</v>
      </c>
      <c r="J57" s="1112"/>
      <c r="K57" s="1144"/>
      <c r="L57" s="941"/>
      <c r="M57" s="941"/>
      <c r="N57" s="941"/>
      <c r="O57" s="941"/>
    </row>
    <row r="58" spans="1:15" s="692" customFormat="1">
      <c r="A58" s="693" t="s">
        <v>2763</v>
      </c>
      <c r="B58" s="262" t="e">
        <f t="shared" ref="B58:B65" si="17">ROUND($C$48*C58*D58,0)</f>
        <v>#DIV/0!</v>
      </c>
      <c r="C58" s="200">
        <f t="shared" si="16"/>
        <v>0</v>
      </c>
      <c r="D58" s="1164">
        <v>0.25</v>
      </c>
      <c r="E58" s="694"/>
      <c r="F58" s="1103" t="e">
        <f t="shared" si="15"/>
        <v>#DIV/0!</v>
      </c>
      <c r="G58" s="3248"/>
      <c r="H58" s="1104">
        <f>项目基本情况!B37</f>
        <v>0</v>
      </c>
      <c r="I58" s="1108">
        <f>SUMIF(修正!A45:A56,H58,修正!C45:C56)</f>
        <v>0</v>
      </c>
      <c r="J58" s="1112"/>
      <c r="K58" s="1145"/>
      <c r="L58" s="941"/>
      <c r="M58" s="941"/>
      <c r="N58" s="941"/>
      <c r="O58" s="941"/>
    </row>
    <row r="59" spans="1:15" s="692" customFormat="1">
      <c r="A59" s="693" t="s">
        <v>2764</v>
      </c>
      <c r="B59" s="262" t="e">
        <f t="shared" si="17"/>
        <v>#DIV/0!</v>
      </c>
      <c r="C59" s="200">
        <f t="shared" si="16"/>
        <v>0</v>
      </c>
      <c r="D59" s="1164">
        <v>0.25</v>
      </c>
      <c r="E59" s="694"/>
      <c r="F59" s="1103" t="e">
        <f t="shared" si="15"/>
        <v>#DIV/0!</v>
      </c>
      <c r="G59" s="3248"/>
      <c r="H59" s="1104">
        <f>项目基本情况!B37</f>
        <v>0</v>
      </c>
      <c r="I59" s="1108">
        <f>SUMIF(修正!A45:A56,H59,修正!D45:D56)</f>
        <v>0</v>
      </c>
      <c r="J59" s="1112"/>
      <c r="K59" s="1144"/>
      <c r="L59" s="941"/>
      <c r="M59" s="941"/>
      <c r="N59" s="941"/>
      <c r="O59" s="941"/>
    </row>
    <row r="60" spans="1:15" s="692" customFormat="1">
      <c r="A60" s="693" t="s">
        <v>2765</v>
      </c>
      <c r="B60" s="262" t="e">
        <f t="shared" si="17"/>
        <v>#DIV/0!</v>
      </c>
      <c r="C60" s="200">
        <f t="shared" si="16"/>
        <v>0</v>
      </c>
      <c r="D60" s="1164">
        <v>0.25</v>
      </c>
      <c r="E60" s="694"/>
      <c r="F60" s="1103" t="e">
        <f t="shared" si="15"/>
        <v>#DIV/0!</v>
      </c>
      <c r="G60" s="3248"/>
      <c r="H60" s="1104">
        <f>项目基本情况!B37</f>
        <v>0</v>
      </c>
      <c r="I60" s="1108">
        <f>SUMIF(修正!A45:A56,H60,修正!E45:E56)</f>
        <v>0</v>
      </c>
      <c r="J60" s="1112"/>
      <c r="K60" s="1145"/>
      <c r="L60" s="941"/>
      <c r="M60" s="941"/>
      <c r="N60" s="941"/>
      <c r="O60" s="941"/>
    </row>
    <row r="61" spans="1:15" s="692" customFormat="1">
      <c r="A61" s="693" t="s">
        <v>2766</v>
      </c>
      <c r="B61" s="262" t="e">
        <f t="shared" si="17"/>
        <v>#DIV/0!</v>
      </c>
      <c r="C61" s="200">
        <f t="shared" si="16"/>
        <v>0</v>
      </c>
      <c r="D61" s="1164">
        <v>0.25</v>
      </c>
      <c r="E61" s="261">
        <f>'数据-汇总表'!E11</f>
        <v>0</v>
      </c>
      <c r="F61" s="1103" t="e">
        <f t="shared" si="15"/>
        <v>#DIV/0!</v>
      </c>
      <c r="G61" s="2708" t="s">
        <v>2767</v>
      </c>
      <c r="H61" s="1104">
        <f>项目基本情况!C37</f>
        <v>0</v>
      </c>
      <c r="I61" s="1108">
        <f>SUMIF(修正!A45:A56,H61,修正!F45:F56)</f>
        <v>0</v>
      </c>
      <c r="J61" s="1112"/>
      <c r="K61" s="1144"/>
      <c r="L61" s="941"/>
      <c r="M61" s="941"/>
      <c r="N61" s="941"/>
      <c r="O61" s="941"/>
    </row>
    <row r="62" spans="1:15" s="692" customFormat="1">
      <c r="A62" s="693" t="s">
        <v>2768</v>
      </c>
      <c r="B62" s="262" t="e">
        <f t="shared" si="17"/>
        <v>#DIV/0!</v>
      </c>
      <c r="C62" s="200">
        <f t="shared" si="16"/>
        <v>0</v>
      </c>
      <c r="D62" s="1164">
        <v>0.25</v>
      </c>
      <c r="E62" s="261">
        <f>'数据-汇总表'!E12</f>
        <v>0</v>
      </c>
      <c r="F62" s="1103" t="e">
        <f t="shared" si="15"/>
        <v>#DIV/0!</v>
      </c>
      <c r="G62" s="1109" t="s">
        <v>2769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2770</v>
      </c>
      <c r="B63" s="262" t="e">
        <f t="shared" si="17"/>
        <v>#DIV/0!</v>
      </c>
      <c r="C63" s="200">
        <f t="shared" si="16"/>
        <v>0</v>
      </c>
      <c r="D63" s="1164">
        <v>0.25</v>
      </c>
      <c r="E63" s="261">
        <f>'数据-汇总表'!E13</f>
        <v>0</v>
      </c>
      <c r="F63" s="1103" t="e">
        <f t="shared" si="15"/>
        <v>#DIV/0!</v>
      </c>
      <c r="G63" s="1109" t="s">
        <v>2771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t="e">
        <f t="shared" si="17"/>
        <v>#DIV/0!</v>
      </c>
      <c r="C64" s="200">
        <f t="shared" si="16"/>
        <v>0</v>
      </c>
      <c r="D64" s="1164">
        <v>0.25</v>
      </c>
      <c r="E64" s="261">
        <f>'数据-汇总表'!E14</f>
        <v>0</v>
      </c>
      <c r="F64" s="1103" t="e">
        <f t="shared" si="15"/>
        <v>#DIV/0!</v>
      </c>
      <c r="G64" s="2708" t="s">
        <v>2762</v>
      </c>
      <c r="H64" s="1104">
        <f>项目基本情况!B37</f>
        <v>0</v>
      </c>
      <c r="I64" s="1108">
        <f>SUMIF(修正!A45:A56,H64,修正!H45:H56)</f>
        <v>0</v>
      </c>
      <c r="J64" s="1112"/>
      <c r="K64" s="1145"/>
      <c r="L64" s="941"/>
      <c r="M64" s="941"/>
      <c r="N64" s="941"/>
      <c r="O64" s="941"/>
    </row>
    <row r="65" spans="1:17" s="692" customFormat="1" ht="15" thickBot="1">
      <c r="A65" s="693" t="s">
        <v>2773</v>
      </c>
      <c r="B65" s="262" t="e">
        <f t="shared" si="17"/>
        <v>#DIV/0!</v>
      </c>
      <c r="C65" s="200">
        <f t="shared" si="16"/>
        <v>0</v>
      </c>
      <c r="D65" s="1164">
        <v>0.25</v>
      </c>
      <c r="E65" s="261">
        <f>'数据-汇总表'!E15</f>
        <v>0</v>
      </c>
      <c r="F65" s="1103" t="e">
        <f t="shared" si="15"/>
        <v>#DIV/0!</v>
      </c>
      <c r="G65" s="2709" t="s">
        <v>2767</v>
      </c>
      <c r="H65" s="1114">
        <f>项目基本情况!C37</f>
        <v>0</v>
      </c>
      <c r="I65" s="1110">
        <f>SUMIF(修正!A45:A56,H65,修正!H45:H56)</f>
        <v>0</v>
      </c>
      <c r="J65" s="1113"/>
      <c r="K65" s="1144"/>
      <c r="L65" s="941"/>
      <c r="M65" s="941"/>
      <c r="N65" s="941"/>
      <c r="O65" s="941"/>
    </row>
    <row r="66" spans="1:17" s="692" customFormat="1" ht="13.5" thickBot="1">
      <c r="A66" s="695" t="s">
        <v>2774</v>
      </c>
      <c r="B66" s="696" t="s">
        <v>28</v>
      </c>
      <c r="C66" s="696" t="s">
        <v>29</v>
      </c>
      <c r="D66" s="696" t="s">
        <v>1026</v>
      </c>
      <c r="E66" s="696">
        <f>IF(B46="楼面地价",SUM(E56:E65),'数据-汇总表'!D3)</f>
        <v>5775.17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2667</v>
      </c>
      <c r="B69" s="759"/>
      <c r="C69" s="764"/>
      <c r="D69" s="764"/>
      <c r="E69" s="764"/>
      <c r="F69" s="765"/>
      <c r="G69" s="765"/>
      <c r="H69" s="764"/>
      <c r="I69" s="764"/>
      <c r="J69" s="1159"/>
      <c r="K69" s="1160"/>
      <c r="L69" s="1161"/>
      <c r="M69" s="1159"/>
      <c r="N69" s="1159"/>
      <c r="O69" s="1159"/>
      <c r="P69" s="503"/>
      <c r="Q69" s="504"/>
    </row>
    <row r="70" spans="1:17" s="508" customFormat="1" ht="15">
      <c r="A70" s="2710" t="s">
        <v>2775</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1" t="s">
        <v>2776</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2578</v>
      </c>
      <c r="B72" s="516"/>
      <c r="C72" s="517"/>
      <c r="D72" s="518"/>
      <c r="E72" s="518"/>
      <c r="F72" s="518"/>
      <c r="G72" s="518"/>
      <c r="H72" s="518"/>
      <c r="I72" s="518"/>
      <c r="J72" s="518"/>
      <c r="K72" s="518"/>
      <c r="L72" s="518"/>
      <c r="M72" s="519"/>
      <c r="N72" s="518"/>
      <c r="O72" s="1162"/>
      <c r="P72" s="504"/>
      <c r="Q72" s="504"/>
    </row>
    <row r="73" spans="1:17" s="117" customFormat="1" ht="15">
      <c r="A73" s="521" t="s">
        <v>2543</v>
      </c>
      <c r="B73" s="510"/>
      <c r="C73" s="522" t="s">
        <v>2645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2581</v>
      </c>
      <c r="B75" s="528" t="s">
        <v>2547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72" t="s">
        <v>2639</v>
      </c>
      <c r="D4" s="3173"/>
      <c r="E4" s="3174" t="s">
        <v>2640</v>
      </c>
      <c r="F4" s="3175"/>
      <c r="G4" s="3172" t="s">
        <v>2641</v>
      </c>
      <c r="H4" s="3173"/>
      <c r="I4" s="3172" t="s">
        <v>2642</v>
      </c>
      <c r="J4" s="3173"/>
      <c r="K4" s="610" t="s">
        <v>2643</v>
      </c>
      <c r="L4" s="1130"/>
      <c r="M4" s="1131"/>
      <c r="N4" s="1131"/>
      <c r="O4" s="1131"/>
      <c r="P4" s="3176" t="s">
        <v>2644</v>
      </c>
      <c r="Q4" s="3177"/>
      <c r="R4" s="3159" t="s">
        <v>2640</v>
      </c>
      <c r="S4" s="3160"/>
      <c r="T4" s="3159" t="s">
        <v>2641</v>
      </c>
      <c r="U4" s="3160"/>
      <c r="V4" s="3184" t="s">
        <v>2642</v>
      </c>
      <c r="W4" s="3184"/>
      <c r="X4" s="1813"/>
      <c r="Y4" s="3159" t="s">
        <v>2644</v>
      </c>
      <c r="Z4" s="3160"/>
      <c r="AA4" s="3154" t="s">
        <v>2640</v>
      </c>
      <c r="AB4" s="3155" t="s">
        <v>2641</v>
      </c>
      <c r="AC4" s="3154" t="s">
        <v>2642</v>
      </c>
    </row>
    <row r="5" spans="1:29" ht="15">
      <c r="A5" s="404"/>
      <c r="B5" s="405"/>
      <c r="C5" s="3223" t="s">
        <v>2535</v>
      </c>
      <c r="D5" s="3166"/>
      <c r="E5" s="3222" t="s">
        <v>2536</v>
      </c>
      <c r="F5" s="3164"/>
      <c r="G5" s="3223" t="s">
        <v>2537</v>
      </c>
      <c r="H5" s="3166"/>
      <c r="I5" s="3223" t="s">
        <v>2538</v>
      </c>
      <c r="J5" s="3166"/>
      <c r="K5" s="610"/>
      <c r="L5" s="1130"/>
      <c r="M5" s="1131"/>
      <c r="N5" s="1131"/>
      <c r="O5" s="1131"/>
      <c r="P5" s="3178"/>
      <c r="Q5" s="3179"/>
      <c r="R5" s="3161"/>
      <c r="S5" s="3162"/>
      <c r="T5" s="3161"/>
      <c r="U5" s="3162"/>
      <c r="V5" s="3184"/>
      <c r="W5" s="3184"/>
      <c r="X5" s="1813"/>
      <c r="Y5" s="3161"/>
      <c r="Z5" s="3162"/>
      <c r="AA5" s="3155"/>
      <c r="AB5" s="3155"/>
      <c r="AC5" s="3155"/>
    </row>
    <row r="6" spans="1:29" ht="15.75" thickBot="1">
      <c r="A6" s="406"/>
      <c r="B6" s="407"/>
      <c r="C6" s="3249" t="s">
        <v>2790</v>
      </c>
      <c r="D6" s="3250"/>
      <c r="E6" s="3251" t="s">
        <v>2790</v>
      </c>
      <c r="F6" s="3252"/>
      <c r="G6" s="3249" t="s">
        <v>2790</v>
      </c>
      <c r="H6" s="3250"/>
      <c r="I6" s="3249" t="s">
        <v>2790</v>
      </c>
      <c r="J6" s="3250"/>
      <c r="K6" s="610" t="s">
        <v>2540</v>
      </c>
      <c r="L6" s="1130"/>
      <c r="M6" s="1131"/>
      <c r="N6" s="1131"/>
      <c r="O6" s="1131"/>
      <c r="P6" s="3180"/>
      <c r="Q6" s="3181"/>
      <c r="R6" s="3161"/>
      <c r="S6" s="3162"/>
      <c r="T6" s="3182"/>
      <c r="U6" s="3183"/>
      <c r="V6" s="3184"/>
      <c r="W6" s="3184"/>
      <c r="X6" s="1813"/>
      <c r="Y6" s="3182"/>
      <c r="Z6" s="3183"/>
      <c r="AA6" s="3156"/>
      <c r="AB6" s="3156"/>
      <c r="AC6" s="3156"/>
    </row>
    <row r="7" spans="1:29" s="117" customFormat="1" ht="15.75" thickBot="1">
      <c r="A7" s="408" t="s">
        <v>2541</v>
      </c>
      <c r="B7" s="409"/>
      <c r="C7" s="410">
        <f>'数据-取费表'!B2</f>
        <v>43782</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57" t="s">
        <v>2542</v>
      </c>
      <c r="Q7" s="3185"/>
      <c r="R7" s="770" t="s">
        <v>17</v>
      </c>
      <c r="S7" s="771">
        <f t="shared" ref="S7:S15" si="0">F7</f>
        <v>0</v>
      </c>
      <c r="T7" s="770" t="s">
        <v>17</v>
      </c>
      <c r="U7" s="771">
        <f t="shared" ref="U7:U15" si="1">H7</f>
        <v>0</v>
      </c>
      <c r="V7" s="770" t="s">
        <v>17</v>
      </c>
      <c r="W7" s="771">
        <f t="shared" ref="W7:W15" si="2">J7</f>
        <v>0</v>
      </c>
      <c r="X7" s="772"/>
      <c r="Y7" s="3157" t="s">
        <v>2542</v>
      </c>
      <c r="Z7" s="3158"/>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57" t="s">
        <v>2545</v>
      </c>
      <c r="Q8" s="3158"/>
      <c r="R8" s="770" t="s">
        <v>17</v>
      </c>
      <c r="S8" s="771">
        <f t="shared" si="0"/>
        <v>0</v>
      </c>
      <c r="T8" s="770" t="s">
        <v>17</v>
      </c>
      <c r="U8" s="771">
        <f t="shared" si="1"/>
        <v>0</v>
      </c>
      <c r="V8" s="770" t="s">
        <v>17</v>
      </c>
      <c r="W8" s="771">
        <f t="shared" si="2"/>
        <v>0</v>
      </c>
      <c r="X8" s="772"/>
      <c r="Y8" s="3157" t="s">
        <v>2545</v>
      </c>
      <c r="Z8" s="3158"/>
      <c r="AA8" s="773" t="e">
        <f t="shared" ref="AA8:AA40" si="3">D8/F8</f>
        <v>#DIV/0!</v>
      </c>
      <c r="AB8" s="773" t="e">
        <f t="shared" ref="AB8:AB40" si="4">D8/H8</f>
        <v>#DIV/0!</v>
      </c>
      <c r="AC8" s="773" t="e">
        <f t="shared" ref="AC8:AC40" si="5">D8/J8</f>
        <v>#DIV/0!</v>
      </c>
    </row>
    <row r="9" spans="1:29" s="117" customFormat="1">
      <c r="A9" s="415" t="s">
        <v>2546</v>
      </c>
      <c r="B9" s="71" t="s">
        <v>2547</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71" t="s">
        <v>2548</v>
      </c>
      <c r="Q9" s="1795" t="str">
        <f t="shared" ref="Q9:Q15" si="6">B9</f>
        <v>用途</v>
      </c>
      <c r="R9" s="770" t="s">
        <v>17</v>
      </c>
      <c r="S9" s="771">
        <f t="shared" si="0"/>
        <v>100</v>
      </c>
      <c r="T9" s="770" t="s">
        <v>17</v>
      </c>
      <c r="U9" s="771">
        <f t="shared" si="1"/>
        <v>100</v>
      </c>
      <c r="V9" s="770" t="s">
        <v>17</v>
      </c>
      <c r="W9" s="771">
        <f t="shared" si="2"/>
        <v>100</v>
      </c>
      <c r="X9" s="772"/>
      <c r="Y9" s="3031"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110</v>
      </c>
      <c r="G10" s="432"/>
      <c r="H10" s="136">
        <f>ROUND(100/'数据-取费表'!G16,0)</f>
        <v>110</v>
      </c>
      <c r="I10" s="432"/>
      <c r="J10" s="136">
        <f>ROUND(100/'数据-取费表'!G16,0)</f>
        <v>110</v>
      </c>
      <c r="K10" s="672"/>
      <c r="L10" s="1135"/>
      <c r="M10" s="1136"/>
      <c r="N10" s="1136"/>
      <c r="O10" s="1137"/>
      <c r="P10" s="3171"/>
      <c r="Q10" s="1795" t="str">
        <f t="shared" si="6"/>
        <v>土地使用年限（年）</v>
      </c>
      <c r="R10" s="770" t="s">
        <v>17</v>
      </c>
      <c r="S10" s="771">
        <f t="shared" si="0"/>
        <v>110</v>
      </c>
      <c r="T10" s="770" t="s">
        <v>17</v>
      </c>
      <c r="U10" s="771">
        <f t="shared" si="1"/>
        <v>110</v>
      </c>
      <c r="V10" s="770" t="s">
        <v>17</v>
      </c>
      <c r="W10" s="771">
        <f t="shared" si="2"/>
        <v>110</v>
      </c>
      <c r="X10" s="772"/>
      <c r="Y10" s="3031"/>
      <c r="Z10" s="55" t="str">
        <f t="shared" si="7"/>
        <v>土地使用年限（年）</v>
      </c>
      <c r="AA10" s="773">
        <f t="shared" si="3"/>
        <v>0.90909090909090906</v>
      </c>
      <c r="AB10" s="773">
        <f t="shared" si="4"/>
        <v>0.90909090909090906</v>
      </c>
      <c r="AC10" s="773">
        <f t="shared" si="5"/>
        <v>0.90909090909090906</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1"/>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1"/>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1"/>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57">
      <c r="A15" s="440" t="s">
        <v>2552</v>
      </c>
      <c r="B15" s="629" t="s">
        <v>2791</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6" t="s">
        <v>2553</v>
      </c>
      <c r="Q15" s="1810" t="str">
        <f t="shared" si="6"/>
        <v>产业集聚程度</v>
      </c>
      <c r="R15" s="774" t="s">
        <v>17</v>
      </c>
      <c r="S15" s="775">
        <f t="shared" si="0"/>
        <v>100</v>
      </c>
      <c r="T15" s="774" t="s">
        <v>17</v>
      </c>
      <c r="U15" s="775">
        <f t="shared" si="1"/>
        <v>100</v>
      </c>
      <c r="V15" s="774" t="s">
        <v>17</v>
      </c>
      <c r="W15" s="775">
        <f t="shared" si="2"/>
        <v>100</v>
      </c>
      <c r="X15" s="1813"/>
      <c r="Y15" s="3186" t="s">
        <v>2553</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187"/>
      <c r="Q16" s="1810"/>
      <c r="R16" s="774"/>
      <c r="S16" s="775"/>
      <c r="T16" s="774"/>
      <c r="U16" s="775"/>
      <c r="V16" s="774"/>
      <c r="W16" s="775"/>
      <c r="X16" s="1813"/>
      <c r="Y16" s="3187"/>
      <c r="Z16" s="1814"/>
      <c r="AA16" s="1811">
        <v>1</v>
      </c>
      <c r="AB16" s="1811">
        <v>1</v>
      </c>
      <c r="AC16" s="1811">
        <v>1</v>
      </c>
    </row>
    <row r="17" spans="1:29" ht="85.5">
      <c r="A17" s="428"/>
      <c r="B17" s="631" t="s">
        <v>2702</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7"/>
      <c r="Q17" s="1810" t="str">
        <f>B17</f>
        <v>交通便捷度</v>
      </c>
      <c r="R17" s="774" t="s">
        <v>17</v>
      </c>
      <c r="S17" s="775">
        <f>F17</f>
        <v>100</v>
      </c>
      <c r="T17" s="774" t="s">
        <v>17</v>
      </c>
      <c r="U17" s="775">
        <f>H17</f>
        <v>100</v>
      </c>
      <c r="V17" s="774" t="s">
        <v>17</v>
      </c>
      <c r="W17" s="775">
        <f>J17</f>
        <v>100</v>
      </c>
      <c r="X17" s="1813"/>
      <c r="Y17" s="3187"/>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187"/>
      <c r="Q18" s="1810"/>
      <c r="R18" s="774"/>
      <c r="S18" s="775"/>
      <c r="T18" s="774"/>
      <c r="U18" s="775"/>
      <c r="V18" s="774"/>
      <c r="W18" s="775"/>
      <c r="X18" s="1813"/>
      <c r="Y18" s="3187"/>
      <c r="Z18" s="1814"/>
      <c r="AA18" s="1811">
        <v>1</v>
      </c>
      <c r="AB18" s="1811">
        <v>1</v>
      </c>
      <c r="AC18" s="1811">
        <v>1</v>
      </c>
    </row>
    <row r="19" spans="1:29" ht="15">
      <c r="A19" s="428"/>
      <c r="B19" s="631" t="s">
        <v>2741</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7"/>
      <c r="Q19" s="1810" t="str">
        <f t="shared" ref="Q19:Q33" si="8">B19</f>
        <v>区域土地利用方向</v>
      </c>
      <c r="R19" s="774" t="s">
        <v>17</v>
      </c>
      <c r="S19" s="775">
        <f>F19</f>
        <v>100</v>
      </c>
      <c r="T19" s="774" t="s">
        <v>17</v>
      </c>
      <c r="U19" s="775">
        <f>H19</f>
        <v>100</v>
      </c>
      <c r="V19" s="774" t="s">
        <v>17</v>
      </c>
      <c r="W19" s="775">
        <f>J19</f>
        <v>100</v>
      </c>
      <c r="X19" s="1813"/>
      <c r="Y19" s="3187"/>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187"/>
      <c r="Q20" s="1810"/>
      <c r="R20" s="774"/>
      <c r="S20" s="775"/>
      <c r="T20" s="774"/>
      <c r="U20" s="775"/>
      <c r="V20" s="774"/>
      <c r="W20" s="775"/>
      <c r="X20" s="1813"/>
      <c r="Y20" s="3187"/>
      <c r="Z20" s="1814"/>
      <c r="AA20" s="1811"/>
      <c r="AB20" s="1811"/>
      <c r="AC20" s="1811"/>
    </row>
    <row r="21" spans="1:29" ht="71.25">
      <c r="A21" s="404"/>
      <c r="B21" s="631" t="s">
        <v>2792</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7"/>
      <c r="Q21" s="1810" t="str">
        <f t="shared" si="8"/>
        <v>环境状况</v>
      </c>
      <c r="R21" s="774" t="s">
        <v>17</v>
      </c>
      <c r="S21" s="775">
        <f>F21</f>
        <v>100</v>
      </c>
      <c r="T21" s="774" t="s">
        <v>17</v>
      </c>
      <c r="U21" s="775">
        <f>H21</f>
        <v>100</v>
      </c>
      <c r="V21" s="774" t="s">
        <v>17</v>
      </c>
      <c r="W21" s="775">
        <f>J21</f>
        <v>100</v>
      </c>
      <c r="X21" s="1813"/>
      <c r="Y21" s="3187"/>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187"/>
      <c r="Q22" s="1810"/>
      <c r="R22" s="774"/>
      <c r="S22" s="775"/>
      <c r="T22" s="774"/>
      <c r="U22" s="775"/>
      <c r="V22" s="774"/>
      <c r="W22" s="775"/>
      <c r="X22" s="1813"/>
      <c r="Y22" s="3187"/>
      <c r="Z22" s="1814"/>
      <c r="AA22" s="1811">
        <v>1</v>
      </c>
      <c r="AB22" s="1811">
        <v>1</v>
      </c>
      <c r="AC22" s="1811">
        <v>1</v>
      </c>
    </row>
    <row r="23" spans="1:29" s="117" customFormat="1" ht="42.75">
      <c r="A23" s="649"/>
      <c r="B23" s="633" t="s">
        <v>2647</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7"/>
      <c r="Q23" s="1795" t="str">
        <f t="shared" si="8"/>
        <v>公共配套设施</v>
      </c>
      <c r="R23" s="770" t="s">
        <v>17</v>
      </c>
      <c r="S23" s="771">
        <f>F23</f>
        <v>100</v>
      </c>
      <c r="T23" s="770" t="s">
        <v>17</v>
      </c>
      <c r="U23" s="771">
        <f>H23</f>
        <v>100</v>
      </c>
      <c r="V23" s="770" t="s">
        <v>17</v>
      </c>
      <c r="W23" s="771">
        <f>J23</f>
        <v>100</v>
      </c>
      <c r="X23" s="772"/>
      <c r="Y23" s="3187"/>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187"/>
      <c r="Q24" s="1795"/>
      <c r="R24" s="770"/>
      <c r="S24" s="771"/>
      <c r="T24" s="770"/>
      <c r="U24" s="771"/>
      <c r="V24" s="770"/>
      <c r="W24" s="771"/>
      <c r="X24" s="772"/>
      <c r="Y24" s="3187"/>
      <c r="Z24" s="55"/>
      <c r="AA24" s="773">
        <v>1</v>
      </c>
      <c r="AB24" s="773">
        <v>1</v>
      </c>
      <c r="AC24" s="773">
        <v>1</v>
      </c>
    </row>
    <row r="25" spans="1:29" s="117" customFormat="1" ht="28.5">
      <c r="A25" s="649"/>
      <c r="B25" s="633" t="s">
        <v>2648</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7"/>
      <c r="Q25" s="1795" t="str">
        <f t="shared" ref="Q25" si="9">B25</f>
        <v>基础设施水平</v>
      </c>
      <c r="R25" s="770" t="s">
        <v>17</v>
      </c>
      <c r="S25" s="771">
        <f>F25</f>
        <v>100</v>
      </c>
      <c r="T25" s="770" t="s">
        <v>17</v>
      </c>
      <c r="U25" s="771">
        <f>H25</f>
        <v>100</v>
      </c>
      <c r="V25" s="770" t="s">
        <v>17</v>
      </c>
      <c r="W25" s="771">
        <f>J25</f>
        <v>100</v>
      </c>
      <c r="X25" s="772"/>
      <c r="Y25" s="3187"/>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187"/>
      <c r="Q26" s="1795"/>
      <c r="R26" s="770"/>
      <c r="S26" s="771"/>
      <c r="T26" s="770"/>
      <c r="U26" s="771"/>
      <c r="V26" s="770"/>
      <c r="W26" s="771"/>
      <c r="X26" s="772"/>
      <c r="Y26" s="3187"/>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7"/>
      <c r="Z27" s="1814" t="str">
        <f t="shared" ref="Z27:Z40" si="13">Q27</f>
        <v>临街状况</v>
      </c>
      <c r="AA27" s="1811">
        <f t="shared" si="3"/>
        <v>1</v>
      </c>
      <c r="AB27" s="1811">
        <f t="shared" si="4"/>
        <v>1</v>
      </c>
      <c r="AC27" s="1811">
        <f t="shared" si="5"/>
        <v>1</v>
      </c>
    </row>
    <row r="28" spans="1:29" ht="27">
      <c r="A28" s="428"/>
      <c r="B28" s="633" t="s">
        <v>2684</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7"/>
      <c r="Q28" s="1810" t="str">
        <f t="shared" si="8"/>
        <v>毗邻道路的类型与等级</v>
      </c>
      <c r="R28" s="774" t="s">
        <v>17</v>
      </c>
      <c r="S28" s="775">
        <f t="shared" si="10"/>
        <v>100</v>
      </c>
      <c r="T28" s="774" t="s">
        <v>17</v>
      </c>
      <c r="U28" s="775">
        <f t="shared" si="11"/>
        <v>100</v>
      </c>
      <c r="V28" s="774" t="s">
        <v>17</v>
      </c>
      <c r="W28" s="775">
        <f t="shared" si="12"/>
        <v>100</v>
      </c>
      <c r="X28" s="1813"/>
      <c r="Y28" s="3187"/>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187"/>
      <c r="Q29" s="1810"/>
      <c r="R29" s="774"/>
      <c r="S29" s="775"/>
      <c r="T29" s="774"/>
      <c r="U29" s="775"/>
      <c r="V29" s="774"/>
      <c r="W29" s="775"/>
      <c r="X29" s="1813"/>
      <c r="Y29" s="3187"/>
      <c r="Z29" s="1814"/>
      <c r="AA29" s="1811">
        <v>1</v>
      </c>
      <c r="AB29" s="1811">
        <v>1</v>
      </c>
      <c r="AC29" s="1811">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7"/>
      <c r="Q30" s="1810" t="str">
        <f t="shared" si="8"/>
        <v>土地级别</v>
      </c>
      <c r="R30" s="774" t="s">
        <v>17</v>
      </c>
      <c r="S30" s="775">
        <f t="shared" si="10"/>
        <v>100</v>
      </c>
      <c r="T30" s="774" t="s">
        <v>17</v>
      </c>
      <c r="U30" s="775">
        <f t="shared" si="11"/>
        <v>100</v>
      </c>
      <c r="V30" s="774" t="s">
        <v>17</v>
      </c>
      <c r="W30" s="775">
        <f t="shared" si="12"/>
        <v>100</v>
      </c>
      <c r="X30" s="1813"/>
      <c r="Y30" s="3187"/>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7"/>
      <c r="Q31" s="1810">
        <f t="shared" si="8"/>
        <v>111</v>
      </c>
      <c r="R31" s="774" t="s">
        <v>17</v>
      </c>
      <c r="S31" s="775">
        <f t="shared" si="10"/>
        <v>100</v>
      </c>
      <c r="T31" s="774" t="s">
        <v>17</v>
      </c>
      <c r="U31" s="775">
        <f t="shared" si="11"/>
        <v>100</v>
      </c>
      <c r="V31" s="774" t="s">
        <v>17</v>
      </c>
      <c r="W31" s="775">
        <f t="shared" si="12"/>
        <v>100</v>
      </c>
      <c r="X31" s="1813"/>
      <c r="Y31" s="3187"/>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8" t="s">
        <v>2558</v>
      </c>
      <c r="Q32" s="1810">
        <f t="shared" si="8"/>
        <v>111</v>
      </c>
      <c r="R32" s="774" t="s">
        <v>17</v>
      </c>
      <c r="S32" s="775">
        <f t="shared" si="10"/>
        <v>100</v>
      </c>
      <c r="T32" s="774" t="s">
        <v>17</v>
      </c>
      <c r="U32" s="775">
        <f t="shared" si="11"/>
        <v>100</v>
      </c>
      <c r="V32" s="774" t="s">
        <v>17</v>
      </c>
      <c r="W32" s="775">
        <f t="shared" si="12"/>
        <v>100</v>
      </c>
      <c r="X32" s="1813"/>
      <c r="Y32" s="3189" t="s">
        <v>2558</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9"/>
      <c r="Q33" s="1810">
        <f t="shared" si="8"/>
        <v>111</v>
      </c>
      <c r="R33" s="777" t="s">
        <v>17</v>
      </c>
      <c r="S33" s="778">
        <f t="shared" si="10"/>
        <v>100</v>
      </c>
      <c r="T33" s="777" t="s">
        <v>17</v>
      </c>
      <c r="U33" s="778">
        <f t="shared" si="11"/>
        <v>100</v>
      </c>
      <c r="V33" s="777" t="s">
        <v>17</v>
      </c>
      <c r="W33" s="778">
        <f t="shared" si="12"/>
        <v>100</v>
      </c>
      <c r="X33" s="779"/>
      <c r="Y33" s="3189"/>
      <c r="Z33" s="780">
        <f t="shared" si="13"/>
        <v>111</v>
      </c>
      <c r="AA33" s="1811">
        <f t="shared" si="3"/>
        <v>1</v>
      </c>
      <c r="AB33" s="1811">
        <f t="shared" si="4"/>
        <v>1</v>
      </c>
      <c r="AC33" s="1811">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9"/>
      <c r="Q34" s="1810" t="str">
        <f>B34</f>
        <v>宗地面积</v>
      </c>
      <c r="R34" s="774" t="s">
        <v>17</v>
      </c>
      <c r="S34" s="775" t="e">
        <f t="shared" si="10"/>
        <v>#N/A</v>
      </c>
      <c r="T34" s="774" t="s">
        <v>17</v>
      </c>
      <c r="U34" s="775" t="e">
        <f t="shared" si="11"/>
        <v>#N/A</v>
      </c>
      <c r="V34" s="774" t="s">
        <v>17</v>
      </c>
      <c r="W34" s="775" t="e">
        <f t="shared" si="12"/>
        <v>#N/A</v>
      </c>
      <c r="X34" s="1813"/>
      <c r="Y34" s="3189"/>
      <c r="Z34" s="1814" t="str">
        <f t="shared" si="13"/>
        <v>宗地面积</v>
      </c>
      <c r="AA34" s="1811" t="e">
        <f t="shared" si="3"/>
        <v>#N/A</v>
      </c>
      <c r="AB34" s="1811" t="e">
        <f t="shared" si="4"/>
        <v>#N/A</v>
      </c>
      <c r="AC34" s="1811" t="e">
        <f t="shared" si="5"/>
        <v>#N/A</v>
      </c>
    </row>
    <row r="35" spans="1:29" ht="15">
      <c r="A35" s="472"/>
      <c r="B35" s="422" t="s">
        <v>2745</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89"/>
      <c r="Q35" s="1810" t="str">
        <f t="shared" ref="Q35:Q40" si="14">B35</f>
        <v>宗地形状</v>
      </c>
      <c r="R35" s="774" t="s">
        <v>17</v>
      </c>
      <c r="S35" s="775">
        <f t="shared" si="10"/>
        <v>100</v>
      </c>
      <c r="T35" s="774" t="s">
        <v>17</v>
      </c>
      <c r="U35" s="775">
        <f t="shared" si="11"/>
        <v>100</v>
      </c>
      <c r="V35" s="774" t="s">
        <v>17</v>
      </c>
      <c r="W35" s="775">
        <f t="shared" si="12"/>
        <v>100</v>
      </c>
      <c r="X35" s="1813"/>
      <c r="Y35" s="3189"/>
      <c r="Z35" s="1814" t="str">
        <f t="shared" si="13"/>
        <v>宗地形状</v>
      </c>
      <c r="AA35" s="1811">
        <f t="shared" si="3"/>
        <v>1</v>
      </c>
      <c r="AB35" s="1811">
        <f t="shared" si="4"/>
        <v>1</v>
      </c>
      <c r="AC35" s="1811">
        <f t="shared" si="5"/>
        <v>1</v>
      </c>
    </row>
    <row r="36" spans="1:29" s="117" customFormat="1" ht="15">
      <c r="A36" s="473"/>
      <c r="B36" s="422" t="s">
        <v>2747</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89"/>
      <c r="Q36" s="1810" t="str">
        <f t="shared" si="14"/>
        <v>宗地开发程度</v>
      </c>
      <c r="R36" s="770" t="s">
        <v>17</v>
      </c>
      <c r="S36" s="771">
        <f t="shared" si="10"/>
        <v>100</v>
      </c>
      <c r="T36" s="770" t="s">
        <v>17</v>
      </c>
      <c r="U36" s="771">
        <f t="shared" si="11"/>
        <v>100</v>
      </c>
      <c r="V36" s="770" t="s">
        <v>17</v>
      </c>
      <c r="W36" s="771">
        <f t="shared" si="12"/>
        <v>100</v>
      </c>
      <c r="X36" s="772"/>
      <c r="Y36" s="3189"/>
      <c r="Z36" s="55" t="str">
        <f t="shared" si="13"/>
        <v>宗地开发程度</v>
      </c>
      <c r="AA36" s="773">
        <f t="shared" si="3"/>
        <v>1</v>
      </c>
      <c r="AB36" s="773">
        <f t="shared" si="4"/>
        <v>1</v>
      </c>
      <c r="AC36" s="773">
        <f t="shared" si="5"/>
        <v>1</v>
      </c>
    </row>
    <row r="37" spans="1:29" ht="15">
      <c r="A37" s="472"/>
      <c r="B37" s="422" t="s">
        <v>2748</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89" t="s">
        <v>2558</v>
      </c>
      <c r="Q37" s="1810" t="str">
        <f t="shared" si="14"/>
        <v>工程地质条件</v>
      </c>
      <c r="R37" s="774" t="s">
        <v>17</v>
      </c>
      <c r="S37" s="775">
        <f t="shared" si="10"/>
        <v>100</v>
      </c>
      <c r="T37" s="774" t="s">
        <v>17</v>
      </c>
      <c r="U37" s="775">
        <f t="shared" si="11"/>
        <v>100</v>
      </c>
      <c r="V37" s="774" t="s">
        <v>17</v>
      </c>
      <c r="W37" s="775">
        <f t="shared" si="12"/>
        <v>100</v>
      </c>
      <c r="X37" s="1813"/>
      <c r="Y37" s="3189" t="s">
        <v>2558</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9"/>
      <c r="Q38" s="1810">
        <f t="shared" si="14"/>
        <v>111</v>
      </c>
      <c r="R38" s="774" t="s">
        <v>17</v>
      </c>
      <c r="S38" s="775">
        <f t="shared" si="10"/>
        <v>100</v>
      </c>
      <c r="T38" s="774" t="s">
        <v>17</v>
      </c>
      <c r="U38" s="775">
        <f t="shared" si="11"/>
        <v>100</v>
      </c>
      <c r="V38" s="774" t="s">
        <v>17</v>
      </c>
      <c r="W38" s="775">
        <f t="shared" si="12"/>
        <v>100</v>
      </c>
      <c r="X38" s="1813"/>
      <c r="Y38" s="318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9"/>
      <c r="Q39" s="1810">
        <f t="shared" si="14"/>
        <v>111</v>
      </c>
      <c r="R39" s="774" t="s">
        <v>17</v>
      </c>
      <c r="S39" s="775">
        <f t="shared" si="10"/>
        <v>100</v>
      </c>
      <c r="T39" s="774" t="s">
        <v>17</v>
      </c>
      <c r="U39" s="775">
        <f t="shared" si="11"/>
        <v>100</v>
      </c>
      <c r="V39" s="774" t="s">
        <v>17</v>
      </c>
      <c r="W39" s="775">
        <f t="shared" si="12"/>
        <v>100</v>
      </c>
      <c r="X39" s="1813"/>
      <c r="Y39" s="3189"/>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9"/>
      <c r="Q40" s="1810">
        <f t="shared" si="14"/>
        <v>111</v>
      </c>
      <c r="R40" s="777" t="s">
        <v>17</v>
      </c>
      <c r="S40" s="778">
        <f t="shared" si="10"/>
        <v>100</v>
      </c>
      <c r="T40" s="777" t="s">
        <v>17</v>
      </c>
      <c r="U40" s="778">
        <f t="shared" si="11"/>
        <v>100</v>
      </c>
      <c r="V40" s="777" t="s">
        <v>17</v>
      </c>
      <c r="W40" s="778">
        <f t="shared" si="12"/>
        <v>100</v>
      </c>
      <c r="X40" s="779"/>
      <c r="Y40" s="3189"/>
      <c r="Z40" s="780">
        <f t="shared" si="13"/>
        <v>111</v>
      </c>
      <c r="AA40" s="1811">
        <f t="shared" si="3"/>
        <v>1</v>
      </c>
      <c r="AB40" s="1811">
        <f t="shared" si="4"/>
        <v>1</v>
      </c>
      <c r="AC40" s="1811">
        <f t="shared" si="5"/>
        <v>1</v>
      </c>
    </row>
    <row r="41" spans="1:29" ht="15">
      <c r="A41" s="479" t="s">
        <v>2713</v>
      </c>
      <c r="B41" s="2703" t="s">
        <v>2793</v>
      </c>
      <c r="C41" s="682" t="s">
        <v>1</v>
      </c>
      <c r="D41" s="481"/>
      <c r="E41" s="482"/>
      <c r="F41" s="483"/>
      <c r="G41" s="484"/>
      <c r="H41" s="485"/>
      <c r="I41" s="482"/>
      <c r="J41" s="485"/>
      <c r="K41" s="783"/>
      <c r="L41" s="1143"/>
      <c r="M41" s="1131"/>
      <c r="N41" s="1131"/>
      <c r="O41" s="1144"/>
      <c r="P41" s="3171" t="str">
        <f>A41</f>
        <v>成交单价</v>
      </c>
      <c r="Q41" s="3171"/>
      <c r="R41" s="3184">
        <f>E41</f>
        <v>0</v>
      </c>
      <c r="S41" s="3184"/>
      <c r="T41" s="3184">
        <f>G41</f>
        <v>0</v>
      </c>
      <c r="U41" s="3184"/>
      <c r="V41" s="3184">
        <f>I41</f>
        <v>0</v>
      </c>
      <c r="W41" s="3184"/>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3"/>
      <c r="M42" s="1131"/>
      <c r="N42" s="1131"/>
      <c r="O42" s="1144"/>
      <c r="P42" s="3171" t="str">
        <f>A42</f>
        <v>比较价值（元/平方米）</v>
      </c>
      <c r="Q42" s="3171"/>
      <c r="R42" s="3245" t="e">
        <f>ROUND(PRODUCT(R41,AA7:AA40),0)</f>
        <v>#DIV/0!</v>
      </c>
      <c r="S42" s="3245"/>
      <c r="T42" s="3245" t="e">
        <f>ROUND(PRODUCT(T41,AB7:AB40),0)</f>
        <v>#DIV/0!</v>
      </c>
      <c r="U42" s="3245"/>
      <c r="V42" s="3245" t="e">
        <f>ROUND(PRODUCT(V41,AC7:AC40),0)</f>
        <v>#DIV/0!</v>
      </c>
      <c r="W42" s="3245"/>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3"/>
      <c r="M43" s="1131"/>
      <c r="N43" s="1131"/>
      <c r="O43" s="1144"/>
      <c r="P43" s="3192" t="str">
        <f>A43</f>
        <v>估价对象XX用房的比较价值（楼面单价，元/平方米）</v>
      </c>
      <c r="Q43" s="3193"/>
      <c r="R43" s="3246" t="e">
        <f>ROUND(AVERAGE(R42:V42),0)</f>
        <v>#DIV/0!</v>
      </c>
      <c r="S43" s="3246"/>
      <c r="T43" s="3246"/>
      <c r="U43" s="3246"/>
      <c r="V43" s="3246"/>
      <c r="W43" s="324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4" t="s">
        <v>2753</v>
      </c>
      <c r="D50" s="2705" t="s">
        <v>2754</v>
      </c>
      <c r="E50" s="686" t="s">
        <v>2755</v>
      </c>
      <c r="F50" s="687" t="s">
        <v>2756</v>
      </c>
      <c r="G50" s="3172" t="s">
        <v>2757</v>
      </c>
      <c r="H50" s="3247"/>
      <c r="I50" s="1814" t="s">
        <v>2794</v>
      </c>
      <c r="J50" s="1814">
        <f>项目基本情况!F35</f>
        <v>0</v>
      </c>
      <c r="K50" s="2707" t="s">
        <v>2759</v>
      </c>
      <c r="L50" s="1106"/>
      <c r="M50" s="1144"/>
      <c r="N50" s="1144"/>
      <c r="O50" s="1144"/>
    </row>
    <row r="51" spans="1:17" s="692" customFormat="1">
      <c r="A51" s="688" t="s">
        <v>2760</v>
      </c>
      <c r="B51" s="689" t="e">
        <f>C43</f>
        <v>#DIV/0!</v>
      </c>
      <c r="C51" s="690">
        <v>1</v>
      </c>
      <c r="D51" s="1163">
        <v>1</v>
      </c>
      <c r="E51" s="690">
        <f>'数据-汇总表'!E8+'数据-汇总表'!E9</f>
        <v>5775.17</v>
      </c>
      <c r="F51" s="691" t="e">
        <f t="shared" ref="F51:F60" si="15">ROUND(B51*E51/10000,0)</f>
        <v>#DIV/0!</v>
      </c>
      <c r="G51" s="3224"/>
      <c r="H51" s="3171"/>
      <c r="I51" s="942">
        <v>1</v>
      </c>
      <c r="J51" s="942">
        <v>1</v>
      </c>
      <c r="K51" s="1145"/>
      <c r="L51" s="941"/>
      <c r="M51" s="941"/>
      <c r="N51" s="941"/>
      <c r="O51" s="941"/>
    </row>
    <row r="52" spans="1:17" s="692" customFormat="1">
      <c r="A52" s="693" t="s">
        <v>2761</v>
      </c>
      <c r="B52" s="262" t="e">
        <f>ROUND($C$43*C52*D52,0)</f>
        <v>#DIV/0!</v>
      </c>
      <c r="C52" s="200">
        <f t="shared" ref="C52:C60" si="16">IF($C$50="北京市系数",I52,J52)</f>
        <v>0</v>
      </c>
      <c r="D52" s="1164">
        <v>0.25</v>
      </c>
      <c r="E52" s="694"/>
      <c r="F52" s="691" t="e">
        <f t="shared" si="15"/>
        <v>#DIV/0!</v>
      </c>
      <c r="G52" s="3248" t="s">
        <v>2762</v>
      </c>
      <c r="H52" s="1104">
        <f>项目基本情况!B37</f>
        <v>0</v>
      </c>
      <c r="I52" s="942">
        <f>SUMIF(修正!A45:A56,H52,修正!B45:B56)</f>
        <v>0</v>
      </c>
      <c r="J52" s="943"/>
      <c r="K52" s="1144"/>
      <c r="L52" s="941"/>
      <c r="M52" s="941"/>
      <c r="N52" s="941"/>
      <c r="O52" s="941"/>
    </row>
    <row r="53" spans="1:17" s="692" customFormat="1">
      <c r="A53" s="693" t="s">
        <v>2763</v>
      </c>
      <c r="B53" s="262" t="e">
        <f t="shared" ref="B53:B60" si="17">ROUND($C$43*C53*D53,0)</f>
        <v>#DIV/0!</v>
      </c>
      <c r="C53" s="200">
        <f t="shared" si="16"/>
        <v>0</v>
      </c>
      <c r="D53" s="1164">
        <v>0.25</v>
      </c>
      <c r="E53" s="694"/>
      <c r="F53" s="691" t="e">
        <f t="shared" si="15"/>
        <v>#DIV/0!</v>
      </c>
      <c r="G53" s="3248"/>
      <c r="H53" s="1104">
        <f>项目基本情况!B37</f>
        <v>0</v>
      </c>
      <c r="I53" s="942">
        <f>SUMIF(修正!A45:A56,H53,修正!C45:C56)</f>
        <v>0</v>
      </c>
      <c r="J53" s="943"/>
      <c r="K53" s="1145"/>
      <c r="L53" s="941"/>
      <c r="M53" s="941"/>
      <c r="N53" s="941"/>
      <c r="O53" s="941"/>
    </row>
    <row r="54" spans="1:17" s="692" customFormat="1">
      <c r="A54" s="693" t="s">
        <v>2764</v>
      </c>
      <c r="B54" s="262" t="e">
        <f t="shared" si="17"/>
        <v>#DIV/0!</v>
      </c>
      <c r="C54" s="200">
        <f t="shared" si="16"/>
        <v>0</v>
      </c>
      <c r="D54" s="1164">
        <v>0.25</v>
      </c>
      <c r="E54" s="694"/>
      <c r="F54" s="691" t="e">
        <f t="shared" si="15"/>
        <v>#DIV/0!</v>
      </c>
      <c r="G54" s="3248"/>
      <c r="H54" s="1104">
        <f>项目基本情况!B37</f>
        <v>0</v>
      </c>
      <c r="I54" s="942">
        <f>SUMIF(修正!A45:A56,H54,修正!D45:D56)</f>
        <v>0</v>
      </c>
      <c r="J54" s="943"/>
      <c r="K54" s="1144"/>
      <c r="L54" s="941"/>
      <c r="M54" s="941"/>
      <c r="N54" s="941"/>
      <c r="O54" s="941"/>
    </row>
    <row r="55" spans="1:17" s="692" customFormat="1">
      <c r="A55" s="693" t="s">
        <v>2765</v>
      </c>
      <c r="B55" s="262" t="e">
        <f t="shared" si="17"/>
        <v>#DIV/0!</v>
      </c>
      <c r="C55" s="200">
        <f t="shared" si="16"/>
        <v>0</v>
      </c>
      <c r="D55" s="1164">
        <v>0.25</v>
      </c>
      <c r="E55" s="694"/>
      <c r="F55" s="691" t="e">
        <f t="shared" si="15"/>
        <v>#DIV/0!</v>
      </c>
      <c r="G55" s="3248"/>
      <c r="H55" s="1104">
        <f>项目基本情况!B37</f>
        <v>0</v>
      </c>
      <c r="I55" s="942">
        <f>SUMIF(修正!A45:A56,H55,修正!E45:E56)</f>
        <v>0</v>
      </c>
      <c r="J55" s="943"/>
      <c r="K55" s="1145"/>
      <c r="L55" s="941"/>
      <c r="M55" s="941"/>
      <c r="N55" s="941"/>
      <c r="O55" s="941"/>
    </row>
    <row r="56" spans="1:17" s="692" customFormat="1">
      <c r="A56" s="693" t="s">
        <v>2766</v>
      </c>
      <c r="B56" s="262" t="e">
        <f t="shared" si="17"/>
        <v>#DIV/0!</v>
      </c>
      <c r="C56" s="200">
        <f t="shared" si="16"/>
        <v>0</v>
      </c>
      <c r="D56" s="1164">
        <v>0.25</v>
      </c>
      <c r="E56" s="261">
        <f>'数据-汇总表'!E11</f>
        <v>0</v>
      </c>
      <c r="F56" s="691" t="e">
        <f t="shared" si="15"/>
        <v>#DIV/0!</v>
      </c>
      <c r="G56" s="2708" t="s">
        <v>2767</v>
      </c>
      <c r="H56" s="1104">
        <f>项目基本情况!C37</f>
        <v>0</v>
      </c>
      <c r="I56" s="942">
        <f>SUMIF(修正!A45:A56,H56,修正!F45:F56)</f>
        <v>0</v>
      </c>
      <c r="J56" s="943"/>
      <c r="K56" s="1144"/>
      <c r="L56" s="941"/>
      <c r="M56" s="941"/>
      <c r="N56" s="941"/>
      <c r="O56" s="941"/>
    </row>
    <row r="57" spans="1:17" s="692" customFormat="1">
      <c r="A57" s="693" t="s">
        <v>2768</v>
      </c>
      <c r="B57" s="262" t="e">
        <f t="shared" si="17"/>
        <v>#DIV/0!</v>
      </c>
      <c r="C57" s="200">
        <f t="shared" si="16"/>
        <v>0</v>
      </c>
      <c r="D57" s="1164">
        <v>0.25</v>
      </c>
      <c r="E57" s="261">
        <f>'数据-汇总表'!E12</f>
        <v>0</v>
      </c>
      <c r="F57" s="691" t="e">
        <f t="shared" si="15"/>
        <v>#DIV/0!</v>
      </c>
      <c r="G57" s="1109" t="s">
        <v>2769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2770</v>
      </c>
      <c r="B58" s="262" t="e">
        <f t="shared" si="17"/>
        <v>#DIV/0!</v>
      </c>
      <c r="C58" s="200">
        <f t="shared" si="16"/>
        <v>0</v>
      </c>
      <c r="D58" s="1164">
        <v>0.25</v>
      </c>
      <c r="E58" s="261">
        <f>'数据-汇总表'!E13</f>
        <v>0</v>
      </c>
      <c r="F58" s="691"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7"/>
        <v>#DIV/0!</v>
      </c>
      <c r="C59" s="200">
        <f t="shared" si="16"/>
        <v>0</v>
      </c>
      <c r="D59" s="1164">
        <v>0.25</v>
      </c>
      <c r="E59" s="261">
        <f>'数据-汇总表'!E14</f>
        <v>0</v>
      </c>
      <c r="F59" s="691" t="e">
        <f t="shared" si="15"/>
        <v>#DIV/0!</v>
      </c>
      <c r="G59" s="2708" t="s">
        <v>2762</v>
      </c>
      <c r="H59" s="1104">
        <f>项目基本情况!B37</f>
        <v>0</v>
      </c>
      <c r="I59" s="942">
        <f>SUMIF(修正!A45:A56,H59,修正!H45:H56)</f>
        <v>0</v>
      </c>
      <c r="J59" s="943"/>
      <c r="K59" s="1145"/>
      <c r="L59" s="941"/>
      <c r="M59" s="941"/>
      <c r="N59" s="941"/>
      <c r="O59" s="941"/>
    </row>
    <row r="60" spans="1:17" s="692" customFormat="1" ht="15" thickBot="1">
      <c r="A60" s="693" t="s">
        <v>2773</v>
      </c>
      <c r="B60" s="262" t="e">
        <f t="shared" si="17"/>
        <v>#DIV/0!</v>
      </c>
      <c r="C60" s="200">
        <f t="shared" si="16"/>
        <v>0</v>
      </c>
      <c r="D60" s="1164">
        <v>0.25</v>
      </c>
      <c r="E60" s="261">
        <f>'数据-汇总表'!E15</f>
        <v>0</v>
      </c>
      <c r="F60" s="691" t="e">
        <f t="shared" si="15"/>
        <v>#DIV/0!</v>
      </c>
      <c r="G60" s="2709" t="s">
        <v>2767</v>
      </c>
      <c r="H60" s="1114">
        <f>项目基本情况!C37</f>
        <v>0</v>
      </c>
      <c r="I60" s="942">
        <f>SUMIF(修正!A45:A56,H60,修正!H45:H56)</f>
        <v>0</v>
      </c>
      <c r="J60" s="943"/>
      <c r="K60" s="1144"/>
      <c r="L60" s="941"/>
      <c r="M60" s="941"/>
      <c r="N60" s="941"/>
      <c r="O60" s="941"/>
    </row>
    <row r="61" spans="1:17" s="692" customFormat="1" ht="15" thickBot="1">
      <c r="A61" s="695" t="s">
        <v>2774</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2667</v>
      </c>
      <c r="B64" s="759"/>
      <c r="C64" s="764"/>
      <c r="D64" s="764"/>
      <c r="E64" s="764"/>
      <c r="F64" s="765"/>
      <c r="G64" s="765"/>
      <c r="H64" s="764"/>
      <c r="I64" s="764"/>
      <c r="J64" s="764"/>
      <c r="K64" s="766"/>
      <c r="L64" s="767"/>
      <c r="M64" s="764"/>
      <c r="N64" s="764"/>
      <c r="O64" s="1159"/>
      <c r="P64" s="503"/>
      <c r="Q64" s="504"/>
    </row>
    <row r="65" spans="1:17" s="508" customFormat="1" ht="15">
      <c r="A65" s="2710" t="s">
        <v>2775</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5" t="s">
        <v>2795</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2581</v>
      </c>
      <c r="B70" s="528" t="s">
        <v>2547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2797</v>
      </c>
      <c r="B1" s="241"/>
      <c r="C1" s="245" t="s">
        <v>2798</v>
      </c>
      <c r="D1" s="388">
        <f>SUM(D29:D30,D33:D39)</f>
        <v>0</v>
      </c>
      <c r="E1" s="2716"/>
      <c r="F1" s="2716"/>
      <c r="G1" s="2716"/>
      <c r="H1" s="2716"/>
      <c r="I1" s="2716"/>
      <c r="J1" s="2716"/>
      <c r="K1" s="1370"/>
      <c r="L1" s="2717" t="s">
        <v>2799</v>
      </c>
      <c r="M1" s="1080">
        <f>SUMPRODUCT((区片价!B5:B9=I2)*(区片价!C3:F3=E2)*(区片价!C5:F9))</f>
        <v>0</v>
      </c>
      <c r="N1" s="1083">
        <f>SUMPRODUCT((因素修正幅度!B5:B9=I2)*(因素修正幅度!C3:F3=E2)*(因素修正幅度!C5:F9))</f>
        <v>0</v>
      </c>
      <c r="O1" s="2718"/>
      <c r="P1" s="2718"/>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5" t="s">
        <v>2805</v>
      </c>
      <c r="B2" s="248" t="e">
        <f>C26</f>
        <v>#DIV/0!</v>
      </c>
      <c r="C2" s="2720" t="s">
        <v>2806</v>
      </c>
      <c r="D2" s="2721" t="s">
        <v>2807</v>
      </c>
      <c r="E2" s="2722"/>
      <c r="F2" s="2721" t="s">
        <v>2808</v>
      </c>
      <c r="G2" s="2723">
        <f>IF(E2="商业",项目基本情况!B37,IF(E2="办公",项目基本情况!C37,IF(E2="住宅",项目基本情况!D37,项目基本情况!E37)))</f>
        <v>0</v>
      </c>
      <c r="H2" s="2721" t="s">
        <v>2809</v>
      </c>
      <c r="I2" s="2723">
        <f>IF(E2="商业",项目基本情况!B38,IF(E2="办公",项目基本情况!C38,IF(E2="住宅",项目基本情况!D38,项目基本情况!E38)))</f>
        <v>0</v>
      </c>
      <c r="J2" s="2724"/>
      <c r="K2" s="1370"/>
      <c r="L2" s="2725" t="s">
        <v>2810</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2811</v>
      </c>
      <c r="B3" s="248" t="e">
        <f>ROUND(B2*10000/D1,0)</f>
        <v>#DIV/0!</v>
      </c>
      <c r="C3" s="2720" t="s">
        <v>2812</v>
      </c>
      <c r="D3" s="2721" t="s">
        <v>2813</v>
      </c>
      <c r="E3" s="2726"/>
      <c r="F3" s="2727" t="s">
        <v>2814</v>
      </c>
      <c r="G3" s="916" t="e">
        <f>IF(F3="宗地容积率",'数据-汇总表'!I4,IF(F3="估价对象容积率",'数据-汇总表'!I6,'数据-汇总表'!I7))</f>
        <v>#DIV/0!</v>
      </c>
      <c r="H3" s="198" t="s">
        <v>2815</v>
      </c>
      <c r="I3" s="944"/>
      <c r="J3" s="2724" t="s">
        <v>2816</v>
      </c>
      <c r="K3" s="1370"/>
      <c r="L3" s="2725" t="s">
        <v>2817</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69"/>
      <c r="B4" s="3270"/>
      <c r="C4" s="3270"/>
      <c r="D4" s="3271"/>
      <c r="E4" s="3271"/>
      <c r="F4" s="3271"/>
      <c r="G4" s="3271"/>
      <c r="H4" s="3271"/>
      <c r="I4" s="3271"/>
      <c r="J4" s="3272"/>
      <c r="K4" s="1370"/>
      <c r="L4" s="2725" t="s">
        <v>2818</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2819</v>
      </c>
      <c r="C5" s="917" t="e">
        <f>ROUND(IF(E2="商业",C6*C7+C16,(IF(E2="住宅",C6*C12+C16,C6+C16))),0)</f>
        <v>#DIV/0!</v>
      </c>
      <c r="D5" s="1787" t="e">
        <f>ROUND(C6+C16,0)</f>
        <v>#DIV/0!</v>
      </c>
      <c r="E5" s="1787"/>
      <c r="F5" s="2730"/>
      <c r="G5" s="2731"/>
      <c r="H5" s="2731"/>
      <c r="I5" s="2731"/>
      <c r="J5" s="2732"/>
      <c r="K5" s="2733"/>
      <c r="L5" s="2725" t="s">
        <v>2820</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2821</v>
      </c>
      <c r="B6" s="2739" t="s">
        <v>2822</v>
      </c>
      <c r="C6" s="918">
        <f>SUMIF(L1:L12,G2,M1:M12)</f>
        <v>0</v>
      </c>
      <c r="D6" s="2740" t="s">
        <v>2823</v>
      </c>
      <c r="E6" s="2741"/>
      <c r="F6" s="2741"/>
      <c r="G6" s="2742"/>
      <c r="H6" s="2742"/>
      <c r="I6" s="2742"/>
      <c r="J6" s="2743"/>
      <c r="K6" s="1842"/>
      <c r="L6" s="2725" t="s">
        <v>2824</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53" t="str">
        <f>IF(E2="商业",IF(C8="不临58条商业街","",2),"")</f>
        <v/>
      </c>
      <c r="B7" s="2744" t="s">
        <v>2825</v>
      </c>
      <c r="C7" s="919" t="e">
        <f>IF(C8="不临58条商业街",1,ROUND(1+(1.6*E8+1.2*E9+0.8*E10+0.4*E11)*C9,4))</f>
        <v>#DIV/0!</v>
      </c>
      <c r="D7" s="2745" t="s">
        <v>2826</v>
      </c>
      <c r="E7" s="945"/>
      <c r="F7" s="2746"/>
      <c r="G7" s="2747"/>
      <c r="H7" s="2747"/>
      <c r="I7" s="2747"/>
      <c r="J7" s="2748"/>
      <c r="K7" s="1842"/>
      <c r="L7" s="2725" t="s">
        <v>2827</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2828</v>
      </c>
      <c r="X7" s="1604">
        <f>G2</f>
        <v>0</v>
      </c>
      <c r="Y7" s="1604" t="s">
        <v>2829</v>
      </c>
      <c r="Z7" s="1605" t="e">
        <f>G3</f>
        <v>#DIV/0!</v>
      </c>
      <c r="AA7" s="1606"/>
      <c r="AB7" s="1606"/>
      <c r="AC7" s="1607"/>
      <c r="AD7" s="1608"/>
      <c r="AE7" s="1608"/>
      <c r="AF7" s="1608"/>
      <c r="AG7" s="1608"/>
      <c r="AH7" s="1608"/>
      <c r="AI7" s="1608"/>
      <c r="AJ7" s="1609"/>
    </row>
    <row r="8" spans="1:36" ht="15">
      <c r="A8" s="3273"/>
      <c r="B8" s="198" t="s">
        <v>2830</v>
      </c>
      <c r="C8" s="2749"/>
      <c r="D8" s="920" t="s">
        <v>139</v>
      </c>
      <c r="E8" s="921" t="e">
        <f>ROUND(C11/E7,4)</f>
        <v>#DIV/0!</v>
      </c>
      <c r="F8" s="2750" t="s">
        <v>2831</v>
      </c>
      <c r="G8" s="2751"/>
      <c r="H8" s="2751"/>
      <c r="I8" s="2751"/>
      <c r="J8" s="2752"/>
      <c r="K8" s="1370"/>
      <c r="L8" s="2725" t="s">
        <v>2832</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6" t="s">
        <v>2833</v>
      </c>
      <c r="X8" s="3267"/>
      <c r="Y8" s="1610" t="s">
        <v>2834</v>
      </c>
      <c r="Z8" s="1610" t="s">
        <v>2835</v>
      </c>
      <c r="AA8" s="1610" t="s">
        <v>2836</v>
      </c>
      <c r="AB8" s="1610" t="s">
        <v>2837</v>
      </c>
      <c r="AC8" s="1610" t="s">
        <v>2838</v>
      </c>
      <c r="AD8" s="1610" t="s">
        <v>2839</v>
      </c>
      <c r="AE8" s="1610" t="s">
        <v>2840</v>
      </c>
      <c r="AF8" s="1610" t="s">
        <v>2841</v>
      </c>
      <c r="AG8" s="1610" t="s">
        <v>2842</v>
      </c>
      <c r="AH8" s="1610" t="s">
        <v>2843</v>
      </c>
      <c r="AI8" s="1610" t="s">
        <v>2844</v>
      </c>
      <c r="AJ8" s="1610" t="s">
        <v>2845</v>
      </c>
    </row>
    <row r="9" spans="1:36" ht="15">
      <c r="A9" s="3273"/>
      <c r="B9" s="198" t="s">
        <v>2846</v>
      </c>
      <c r="C9" s="922">
        <f>SUMIF(修正!C59:C119,C8,修正!E59:E119)</f>
        <v>0</v>
      </c>
      <c r="D9" s="200" t="s">
        <v>140</v>
      </c>
      <c r="E9" s="200" t="e">
        <f>ROUND(C11/E7,4)</f>
        <v>#DIV/0!</v>
      </c>
      <c r="F9" s="2750" t="s">
        <v>2847</v>
      </c>
      <c r="G9" s="2751"/>
      <c r="H9" s="2751"/>
      <c r="I9" s="2751"/>
      <c r="J9" s="2752"/>
      <c r="K9" s="1370"/>
      <c r="L9" s="2725" t="s">
        <v>2848</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68" t="s">
        <v>2849</v>
      </c>
      <c r="X9" s="1611" t="s">
        <v>2850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3"/>
      <c r="B10" s="198" t="s">
        <v>2851</v>
      </c>
      <c r="C10" s="200">
        <f>SUMIF(修正!C59:C119,C8,修正!F59:F119)</f>
        <v>0</v>
      </c>
      <c r="D10" s="200" t="s">
        <v>141</v>
      </c>
      <c r="E10" s="200" t="e">
        <f>ROUND(C11/E7,4)</f>
        <v>#DIV/0!</v>
      </c>
      <c r="F10" s="2750" t="s">
        <v>2852</v>
      </c>
      <c r="G10" s="2751"/>
      <c r="H10" s="2751"/>
      <c r="I10" s="2751"/>
      <c r="J10" s="2752"/>
      <c r="K10" s="1370"/>
      <c r="L10" s="2725" t="s">
        <v>2853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6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3"/>
      <c r="B11" s="2753" t="s">
        <v>2854</v>
      </c>
      <c r="C11" s="923">
        <f>C10/4</f>
        <v>0</v>
      </c>
      <c r="D11" s="923" t="s">
        <v>142</v>
      </c>
      <c r="E11" s="923" t="e">
        <f>ROUND(C11/E7,4)</f>
        <v>#DIV/0!</v>
      </c>
      <c r="F11" s="2754" t="s">
        <v>2855</v>
      </c>
      <c r="G11" s="2755"/>
      <c r="H11" s="2755"/>
      <c r="I11" s="2755"/>
      <c r="J11" s="2756"/>
      <c r="K11" s="1370"/>
      <c r="L11" s="2725" t="s">
        <v>2856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68" t="s">
        <v>2857</v>
      </c>
      <c r="X11" s="1614" t="s">
        <v>2858</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53" t="s">
        <v>2859</v>
      </c>
      <c r="B12" s="2757" t="s">
        <v>2860</v>
      </c>
      <c r="C12" s="919">
        <f>ROUND(C15*D15*E15*F15*G15*H15*I15*J15,4)</f>
        <v>1</v>
      </c>
      <c r="D12" s="2758" t="s">
        <v>2861</v>
      </c>
      <c r="E12" s="2759"/>
      <c r="F12" s="2759"/>
      <c r="G12" s="2760"/>
      <c r="H12" s="2760"/>
      <c r="I12" s="2760"/>
      <c r="J12" s="2761"/>
      <c r="K12" s="1370"/>
      <c r="L12" s="2762" t="s">
        <v>2862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68"/>
      <c r="X12" s="1616" t="s">
        <v>2863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4"/>
      <c r="B13" s="2763" t="s">
        <v>2864</v>
      </c>
      <c r="C13" s="2764" t="s">
        <v>2865</v>
      </c>
      <c r="D13" s="1808" t="s">
        <v>2866</v>
      </c>
      <c r="E13" s="1808" t="s">
        <v>2867</v>
      </c>
      <c r="F13" s="30" t="s">
        <v>2868</v>
      </c>
      <c r="G13" s="2765" t="s">
        <v>2869</v>
      </c>
      <c r="H13" s="2765" t="s">
        <v>2869</v>
      </c>
      <c r="I13" s="2765" t="s">
        <v>2869</v>
      </c>
      <c r="J13" s="2766" t="s">
        <v>2869</v>
      </c>
      <c r="K13" s="1370"/>
      <c r="L13" s="1370"/>
      <c r="M13" s="1370"/>
      <c r="N13" s="1370"/>
      <c r="O13" s="1370"/>
      <c r="P13" s="1370"/>
      <c r="Q13" s="1370"/>
      <c r="R13" s="1602">
        <v>12</v>
      </c>
      <c r="S13" s="1603"/>
      <c r="T13" s="1602" t="e">
        <f t="shared" si="0"/>
        <v>#DIV/0!</v>
      </c>
      <c r="U13" s="1603"/>
      <c r="V13" s="1602" t="e">
        <f t="shared" si="1"/>
        <v>#DIV/0!</v>
      </c>
      <c r="W13" s="3268"/>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74"/>
      <c r="B14" s="2767"/>
      <c r="C14" s="2768"/>
      <c r="D14" s="2769"/>
      <c r="E14" s="2769"/>
      <c r="F14" s="2770"/>
      <c r="G14" s="2771" t="s">
        <v>2870</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5"/>
      <c r="B15" s="2775" t="s">
        <v>2871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3" t="s">
        <v>2876</v>
      </c>
      <c r="B16" s="2744" t="s">
        <v>2877</v>
      </c>
      <c r="C16" s="2931" t="e">
        <f>ROUND(IF(F17="与级别开发程度一致",0,(G17-E17)/C17),0)</f>
        <v>#DIV/0!</v>
      </c>
      <c r="D16" s="3264" t="s">
        <v>2881</v>
      </c>
      <c r="E16" s="3265"/>
      <c r="F16" s="3264" t="s">
        <v>2878</v>
      </c>
      <c r="G16" s="3265"/>
      <c r="H16" s="2778"/>
      <c r="I16" s="2778"/>
      <c r="J16" s="2935"/>
      <c r="K16" s="2778"/>
      <c r="L16" s="2778"/>
      <c r="M16" s="2778"/>
      <c r="N16" s="2778"/>
      <c r="O16" s="2779"/>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4"/>
      <c r="B17" s="2942" t="s">
        <v>2880</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2883</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2884</v>
      </c>
      <c r="C19" s="924" t="e">
        <f>ROUND(IF(H19="按公示增长率计算",SUMPRODUCT((地价!A3:A27=YEAR(G19)&amp;"-"&amp;ROUNDUP(MONTH(G19)/3,0))*(地价!X2:AB2=E2)*(地价!X3:AB27)),IF(H19="地价指数",M20/M19,(1+I19)^O19)),4)</f>
        <v>#VALUE!</v>
      </c>
      <c r="D19" s="2788" t="s">
        <v>2885</v>
      </c>
      <c r="E19" s="925">
        <v>41640</v>
      </c>
      <c r="F19" s="2788" t="s">
        <v>2886</v>
      </c>
      <c r="G19" s="926">
        <f>'数据-取费表'!B2</f>
        <v>43782</v>
      </c>
      <c r="H19" s="2789"/>
      <c r="I19" s="927" t="str">
        <f>IF(H19="季度增幅（自定义）",SUMIF(N21:N24,E2,O21:O24),"")</f>
        <v/>
      </c>
      <c r="J19" s="2786"/>
      <c r="K19" s="1377"/>
      <c r="L19" s="2790" t="s">
        <v>2887</v>
      </c>
      <c r="M19" s="1734">
        <f>ROUND(SUMIF(地价!B2:F2,E2,地价!B27:F27),0)</f>
        <v>0</v>
      </c>
      <c r="N19" s="2791" t="s">
        <v>2888</v>
      </c>
      <c r="O19" s="928">
        <f>ROUNDDOWN(DATEDIF(E19,G19,"M")/3,0)</f>
        <v>23</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2889</v>
      </c>
      <c r="C20" s="929" t="e">
        <f>ROUND(POWER(1+G20,J20-I20)*(POWER(1+G20,I20)-1)/(POWER(1+G20,J20)-1),4)</f>
        <v>#DIV/0!</v>
      </c>
      <c r="D20" s="2797" t="s">
        <v>2890</v>
      </c>
      <c r="E20" s="1768">
        <f ca="1">存贷款利率!D4/100</f>
        <v>4.3499999999999997E-2</v>
      </c>
      <c r="F20" s="2797" t="s">
        <v>2882</v>
      </c>
      <c r="G20" s="934">
        <f>SUMIF(M26:P26,E2,M28:P28)</f>
        <v>0</v>
      </c>
      <c r="H20" s="2797" t="s">
        <v>2891</v>
      </c>
      <c r="I20" s="935" t="e">
        <f>SUMIF('数据-取费表'!C6:C15,E2,'数据-取费表'!F6:F15)/COUNTIF('数据-取费表'!C6:C15,E2)</f>
        <v>#DIV/0!</v>
      </c>
      <c r="J20" s="936">
        <f>IF(E2="住宅",70,IF(E2="商业",40,50))</f>
        <v>50</v>
      </c>
      <c r="K20" s="1377"/>
      <c r="L20" s="2798" t="s">
        <v>2892</v>
      </c>
      <c r="M20" s="1735">
        <f>ROUND(SUMPRODUCT((地价!A4:A27=YEAR(G19)&amp;"-"&amp;ROUNDUP(MONTH(G19)/3,0))*(地价!B2:F2=E2)*(地价!B4:F27)),0)</f>
        <v>0</v>
      </c>
      <c r="N20" s="2799" t="s">
        <v>2893</v>
      </c>
      <c r="O20" s="2800" t="s">
        <v>2894</v>
      </c>
      <c r="P20" s="2801" t="s">
        <v>2895</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2896</v>
      </c>
      <c r="C21" s="937" t="e">
        <f>IF(B21="容积率修正",IF(G3&lt;=10,D22,J22),C23)</f>
        <v>#DIV/0!</v>
      </c>
      <c r="D21" s="2804"/>
      <c r="E21" s="2804"/>
      <c r="F21" s="2804"/>
      <c r="G21" s="2804"/>
      <c r="H21" s="2804"/>
      <c r="I21" s="2804"/>
      <c r="J21" s="2805"/>
      <c r="K21" s="1377"/>
      <c r="N21" s="2806" t="s">
        <v>2897</v>
      </c>
      <c r="O21" s="1561"/>
      <c r="P21" s="1562">
        <f>SUMPRODUCT((地价!A3:A27=YEAR(G19)&amp;"-"&amp;ROUNDUP(MONTH(G19)/3,0))*(地价!AD2:AH2=N21)*(地价!AD3:AH27))</f>
        <v>0</v>
      </c>
      <c r="R21" s="1376"/>
      <c r="S21" s="1376"/>
      <c r="T21" s="1371"/>
      <c r="U21" s="1371"/>
      <c r="V21" s="1371"/>
      <c r="W21" s="1370"/>
      <c r="X21" s="1370"/>
      <c r="Y21" s="1370"/>
      <c r="Z21" s="1377"/>
      <c r="AA21" s="1378"/>
      <c r="AB21" s="1378"/>
      <c r="AC21" s="1378"/>
      <c r="AD21" s="1378"/>
      <c r="AE21" s="1378"/>
      <c r="AF21" s="1378"/>
    </row>
    <row r="22" spans="1:37" s="2737" customFormat="1" ht="14.25">
      <c r="A22" s="2663" t="s">
        <v>2898</v>
      </c>
      <c r="B22" s="2807" t="s">
        <v>2899</v>
      </c>
      <c r="C22" s="1810" t="s">
        <v>2900</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6" t="s">
        <v>2901</v>
      </c>
      <c r="O22" s="1561"/>
      <c r="P22" s="1562">
        <f>SUMPRODUCT((地价!A3:A27=YEAR(G19)&amp;"-"&amp;ROUNDUP(MONTH(G19)/3,0))*(地价!AD2:AH2=N22)*(地价!AD3:AH27))</f>
        <v>0</v>
      </c>
      <c r="R22" s="1376"/>
      <c r="S22" s="1376"/>
      <c r="T22" s="1371"/>
      <c r="U22" s="1371"/>
      <c r="V22" s="1371"/>
      <c r="W22" s="1370"/>
      <c r="X22" s="1370"/>
      <c r="Y22" s="1370"/>
      <c r="Z22" s="1377"/>
      <c r="AA22" s="1378"/>
      <c r="AB22" s="1378"/>
      <c r="AC22" s="1378"/>
      <c r="AD22" s="1378"/>
      <c r="AE22" s="1378"/>
      <c r="AF22" s="1378"/>
    </row>
    <row r="23" spans="1:37" ht="27.75" thickBot="1">
      <c r="A23" s="2663" t="s">
        <v>2902</v>
      </c>
      <c r="B23" s="2808" t="s">
        <v>2903</v>
      </c>
      <c r="C23" s="1013" t="e">
        <f>ROUND(IF(G3&gt;1,IF(I3&lt;7,SUMPRODUCT((B93:B98=I3)*(C92:N92=G2)*(C93:N98)),SUMIF(C92:N92,G2,C100:N100)),IF(I3&lt;7,SUMPRODUCT((B102:B107=I3)*(C92:N92=G2)*(C102:N107)),SUMIF(C92:N92,G2,C109:N109))),4)</f>
        <v>#DIV/0!</v>
      </c>
      <c r="D23" s="2772"/>
      <c r="E23" s="2772"/>
      <c r="F23" s="2809"/>
      <c r="G23" s="2810"/>
      <c r="H23" s="2811"/>
      <c r="I23" s="2812"/>
      <c r="J23" s="2813"/>
      <c r="K23" s="1370"/>
      <c r="N23" s="2806" t="s">
        <v>2904</v>
      </c>
      <c r="O23" s="1561"/>
      <c r="P23" s="1562">
        <f>SUMPRODUCT((地价!A3:A27=YEAR(G19)&amp;"-"&amp;ROUNDUP(MONTH(G19)/3,0))*(地价!AD2:AH2=N23)*(地价!AD3:AH27))</f>
        <v>0</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2905</v>
      </c>
      <c r="C24" s="924">
        <f>SUMIF(A45:A88,E2,B45:B88)</f>
        <v>0</v>
      </c>
      <c r="D24" s="2785"/>
      <c r="E24" s="2814"/>
      <c r="F24" s="2814"/>
      <c r="G24" s="2814"/>
      <c r="H24" s="2814"/>
      <c r="I24" s="2814"/>
      <c r="J24" s="2815"/>
      <c r="K24" s="1377"/>
      <c r="N24" s="2816" t="s">
        <v>2906</v>
      </c>
      <c r="O24" s="1563"/>
      <c r="P24" s="1564">
        <f>SUMPRODUCT((地价!A3:A27=YEAR(G19)&amp;"-"&amp;ROUNDUP(MONTH(G19)/3,0))*(地价!AD2:AH2=N24)*(地价!AD3:AH27))</f>
        <v>0</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2907</v>
      </c>
      <c r="C25" s="930"/>
      <c r="D25" s="2747"/>
      <c r="E25" s="2747"/>
      <c r="F25" s="2818"/>
      <c r="G25" s="2747"/>
      <c r="H25" s="2747"/>
      <c r="I25" s="2747"/>
      <c r="J25" s="2748"/>
      <c r="K25" s="1370"/>
      <c r="N25" s="2819" t="s">
        <v>2908</v>
      </c>
      <c r="O25" s="1565"/>
      <c r="P25" s="1564">
        <f>SUMPRODUCT((地价!A3:A27=YEAR(G19)&amp;"-"&amp;ROUNDUP(MONTH(G19)/3,0))*(地价!AD2:AH2=N25)*(地价!AD3:AH27))</f>
        <v>0</v>
      </c>
      <c r="R25" s="1376"/>
      <c r="S25" s="1376"/>
      <c r="T25" s="1371"/>
      <c r="U25" s="1371"/>
      <c r="V25" s="1371"/>
      <c r="W25" s="1370"/>
      <c r="X25" s="1370"/>
      <c r="Y25" s="1370"/>
      <c r="Z25" s="1377"/>
      <c r="AA25" s="1378"/>
      <c r="AB25" s="1378"/>
      <c r="AC25" s="1378"/>
      <c r="AD25" s="1378"/>
    </row>
    <row r="26" spans="1:37" ht="15">
      <c r="A26" s="2820"/>
      <c r="B26" s="2807" t="s">
        <v>2909</v>
      </c>
      <c r="C26" s="206" t="e">
        <f>E29+SUM(E33:E39)</f>
        <v>#DIV/0!</v>
      </c>
      <c r="D26" s="2821"/>
      <c r="E26" s="2772"/>
      <c r="F26" s="2822"/>
      <c r="G26" s="2772"/>
      <c r="H26" s="2772"/>
      <c r="I26" s="2772"/>
      <c r="J26" s="2823"/>
      <c r="K26" s="1370"/>
      <c r="L26" s="2776" t="s">
        <v>2807</v>
      </c>
      <c r="M26" s="920" t="s">
        <v>2872</v>
      </c>
      <c r="N26" s="920" t="s">
        <v>2873</v>
      </c>
      <c r="O26" s="920" t="s">
        <v>2874</v>
      </c>
      <c r="P26" s="2777" t="s">
        <v>2875</v>
      </c>
      <c r="R26" s="1376"/>
      <c r="S26" s="1376"/>
      <c r="T26" s="1371"/>
      <c r="U26" s="1371"/>
      <c r="V26" s="1371"/>
      <c r="W26" s="1370"/>
      <c r="X26" s="1370"/>
      <c r="Y26" s="1370"/>
      <c r="Z26" s="1377"/>
      <c r="AA26" s="1378"/>
      <c r="AB26" s="1378"/>
      <c r="AC26" s="1378"/>
      <c r="AD26" s="1378"/>
    </row>
    <row r="27" spans="1:37" ht="15.75" thickBot="1">
      <c r="A27" s="2820"/>
      <c r="B27" s="2824" t="s">
        <v>2910</v>
      </c>
      <c r="C27" s="931" t="e">
        <f>E30+SUM(I33:I39)</f>
        <v>#DIV/0!</v>
      </c>
      <c r="D27" s="2825"/>
      <c r="E27" s="2826"/>
      <c r="F27" s="2827"/>
      <c r="G27" s="2826"/>
      <c r="H27" s="2826"/>
      <c r="I27" s="2826"/>
      <c r="J27" s="2828"/>
      <c r="K27" s="1370"/>
      <c r="L27" s="2780" t="s">
        <v>2879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2911</v>
      </c>
      <c r="C28" s="2831" t="s">
        <v>2912</v>
      </c>
      <c r="D28" s="2831" t="s">
        <v>2913</v>
      </c>
      <c r="E28" s="2832" t="s">
        <v>2914</v>
      </c>
      <c r="F28" s="2833"/>
      <c r="G28" s="2760"/>
      <c r="H28" s="2760"/>
      <c r="I28" s="2760"/>
      <c r="J28" s="2761"/>
      <c r="K28" s="1370"/>
      <c r="L28" s="2781" t="s">
        <v>2882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2915</v>
      </c>
      <c r="C29" s="206" t="e">
        <f>ROUND(C5*C18*C19*C20*C21*C24,0)</f>
        <v>#DIV/0!</v>
      </c>
      <c r="D29" s="2836"/>
      <c r="E29" s="942" t="e">
        <f>ROUND(C29*D29/10000,0)</f>
        <v>#DIV/0!</v>
      </c>
      <c r="F29" s="2837" t="s">
        <v>2916</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2917</v>
      </c>
      <c r="C30" s="229" t="e">
        <f>ROUND(IF(E2="工业",C29*M39,C29*M38),0)</f>
        <v>#DIV/0!</v>
      </c>
      <c r="D30" s="2842"/>
      <c r="E30" s="942" t="e">
        <f>ROUND(C30*D30/10000,0)</f>
        <v>#DIV/0!</v>
      </c>
      <c r="F30" s="2843" t="s">
        <v>2918</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2919</v>
      </c>
      <c r="C31" s="2848" t="s">
        <v>2920</v>
      </c>
      <c r="D31" s="2760"/>
      <c r="E31" s="2848"/>
      <c r="F31" s="2848"/>
      <c r="G31" s="2758" t="s">
        <v>2921</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2912</v>
      </c>
      <c r="D32" s="498" t="s">
        <v>2913</v>
      </c>
      <c r="E32" s="498" t="s">
        <v>2914</v>
      </c>
      <c r="F32" s="388" t="s">
        <v>2922</v>
      </c>
      <c r="G32" s="2851" t="s">
        <v>2912</v>
      </c>
      <c r="H32" s="2851" t="s">
        <v>2913</v>
      </c>
      <c r="I32" s="2851"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61" t="s">
        <v>2923</v>
      </c>
      <c r="B33" s="2852" t="s">
        <v>2924</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2"/>
      <c r="B34" s="2764" t="s">
        <v>2925</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2"/>
      <c r="B35" s="2764" t="s">
        <v>2926</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263"/>
      <c r="B36" s="2764" t="s">
        <v>2927</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2928</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2929</v>
      </c>
      <c r="M37" s="2856"/>
      <c r="N37" s="1370"/>
      <c r="O37" s="1370"/>
      <c r="P37" s="1370"/>
      <c r="Q37" s="1370"/>
      <c r="R37" s="1370"/>
      <c r="S37" s="1370"/>
      <c r="T37" s="1370"/>
      <c r="U37" s="1370"/>
      <c r="V37" s="1370"/>
      <c r="W37" s="1370"/>
      <c r="X37" s="1370"/>
      <c r="Y37" s="1370"/>
      <c r="Z37" s="1371"/>
    </row>
    <row r="38" spans="1:37">
      <c r="A38" s="2854"/>
      <c r="B38" s="2764" t="s">
        <v>2930</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7" t="s">
        <v>2931</v>
      </c>
      <c r="M38" s="2857">
        <v>0.25</v>
      </c>
      <c r="N38" s="1370"/>
      <c r="O38" s="1370"/>
      <c r="P38" s="1370"/>
      <c r="Q38" s="1370"/>
      <c r="R38" s="1370"/>
      <c r="S38" s="1370"/>
      <c r="T38" s="1370"/>
      <c r="U38" s="1370"/>
      <c r="V38" s="1370"/>
      <c r="W38" s="1370"/>
      <c r="X38" s="1370"/>
      <c r="Y38" s="1370"/>
      <c r="Z38" s="1371"/>
    </row>
    <row r="39" spans="1:37" ht="13.5" thickBot="1">
      <c r="A39" s="2840"/>
      <c r="B39" s="2858" t="s">
        <v>2932</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2875</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3043</v>
      </c>
      <c r="C41" s="388" t="e">
        <f>ROUND(POWER(1+E41,H41-G41)*(POWER(1+E41,G41)-1)/(POWER(1+E41,H41)-1),4)</f>
        <v>#DIV/0!</v>
      </c>
      <c r="D41" s="200" t="s">
        <v>2882</v>
      </c>
      <c r="E41" s="2928">
        <f>G20</f>
        <v>0</v>
      </c>
      <c r="F41" s="200" t="s">
        <v>2891</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2933</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2934</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2935</v>
      </c>
      <c r="B47" s="1809" t="s">
        <v>2936</v>
      </c>
      <c r="C47" s="1809" t="s">
        <v>2937</v>
      </c>
      <c r="D47" s="1809" t="s">
        <v>2938</v>
      </c>
      <c r="E47" s="819" t="s">
        <v>2939</v>
      </c>
      <c r="F47" s="2870" t="s">
        <v>2940</v>
      </c>
      <c r="G47" s="1809" t="s">
        <v>754</v>
      </c>
      <c r="H47" s="2871" t="s">
        <v>2941</v>
      </c>
      <c r="I47" s="1809" t="s">
        <v>2942</v>
      </c>
      <c r="J47" s="603" t="s">
        <v>2590</v>
      </c>
      <c r="K47" s="603" t="s">
        <v>2591</v>
      </c>
      <c r="L47" s="603" t="s">
        <v>2592</v>
      </c>
      <c r="M47" s="603" t="s">
        <v>2593</v>
      </c>
      <c r="N47" s="603" t="s">
        <v>2594</v>
      </c>
      <c r="AA47" s="1371"/>
      <c r="AB47" s="1371"/>
      <c r="AC47" s="1371"/>
      <c r="AD47" s="1371"/>
      <c r="AE47" s="1371"/>
      <c r="AF47" s="1371"/>
      <c r="AG47" s="1371"/>
      <c r="AH47" s="1371"/>
      <c r="AI47" s="1371"/>
      <c r="AJ47" s="1371"/>
      <c r="AK47" s="1371"/>
    </row>
    <row r="48" spans="1:37" s="1370" customFormat="1" ht="38.25">
      <c r="A48" s="2869" t="s">
        <v>2943</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9" t="s">
        <v>2944</v>
      </c>
      <c r="B49" s="2873" t="str">
        <f>估价对象房地状况!C18</f>
        <v>估价对象周边道路状况、公共交通通达情况、停车便捷程度，综合评价交通便捷度较好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2945</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2946</v>
      </c>
      <c r="B51" s="2874" t="s">
        <v>2947</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2948</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2949</v>
      </c>
      <c r="B53" s="2875" t="s">
        <v>2950</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6" t="s">
        <v>2951</v>
      </c>
      <c r="B54" s="1725" t="str">
        <f>估价对象房地状况!C21</f>
        <v>估价对象所在区域公共配套设施齐备情况</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6" t="s">
        <v>2952</v>
      </c>
      <c r="B55" s="2873" t="str">
        <f>估价对象房地状况!C22</f>
        <v>估价对象所在区域基础设施水平</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7" t="s">
        <v>2953</v>
      </c>
      <c r="B56" s="2878" t="str">
        <f>估价对象房地状况!C20</f>
        <v>区域自然环境：；人文环境；综合评价环境状况一般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2954</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2935</v>
      </c>
      <c r="B58" s="1809"/>
      <c r="C58" s="1809" t="s">
        <v>2937</v>
      </c>
      <c r="D58" s="1809" t="s">
        <v>2938</v>
      </c>
      <c r="E58" s="819" t="s">
        <v>2939</v>
      </c>
      <c r="F58" s="2870" t="s">
        <v>2955</v>
      </c>
      <c r="G58" s="1809" t="s">
        <v>754</v>
      </c>
      <c r="H58" s="2871" t="s">
        <v>2941</v>
      </c>
      <c r="I58" s="1809" t="s">
        <v>2942</v>
      </c>
      <c r="J58" s="603" t="s">
        <v>2590</v>
      </c>
      <c r="K58" s="603" t="s">
        <v>2591</v>
      </c>
      <c r="L58" s="603" t="s">
        <v>2592</v>
      </c>
      <c r="M58" s="603" t="s">
        <v>2593</v>
      </c>
      <c r="N58" s="603" t="s">
        <v>2594</v>
      </c>
      <c r="AA58" s="1371"/>
      <c r="AB58" s="1371"/>
      <c r="AC58" s="1371"/>
      <c r="AD58" s="1371"/>
      <c r="AE58" s="1371"/>
      <c r="AF58" s="1371"/>
      <c r="AG58" s="1371"/>
      <c r="AH58" s="1371"/>
      <c r="AI58" s="1371"/>
      <c r="AJ58" s="1371"/>
      <c r="AK58" s="1371"/>
    </row>
    <row r="59" spans="1:37" s="1370" customFormat="1" ht="38.25">
      <c r="A59" s="2869" t="s">
        <v>2956</v>
      </c>
      <c r="B59" s="2872" t="str">
        <f>估价对象房地状况!C17</f>
        <v>估价对象位于XX商圈，周边办公楼项目较多，入驻率高，办公集聚程度较好</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9" t="s">
        <v>2944</v>
      </c>
      <c r="B60" s="2873" t="str">
        <f>估价对象房地状况!C18</f>
        <v>估价对象周边道路状况、公共交通通达情况、停车便捷程度，综合评价交通便捷度较好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2945</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2946</v>
      </c>
      <c r="B62" s="2874" t="s">
        <v>2947</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2948</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2949</v>
      </c>
      <c r="B64" s="2875" t="s">
        <v>2950</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9" t="s">
        <v>2951</v>
      </c>
      <c r="B65" s="1725" t="str">
        <f>估价对象房地状况!C21</f>
        <v>估价对象所在区域公共配套设施齐备情况</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9" t="s">
        <v>2952</v>
      </c>
      <c r="B66" s="1725" t="str">
        <f>估价对象房地状况!C22</f>
        <v>估价对象所在区域基础设施水平</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7" t="s">
        <v>2953</v>
      </c>
      <c r="B67" s="2879" t="str">
        <f>估价对象房地状况!C20</f>
        <v>区域自然环境：；人文环境；综合评价环境状况一般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2957</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2935</v>
      </c>
      <c r="B69" s="1809"/>
      <c r="C69" s="1809" t="s">
        <v>2937</v>
      </c>
      <c r="D69" s="1809" t="s">
        <v>2938</v>
      </c>
      <c r="E69" s="819" t="s">
        <v>2939</v>
      </c>
      <c r="F69" s="2870" t="s">
        <v>2955</v>
      </c>
      <c r="G69" s="1809" t="s">
        <v>754</v>
      </c>
      <c r="H69" s="2871" t="s">
        <v>2941</v>
      </c>
      <c r="I69" s="1809" t="s">
        <v>2942</v>
      </c>
      <c r="J69" s="603" t="s">
        <v>2590</v>
      </c>
      <c r="K69" s="603" t="s">
        <v>2591</v>
      </c>
      <c r="L69" s="603" t="s">
        <v>2592</v>
      </c>
      <c r="M69" s="603" t="s">
        <v>2593</v>
      </c>
      <c r="N69" s="603" t="s">
        <v>2594</v>
      </c>
      <c r="AA69" s="1371"/>
      <c r="AB69" s="1371"/>
      <c r="AC69" s="1371"/>
      <c r="AD69" s="1371"/>
      <c r="AE69" s="1371"/>
      <c r="AF69" s="1371"/>
      <c r="AG69" s="1371"/>
      <c r="AH69" s="1371"/>
      <c r="AI69" s="1371"/>
      <c r="AJ69" s="1371"/>
      <c r="AK69" s="1371"/>
    </row>
    <row r="70" spans="1:37" s="1370" customFormat="1" ht="51">
      <c r="A70" s="2869" t="s">
        <v>2958</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9" t="s">
        <v>2944</v>
      </c>
      <c r="B71" s="2873" t="str">
        <f>估价对象房地状况!C18</f>
        <v>估价对象周边道路状况、公共交通通达情况、停车便捷程度，综合评价交通便捷度较好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2945</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2959</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9" t="s">
        <v>2951</v>
      </c>
      <c r="B74" s="1725" t="str">
        <f>估价对象房地状况!C21</f>
        <v>估价对象所在区域公共配套设施齐备情况</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9" t="s">
        <v>2952</v>
      </c>
      <c r="B75" s="1725" t="str">
        <f>估价对象房地状况!C22</f>
        <v>估价对象所在区域基础设施水平</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2949</v>
      </c>
      <c r="B76" s="2875" t="s">
        <v>2950</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8.25">
      <c r="A77" s="2869" t="s">
        <v>2953</v>
      </c>
      <c r="B77" s="2872" t="str">
        <f>估价对象房地状况!C20</f>
        <v>区域自然环境：；人文环境；综合评价环境状况一般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2960</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2961</v>
      </c>
      <c r="B79" s="2866">
        <f>1+E81</f>
        <v>1</v>
      </c>
      <c r="C79" s="814"/>
      <c r="D79" s="814"/>
      <c r="E79" s="815"/>
      <c r="F79" s="2868"/>
      <c r="G79" s="6"/>
      <c r="H79" s="6"/>
      <c r="I79" s="6"/>
      <c r="J79" s="7"/>
      <c r="K79" s="7"/>
      <c r="L79" s="7"/>
      <c r="M79" s="7"/>
      <c r="N79" s="7"/>
      <c r="Z79" s="2719"/>
      <c r="AA79" s="2787"/>
      <c r="AG79" s="1372"/>
      <c r="AK79" s="2787"/>
    </row>
    <row r="80" spans="1:37" ht="24.75">
      <c r="A80" s="2869" t="s">
        <v>2935</v>
      </c>
      <c r="B80" s="1809"/>
      <c r="C80" s="1809" t="s">
        <v>2937</v>
      </c>
      <c r="D80" s="1809" t="s">
        <v>2938</v>
      </c>
      <c r="E80" s="819" t="s">
        <v>2939</v>
      </c>
      <c r="F80" s="2870" t="s">
        <v>2955</v>
      </c>
      <c r="G80" s="1809" t="s">
        <v>754</v>
      </c>
      <c r="H80" s="2871" t="s">
        <v>2941</v>
      </c>
      <c r="I80" s="1809" t="s">
        <v>2942</v>
      </c>
      <c r="J80" s="603" t="s">
        <v>2590</v>
      </c>
      <c r="K80" s="603" t="s">
        <v>2591</v>
      </c>
      <c r="L80" s="603" t="s">
        <v>2592</v>
      </c>
      <c r="M80" s="603" t="s">
        <v>2593</v>
      </c>
      <c r="N80" s="603" t="s">
        <v>2594</v>
      </c>
      <c r="Z80" s="2719"/>
      <c r="AA80" s="2787"/>
      <c r="AG80" s="1372"/>
      <c r="AK80" s="2787"/>
    </row>
    <row r="81" spans="1:37" ht="38.25">
      <c r="A81" s="2869" t="s">
        <v>2962</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2944</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2945</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2959</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2951</v>
      </c>
      <c r="B85" s="1725"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2952</v>
      </c>
      <c r="B86" s="1725"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2949</v>
      </c>
      <c r="B87" s="2875" t="s">
        <v>2963</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2964</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55" t="s">
        <v>2965</v>
      </c>
      <c r="B90" s="3255"/>
      <c r="C90" s="3255"/>
      <c r="D90" s="3255"/>
      <c r="E90" s="3255"/>
      <c r="F90" s="3255"/>
      <c r="G90" s="3255"/>
      <c r="H90" s="3255"/>
      <c r="I90" s="3255"/>
      <c r="J90" s="3255"/>
      <c r="K90" s="2883"/>
      <c r="L90" s="2883"/>
      <c r="M90" s="2883"/>
      <c r="N90" s="2883"/>
    </row>
    <row r="91" spans="1:37">
      <c r="A91" s="3257" t="s">
        <v>2966</v>
      </c>
      <c r="B91" s="3257" t="s">
        <v>2967</v>
      </c>
      <c r="C91" s="2837" t="s">
        <v>2968</v>
      </c>
      <c r="D91" s="2838"/>
      <c r="E91" s="2838"/>
      <c r="F91" s="2838"/>
      <c r="G91" s="2838"/>
      <c r="H91" s="2838"/>
      <c r="I91" s="2838"/>
      <c r="J91" s="2884"/>
      <c r="K91" s="2885"/>
      <c r="L91" s="2885"/>
      <c r="M91" s="2885"/>
      <c r="N91" s="2885"/>
    </row>
    <row r="92" spans="1:37">
      <c r="A92" s="3257"/>
      <c r="B92" s="3257"/>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258" t="s">
        <v>2969</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59"/>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59"/>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59"/>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59"/>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59"/>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59"/>
      <c r="B99" s="2886" t="s">
        <v>2850</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60"/>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58" t="s">
        <v>2970</v>
      </c>
      <c r="B101" s="2890" t="s">
        <v>2971</v>
      </c>
      <c r="C101" s="2891" t="e">
        <f>$G$3</f>
        <v>#DIV/0!</v>
      </c>
      <c r="D101" s="2891" t="e">
        <f t="shared" ref="D101:N101" si="31">$G$3</f>
        <v>#DIV/0!</v>
      </c>
      <c r="E101" s="2891" t="e">
        <f t="shared" si="31"/>
        <v>#DIV/0!</v>
      </c>
      <c r="F101" s="2891" t="e">
        <f t="shared" si="31"/>
        <v>#DIV/0!</v>
      </c>
      <c r="G101" s="2891" t="e">
        <f t="shared" si="31"/>
        <v>#DIV/0!</v>
      </c>
      <c r="H101" s="2891" t="e">
        <f t="shared" si="31"/>
        <v>#DIV/0!</v>
      </c>
      <c r="I101" s="2891" t="e">
        <f t="shared" si="31"/>
        <v>#DIV/0!</v>
      </c>
      <c r="J101" s="2891" t="e">
        <f t="shared" si="31"/>
        <v>#DIV/0!</v>
      </c>
      <c r="K101" s="2891" t="e">
        <f t="shared" si="31"/>
        <v>#DIV/0!</v>
      </c>
      <c r="L101" s="2891" t="e">
        <f t="shared" si="31"/>
        <v>#DIV/0!</v>
      </c>
      <c r="M101" s="2891" t="e">
        <f t="shared" si="31"/>
        <v>#DIV/0!</v>
      </c>
      <c r="N101" s="2891" t="e">
        <f t="shared" si="31"/>
        <v>#DIV/0!</v>
      </c>
    </row>
    <row r="102" spans="1:14">
      <c r="A102" s="3259"/>
      <c r="B102" s="2886">
        <v>1</v>
      </c>
      <c r="C102" s="2887" t="e">
        <f>1.9362/C101</f>
        <v>#DIV/0!</v>
      </c>
      <c r="D102" s="2887" t="e">
        <f>1.9362/D101</f>
        <v>#DIV/0!</v>
      </c>
      <c r="E102" s="2887" t="e">
        <f>1.8629/E101</f>
        <v>#DIV/0!</v>
      </c>
      <c r="F102" s="2887" t="e">
        <f>1.8629/F101</f>
        <v>#DIV/0!</v>
      </c>
      <c r="G102" s="2887" t="e">
        <f>1.8629/G101</f>
        <v>#DIV/0!</v>
      </c>
      <c r="H102" s="2887" t="e">
        <f>1.8629/H101</f>
        <v>#DIV/0!</v>
      </c>
      <c r="I102" s="2887" t="e">
        <f>1.8629/I101</f>
        <v>#DIV/0!</v>
      </c>
      <c r="J102" s="2887" t="e">
        <f>1.942/J101</f>
        <v>#DIV/0!</v>
      </c>
      <c r="K102" s="2887" t="e">
        <f>1.942/K101</f>
        <v>#DIV/0!</v>
      </c>
      <c r="L102" s="2887" t="e">
        <f>1.942/L101</f>
        <v>#DIV/0!</v>
      </c>
      <c r="M102" s="2887" t="e">
        <f>1.942/M101</f>
        <v>#DIV/0!</v>
      </c>
      <c r="N102" s="2887" t="e">
        <f>1.942/N101</f>
        <v>#DIV/0!</v>
      </c>
    </row>
    <row r="103" spans="1:14">
      <c r="A103" s="3259"/>
      <c r="B103" s="2886">
        <v>2</v>
      </c>
      <c r="C103" s="2887" t="e">
        <f>1.4198/C101</f>
        <v>#DIV/0!</v>
      </c>
      <c r="D103" s="2887" t="e">
        <f>1.4198/D101</f>
        <v>#DIV/0!</v>
      </c>
      <c r="E103" s="2887" t="e">
        <f>1.3372/E101</f>
        <v>#DIV/0!</v>
      </c>
      <c r="F103" s="2887" t="e">
        <f>1.3372/F101</f>
        <v>#DIV/0!</v>
      </c>
      <c r="G103" s="2887" t="e">
        <f>1.3372/G101</f>
        <v>#DIV/0!</v>
      </c>
      <c r="H103" s="2887" t="e">
        <f>1.3372/H101</f>
        <v>#DIV/0!</v>
      </c>
      <c r="I103" s="2887" t="e">
        <f>1.3372/I101</f>
        <v>#DIV/0!</v>
      </c>
      <c r="J103" s="2887" t="e">
        <f>1.2799/J101</f>
        <v>#DIV/0!</v>
      </c>
      <c r="K103" s="2887" t="e">
        <f>1.2799/K101</f>
        <v>#DIV/0!</v>
      </c>
      <c r="L103" s="2887" t="e">
        <f>1.2799/L101</f>
        <v>#DIV/0!</v>
      </c>
      <c r="M103" s="2887" t="e">
        <f>1.2799/M101</f>
        <v>#DIV/0!</v>
      </c>
      <c r="N103" s="2887" t="e">
        <f>1.2799/N101</f>
        <v>#DIV/0!</v>
      </c>
    </row>
    <row r="104" spans="1:14">
      <c r="A104" s="3259"/>
      <c r="B104" s="2886">
        <v>3</v>
      </c>
      <c r="C104" s="2887" t="e">
        <f>1.1594/C101</f>
        <v>#DIV/0!</v>
      </c>
      <c r="D104" s="2887" t="e">
        <f>1.1594/D101</f>
        <v>#DIV/0!</v>
      </c>
      <c r="E104" s="2887" t="e">
        <f>1.0788/E101</f>
        <v>#DIV/0!</v>
      </c>
      <c r="F104" s="2887" t="e">
        <f>1.0788/F101</f>
        <v>#DIV/0!</v>
      </c>
      <c r="G104" s="2887" t="e">
        <f>1.0788/G101</f>
        <v>#DIV/0!</v>
      </c>
      <c r="H104" s="2887" t="e">
        <f>1.0788/H101</f>
        <v>#DIV/0!</v>
      </c>
      <c r="I104" s="2887" t="e">
        <f>1.0788/I101</f>
        <v>#DIV/0!</v>
      </c>
      <c r="J104" s="2887" t="e">
        <f>1.0072/J101</f>
        <v>#DIV/0!</v>
      </c>
      <c r="K104" s="2887" t="e">
        <f>1.0072/K101</f>
        <v>#DIV/0!</v>
      </c>
      <c r="L104" s="2887" t="e">
        <f>1.0072/L101</f>
        <v>#DIV/0!</v>
      </c>
      <c r="M104" s="2887" t="e">
        <f>1.0072/M101</f>
        <v>#DIV/0!</v>
      </c>
      <c r="N104" s="2887" t="e">
        <f>1.0072/N101</f>
        <v>#DIV/0!</v>
      </c>
    </row>
    <row r="105" spans="1:14">
      <c r="A105" s="3259"/>
      <c r="B105" s="2886">
        <v>4</v>
      </c>
      <c r="C105" s="2887" t="e">
        <f>0.9622/C101</f>
        <v>#DIV/0!</v>
      </c>
      <c r="D105" s="2887" t="e">
        <f>0.9622/D101</f>
        <v>#DIV/0!</v>
      </c>
      <c r="E105" s="2887" t="e">
        <f>0.8656/E101</f>
        <v>#DIV/0!</v>
      </c>
      <c r="F105" s="2887" t="e">
        <f>0.8656/F101</f>
        <v>#DIV/0!</v>
      </c>
      <c r="G105" s="2887" t="e">
        <f>0.8656/G101</f>
        <v>#DIV/0!</v>
      </c>
      <c r="H105" s="2887" t="e">
        <f>0.8656/H101</f>
        <v>#DIV/0!</v>
      </c>
      <c r="I105" s="2887" t="e">
        <f>0.8656/I101</f>
        <v>#DIV/0!</v>
      </c>
      <c r="J105" s="2887" t="e">
        <f>0.7525/J101</f>
        <v>#DIV/0!</v>
      </c>
      <c r="K105" s="2887" t="e">
        <f>0.7525/K101</f>
        <v>#DIV/0!</v>
      </c>
      <c r="L105" s="2887" t="e">
        <f>0.7525/L101</f>
        <v>#DIV/0!</v>
      </c>
      <c r="M105" s="2887" t="e">
        <f>0.7525/M101</f>
        <v>#DIV/0!</v>
      </c>
      <c r="N105" s="2887" t="e">
        <f>0.7525/N101</f>
        <v>#DIV/0!</v>
      </c>
    </row>
    <row r="106" spans="1:14">
      <c r="A106" s="3259"/>
      <c r="B106" s="2886">
        <v>5</v>
      </c>
      <c r="C106" s="2887" t="e">
        <f>0.8417/C101</f>
        <v>#DIV/0!</v>
      </c>
      <c r="D106" s="2887" t="e">
        <f>0.8417/D101</f>
        <v>#DIV/0!</v>
      </c>
      <c r="E106" s="2887" t="e">
        <f>0.7371/E101</f>
        <v>#DIV/0!</v>
      </c>
      <c r="F106" s="2887" t="e">
        <f>0.7371/F101</f>
        <v>#DIV/0!</v>
      </c>
      <c r="G106" s="2887" t="e">
        <f>0.7371/G101</f>
        <v>#DIV/0!</v>
      </c>
      <c r="H106" s="2887" t="e">
        <f>0.7371/H101</f>
        <v>#DIV/0!</v>
      </c>
      <c r="I106" s="2887" t="e">
        <f>0.7371/I101</f>
        <v>#DIV/0!</v>
      </c>
      <c r="J106" s="2887" t="e">
        <f>0.5659/J101</f>
        <v>#DIV/0!</v>
      </c>
      <c r="K106" s="2887" t="e">
        <f>0.5659/K101</f>
        <v>#DIV/0!</v>
      </c>
      <c r="L106" s="2887" t="e">
        <f>0.5659/L101</f>
        <v>#DIV/0!</v>
      </c>
      <c r="M106" s="2887" t="e">
        <f>0.5659/M101</f>
        <v>#DIV/0!</v>
      </c>
      <c r="N106" s="2887" t="e">
        <f>0.5659/N101</f>
        <v>#DIV/0!</v>
      </c>
    </row>
    <row r="107" spans="1:14">
      <c r="A107" s="3259"/>
      <c r="B107" s="2886">
        <v>6</v>
      </c>
      <c r="C107" s="2887" t="e">
        <f>0.7608/C101</f>
        <v>#DIV/0!</v>
      </c>
      <c r="D107" s="2887" t="e">
        <f>0.7608/D101</f>
        <v>#DIV/0!</v>
      </c>
      <c r="E107" s="2887" t="e">
        <f>0.6482/E101</f>
        <v>#DIV/0!</v>
      </c>
      <c r="F107" s="2887" t="e">
        <f>0.6482/F101</f>
        <v>#DIV/0!</v>
      </c>
      <c r="G107" s="2887" t="e">
        <f>0.6482/G101</f>
        <v>#DIV/0!</v>
      </c>
      <c r="H107" s="2887" t="e">
        <f>0.6482/H101</f>
        <v>#DIV/0!</v>
      </c>
      <c r="I107" s="2887" t="e">
        <f>0.6482/I101</f>
        <v>#DIV/0!</v>
      </c>
      <c r="J107" s="2887" t="e">
        <f>0.4525/J101</f>
        <v>#DIV/0!</v>
      </c>
      <c r="K107" s="2887" t="e">
        <f>0.4525/K101</f>
        <v>#DIV/0!</v>
      </c>
      <c r="L107" s="2887" t="e">
        <f>0.4525/L101</f>
        <v>#DIV/0!</v>
      </c>
      <c r="M107" s="2887" t="e">
        <f>0.4525/M101</f>
        <v>#DIV/0!</v>
      </c>
      <c r="N107" s="2887" t="e">
        <f>0.4525/N101</f>
        <v>#DIV/0!</v>
      </c>
    </row>
    <row r="108" spans="1:14">
      <c r="A108" s="3259"/>
      <c r="B108" s="3085" t="s">
        <v>2972</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60"/>
      <c r="B109" s="3086"/>
      <c r="C109" s="2889" t="e">
        <f>(-0.163*(C108^2)-0.59*C108+7617)*(10^(-4))/C101</f>
        <v>#DIV/0!</v>
      </c>
      <c r="D109" s="2889" t="e">
        <f>(-0.163*(D108^2)-0.59*D108+7617)*(10^(-4))/D101</f>
        <v>#DIV/0!</v>
      </c>
      <c r="E109" s="2889" t="e">
        <f>(-0.161*(E108^2)-7.509*E108+6533)*(10^(-4))/E101</f>
        <v>#DIV/0!</v>
      </c>
      <c r="F109" s="2889" t="e">
        <f>(-0.161*(F108^2)-7.509*F108+6533)*(10^(-4))/F101</f>
        <v>#DIV/0!</v>
      </c>
      <c r="G109" s="2889" t="e">
        <f>(-0.161*(G108^2)-7.509*G108+6533)*(10^(-4))/G101</f>
        <v>#DIV/0!</v>
      </c>
      <c r="H109" s="2889" t="e">
        <f>(-0.161*(H108^2)-7.509*H108+6533)*(10^(-4))/H101</f>
        <v>#DIV/0!</v>
      </c>
      <c r="I109" s="2889" t="e">
        <f>(-0.161*(I108^2)-7.509*I108+6533)*(10^(-4))/I101</f>
        <v>#DIV/0!</v>
      </c>
      <c r="J109" s="2889" t="e">
        <f>(-0.214*(J108^2)-21.991*J108+4665)*(10^(-4))/J101</f>
        <v>#DIV/0!</v>
      </c>
      <c r="K109" s="2889" t="e">
        <f>(-0.214*(K108^2)-21.991*K108+4665)*(10^(-4))/K101</f>
        <v>#DIV/0!</v>
      </c>
      <c r="L109" s="2889" t="e">
        <f>(-0.214*(L108^2)-21.991*L108+4665)*(10^(-4))/L101</f>
        <v>#DIV/0!</v>
      </c>
      <c r="M109" s="2889" t="e">
        <f>(-0.214*(M108^2)-21.991*M108+4665)*(10^(-4))/M101</f>
        <v>#DIV/0!</v>
      </c>
      <c r="N109" s="2889" t="e">
        <f>(-0.214*(N108^2)-21.991*N108+4665)*(10^(-4))/N101</f>
        <v>#DIV/0!</v>
      </c>
    </row>
    <row r="110" spans="1:14">
      <c r="A110" s="3256" t="s">
        <v>2973</v>
      </c>
      <c r="B110" s="3256"/>
      <c r="C110" s="3256"/>
      <c r="D110" s="3256"/>
      <c r="E110" s="3256"/>
      <c r="F110" s="3256"/>
      <c r="G110" s="3256"/>
      <c r="H110" s="3256"/>
      <c r="I110" s="3256"/>
      <c r="J110" s="3256"/>
      <c r="K110" s="2892"/>
      <c r="L110" s="2892"/>
      <c r="M110" s="2892"/>
      <c r="N110" s="2892"/>
    </row>
    <row r="112" spans="1:14" ht="13.5" thickBot="1"/>
    <row r="113" spans="1:13" ht="25.5" thickBot="1">
      <c r="A113" s="903" t="s">
        <v>2974</v>
      </c>
      <c r="B113" s="1287" t="e">
        <f>G3</f>
        <v>#DIV/0!</v>
      </c>
      <c r="C113" s="904" t="s">
        <v>2975</v>
      </c>
      <c r="D113" s="905" t="e">
        <f>SUMPRODUCT((A115:A118=F113)*(B114:M114=H113)*B115:M118)</f>
        <v>#DIV/0!</v>
      </c>
      <c r="E113" s="2723" t="s">
        <v>2807</v>
      </c>
      <c r="F113" s="2894">
        <f>E2</f>
        <v>0</v>
      </c>
      <c r="G113" s="2723" t="s">
        <v>2808</v>
      </c>
      <c r="H113" s="2894">
        <f>G2</f>
        <v>0</v>
      </c>
      <c r="I113" s="2723"/>
      <c r="J113" s="2895"/>
      <c r="K113" s="2895"/>
      <c r="L113" s="2895"/>
      <c r="M113" s="2895"/>
    </row>
    <row r="114" spans="1:13">
      <c r="A114" s="908"/>
      <c r="B114" s="2896" t="s">
        <v>2976</v>
      </c>
      <c r="C114" s="2896" t="s">
        <v>2977</v>
      </c>
      <c r="D114" s="2896" t="s">
        <v>2978</v>
      </c>
      <c r="E114" s="2897" t="s">
        <v>2979</v>
      </c>
      <c r="F114" s="2897" t="s">
        <v>2980</v>
      </c>
      <c r="G114" s="2897" t="s">
        <v>2981</v>
      </c>
      <c r="H114" s="2898" t="s">
        <v>2982</v>
      </c>
      <c r="I114" s="2898" t="s">
        <v>2983</v>
      </c>
      <c r="J114" s="2899" t="s">
        <v>2984</v>
      </c>
      <c r="K114" s="2899" t="s">
        <v>2985</v>
      </c>
      <c r="L114" s="2899" t="s">
        <v>2986</v>
      </c>
      <c r="M114" s="2900" t="s">
        <v>2987</v>
      </c>
    </row>
    <row r="115" spans="1:13">
      <c r="A115" s="909" t="s">
        <v>2872</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2873</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2874</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2875</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6" t="s">
        <v>614</v>
      </c>
      <c r="C61" s="818" t="s">
        <v>615</v>
      </c>
      <c r="D61" s="818" t="s">
        <v>616</v>
      </c>
      <c r="E61" s="895">
        <v>0.5</v>
      </c>
      <c r="F61" s="882">
        <v>80</v>
      </c>
    </row>
    <row r="62" spans="1:8" s="878" customFormat="1" ht="24">
      <c r="A62" s="882">
        <v>2</v>
      </c>
      <c r="B62" s="3276"/>
      <c r="C62" s="818" t="s">
        <v>617</v>
      </c>
      <c r="D62" s="818" t="s">
        <v>618</v>
      </c>
      <c r="E62" s="895">
        <v>0.5</v>
      </c>
      <c r="F62" s="882">
        <v>80</v>
      </c>
    </row>
    <row r="63" spans="1:8" s="878" customFormat="1" ht="36">
      <c r="A63" s="882">
        <v>3</v>
      </c>
      <c r="B63" s="3276"/>
      <c r="C63" s="818" t="s">
        <v>619</v>
      </c>
      <c r="D63" s="818" t="s">
        <v>620</v>
      </c>
      <c r="E63" s="895">
        <v>0.5</v>
      </c>
      <c r="F63" s="882">
        <v>80</v>
      </c>
    </row>
    <row r="64" spans="1:8" s="878" customFormat="1" ht="36">
      <c r="A64" s="882">
        <v>4</v>
      </c>
      <c r="B64" s="3276"/>
      <c r="C64" s="818" t="s">
        <v>621</v>
      </c>
      <c r="D64" s="818" t="s">
        <v>622</v>
      </c>
      <c r="E64" s="895">
        <v>0.4</v>
      </c>
      <c r="F64" s="882">
        <v>60</v>
      </c>
    </row>
    <row r="65" spans="1:6" s="878" customFormat="1" ht="36">
      <c r="A65" s="882">
        <v>5</v>
      </c>
      <c r="B65" s="3276"/>
      <c r="C65" s="818" t="s">
        <v>623</v>
      </c>
      <c r="D65" s="818" t="s">
        <v>624</v>
      </c>
      <c r="E65" s="895">
        <v>0.2</v>
      </c>
      <c r="F65" s="882">
        <v>30</v>
      </c>
    </row>
    <row r="66" spans="1:6" s="878" customFormat="1" ht="36">
      <c r="A66" s="882">
        <v>6</v>
      </c>
      <c r="B66" s="3276"/>
      <c r="C66" s="818" t="s">
        <v>625</v>
      </c>
      <c r="D66" s="818" t="s">
        <v>626</v>
      </c>
      <c r="E66" s="895">
        <v>0.3</v>
      </c>
      <c r="F66" s="882">
        <v>50</v>
      </c>
    </row>
    <row r="67" spans="1:6" s="878" customFormat="1" ht="36">
      <c r="A67" s="882">
        <v>7</v>
      </c>
      <c r="B67" s="3276"/>
      <c r="C67" s="818" t="s">
        <v>627</v>
      </c>
      <c r="D67" s="818" t="s">
        <v>628</v>
      </c>
      <c r="E67" s="895">
        <v>0.2</v>
      </c>
      <c r="F67" s="882">
        <v>30</v>
      </c>
    </row>
    <row r="68" spans="1:6" s="878" customFormat="1" ht="36">
      <c r="A68" s="882">
        <v>8</v>
      </c>
      <c r="B68" s="3276"/>
      <c r="C68" s="818" t="s">
        <v>629</v>
      </c>
      <c r="D68" s="818" t="s">
        <v>630</v>
      </c>
      <c r="E68" s="895">
        <v>0.2</v>
      </c>
      <c r="F68" s="882">
        <v>30</v>
      </c>
    </row>
    <row r="69" spans="1:6" s="878" customFormat="1" ht="36">
      <c r="A69" s="882">
        <v>9</v>
      </c>
      <c r="B69" s="3276"/>
      <c r="C69" s="818" t="s">
        <v>631</v>
      </c>
      <c r="D69" s="818" t="s">
        <v>632</v>
      </c>
      <c r="E69" s="895">
        <v>0.2</v>
      </c>
      <c r="F69" s="882">
        <v>30</v>
      </c>
    </row>
    <row r="70" spans="1:6" s="878" customFormat="1" ht="48">
      <c r="A70" s="882">
        <v>10</v>
      </c>
      <c r="B70" s="3276"/>
      <c r="C70" s="818" t="s">
        <v>633</v>
      </c>
      <c r="D70" s="818" t="s">
        <v>634</v>
      </c>
      <c r="E70" s="895">
        <v>0.2</v>
      </c>
      <c r="F70" s="882">
        <v>30</v>
      </c>
    </row>
    <row r="71" spans="1:6" s="878" customFormat="1" ht="48">
      <c r="A71" s="882">
        <v>11</v>
      </c>
      <c r="B71" s="3276"/>
      <c r="C71" s="818" t="s">
        <v>635</v>
      </c>
      <c r="D71" s="818" t="s">
        <v>636</v>
      </c>
      <c r="E71" s="895">
        <v>0.2</v>
      </c>
      <c r="F71" s="882">
        <v>30</v>
      </c>
    </row>
    <row r="72" spans="1:6" s="878" customFormat="1" ht="36">
      <c r="A72" s="882">
        <v>12</v>
      </c>
      <c r="B72" s="3276"/>
      <c r="C72" s="818" t="s">
        <v>637</v>
      </c>
      <c r="D72" s="818" t="s">
        <v>638</v>
      </c>
      <c r="E72" s="895">
        <v>0.5</v>
      </c>
      <c r="F72" s="882">
        <v>80</v>
      </c>
    </row>
    <row r="73" spans="1:6" s="878" customFormat="1" ht="24">
      <c r="A73" s="882">
        <v>13</v>
      </c>
      <c r="B73" s="3276"/>
      <c r="C73" s="818" t="s">
        <v>639</v>
      </c>
      <c r="D73" s="818" t="s">
        <v>640</v>
      </c>
      <c r="E73" s="895">
        <v>0.4</v>
      </c>
      <c r="F73" s="882">
        <v>60</v>
      </c>
    </row>
    <row r="74" spans="1:6" s="878" customFormat="1" ht="24">
      <c r="A74" s="882">
        <v>14</v>
      </c>
      <c r="B74" s="3276"/>
      <c r="C74" s="818" t="s">
        <v>641</v>
      </c>
      <c r="D74" s="818" t="s">
        <v>642</v>
      </c>
      <c r="E74" s="895">
        <v>0.2</v>
      </c>
      <c r="F74" s="882">
        <v>30</v>
      </c>
    </row>
    <row r="75" spans="1:6" s="878" customFormat="1" ht="24">
      <c r="A75" s="882">
        <v>15</v>
      </c>
      <c r="B75" s="3276"/>
      <c r="C75" s="818" t="s">
        <v>643</v>
      </c>
      <c r="D75" s="818" t="s">
        <v>644</v>
      </c>
      <c r="E75" s="895">
        <v>0.2</v>
      </c>
      <c r="F75" s="882">
        <v>30</v>
      </c>
    </row>
    <row r="76" spans="1:6" s="878" customFormat="1" ht="24">
      <c r="A76" s="882">
        <v>16</v>
      </c>
      <c r="B76" s="3276" t="s">
        <v>645</v>
      </c>
      <c r="C76" s="818" t="s">
        <v>646</v>
      </c>
      <c r="D76" s="818" t="s">
        <v>647</v>
      </c>
      <c r="E76" s="895">
        <v>0.5</v>
      </c>
      <c r="F76" s="882">
        <v>80</v>
      </c>
    </row>
    <row r="77" spans="1:6" s="878" customFormat="1" ht="24">
      <c r="A77" s="882">
        <v>17</v>
      </c>
      <c r="B77" s="3276"/>
      <c r="C77" s="818" t="s">
        <v>648</v>
      </c>
      <c r="D77" s="818" t="s">
        <v>649</v>
      </c>
      <c r="E77" s="895">
        <v>0.5</v>
      </c>
      <c r="F77" s="882">
        <v>80</v>
      </c>
    </row>
    <row r="78" spans="1:6" s="878" customFormat="1" ht="24">
      <c r="A78" s="882">
        <v>18</v>
      </c>
      <c r="B78" s="3276"/>
      <c r="C78" s="818" t="s">
        <v>650</v>
      </c>
      <c r="D78" s="818" t="s">
        <v>651</v>
      </c>
      <c r="E78" s="895">
        <v>0.2</v>
      </c>
      <c r="F78" s="882">
        <v>30</v>
      </c>
    </row>
    <row r="79" spans="1:6" s="878" customFormat="1" ht="24">
      <c r="A79" s="882">
        <v>19</v>
      </c>
      <c r="B79" s="3276"/>
      <c r="C79" s="818" t="s">
        <v>652</v>
      </c>
      <c r="D79" s="818" t="s">
        <v>653</v>
      </c>
      <c r="E79" s="895">
        <v>0.5</v>
      </c>
      <c r="F79" s="882">
        <v>80</v>
      </c>
    </row>
    <row r="80" spans="1:6" s="878" customFormat="1" ht="36">
      <c r="A80" s="882">
        <v>20</v>
      </c>
      <c r="B80" s="3276"/>
      <c r="C80" s="818" t="s">
        <v>654</v>
      </c>
      <c r="D80" s="818" t="s">
        <v>655</v>
      </c>
      <c r="E80" s="895">
        <v>0.2</v>
      </c>
      <c r="F80" s="882">
        <v>30</v>
      </c>
    </row>
    <row r="81" spans="1:6" s="878" customFormat="1" ht="36">
      <c r="A81" s="882">
        <v>21</v>
      </c>
      <c r="B81" s="3276"/>
      <c r="C81" s="818" t="s">
        <v>656</v>
      </c>
      <c r="D81" s="818" t="s">
        <v>657</v>
      </c>
      <c r="E81" s="895">
        <v>0.2</v>
      </c>
      <c r="F81" s="882">
        <v>30</v>
      </c>
    </row>
    <row r="82" spans="1:6" s="878" customFormat="1" ht="48">
      <c r="A82" s="882">
        <v>22</v>
      </c>
      <c r="B82" s="3276"/>
      <c r="C82" s="818" t="s">
        <v>658</v>
      </c>
      <c r="D82" s="818" t="s">
        <v>659</v>
      </c>
      <c r="E82" s="895">
        <v>0.2</v>
      </c>
      <c r="F82" s="882">
        <v>30</v>
      </c>
    </row>
    <row r="83" spans="1:6" s="878" customFormat="1" ht="48">
      <c r="A83" s="882">
        <v>23</v>
      </c>
      <c r="B83" s="3276"/>
      <c r="C83" s="818" t="s">
        <v>660</v>
      </c>
      <c r="D83" s="818" t="s">
        <v>661</v>
      </c>
      <c r="E83" s="895">
        <v>0.2</v>
      </c>
      <c r="F83" s="882">
        <v>30</v>
      </c>
    </row>
    <row r="84" spans="1:6" s="878" customFormat="1" ht="36">
      <c r="A84" s="882">
        <v>24</v>
      </c>
      <c r="B84" s="3276"/>
      <c r="C84" s="818" t="s">
        <v>662</v>
      </c>
      <c r="D84" s="818" t="s">
        <v>663</v>
      </c>
      <c r="E84" s="895">
        <v>0.2</v>
      </c>
      <c r="F84" s="882">
        <v>30</v>
      </c>
    </row>
    <row r="85" spans="1:6" s="878" customFormat="1" ht="36">
      <c r="A85" s="882">
        <v>25</v>
      </c>
      <c r="B85" s="3276"/>
      <c r="C85" s="818" t="s">
        <v>664</v>
      </c>
      <c r="D85" s="818" t="s">
        <v>665</v>
      </c>
      <c r="E85" s="895">
        <v>0.5</v>
      </c>
      <c r="F85" s="882">
        <v>80</v>
      </c>
    </row>
    <row r="86" spans="1:6" s="878" customFormat="1" ht="36">
      <c r="A86" s="882">
        <v>26</v>
      </c>
      <c r="B86" s="3276"/>
      <c r="C86" s="818" t="s">
        <v>666</v>
      </c>
      <c r="D86" s="818" t="s">
        <v>667</v>
      </c>
      <c r="E86" s="895">
        <v>0.2</v>
      </c>
      <c r="F86" s="882">
        <v>30</v>
      </c>
    </row>
    <row r="87" spans="1:6" s="878" customFormat="1" ht="36">
      <c r="A87" s="882">
        <v>27</v>
      </c>
      <c r="B87" s="3276"/>
      <c r="C87" s="818" t="s">
        <v>668</v>
      </c>
      <c r="D87" s="818" t="s">
        <v>669</v>
      </c>
      <c r="E87" s="895">
        <v>0.2</v>
      </c>
      <c r="F87" s="882">
        <v>30</v>
      </c>
    </row>
    <row r="88" spans="1:6" s="878" customFormat="1" ht="36">
      <c r="A88" s="882">
        <v>28</v>
      </c>
      <c r="B88" s="3276"/>
      <c r="C88" s="818" t="s">
        <v>670</v>
      </c>
      <c r="D88" s="818" t="s">
        <v>671</v>
      </c>
      <c r="E88" s="895">
        <v>0.2</v>
      </c>
      <c r="F88" s="882">
        <v>30</v>
      </c>
    </row>
    <row r="89" spans="1:6" s="878" customFormat="1" ht="24">
      <c r="A89" s="882">
        <v>29</v>
      </c>
      <c r="B89" s="3276"/>
      <c r="C89" s="818" t="s">
        <v>672</v>
      </c>
      <c r="D89" s="818" t="s">
        <v>673</v>
      </c>
      <c r="E89" s="895">
        <v>0.2</v>
      </c>
      <c r="F89" s="882">
        <v>30</v>
      </c>
    </row>
    <row r="90" spans="1:6" s="878" customFormat="1" ht="24">
      <c r="A90" s="882">
        <v>30</v>
      </c>
      <c r="B90" s="3276"/>
      <c r="C90" s="818" t="s">
        <v>674</v>
      </c>
      <c r="D90" s="818" t="s">
        <v>675</v>
      </c>
      <c r="E90" s="895">
        <v>0.2</v>
      </c>
      <c r="F90" s="882">
        <v>30</v>
      </c>
    </row>
    <row r="91" spans="1:6" s="878" customFormat="1" ht="36">
      <c r="A91" s="882">
        <v>31</v>
      </c>
      <c r="B91" s="3276"/>
      <c r="C91" s="818" t="s">
        <v>676</v>
      </c>
      <c r="D91" s="818" t="s">
        <v>677</v>
      </c>
      <c r="E91" s="895">
        <v>0.2</v>
      </c>
      <c r="F91" s="882">
        <v>30</v>
      </c>
    </row>
    <row r="92" spans="1:6" s="878" customFormat="1" ht="24">
      <c r="A92" s="882">
        <v>32</v>
      </c>
      <c r="B92" s="3276" t="s">
        <v>678</v>
      </c>
      <c r="C92" s="882" t="s">
        <v>679</v>
      </c>
      <c r="D92" s="818" t="s">
        <v>680</v>
      </c>
      <c r="E92" s="895">
        <v>0.2</v>
      </c>
      <c r="F92" s="882">
        <v>30</v>
      </c>
    </row>
    <row r="93" spans="1:6" s="878" customFormat="1" ht="36">
      <c r="A93" s="882">
        <v>33</v>
      </c>
      <c r="B93" s="3276"/>
      <c r="C93" s="882" t="s">
        <v>681</v>
      </c>
      <c r="D93" s="818" t="s">
        <v>682</v>
      </c>
      <c r="E93" s="895">
        <v>0.2</v>
      </c>
      <c r="F93" s="882">
        <v>30</v>
      </c>
    </row>
    <row r="94" spans="1:6" s="878" customFormat="1" ht="48">
      <c r="A94" s="882">
        <v>34</v>
      </c>
      <c r="B94" s="3276"/>
      <c r="C94" s="882" t="s">
        <v>683</v>
      </c>
      <c r="D94" s="818" t="s">
        <v>684</v>
      </c>
      <c r="E94" s="895">
        <v>0.2</v>
      </c>
      <c r="F94" s="882">
        <v>30</v>
      </c>
    </row>
    <row r="95" spans="1:6" s="878" customFormat="1" ht="36">
      <c r="A95" s="882">
        <v>35</v>
      </c>
      <c r="B95" s="3276"/>
      <c r="C95" s="882" t="s">
        <v>685</v>
      </c>
      <c r="D95" s="818" t="s">
        <v>686</v>
      </c>
      <c r="E95" s="895">
        <v>0.2</v>
      </c>
      <c r="F95" s="882">
        <v>30</v>
      </c>
    </row>
    <row r="96" spans="1:6" s="878" customFormat="1" ht="48">
      <c r="A96" s="882">
        <v>36</v>
      </c>
      <c r="B96" s="3276"/>
      <c r="C96" s="818" t="s">
        <v>687</v>
      </c>
      <c r="D96" s="818" t="s">
        <v>688</v>
      </c>
      <c r="E96" s="895">
        <v>0.2</v>
      </c>
      <c r="F96" s="882">
        <v>30</v>
      </c>
    </row>
    <row r="97" spans="1:6" s="878" customFormat="1" ht="36">
      <c r="A97" s="882">
        <v>37</v>
      </c>
      <c r="B97" s="3276"/>
      <c r="C97" s="882" t="s">
        <v>689</v>
      </c>
      <c r="D97" s="818" t="s">
        <v>690</v>
      </c>
      <c r="E97" s="895">
        <v>0.2</v>
      </c>
      <c r="F97" s="882">
        <v>30</v>
      </c>
    </row>
    <row r="98" spans="1:6" s="878" customFormat="1" ht="36">
      <c r="A98" s="882">
        <v>38</v>
      </c>
      <c r="B98" s="3276"/>
      <c r="C98" s="882" t="s">
        <v>691</v>
      </c>
      <c r="D98" s="818" t="s">
        <v>692</v>
      </c>
      <c r="E98" s="895">
        <v>0.2</v>
      </c>
      <c r="F98" s="882">
        <v>30</v>
      </c>
    </row>
    <row r="99" spans="1:6" s="878" customFormat="1" ht="36">
      <c r="A99" s="882">
        <v>39</v>
      </c>
      <c r="B99" s="3276" t="s">
        <v>693</v>
      </c>
      <c r="C99" s="882" t="s">
        <v>694</v>
      </c>
      <c r="D99" s="818" t="s">
        <v>695</v>
      </c>
      <c r="E99" s="895">
        <v>0.3</v>
      </c>
      <c r="F99" s="882">
        <v>50</v>
      </c>
    </row>
    <row r="100" spans="1:6" s="878" customFormat="1" ht="24">
      <c r="A100" s="882">
        <v>40</v>
      </c>
      <c r="B100" s="3276"/>
      <c r="C100" s="882" t="s">
        <v>696</v>
      </c>
      <c r="D100" s="818" t="s">
        <v>697</v>
      </c>
      <c r="E100" s="895">
        <v>0.2</v>
      </c>
      <c r="F100" s="882">
        <v>30</v>
      </c>
    </row>
    <row r="101" spans="1:6" s="878" customFormat="1" ht="36">
      <c r="A101" s="882">
        <v>41</v>
      </c>
      <c r="B101" s="327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6" t="s">
        <v>708</v>
      </c>
      <c r="C105" s="882" t="s">
        <v>709</v>
      </c>
      <c r="D105" s="818" t="s">
        <v>710</v>
      </c>
      <c r="E105" s="895">
        <v>0.2</v>
      </c>
      <c r="F105" s="882">
        <v>30</v>
      </c>
    </row>
    <row r="106" spans="1:6" s="878" customFormat="1" ht="36">
      <c r="A106" s="882">
        <v>46</v>
      </c>
      <c r="B106" s="3276"/>
      <c r="C106" s="882" t="s">
        <v>711</v>
      </c>
      <c r="D106" s="818" t="s">
        <v>712</v>
      </c>
      <c r="E106" s="895">
        <v>0.2</v>
      </c>
      <c r="F106" s="882">
        <v>30</v>
      </c>
    </row>
    <row r="107" spans="1:6" s="878" customFormat="1" ht="36">
      <c r="A107" s="882">
        <v>47</v>
      </c>
      <c r="B107" s="3276" t="s">
        <v>713</v>
      </c>
      <c r="C107" s="882" t="s">
        <v>714</v>
      </c>
      <c r="D107" s="818" t="s">
        <v>715</v>
      </c>
      <c r="E107" s="895">
        <v>0.3</v>
      </c>
      <c r="F107" s="882">
        <v>50</v>
      </c>
    </row>
    <row r="108" spans="1:6" s="878" customFormat="1" ht="36">
      <c r="A108" s="882">
        <v>48</v>
      </c>
      <c r="B108" s="327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6" t="s">
        <v>724</v>
      </c>
      <c r="C111" s="882" t="s">
        <v>725</v>
      </c>
      <c r="D111" s="818" t="s">
        <v>726</v>
      </c>
      <c r="E111" s="895">
        <v>0.2</v>
      </c>
      <c r="F111" s="882">
        <v>30</v>
      </c>
    </row>
    <row r="112" spans="1:6" s="878" customFormat="1" ht="24">
      <c r="A112" s="882">
        <v>52</v>
      </c>
      <c r="B112" s="3276"/>
      <c r="C112" s="882" t="s">
        <v>727</v>
      </c>
      <c r="D112" s="818" t="s">
        <v>728</v>
      </c>
      <c r="E112" s="895">
        <v>0.2</v>
      </c>
      <c r="F112" s="882">
        <v>30</v>
      </c>
    </row>
    <row r="113" spans="1:6" s="878" customFormat="1" ht="24">
      <c r="A113" s="882">
        <v>53</v>
      </c>
      <c r="B113" s="327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6" t="s">
        <v>737</v>
      </c>
      <c r="C116" s="882" t="s">
        <v>738</v>
      </c>
      <c r="D116" s="818" t="s">
        <v>739</v>
      </c>
      <c r="E116" s="895">
        <v>0.2</v>
      </c>
      <c r="F116" s="882">
        <v>30</v>
      </c>
    </row>
    <row r="117" spans="1:6" ht="36">
      <c r="A117" s="882">
        <v>57</v>
      </c>
      <c r="B117" s="327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2996</v>
      </c>
    </row>
    <row r="2" spans="1:5" ht="15.75">
      <c r="A2" s="2901" t="s">
        <v>2988</v>
      </c>
      <c r="B2" s="2902" t="e">
        <f ca="1">SUMIF(B6:B13,"&lt;&gt;#ref!",B6:B13)</f>
        <v>#DIV/0!</v>
      </c>
      <c r="C2" s="2901" t="s">
        <v>2989</v>
      </c>
      <c r="D2" s="2901" t="s">
        <v>2990</v>
      </c>
      <c r="E2" s="2902">
        <f ca="1">SUMIF(E6:E13,"&lt;&gt;#ref!",E6:E13)</f>
        <v>0</v>
      </c>
    </row>
    <row r="3" spans="1:5" ht="15.75">
      <c r="A3" s="2901" t="s">
        <v>2991</v>
      </c>
      <c r="B3" s="2902" t="e">
        <f ca="1">ROUND(B2*10000/E2,0)</f>
        <v>#DIV/0!</v>
      </c>
      <c r="C3" s="2901" t="s">
        <v>2997</v>
      </c>
      <c r="D3" s="2903"/>
      <c r="E3" s="2903"/>
    </row>
    <row r="4" spans="1:5" ht="15.75">
      <c r="A4" s="2904"/>
      <c r="B4" s="2903"/>
      <c r="C4" s="2903"/>
      <c r="D4" s="2903"/>
      <c r="E4" s="2903"/>
    </row>
    <row r="5" spans="1:5" ht="28.5">
      <c r="A5" s="2905" t="s">
        <v>2992</v>
      </c>
      <c r="B5" s="2901" t="s">
        <v>2993</v>
      </c>
      <c r="C5" s="2902"/>
      <c r="D5" s="2903"/>
      <c r="E5" s="2901" t="s">
        <v>2994</v>
      </c>
    </row>
    <row r="6" spans="1:5" ht="15.75">
      <c r="A6" s="2906" t="s">
        <v>2995</v>
      </c>
      <c r="B6" s="2902" t="e">
        <f ca="1">SUMIF(INDIRECT("'"&amp;A6&amp;"'"&amp;"!A:A"),"总价",INDIRECT("'"&amp;A6&amp;"'"&amp;"!B:B"))</f>
        <v>#DIV/0!</v>
      </c>
      <c r="C6" s="2901" t="s">
        <v>2989</v>
      </c>
      <c r="D6" s="2903"/>
      <c r="E6" s="2574">
        <f ca="1">SUMIF(INDIRECT("'"&amp;A6&amp;"'"&amp;"!C:C"),"建筑面积",INDIRECT("'"&amp;A6&amp;"'"&amp;"!D:D"))</f>
        <v>0</v>
      </c>
    </row>
    <row r="7" spans="1:5" ht="15.75">
      <c r="A7" s="2906"/>
      <c r="B7" s="2902" t="e">
        <f ca="1">SUMIF(INDIRECT("'"&amp;A7&amp;"'"&amp;"!A:A"),"总价",INDIRECT("'"&amp;A7&amp;"'"&amp;"!B:B"))</f>
        <v>#REF!</v>
      </c>
      <c r="C7" s="2901" t="s">
        <v>2989</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2989</v>
      </c>
      <c r="D8" s="2903"/>
      <c r="E8" s="2574" t="e">
        <f t="shared" ca="1" si="0"/>
        <v>#REF!</v>
      </c>
    </row>
    <row r="9" spans="1:5" ht="15.75">
      <c r="A9" s="2906"/>
      <c r="B9" s="2902" t="e">
        <f t="shared" ca="1" si="1"/>
        <v>#REF!</v>
      </c>
      <c r="C9" s="2901" t="s">
        <v>2989</v>
      </c>
      <c r="D9" s="2903"/>
      <c r="E9" s="2574" t="e">
        <f t="shared" ca="1" si="0"/>
        <v>#REF!</v>
      </c>
    </row>
    <row r="10" spans="1:5" ht="15.75">
      <c r="A10" s="2906"/>
      <c r="B10" s="2902" t="e">
        <f t="shared" ca="1" si="1"/>
        <v>#REF!</v>
      </c>
      <c r="C10" s="2901" t="s">
        <v>2989</v>
      </c>
      <c r="D10" s="2903"/>
      <c r="E10" s="2574" t="e">
        <f t="shared" ca="1" si="0"/>
        <v>#REF!</v>
      </c>
    </row>
    <row r="11" spans="1:5" ht="15.75">
      <c r="A11" s="2906"/>
      <c r="B11" s="2902" t="e">
        <f t="shared" ca="1" si="1"/>
        <v>#REF!</v>
      </c>
      <c r="C11" s="2901" t="s">
        <v>2989</v>
      </c>
      <c r="D11" s="2903"/>
      <c r="E11" s="2574" t="e">
        <f t="shared" ca="1" si="0"/>
        <v>#REF!</v>
      </c>
    </row>
    <row r="12" spans="1:5" ht="15.75">
      <c r="A12" s="2906"/>
      <c r="B12" s="2902" t="e">
        <f t="shared" ca="1" si="1"/>
        <v>#REF!</v>
      </c>
      <c r="C12" s="2901" t="s">
        <v>2989</v>
      </c>
      <c r="D12" s="2903"/>
      <c r="E12" s="2574" t="e">
        <f t="shared" ca="1" si="0"/>
        <v>#REF!</v>
      </c>
    </row>
    <row r="13" spans="1:5" ht="15.75">
      <c r="A13" s="2906"/>
      <c r="B13" s="2902" t="e">
        <f t="shared" ca="1" si="1"/>
        <v>#REF!</v>
      </c>
      <c r="C13" s="2901" t="s">
        <v>2989</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0"/>
      <c r="B4" s="2969" t="s">
        <v>1624</v>
      </c>
      <c r="C4" s="2969"/>
      <c r="D4" s="2969"/>
      <c r="E4" s="1960"/>
    </row>
    <row r="5" spans="1:5" ht="16.5" thickTop="1">
      <c r="A5" s="1958"/>
      <c r="B5" s="2967" t="s">
        <v>1616</v>
      </c>
      <c r="C5" s="1961" t="s">
        <v>1617</v>
      </c>
      <c r="D5" s="1040">
        <f ca="1">结果表!H101</f>
        <v>6537</v>
      </c>
      <c r="E5" s="1958"/>
    </row>
    <row r="6" spans="1:5" ht="15.75">
      <c r="A6" s="1958"/>
      <c r="B6" s="2967"/>
      <c r="C6" s="1961" t="s">
        <v>1618</v>
      </c>
      <c r="D6" s="1040" t="str">
        <f ca="1">NUMBERSTRING(INT(D5*10000),2)&amp;"元整"</f>
        <v>陆仟伍佰叁拾柒万元整</v>
      </c>
      <c r="E6" s="1958"/>
    </row>
    <row r="7" spans="1:5" ht="15.75">
      <c r="A7" s="1958"/>
      <c r="B7" s="2972"/>
      <c r="C7" s="1962" t="s">
        <v>1619</v>
      </c>
      <c r="D7" s="1041">
        <f ca="1">结果表!H102</f>
        <v>11319</v>
      </c>
      <c r="E7" s="1958"/>
    </row>
    <row r="8" spans="1:5" ht="15.75">
      <c r="A8" s="1958"/>
      <c r="B8" s="2973" t="str">
        <f>结果表!E103</f>
        <v>2.估价师知悉的法定优先受偿款</v>
      </c>
      <c r="C8" s="1963" t="s">
        <v>1620</v>
      </c>
      <c r="D8" s="1041">
        <f>结果表!H103</f>
        <v>0</v>
      </c>
      <c r="E8" s="1958"/>
    </row>
    <row r="9" spans="1:5" ht="15.75">
      <c r="A9" s="1958"/>
      <c r="B9" s="2975"/>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6" t="str">
        <f>结果表!E107</f>
        <v>3.房地产抵押价值</v>
      </c>
      <c r="C13" s="1966" t="s">
        <v>1617</v>
      </c>
      <c r="D13" s="1043">
        <f ca="1">结果表!H107</f>
        <v>6537</v>
      </c>
      <c r="E13" s="1958"/>
    </row>
    <row r="14" spans="1:5" ht="15.75">
      <c r="A14" s="1958"/>
      <c r="B14" s="2967"/>
      <c r="C14" s="1961" t="s">
        <v>1618</v>
      </c>
      <c r="D14" s="1040" t="str">
        <f ca="1">NUMBERSTRING(INT(D13*10000),2)&amp;"元整"</f>
        <v>陆仟伍佰叁拾柒万元整</v>
      </c>
      <c r="E14" s="1958"/>
    </row>
    <row r="15" spans="1:5" ht="15">
      <c r="A15" s="1958"/>
      <c r="B15" s="2972"/>
      <c r="C15" s="1962" t="s">
        <v>1628</v>
      </c>
      <c r="D15" s="1052">
        <f ca="1">结果表!H108</f>
        <v>11319</v>
      </c>
      <c r="E15" s="1958"/>
    </row>
    <row r="16" spans="1:5" ht="15">
      <c r="A16" s="1958"/>
      <c r="B16" s="2973" t="str">
        <f>结果表!E109</f>
        <v>——</v>
      </c>
      <c r="C16" s="1966" t="s">
        <v>1629</v>
      </c>
      <c r="D16" s="1967" t="str">
        <f>结果表!H109</f>
        <v>——</v>
      </c>
      <c r="E16" s="1958"/>
    </row>
    <row r="17" spans="1:5" ht="15.75">
      <c r="A17" s="1958"/>
      <c r="B17" s="2974"/>
      <c r="C17" s="1961" t="s">
        <v>1630</v>
      </c>
      <c r="D17" s="1040" t="e">
        <f>NUMBERSTRING(INT(D16*10000),2)&amp;"元整"</f>
        <v>#VALUE!</v>
      </c>
      <c r="E17" s="1958"/>
    </row>
    <row r="18" spans="1:5" ht="15">
      <c r="A18" s="1958"/>
      <c r="B18" s="2975"/>
      <c r="C18" s="1962" t="s">
        <v>1619</v>
      </c>
      <c r="D18" s="1052" t="str">
        <f>结果表!H110</f>
        <v>——</v>
      </c>
      <c r="E18" s="1958"/>
    </row>
    <row r="19" spans="1:5" ht="15.75">
      <c r="A19" s="1958"/>
      <c r="B19" s="2966" t="str">
        <f>结果表!E111</f>
        <v>——</v>
      </c>
      <c r="C19" s="1966" t="s">
        <v>1617</v>
      </c>
      <c r="D19" s="1041" t="str">
        <f>结果表!H111</f>
        <v>——</v>
      </c>
      <c r="E19" s="1958"/>
    </row>
    <row r="20" spans="1:5" ht="15.75">
      <c r="A20" s="1958"/>
      <c r="B20" s="2967"/>
      <c r="C20" s="1961" t="s">
        <v>1630</v>
      </c>
      <c r="D20" s="1040" t="e">
        <f>NUMBERSTRING(INT(D19*10000),2)&amp;"元整"</f>
        <v>#VALUE!</v>
      </c>
      <c r="E20" s="1958"/>
    </row>
    <row r="21" spans="1:5" ht="15.75" thickBot="1">
      <c r="A21" s="1958"/>
      <c r="B21" s="2968"/>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2" t="s">
        <v>1146</v>
      </c>
      <c r="C1" s="3282"/>
      <c r="D1" s="3282"/>
      <c r="E1" s="3282"/>
      <c r="F1" s="3282"/>
      <c r="G1" s="3278" t="s">
        <v>1147</v>
      </c>
      <c r="H1" s="3278"/>
      <c r="I1" s="3278"/>
      <c r="J1" s="3278"/>
      <c r="K1" s="3278"/>
      <c r="L1" s="3278"/>
      <c r="N1" s="3278" t="s">
        <v>1148</v>
      </c>
      <c r="O1" s="3278"/>
      <c r="P1" s="3278"/>
      <c r="Q1" s="3278"/>
      <c r="R1" s="1446"/>
      <c r="S1" s="3278" t="s">
        <v>1149</v>
      </c>
      <c r="T1" s="3278"/>
      <c r="U1" s="3278"/>
      <c r="V1" s="3278"/>
      <c r="X1" s="3277" t="s">
        <v>1150</v>
      </c>
      <c r="Y1" s="3278"/>
      <c r="Z1" s="3278"/>
      <c r="AA1" s="3278"/>
      <c r="AB1" s="3278"/>
      <c r="AD1" s="3277" t="s">
        <v>1151</v>
      </c>
      <c r="AE1" s="3278"/>
      <c r="AF1" s="3278"/>
      <c r="AG1" s="3278"/>
      <c r="AH1" s="3278"/>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3031</v>
      </c>
      <c r="B3" s="2918"/>
      <c r="C3" s="2918"/>
      <c r="D3" s="2919"/>
      <c r="E3" s="2919"/>
      <c r="F3" s="2918"/>
      <c r="G3" s="2920"/>
      <c r="H3" s="2921"/>
      <c r="I3" s="2922">
        <f>ROUND(AVERAGE($I4:$I27),2)</f>
        <v>2.04</v>
      </c>
      <c r="J3" s="2922">
        <f>ROUND(AVERAGE($J4:$J27),2)</f>
        <v>1.44</v>
      </c>
      <c r="K3" s="2922">
        <f>ROUND(AVERAGE($K4:$K27),2)</f>
        <v>2.23</v>
      </c>
      <c r="L3" s="2922">
        <f>ROUND(AVERAGE($L4:$L27),2)</f>
        <v>1.4</v>
      </c>
      <c r="N3" s="2920"/>
      <c r="O3" s="2923"/>
      <c r="P3" s="2923"/>
      <c r="Q3" s="2923"/>
      <c r="R3" s="2923"/>
      <c r="S3" s="2920"/>
      <c r="T3" s="2923"/>
      <c r="U3" s="2923"/>
      <c r="V3" s="2923"/>
      <c r="W3" s="2915"/>
      <c r="X3" s="2924">
        <f>ROUND(SUMPRODUCT(PRODUCT(1+N3:N$26)),4)</f>
        <v>1.5422</v>
      </c>
      <c r="Y3" s="2924">
        <f>ROUND(SUMPRODUCT(PRODUCT(1+O3:O$26)),4)</f>
        <v>1.3557999999999999</v>
      </c>
      <c r="Z3" s="2924">
        <f t="shared" ref="Z3:Z24" si="0">Y3</f>
        <v>1.3557999999999999</v>
      </c>
      <c r="AA3" s="2924">
        <f>ROUND(SUMPRODUCT(PRODUCT(1+P3:P$26)),4)</f>
        <v>1.6036999999999999</v>
      </c>
      <c r="AB3" s="2924">
        <f>ROUND(SUMPRODUCT(PRODUCT(1+Q3:Q$26)),4)</f>
        <v>1.3573</v>
      </c>
      <c r="AD3" s="2925">
        <f>ROUND(AVERAGE(I3:I$27)/100,4)</f>
        <v>2.0400000000000001E-2</v>
      </c>
      <c r="AE3" s="2925">
        <f>ROUND(AVERAGE(J3:J$27)/100,4)</f>
        <v>1.44E-2</v>
      </c>
      <c r="AF3" s="2925">
        <f t="shared" ref="AF3:AF25" si="1">AE3</f>
        <v>1.44E-2</v>
      </c>
      <c r="AG3" s="2925">
        <f>ROUND(AVERAGE(K3:K$27)/100,4)</f>
        <v>2.23E-2</v>
      </c>
      <c r="AH3" s="2925">
        <f>ROUND(AVERAGE(L3:L$27)/100,4)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3048</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6">
        <v>2019</v>
      </c>
      <c r="H5" s="1730">
        <v>3</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3032</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3047</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6">
        <v>2019</v>
      </c>
      <c r="H6" s="1462">
        <v>2</v>
      </c>
      <c r="I6" s="2950">
        <v>1.53</v>
      </c>
      <c r="J6" s="2950">
        <v>1.01</v>
      </c>
      <c r="K6" s="2950">
        <v>1.62</v>
      </c>
      <c r="L6" s="2951">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3044</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0">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3049</v>
      </c>
      <c r="B8" s="2947">
        <f t="shared" ref="B8" si="35">B9*(1+N8)</f>
        <v>464.37293017158942</v>
      </c>
      <c r="C8" s="2947">
        <f t="shared" ref="C8" si="36">C9*(1+O8)</f>
        <v>344.73679941385956</v>
      </c>
      <c r="D8" s="2947">
        <f t="shared" ref="D8" si="37">C8</f>
        <v>344.73679941385956</v>
      </c>
      <c r="E8" s="2947">
        <f t="shared" ref="E8" si="38">E9*(1+P8)</f>
        <v>663.2377795103107</v>
      </c>
      <c r="F8" s="2948">
        <f t="shared" ref="F8" si="39">F9*(1+Q8)</f>
        <v>304.75936311478398</v>
      </c>
      <c r="G8" s="3280">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3038</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80"/>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3037</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80"/>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3030</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7"/>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3027</v>
      </c>
      <c r="B12" s="1469">
        <v>439</v>
      </c>
      <c r="C12" s="1469">
        <v>327</v>
      </c>
      <c r="D12" s="1469">
        <f>C12</f>
        <v>327</v>
      </c>
      <c r="E12" s="1469">
        <v>627</v>
      </c>
      <c r="F12" s="1470">
        <v>283</v>
      </c>
      <c r="G12" s="3283">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3028</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80"/>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80"/>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7"/>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83">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80"/>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80"/>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81"/>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79">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80"/>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80"/>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81"/>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79">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80"/>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80"/>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81"/>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84">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85"/>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85"/>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86"/>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79">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80"/>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80"/>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81"/>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79">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80">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80">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81">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79">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80">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80">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81">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79">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80">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80">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81">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79">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80">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80">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81">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79">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80">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80">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81">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79">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80">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80">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81">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79">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80">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80">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81">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79">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80">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80">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81">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79">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80">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80">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81">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79">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80">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80">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81">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2998</v>
      </c>
      <c r="C1" s="3289" t="s">
        <v>2999</v>
      </c>
      <c r="D1" s="3290"/>
      <c r="E1" s="3290"/>
      <c r="F1" s="3290"/>
      <c r="G1" s="3290"/>
      <c r="H1" s="3290"/>
      <c r="I1" s="3290"/>
      <c r="J1" s="3290"/>
      <c r="K1" s="3290"/>
      <c r="L1" s="3290"/>
      <c r="M1" s="3290"/>
      <c r="N1" s="3290"/>
      <c r="O1" s="3290"/>
      <c r="P1" s="3290"/>
      <c r="Q1" s="3290"/>
      <c r="R1" s="3290"/>
      <c r="S1" s="3291"/>
      <c r="T1" s="1204" t="s">
        <v>3000</v>
      </c>
    </row>
    <row r="2" spans="1:45" s="707" customFormat="1">
      <c r="A2" s="1205"/>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3008</v>
      </c>
      <c r="B17" s="2908" t="s">
        <v>3009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3010</v>
      </c>
      <c r="E19" s="1792"/>
      <c r="F19" s="1792"/>
      <c r="G19" s="1792"/>
      <c r="H19" s="1280"/>
      <c r="I19" s="168"/>
      <c r="J19" s="168"/>
      <c r="K19" s="168"/>
      <c r="L19" s="168"/>
      <c r="M19" s="168"/>
      <c r="N19" s="168"/>
      <c r="O19" s="168"/>
      <c r="P19" s="168"/>
      <c r="Q19" s="168"/>
      <c r="R19" s="788"/>
      <c r="S19" s="138"/>
    </row>
    <row r="20" spans="1:45" ht="16.5" thickBot="1">
      <c r="A20" s="715" t="s">
        <v>3011</v>
      </c>
      <c r="B20" s="338" t="e">
        <f ca="1">IF(D20="——",S22,S22-F20)</f>
        <v>#REF!</v>
      </c>
      <c r="C20" s="168"/>
      <c r="D20" s="2910" t="s">
        <v>3012</v>
      </c>
      <c r="E20" s="1793"/>
      <c r="F20" s="1204" t="e">
        <f ca="1">SUMIF(INDIRECT("'"&amp;H20&amp;"'"&amp;"!A:A"),"承租人权益价值",INDIRECT("'"&amp;H20&amp;"'"&amp;"!c:c"))</f>
        <v>#REF!</v>
      </c>
      <c r="G20" s="1204" t="s">
        <v>3013</v>
      </c>
      <c r="H20" s="2911"/>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066" t="s">
        <v>33</v>
      </c>
      <c r="D22" s="3067"/>
      <c r="E22" s="3067"/>
      <c r="F22" s="3067"/>
      <c r="G22" s="3067"/>
      <c r="H22" s="3067"/>
      <c r="I22" s="3067"/>
      <c r="J22" s="3067"/>
      <c r="K22" s="3067"/>
      <c r="L22" s="3067"/>
      <c r="M22" s="3067"/>
      <c r="N22" s="3067"/>
      <c r="O22" s="3067"/>
      <c r="P22" s="3067"/>
      <c r="Q22" s="3288"/>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32448</v>
      </c>
      <c r="C2" s="2" t="s">
        <v>133</v>
      </c>
      <c r="D2" s="243"/>
      <c r="E2" s="243"/>
      <c r="F2" s="243"/>
      <c r="G2" s="243"/>
    </row>
    <row r="3" spans="1:7" s="244" customFormat="1" ht="18" customHeight="1" thickBot="1">
      <c r="A3" s="247" t="s">
        <v>85</v>
      </c>
      <c r="B3" s="248">
        <f ca="1">ROUND(B2*10000/'数据-汇总表'!E3,0)</f>
        <v>56185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220</v>
      </c>
      <c r="F9" s="265"/>
      <c r="G9" s="270"/>
    </row>
    <row r="10" spans="1:7" s="258" customFormat="1" ht="13.5" customHeight="1">
      <c r="A10" s="950" t="s">
        <v>801</v>
      </c>
      <c r="B10" s="268" t="s">
        <v>94</v>
      </c>
      <c r="C10" s="269">
        <f>ROUND(D10*E10/10000,0)</f>
        <v>127</v>
      </c>
      <c r="D10" s="1032">
        <f>'数据-汇总表'!E6</f>
        <v>5775.17</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127</v>
      </c>
      <c r="D19" s="1036">
        <f>'数据-汇总表'!E3</f>
        <v>5775.17</v>
      </c>
      <c r="E19" s="255">
        <f>'数据-取费表'!B31</f>
        <v>220</v>
      </c>
      <c r="F19" s="275"/>
      <c r="G19" s="1" t="s">
        <v>1071</v>
      </c>
    </row>
    <row r="20" spans="1:7" s="258" customFormat="1" ht="13.5" customHeight="1">
      <c r="A20" s="948" t="s">
        <v>1054</v>
      </c>
      <c r="B20" s="254" t="s">
        <v>104</v>
      </c>
      <c r="C20" s="276">
        <f>ROUND((C5+C19)*F20,0)</f>
        <v>415</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2036</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12</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4230</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4230</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29748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2058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1848</v>
      </c>
      <c r="D34" s="261"/>
      <c r="E34" s="264"/>
      <c r="F34" s="301">
        <f>IF('数据-取费表'!B24=0,1,'数据-取费表'!N16)</f>
        <v>1</v>
      </c>
      <c r="G34" s="263" t="s">
        <v>116</v>
      </c>
    </row>
    <row r="35" spans="1:7" ht="13.5" customHeight="1">
      <c r="A35" s="951" t="s">
        <v>796</v>
      </c>
      <c r="B35" s="259" t="s">
        <v>60</v>
      </c>
      <c r="C35" s="264">
        <f>ROUND(C34*F35,0)</f>
        <v>55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127</v>
      </c>
      <c r="D37" s="261">
        <f>'数据-汇总表'!E3</f>
        <v>5775.17</v>
      </c>
      <c r="E37" s="293">
        <f>'数据-取费表'!B35</f>
        <v>220</v>
      </c>
      <c r="F37" s="303"/>
      <c r="G37" s="305" t="s">
        <v>119</v>
      </c>
    </row>
    <row r="38" spans="1:7" ht="13.5" customHeight="1">
      <c r="A38" s="951" t="s">
        <v>799</v>
      </c>
      <c r="B38" s="259" t="s">
        <v>63</v>
      </c>
      <c r="C38" s="264">
        <f>ROUND(C34*F38,0)</f>
        <v>28</v>
      </c>
      <c r="D38" s="264"/>
      <c r="E38" s="264"/>
      <c r="F38" s="303">
        <f>'数据-取费表'!B36</f>
        <v>1.4999999999999999E-2</v>
      </c>
      <c r="G38" s="263" t="s">
        <v>117</v>
      </c>
    </row>
    <row r="39" spans="1:7" s="258" customFormat="1" ht="13.5" customHeight="1">
      <c r="A39" s="948" t="s">
        <v>783</v>
      </c>
      <c r="B39" s="254" t="s">
        <v>104</v>
      </c>
      <c r="C39" s="276">
        <f>ROUND(C33*F20,0)</f>
        <v>41</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100</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98</v>
      </c>
      <c r="D42" s="282"/>
      <c r="E42" s="282"/>
      <c r="F42" s="283"/>
      <c r="G42" s="3151" t="s">
        <v>121</v>
      </c>
    </row>
    <row r="43" spans="1:7" ht="13.5" customHeight="1">
      <c r="A43" s="951" t="s">
        <v>792</v>
      </c>
      <c r="B43" s="259" t="s">
        <v>1061</v>
      </c>
      <c r="C43" s="282">
        <f ca="1">ROUND(IF('数据-取费表'!B22&lt;=1,C39*F22*'数据-取费表'!B21/2,C39*(POWER((1+F22),'数据-取费表'!B21/2)-1)),0)</f>
        <v>2</v>
      </c>
      <c r="D43" s="282"/>
      <c r="E43" s="282"/>
      <c r="F43" s="283"/>
      <c r="G43" s="3152"/>
    </row>
    <row r="44" spans="1:7" ht="13.5" customHeight="1">
      <c r="A44" s="951" t="s">
        <v>793</v>
      </c>
      <c r="B44" s="259" t="s">
        <v>1063</v>
      </c>
      <c r="C44" s="282">
        <f ca="1">ROUND(IF('数据-取费表'!B22&lt;=1,C40*F22*'数据-取费表'!B21/2,C40*(POWER((1+F22),'数据-取费表'!B21/2)-1)),4)</f>
        <v>1E-3</v>
      </c>
      <c r="D44" s="282"/>
      <c r="E44" s="282"/>
      <c r="F44" s="283"/>
      <c r="G44" s="3153"/>
    </row>
    <row r="45" spans="1:7" s="258" customFormat="1" ht="13.5" customHeight="1">
      <c r="A45" s="948" t="s">
        <v>786</v>
      </c>
      <c r="B45" s="288" t="s">
        <v>112</v>
      </c>
      <c r="C45" s="289">
        <f>C46</f>
        <v>420</v>
      </c>
      <c r="D45" s="279">
        <f>C47</f>
        <v>4.0000000000000001E-3</v>
      </c>
      <c r="E45" s="280" t="s">
        <v>129</v>
      </c>
      <c r="F45" s="290"/>
      <c r="G45" s="291" t="s">
        <v>1069</v>
      </c>
    </row>
    <row r="46" spans="1:7" s="258" customFormat="1" ht="13.5" customHeight="1">
      <c r="A46" s="951" t="s">
        <v>794</v>
      </c>
      <c r="B46" s="292" t="s">
        <v>1062</v>
      </c>
      <c r="C46" s="293">
        <f>ROUND((C33+C39)*F27,0)</f>
        <v>420</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2842</v>
      </c>
      <c r="D49" s="276"/>
      <c r="E49" s="276"/>
      <c r="F49" s="308"/>
      <c r="G49" s="278" t="s">
        <v>1070</v>
      </c>
    </row>
    <row r="50" spans="1:7" s="302" customFormat="1" ht="24">
      <c r="A50" s="948" t="s">
        <v>789</v>
      </c>
      <c r="B50" s="254" t="s">
        <v>124</v>
      </c>
      <c r="C50" s="276"/>
      <c r="D50" s="276"/>
      <c r="E50" s="276"/>
      <c r="F50" s="308">
        <f>IF('数据-取费表'!B24=0,'数据-取费表'!N16,1)</f>
        <v>0.95</v>
      </c>
      <c r="G50" s="291" t="s">
        <v>125</v>
      </c>
    </row>
    <row r="51" spans="1:7" ht="16.5" customHeight="1">
      <c r="A51" s="948" t="s">
        <v>790</v>
      </c>
      <c r="B51" s="254" t="s">
        <v>132</v>
      </c>
      <c r="C51" s="276">
        <f ca="1">ROUND(C49*F50,0)</f>
        <v>2700</v>
      </c>
      <c r="D51" s="276"/>
      <c r="E51" s="276"/>
      <c r="F51" s="308"/>
      <c r="G51" s="278" t="s">
        <v>64</v>
      </c>
    </row>
    <row r="52" spans="1:7" s="252" customFormat="1" ht="16.5" thickBot="1">
      <c r="A52" s="309" t="s">
        <v>65</v>
      </c>
      <c r="B52" s="310"/>
      <c r="C52" s="311">
        <f ca="1">C31+C51</f>
        <v>32448</v>
      </c>
      <c r="D52" s="310"/>
      <c r="E52" s="310"/>
      <c r="F52" s="310"/>
      <c r="G52" s="312"/>
    </row>
    <row r="55" spans="1:7" ht="15">
      <c r="B55" s="314" t="s">
        <v>66</v>
      </c>
      <c r="C55" s="315"/>
    </row>
    <row r="56" spans="1:7">
      <c r="B56" s="317" t="s">
        <v>67</v>
      </c>
      <c r="C56" s="318">
        <f ca="1">ROUND(C51/C52,3)</f>
        <v>8.3000000000000004E-2</v>
      </c>
    </row>
    <row r="57" spans="1:7">
      <c r="B57" s="317" t="s">
        <v>68</v>
      </c>
      <c r="C57" s="319">
        <f ca="1">1-C56</f>
        <v>0.91700000000000004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2" t="s">
        <v>868</v>
      </c>
      <c r="B1" s="3292"/>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43782</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1635</v>
      </c>
      <c r="B2" s="2977" t="s">
        <v>1636</v>
      </c>
      <c r="C2" s="2977" t="s">
        <v>1637</v>
      </c>
      <c r="D2" s="2977" t="str">
        <f>结果表!D116</f>
        <v>出让国有建设用地使用权价值</v>
      </c>
      <c r="E2" s="2977"/>
      <c r="F2" s="2977" t="str">
        <f>结果表!F116</f>
        <v>在建建筑物价值</v>
      </c>
      <c r="G2" s="2977"/>
      <c r="H2" s="2977" t="str">
        <f>IF(项目基本情况!B9="房地产市场价值","房地产市场价值","房地产价值")</f>
        <v>房地产价值</v>
      </c>
      <c r="I2" s="2977"/>
    </row>
    <row r="3" spans="1:9" ht="15">
      <c r="A3" s="2978"/>
      <c r="B3" s="2978"/>
      <c r="C3" s="2978"/>
      <c r="D3" s="1044" t="s">
        <v>1632</v>
      </c>
      <c r="E3" s="1044" t="s">
        <v>1638</v>
      </c>
      <c r="F3" s="1044" t="s">
        <v>1632</v>
      </c>
      <c r="G3" s="1044" t="s">
        <v>1633</v>
      </c>
      <c r="H3" s="1044" t="s">
        <v>1632</v>
      </c>
      <c r="I3" s="1044" t="s">
        <v>1633</v>
      </c>
    </row>
    <row r="4" spans="1:9" ht="30">
      <c r="A4" s="1972" t="str">
        <f>项目基本情况!S2</f>
        <v>四川省成都市青羊区广富路239号31栋1层1号房地产</v>
      </c>
      <c r="B4" s="1044">
        <f>项目基本情况!C17</f>
        <v>5775.17</v>
      </c>
      <c r="C4" s="1044">
        <f>项目基本情况!C18</f>
        <v>0</v>
      </c>
      <c r="D4" s="1044">
        <f ca="1">结果表!D118</f>
        <v>3922</v>
      </c>
      <c r="E4" s="1044">
        <f ca="1">结果表!E118</f>
        <v>6791</v>
      </c>
      <c r="F4" s="1044">
        <f ca="1">结果表!F118</f>
        <v>2615</v>
      </c>
      <c r="G4" s="1044">
        <f ca="1">结果表!G118</f>
        <v>4528</v>
      </c>
      <c r="H4" s="1044">
        <f ca="1">结果表!H118</f>
        <v>6537</v>
      </c>
      <c r="I4" s="1044">
        <f ca="1">结果表!I118</f>
        <v>11319</v>
      </c>
    </row>
    <row r="5" spans="1:9" ht="30" customHeight="1">
      <c r="A5" s="2978" t="s">
        <v>1634</v>
      </c>
      <c r="B5" s="2978"/>
      <c r="C5" s="2978"/>
      <c r="D5" s="2979" t="str">
        <f ca="1">结果表!D119</f>
        <v>叁仟玖佰贰拾贰万元整</v>
      </c>
      <c r="E5" s="2979"/>
      <c r="F5" s="2979" t="str">
        <f ca="1">结果表!F119</f>
        <v>贰仟陆佰壹拾伍万元整</v>
      </c>
      <c r="G5" s="2979"/>
      <c r="H5" s="2979" t="str">
        <f ca="1">结果表!H119</f>
        <v>陆仟伍佰叁拾柒万元整</v>
      </c>
      <c r="I5" s="2979"/>
    </row>
    <row r="6" spans="1:9" ht="15.75">
      <c r="A6" s="2980" t="str">
        <f>结果表!A120</f>
        <v>估价师知悉的法定优先受偿款</v>
      </c>
      <c r="B6" s="2980"/>
      <c r="C6" s="2980"/>
      <c r="D6" s="2980">
        <f>结果表!D120</f>
        <v>0</v>
      </c>
      <c r="E6" s="2980"/>
      <c r="F6" s="2980"/>
      <c r="G6" s="2980"/>
      <c r="H6" s="2980"/>
      <c r="I6" s="2980"/>
    </row>
    <row r="7" spans="1:9" ht="15">
      <c r="A7" s="2978" t="s">
        <v>1634</v>
      </c>
      <c r="B7" s="2978"/>
      <c r="C7" s="2978"/>
      <c r="D7" s="2981" t="str">
        <f>结果表!D121</f>
        <v>零元整</v>
      </c>
      <c r="E7" s="2982"/>
      <c r="F7" s="2982"/>
      <c r="G7" s="2982"/>
      <c r="H7" s="2982"/>
      <c r="I7" s="2983"/>
    </row>
    <row r="8" spans="1:9" ht="15.75">
      <c r="A8" s="2980" t="str">
        <f>结果表!A122</f>
        <v>房地产抵押价值</v>
      </c>
      <c r="B8" s="2980"/>
      <c r="C8" s="2980"/>
      <c r="D8" s="2980">
        <f ca="1">结果表!D122</f>
        <v>6537</v>
      </c>
      <c r="E8" s="2980"/>
      <c r="F8" s="2980"/>
      <c r="G8" s="2980"/>
      <c r="H8" s="2980"/>
      <c r="I8" s="2980"/>
    </row>
    <row r="9" spans="1:9" ht="15">
      <c r="A9" s="2978" t="s">
        <v>1634</v>
      </c>
      <c r="B9" s="2978"/>
      <c r="C9" s="2978"/>
      <c r="D9" s="2979" t="str">
        <f ca="1">结果表!D123</f>
        <v>陆仟伍佰叁拾柒万元整</v>
      </c>
      <c r="E9" s="2979"/>
      <c r="F9" s="2979"/>
      <c r="G9" s="2979"/>
      <c r="H9" s="2979"/>
      <c r="I9" s="2979"/>
    </row>
    <row r="10" spans="1:9" ht="15.75">
      <c r="A10" s="2980" t="str">
        <f>结果表!A124</f>
        <v/>
      </c>
      <c r="B10" s="2980"/>
      <c r="C10" s="2980"/>
      <c r="D10" s="2980" t="str">
        <f>结果表!D124</f>
        <v>——</v>
      </c>
      <c r="E10" s="2980"/>
      <c r="F10" s="2980"/>
      <c r="G10" s="2980"/>
      <c r="H10" s="2980"/>
      <c r="I10" s="2980"/>
    </row>
    <row r="11" spans="1:9" ht="15">
      <c r="A11" s="2978" t="s">
        <v>1634</v>
      </c>
      <c r="B11" s="2978"/>
      <c r="C11" s="2978"/>
      <c r="D11" s="2979" t="e">
        <f>结果表!D125</f>
        <v>#VALUE!</v>
      </c>
      <c r="E11" s="2979"/>
      <c r="F11" s="2979"/>
      <c r="G11" s="2979"/>
      <c r="H11" s="2979"/>
      <c r="I11" s="2979"/>
    </row>
    <row r="12" spans="1:9" ht="15.75">
      <c r="A12" s="2980" t="str">
        <f>结果表!A126</f>
        <v/>
      </c>
      <c r="B12" s="2980"/>
      <c r="C12" s="2980"/>
      <c r="D12" s="2980" t="str">
        <f>结果表!D126</f>
        <v>——</v>
      </c>
      <c r="E12" s="2980"/>
      <c r="F12" s="2980"/>
      <c r="G12" s="2980"/>
      <c r="H12" s="2980"/>
      <c r="I12" s="2980"/>
    </row>
    <row r="13" spans="1:9" ht="15.75" thickBot="1">
      <c r="A13" s="2984" t="s">
        <v>1634</v>
      </c>
      <c r="B13" s="2984"/>
      <c r="C13" s="2984"/>
      <c r="D13" s="2985" t="e">
        <f>结果表!D127</f>
        <v>#VALUE!</v>
      </c>
      <c r="E13" s="2985"/>
      <c r="F13" s="2985"/>
      <c r="G13" s="2985"/>
      <c r="H13" s="2985"/>
      <c r="I13" s="2985"/>
    </row>
    <row r="14" spans="1:9" ht="15" thickTop="1">
      <c r="A14" s="2986" t="s">
        <v>1639</v>
      </c>
      <c r="B14" s="2986"/>
      <c r="C14" s="2986"/>
      <c r="D14" s="2986"/>
      <c r="E14" s="2986"/>
      <c r="F14" s="2986"/>
      <c r="G14" s="2986"/>
      <c r="H14" s="2986"/>
      <c r="I14" s="2986"/>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7" t="s">
        <v>1656</v>
      </c>
      <c r="B1" s="2987"/>
      <c r="C1" s="2987"/>
      <c r="D1" s="2987"/>
    </row>
    <row r="2" spans="1:4" ht="18">
      <c r="A2" s="2988" t="s">
        <v>1640</v>
      </c>
      <c r="B2" s="2988"/>
      <c r="C2" s="2988"/>
      <c r="D2" s="2988"/>
    </row>
    <row r="3" spans="1:4" ht="18.75">
      <c r="A3" s="1976" t="s">
        <v>1641</v>
      </c>
      <c r="B3" s="1976" t="s">
        <v>1642</v>
      </c>
      <c r="C3" s="1976" t="s">
        <v>1643</v>
      </c>
      <c r="D3" s="1976" t="s">
        <v>1644</v>
      </c>
    </row>
    <row r="4" spans="1:4" ht="56.25" customHeight="1">
      <c r="A4" s="1977" t="str">
        <f>项目基本情况!B4</f>
        <v>郑燚</v>
      </c>
      <c r="B4" s="1978">
        <f ca="1">项目基本情况!C4</f>
        <v>1120070131</v>
      </c>
      <c r="C4" s="1979"/>
      <c r="D4" s="1980" t="s">
        <v>1645</v>
      </c>
    </row>
    <row r="5" spans="1:4" ht="56.25" customHeight="1">
      <c r="A5" s="1977" t="str">
        <f>项目基本情况!D4</f>
        <v>吴薇</v>
      </c>
      <c r="B5" s="1978">
        <f ca="1">项目基本情况!E4</f>
        <v>1419970001</v>
      </c>
      <c r="C5" s="1981"/>
      <c r="D5" s="1980" t="s">
        <v>1645</v>
      </c>
    </row>
    <row r="6" spans="1:4" ht="18">
      <c r="A6" s="2988" t="s">
        <v>1646</v>
      </c>
      <c r="B6" s="2988"/>
      <c r="C6" s="2988"/>
      <c r="D6" s="2988"/>
    </row>
    <row r="7" spans="1:4" ht="18.75">
      <c r="A7" s="1976" t="s">
        <v>1641</v>
      </c>
      <c r="B7" s="1978" t="s">
        <v>1647</v>
      </c>
      <c r="C7" s="1976" t="s">
        <v>1643</v>
      </c>
      <c r="D7" s="1976" t="s">
        <v>1644</v>
      </c>
    </row>
    <row r="8" spans="1:4" ht="56.25" customHeight="1">
      <c r="A8" s="1982" t="s">
        <v>866</v>
      </c>
      <c r="B8" s="1982" t="s">
        <v>1</v>
      </c>
      <c r="C8" s="1979"/>
      <c r="D8" s="1980" t="s">
        <v>1645</v>
      </c>
    </row>
    <row r="9" spans="1:4">
      <c r="A9" s="728"/>
      <c r="B9" s="728"/>
      <c r="C9" s="728"/>
      <c r="D9" s="728"/>
    </row>
    <row r="10" spans="1:4" ht="18.75">
      <c r="A10" s="1983" t="s">
        <v>1648</v>
      </c>
      <c r="B10" s="728"/>
      <c r="C10" s="728"/>
      <c r="D10" s="728"/>
    </row>
    <row r="11" spans="1:4" ht="30" customHeight="1">
      <c r="A11" s="2989" t="s">
        <v>1649</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90" t="str">
        <f>IF(项目基本情况!B8="抵押","4.本次评估估价师所知悉的法定优先受偿款情况说明如下：","——")</f>
        <v>4.本次评估估价师所知悉的法定优先受偿款情况说明如下：</v>
      </c>
      <c r="B14" s="2991"/>
      <c r="C14" s="2991"/>
      <c r="D14" s="2991"/>
    </row>
    <row r="15" spans="1:4" ht="42" customHeight="1">
      <c r="A15" s="2990" t="str">
        <f>IF(项目基本情况!B8="抵押","（1）"&amp;CONCATENATE(项目基本情况!L20,项目基本情况!L21,项目基本情况!L22),"——")</f>
        <v>（1）根据估价对象《不动产权证书》原件，截至价值时点，估价对象抵押权未见登记。</v>
      </c>
      <c r="B15" s="2990"/>
      <c r="C15" s="2990"/>
      <c r="D15" s="2990"/>
    </row>
    <row r="16" spans="1:4" ht="30" customHeight="1">
      <c r="A16" s="2993" t="s">
        <v>1650</v>
      </c>
      <c r="B16" s="2993"/>
      <c r="C16" s="2993"/>
      <c r="D16" s="2993"/>
    </row>
    <row r="17" spans="1:4" ht="144" customHeight="1">
      <c r="A17" s="2993" t="s">
        <v>1651</v>
      </c>
      <c r="B17" s="2993"/>
      <c r="C17" s="2993"/>
      <c r="D17" s="2993"/>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1652</v>
      </c>
      <c r="B22" s="2995"/>
      <c r="C22" s="2995"/>
      <c r="D22" s="2995"/>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92">
        <v>42551</v>
      </c>
      <c r="D31" s="29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01" t="s">
        <v>1663</v>
      </c>
      <c r="B15" s="2996" t="s">
        <v>136</v>
      </c>
      <c r="C15" s="2997"/>
    </row>
    <row r="16" spans="1:7" ht="13.5">
      <c r="A16" s="3002"/>
      <c r="B16" s="2996" t="s">
        <v>69</v>
      </c>
      <c r="C16" s="2997"/>
    </row>
    <row r="17" spans="1:3" ht="13.5">
      <c r="A17" s="3002"/>
      <c r="B17" s="2999" t="s">
        <v>1664</v>
      </c>
      <c r="C17" s="1999" t="s">
        <v>1663</v>
      </c>
    </row>
    <row r="18" spans="1:3" ht="13.5">
      <c r="A18" s="3002"/>
      <c r="B18" s="2999"/>
      <c r="C18" s="1999" t="s">
        <v>1665</v>
      </c>
    </row>
    <row r="19" spans="1:3" ht="13.5">
      <c r="A19" s="3002"/>
      <c r="B19" s="2999"/>
      <c r="C19" s="1999" t="s">
        <v>1666</v>
      </c>
    </row>
    <row r="20" spans="1:3" ht="13.5">
      <c r="A20" s="3003"/>
      <c r="B20" s="2998" t="s">
        <v>1667</v>
      </c>
      <c r="C20" s="2997"/>
    </row>
    <row r="21" spans="1:3" ht="13.5">
      <c r="A21" s="2000" t="s">
        <v>1668</v>
      </c>
      <c r="B21" s="2001"/>
      <c r="C21" s="2002"/>
    </row>
    <row r="22" spans="1:3" ht="13.5">
      <c r="A22" s="3000" t="s">
        <v>1669</v>
      </c>
      <c r="B22" s="2998" t="s">
        <v>1670</v>
      </c>
      <c r="C22" s="2997"/>
    </row>
    <row r="23" spans="1:3" ht="13.5">
      <c r="A23" s="3000"/>
      <c r="B23" s="2998" t="s">
        <v>1671</v>
      </c>
      <c r="C23" s="2997"/>
    </row>
    <row r="24" spans="1:3" ht="13.5">
      <c r="A24" s="3000"/>
      <c r="B24" s="2998" t="s">
        <v>1672</v>
      </c>
      <c r="C24" s="2997"/>
    </row>
    <row r="25" spans="1:3" ht="13.5">
      <c r="A25" s="3000"/>
      <c r="B25" s="2999" t="s">
        <v>1673</v>
      </c>
      <c r="C25" s="1999" t="s">
        <v>1674</v>
      </c>
    </row>
    <row r="26" spans="1:3" ht="13.5">
      <c r="A26" s="3000"/>
      <c r="B26" s="2999"/>
      <c r="C26" s="1999" t="s">
        <v>1675</v>
      </c>
    </row>
    <row r="27" spans="1:3" ht="13.5">
      <c r="A27" s="3000"/>
      <c r="B27" s="2999"/>
      <c r="C27" s="1999" t="s">
        <v>1676</v>
      </c>
    </row>
    <row r="28" spans="1:3" ht="13.5">
      <c r="A28" s="3000"/>
      <c r="B28" s="2999"/>
      <c r="C28" s="1999" t="s">
        <v>1677</v>
      </c>
    </row>
    <row r="29" spans="1:3" ht="13.5">
      <c r="A29" s="3000"/>
      <c r="B29" s="2999"/>
      <c r="C29" s="1999" t="s">
        <v>1678</v>
      </c>
    </row>
    <row r="30" spans="1:3" ht="13.5">
      <c r="A30" s="3000"/>
      <c r="B30" s="2999"/>
      <c r="C30" s="1999" t="s">
        <v>1679</v>
      </c>
    </row>
    <row r="31" spans="1:3" ht="13.5">
      <c r="A31" s="3000"/>
      <c r="B31" s="2999"/>
      <c r="C31" s="1999" t="s">
        <v>1680</v>
      </c>
    </row>
    <row r="32" spans="1:3" ht="13.5">
      <c r="A32" s="3000"/>
      <c r="B32" s="2999"/>
      <c r="C32" s="1999" t="s">
        <v>1681</v>
      </c>
    </row>
    <row r="33" spans="1:3" ht="13.5">
      <c r="A33" s="3000"/>
      <c r="B33" s="2999"/>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43788</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44554</v>
      </c>
      <c r="D10" s="2347" t="s">
        <v>838</v>
      </c>
      <c r="E10" s="1022">
        <f ca="1">IF(F10&lt;B2,"已过期",2004110096)</f>
        <v>2004110096</v>
      </c>
      <c r="F10" s="1030">
        <v>47118</v>
      </c>
    </row>
    <row r="11" spans="1:6" ht="24" customHeight="1">
      <c r="A11" s="1702" t="s">
        <v>839</v>
      </c>
      <c r="B11" s="1022">
        <f ca="1">IF(C11&lt;B2,"已过期",1120100036)</f>
        <v>1120100036</v>
      </c>
      <c r="C11" s="2344">
        <v>44675</v>
      </c>
      <c r="D11" s="2347"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3039</v>
      </c>
      <c r="B14" s="1022">
        <f ca="1">IF(C14&lt;B2,"已过期",1120040230)</f>
        <v>1120040230</v>
      </c>
      <c r="C14" s="2344">
        <v>43835</v>
      </c>
      <c r="D14" s="2347" t="s">
        <v>3039</v>
      </c>
      <c r="E14" s="1022">
        <f ca="1">IF(F14&lt;B2,"已过期",98030020)</f>
        <v>98030020</v>
      </c>
      <c r="F14" s="1030">
        <v>47118</v>
      </c>
    </row>
    <row r="15" spans="1:6" ht="24" customHeight="1">
      <c r="A15" s="1703" t="s">
        <v>3040</v>
      </c>
      <c r="B15" s="1022">
        <f ca="1">IF(C15&lt;B2,"已过期",1120070085)</f>
        <v>1120070085</v>
      </c>
      <c r="C15" s="2344">
        <v>43814</v>
      </c>
      <c r="D15" s="2348" t="s">
        <v>3040</v>
      </c>
      <c r="E15" s="1022">
        <f ca="1">IF(F15&lt;B2,"已过期",2004110128)</f>
        <v>2004110128</v>
      </c>
      <c r="F15" s="1023">
        <v>47118</v>
      </c>
    </row>
    <row r="16" spans="1:6" ht="24" customHeight="1">
      <c r="A16" s="1702" t="s">
        <v>3041</v>
      </c>
      <c r="B16" s="1022">
        <f ca="1">IF(C16&lt;B2,"已过期",1120140022)</f>
        <v>1120140022</v>
      </c>
      <c r="C16" s="2927">
        <v>44029</v>
      </c>
      <c r="D16" s="2347" t="s">
        <v>3041</v>
      </c>
      <c r="E16" s="1022">
        <f ca="1">IF(F16&lt;B2,"已过期",2008110059)</f>
        <v>2008110059</v>
      </c>
      <c r="F16" s="1030">
        <v>47177</v>
      </c>
    </row>
    <row r="17" spans="1:7" ht="24" customHeight="1">
      <c r="A17" s="1702"/>
      <c r="B17" s="1022"/>
      <c r="C17" s="2344"/>
      <c r="D17" s="2347" t="s">
        <v>3042</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27">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004" t="s">
        <v>843</v>
      </c>
      <c r="B25" s="3004"/>
      <c r="C25" s="3004"/>
      <c r="D25" s="3004"/>
      <c r="E25" s="3004"/>
      <c r="F25" s="3004"/>
      <c r="G25" s="3004"/>
    </row>
    <row r="26" spans="1:7" s="1025" customFormat="1" ht="24" customHeight="1">
      <c r="A26" s="3005" t="s">
        <v>844</v>
      </c>
      <c r="B26" s="3005"/>
      <c r="C26" s="3006"/>
      <c r="D26" s="3007" t="s">
        <v>845</v>
      </c>
      <c r="E26" s="3005"/>
      <c r="F26" s="3005"/>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3046</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案例</vt:lpstr>
      <vt:lpstr>租金</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2019-11-19T07:30:58Z</dcterms:modified>
</cp:coreProperties>
</file>