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960" windowHeight="1114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5" i="74" l="1"/>
  <c r="B19" i="74"/>
  <c r="B22" i="74"/>
  <c r="B23" i="74"/>
  <c r="B20" i="74"/>
  <c r="B21" i="74"/>
  <c r="B16" i="74"/>
  <c r="B17" i="74"/>
  <c r="B18" i="74"/>
  <c r="B1" i="74"/>
  <c r="D29" i="74"/>
  <c r="D15" i="74"/>
  <c r="D16" i="74"/>
  <c r="D17" i="74"/>
  <c r="D18" i="74"/>
  <c r="D19" i="74"/>
  <c r="D20" i="74"/>
  <c r="D21" i="74"/>
  <c r="D26" i="74"/>
  <c r="D27" i="74"/>
  <c r="D28" i="74"/>
  <c r="C15" i="74"/>
  <c r="F15" i="74"/>
  <c r="K15" i="74"/>
  <c r="C16" i="74"/>
  <c r="F16" i="74"/>
  <c r="K16" i="74"/>
  <c r="C17" i="74"/>
  <c r="F17" i="74"/>
  <c r="K17" i="74"/>
  <c r="C18" i="74"/>
  <c r="F18" i="74"/>
  <c r="K18" i="74"/>
  <c r="C19" i="74"/>
  <c r="F19" i="74"/>
  <c r="K19" i="74"/>
  <c r="C20" i="74"/>
  <c r="F20" i="74"/>
  <c r="K20" i="74"/>
  <c r="C21" i="74"/>
  <c r="F21" i="74"/>
  <c r="K21" i="74"/>
  <c r="D22" i="74"/>
  <c r="C22" i="74"/>
  <c r="F22" i="74"/>
  <c r="K22" i="74"/>
  <c r="D23" i="74"/>
  <c r="C23" i="74"/>
  <c r="F23" i="74"/>
  <c r="K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C8"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5" i="73"/>
  <c r="B22" i="1"/>
  <c r="E1" i="73"/>
  <c r="K1" i="73"/>
  <c r="G1" i="73"/>
  <c r="B40" i="1"/>
  <c r="F22" i="68"/>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D9" i="68"/>
  <c r="D19" i="68"/>
  <c r="D37" i="68"/>
  <c r="E37" i="68"/>
  <c r="C37" i="68"/>
  <c r="F38" i="68"/>
  <c r="C38" i="68"/>
  <c r="C33" i="68"/>
  <c r="F20" i="68"/>
  <c r="C39" i="68"/>
  <c r="C42" i="68"/>
  <c r="C43" i="68"/>
  <c r="C41" i="68"/>
  <c r="C40" i="68"/>
  <c r="C44" i="68"/>
  <c r="D41" i="68"/>
  <c r="G1" i="15"/>
  <c r="F7" i="15"/>
  <c r="F8" i="15"/>
  <c r="D3" i="66"/>
  <c r="I3" i="66"/>
  <c r="I4" i="66"/>
  <c r="I5" i="66"/>
  <c r="I6" i="66"/>
  <c r="I7" i="66"/>
  <c r="I8" i="66"/>
  <c r="I9" i="66"/>
  <c r="I10" i="66"/>
  <c r="C28" i="66"/>
  <c r="I13" i="66"/>
  <c r="I14" i="66"/>
  <c r="I15" i="66"/>
  <c r="I18" i="66"/>
  <c r="I19" i="66"/>
  <c r="I20" i="66"/>
  <c r="I21" i="66"/>
  <c r="C29" i="66"/>
  <c r="C27" i="66"/>
  <c r="C30" i="66"/>
  <c r="C31" i="66"/>
  <c r="C32" i="66"/>
  <c r="E26" i="66"/>
  <c r="U6" i="1"/>
  <c r="F6" i="15"/>
  <c r="F9" i="15"/>
  <c r="C6" i="15"/>
  <c r="L1" i="73"/>
  <c r="F4" i="73"/>
  <c r="I1" i="73"/>
  <c r="B39" i="1"/>
  <c r="F11" i="15"/>
  <c r="C10" i="15"/>
  <c r="C5" i="15"/>
  <c r="B43" i="1"/>
  <c r="B41" i="1"/>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J15" i="74"/>
  <c r="J16" i="74"/>
  <c r="J17" i="74"/>
  <c r="J18" i="74"/>
  <c r="J19" i="74"/>
  <c r="J20" i="74"/>
  <c r="J21" i="74"/>
  <c r="J22" i="74"/>
  <c r="J23" i="74"/>
  <c r="M18" i="9"/>
  <c r="B118" i="9"/>
  <c r="B14" i="74"/>
  <c r="M19" i="9"/>
  <c r="C118" i="9"/>
  <c r="C14" i="74"/>
  <c r="J14" i="74"/>
  <c r="C17" i="9"/>
  <c r="D17" i="9"/>
  <c r="C18" i="9"/>
  <c r="D18" i="9"/>
  <c r="G22" i="74"/>
  <c r="G15" i="74"/>
  <c r="H19" i="39"/>
  <c r="AB19" i="39"/>
  <c r="H17" i="39"/>
  <c r="AB17" i="39"/>
  <c r="H21" i="39"/>
  <c r="AB21" i="39"/>
  <c r="G46" i="39"/>
  <c r="T46" i="39"/>
  <c r="G7"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I7"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9" i="49"/>
  <c r="C4" i="4"/>
  <c r="B16" i="49"/>
  <c r="B14" i="49"/>
  <c r="E7" i="49"/>
  <c r="E22" i="49"/>
  <c r="D23" i="15"/>
  <c r="D22" i="15"/>
  <c r="E6" i="49"/>
  <c r="B5" i="49"/>
  <c r="B13" i="49"/>
  <c r="E4" i="4"/>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E96" i="9"/>
  <c r="E97" i="9"/>
  <c r="E80" i="9"/>
  <c r="E81" i="9"/>
  <c r="C64" i="9"/>
  <c r="C63" i="9"/>
  <c r="C67" i="9"/>
  <c r="C68" i="9"/>
  <c r="D54" i="9"/>
  <c r="D52" i="9"/>
  <c r="C5" i="74"/>
  <c r="D5" i="74"/>
  <c r="M48" i="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30" i="12"/>
  <c r="C28" i="12"/>
  <c r="C29" i="12"/>
  <c r="D28" i="12"/>
  <c r="C32" i="12"/>
  <c r="B2" i="12"/>
  <c r="B3" i="12"/>
  <c r="F27" i="11"/>
  <c r="C28" i="11"/>
  <c r="C27" i="11"/>
  <c r="C29" i="11"/>
  <c r="D27" i="11"/>
  <c r="C31" i="11"/>
  <c r="C46" i="11"/>
  <c r="C45" i="11"/>
  <c r="C47" i="11"/>
  <c r="D45" i="11"/>
  <c r="C49" i="11"/>
  <c r="C51" i="11"/>
  <c r="C52" i="11"/>
  <c r="B2" i="11"/>
  <c r="B3" i="11"/>
  <c r="F27" i="69"/>
  <c r="C28" i="69"/>
  <c r="C27" i="69"/>
  <c r="C29" i="69"/>
  <c r="D27" i="69"/>
  <c r="C31" i="69"/>
  <c r="C46" i="69"/>
  <c r="C45" i="69"/>
  <c r="C47" i="69"/>
  <c r="D45" i="69"/>
  <c r="C49" i="69"/>
  <c r="C51" i="69"/>
  <c r="C52" i="69"/>
  <c r="B2" i="69"/>
  <c r="B3" i="69"/>
  <c r="C57" i="69"/>
  <c r="C56" i="69"/>
  <c r="C56" i="11"/>
  <c r="C57" i="11"/>
  <c r="C21" i="9"/>
  <c r="C102" i="9"/>
  <c r="B3" i="68"/>
  <c r="C57" i="68"/>
  <c r="C56" i="68"/>
  <c r="D34" i="9"/>
  <c r="C20" i="9"/>
  <c r="C103" i="9"/>
  <c r="D22" i="9"/>
  <c r="G20" i="9"/>
  <c r="G21" i="9"/>
  <c r="D35" i="9"/>
  <c r="C35" i="9"/>
  <c r="C34" i="9"/>
  <c r="D118" i="9"/>
  <c r="D119" i="9"/>
  <c r="D5" i="52"/>
  <c r="B49" i="72"/>
  <c r="F118" i="9"/>
  <c r="F4" i="52"/>
  <c r="B51" i="72"/>
  <c r="F119" i="9"/>
  <c r="F5" i="52"/>
  <c r="B53" i="72"/>
  <c r="G118" i="9"/>
  <c r="G4" i="52"/>
  <c r="B52" i="72"/>
  <c r="C104" i="9"/>
  <c r="H119" i="9"/>
  <c r="H5" i="52"/>
  <c r="H4" i="52"/>
  <c r="D4" i="52"/>
  <c r="B47" i="72"/>
  <c r="E14" i="74"/>
  <c r="I118" i="9"/>
  <c r="I4" i="52"/>
  <c r="H102" i="9"/>
  <c r="D7" i="53"/>
  <c r="B21" i="72"/>
  <c r="C105" i="9"/>
  <c r="E118" i="9"/>
  <c r="E4" i="52"/>
  <c r="B48" i="72"/>
  <c r="H108" i="9"/>
  <c r="D15" i="53"/>
  <c r="B31" i="72"/>
  <c r="D5" i="53"/>
  <c r="D6" i="53"/>
  <c r="B22" i="72"/>
  <c r="B20" i="72"/>
  <c r="D123" i="9"/>
  <c r="D9" i="52"/>
  <c r="D8" i="52"/>
  <c r="D13" i="53"/>
  <c r="D14" i="53"/>
  <c r="B32" i="72"/>
  <c r="B30" i="72"/>
  <c r="F14" i="74"/>
  <c r="K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<sst xmlns="http://schemas.openxmlformats.org/spreadsheetml/2006/main" count="7434" uniqueCount="3168">
  <si>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</si>
  <si>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</si>
  <si>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</si>
  <si>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</si>
  <si>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</si>
  <si>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</si>
  <si>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</si>
  <si>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</si>
  <si>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</si>
  <si>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</si>
  <si>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</si>
  <si>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</si>
  <si>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</si>
  <si>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</si>
  <si>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</si>
  <si>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</si>
  <si>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</si>
  <si>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</si>
  <si>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</si>
  <si>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</si>
  <si>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</si>
  <si>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</si>
  <si>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</si>
  <si>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</si>
  <si>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</si>
  <si>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</si>
  <si>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</si>
  <si>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</si>
  <si>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</si>
  <si>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</si>
  <si>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</si>
  <si>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</si>
  <si>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</si>
  <si>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</si>
  <si>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</si>
  <si>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</si>
  <si>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</si>
  <si>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</si>
  <si>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</si>
  <si>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</si>
  <si>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</si>
  <si>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</si>
  <si>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</si>
  <si>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</si>
  <si>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</si>
  <si>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</si>
  <si>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</si>
  <si>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</si>
  <si>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</si>
  <si>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</si>
  <si>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</si>
  <si>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</si>
  <si>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</si>
  <si>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</si>
  <si>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</si>
  <si>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</si>
  <si>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</si>
  <si>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</si>
  <si>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</si>
  <si>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</si>
  <si>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</si>
  <si>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</si>
  <si>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</si>
  <si>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</si>
  <si>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</si>
  <si>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</si>
  <si>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</si>
  <si>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</si>
  <si>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</si>
  <si>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</si>
  <si>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</si>
  <si>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</si>
  <si>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</si>
  <si>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</si>
  <si>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</si>
  <si>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</si>
  <si>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</si>
  <si>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</si>
  <si>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</si>
  <si>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</si>
  <si>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</si>
  <si>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</si>
  <si>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</si>
  <si>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</si>
  <si>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</si>
  <si>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</si>
  <si>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</si>
  <si>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</si>
  <si>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</si>
  <si>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</si>
  <si>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</si>
  <si>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</si>
  <si>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</si>
  <si>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</si>
  <si>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</si>
  <si>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</si>
  <si>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</si>
  <si>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</si>
  <si>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</si>
  <si>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</si>
  <si>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</si>
  <si>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</si>
  <si>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</si>
  <si>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</si>
  <si>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</si>
  <si>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</si>
  <si>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</si>
  <si>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</si>
  <si>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</si>
  <si>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</si>
  <si>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</si>
  <si>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</si>
  <si>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</si>
  <si>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</si>
  <si>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</si>
  <si>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</si>
  <si>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</si>
  <si>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</si>
  <si>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</si>
  <si>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</si>
  <si>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</si>
  <si>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</si>
  <si>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</si>
  <si>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</si>
  <si>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</si>
  <si>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</si>
  <si>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</si>
  <si>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</si>
  <si>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</si>
  <si>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</si>
  <si>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</si>
  <si>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</si>
  <si>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</si>
  <si>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</si>
  <si>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</si>
  <si>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</si>
  <si>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</si>
  <si>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</si>
  <si>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</si>
  <si>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</si>
  <si>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</si>
  <si>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</si>
  <si>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</si>
  <si>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</si>
  <si>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</si>
  <si>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</si>
  <si>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</si>
  <si>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</si>
  <si>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</si>
  <si>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</si>
  <si>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</si>
  <si>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</si>
  <si>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</si>
  <si>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</si>
  <si>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</si>
  <si>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</si>
  <si>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</si>
  <si>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</si>
  <si>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</si>
  <si>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</si>
  <si>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</si>
  <si>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</si>
  <si>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</si>
  <si>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</si>
  <si>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</si>
  <si>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</si>
  <si>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</si>
  <si>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</si>
  <si>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</si>
  <si>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</si>
  <si>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</si>
  <si>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</si>
  <si>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</si>
  <si>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</si>
  <si>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</si>
  <si>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</si>
  <si>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</si>
  <si>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</si>
  <si>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</si>
  <si>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</si>
  <si>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</si>
  <si>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</si>
  <si>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</si>
  <si>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</si>
  <si>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</si>
  <si>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</si>
  <si>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</si>
  <si>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</si>
  <si>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</si>
  <si>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</si>
  <si>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</si>
  <si>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</si>
  <si>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</si>
  <si>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</si>
  <si>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</si>
  <si>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</si>
  <si>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</si>
  <si>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</si>
  <si>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</si>
  <si>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</si>
  <si>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</si>
  <si>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</si>
  <si>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</si>
  <si>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</si>
  <si>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</si>
  <si>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</si>
  <si>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</si>
  <si>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</si>
  <si>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</si>
  <si>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</si>
  <si>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</si>
  <si>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</si>
  <si>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</si>
  <si>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</si>
  <si>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</si>
  <si>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</si>
  <si>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</si>
  <si>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</si>
  <si>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</si>
  <si>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</si>
  <si>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</si>
  <si>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</si>
  <si>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</si>
  <si>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</si>
  <si>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</si>
  <si>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</si>
  <si>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</si>
  <si>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</si>
  <si>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</si>
  <si>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</si>
  <si>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</si>
  <si>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</si>
  <si>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</si>
  <si>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</si>
  <si>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</si>
  <si>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</si>
  <si>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</si>
  <si>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</si>
  <si>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</si>
  <si>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</si>
  <si>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</si>
  <si>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</si>
  <si>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</si>
  <si>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</si>
  <si>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</si>
  <si>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</si>
  <si>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</si>
  <si>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</si>
  <si>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</si>
  <si>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</si>
  <si>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</si>
  <si>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</si>
  <si>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</si>
  <si>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</si>
  <si>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</si>
  <si>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</si>
  <si>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</si>
  <si>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</si>
  <si>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</si>
  <si>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</si>
  <si>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</si>
  <si>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</si>
  <si>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</si>
  <si>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</si>
  <si>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</si>
  <si>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</si>
  <si>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</si>
  <si>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</si>
  <si>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</si>
  <si>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</si>
  <si>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</si>
  <si>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</si>
  <si>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</si>
  <si>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</si>
  <si>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</si>
  <si>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</si>
  <si>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</si>
  <si>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</si>
  <si>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</si>
  <si>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</si>
  <si>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</si>
  <si>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</si>
  <si>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</si>
  <si>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</si>
  <si>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</si>
  <si>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</si>
  <si>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</si>
  <si>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</si>
  <si>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</si>
  <si>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</si>
  <si>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</si>
  <si>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</si>
  <si>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</si>
  <si>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</si>
  <si>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</si>
  <si>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</si>
  <si>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</si>
  <si>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</si>
  <si>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</si>
  <si>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</si>
  <si>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</si>
  <si>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</si>
  <si>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</si>
  <si>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</si>
  <si>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</si>
  <si>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</si>
  <si>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</si>
  <si>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</si>
  <si>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</si>
  <si>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</si>
  <si>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</si>
  <si>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</si>
  <si>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</si>
  <si>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</si>
  <si>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</si>
  <si>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</si>
  <si>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</si>
  <si>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</si>
  <si>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</si>
  <si>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</si>
  <si>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</si>
  <si>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</si>
  <si>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</si>
  <si>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</si>
  <si>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</si>
  <si>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</si>
  <si>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</si>
  <si>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</si>
  <si>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</si>
  <si>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</si>
  <si>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</si>
  <si>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</si>
  <si>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</si>
  <si>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</si>
  <si>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</si>
  <si>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</si>
  <si>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</si>
  <si>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</si>
  <si>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</si>
  <si>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</si>
  <si>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</si>
  <si>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</si>
  <si>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</si>
  <si>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</si>
  <si>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</si>
  <si>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</si>
  <si>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</si>
  <si>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</si>
  <si>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</si>
  <si>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</si>
  <si>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</si>
  <si>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</si>
  <si>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</si>
  <si>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</si>
  <si>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</si>
  <si>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</si>
  <si>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</si>
  <si>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</si>
  <si>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</si>
  <si>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</si>
  <si>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</si>
  <si>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</si>
  <si>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</si>
  <si>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</si>
  <si>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</si>
  <si>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</si>
  <si>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</si>
  <si>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</si>
  <si>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</si>
  <si>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</si>
  <si>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</si>
  <si>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</si>
  <si>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</si>
  <si>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</si>
  <si>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</si>
  <si>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</si>
  <si>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</si>
  <si>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</si>
  <si>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</si>
  <si>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</si>
  <si>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</si>
  <si>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</si>
  <si>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</si>
  <si>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</si>
  <si>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</si>
  <si>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</si>
  <si>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</si>
  <si>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</si>
  <si>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</si>
  <si>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</si>
  <si>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</si>
  <si>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</si>
  <si>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</si>
  <si>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</si>
  <si>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</si>
  <si>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</si>
  <si>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</si>
  <si>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</si>
  <si>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</si>
  <si>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</si>
  <si>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</si>
  <si>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</si>
  <si>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</si>
  <si>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</si>
  <si>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</si>
  <si>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</si>
  <si>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</si>
  <si>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</si>
  <si>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</si>
  <si>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</si>
  <si>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</si>
  <si>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</si>
  <si>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</si>
  <si>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</si>
  <si>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</si>
  <si>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</si>
  <si>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</si>
  <si>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</si>
  <si>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</si>
  <si>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</si>
  <si>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</si>
  <si>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</si>
  <si>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</si>
  <si>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</si>
  <si>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</si>
  <si>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</si>
  <si>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</si>
  <si>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</si>
  <si>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</si>
  <si>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</si>
  <si>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</si>
  <si>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</si>
  <si>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</si>
  <si>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</si>
  <si>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</si>
  <si>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</si>
  <si>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</si>
  <si>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</si>
  <si>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</si>
  <si>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</si>
  <si>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</si>
  <si>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</si>
  <si>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</si>
  <si>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</si>
  <si>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</si>
  <si>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</si>
  <si>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</si>
  <si>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</si>
  <si>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</si>
  <si>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</si>
  <si>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</si>
  <si>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</si>
  <si>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</si>
  <si>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</si>
  <si>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</si>
  <si>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</si>
  <si>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</si>
  <si>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</si>
  <si>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</si>
  <si>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</si>
  <si>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</si>
  <si>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</si>
  <si>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</si>
  <si>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</si>
  <si>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</si>
  <si>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</si>
  <si>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</si>
  <si>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</si>
  <si>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</si>
  <si>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</si>
  <si>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</si>
  <si>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</si>
  <si>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</si>
  <si>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</si>
  <si>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</si>
  <si>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</si>
  <si>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</si>
  <si>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</si>
  <si>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</si>
  <si>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</si>
  <si>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</si>
  <si>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</si>
  <si>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</si>
  <si>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</si>
  <si>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</si>
  <si>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</si>
  <si>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</si>
  <si>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</si>
  <si>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</si>
  <si>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</si>
  <si>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</si>
  <si>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</si>
  <si>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</si>
  <si>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</si>
  <si>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</si>
  <si>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</si>
  <si>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</si>
  <si>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</si>
  <si>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</si>
  <si>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</si>
  <si>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</si>
  <si>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</si>
  <si>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</si>
  <si>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</si>
  <si>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</si>
  <si>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</si>
  <si>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</si>
  <si>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</si>
  <si>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</si>
  <si>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</si>
  <si>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</si>
  <si>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</si>
  <si>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</si>
  <si>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</si>
  <si>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</si>
  <si>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</si>
  <si>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</si>
  <si>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</si>
  <si>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</si>
  <si>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</si>
  <si>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</si>
  <si>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</si>
  <si>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</si>
  <si>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</si>
  <si>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</si>
  <si>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</si>
  <si>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</si>
  <si>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</si>
  <si>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</si>
  <si>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</si>
  <si>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</si>
  <si>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</si>
  <si>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</si>
  <si>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</si>
  <si>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</si>
  <si>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</si>
  <si>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</si>
  <si>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</si>
  <si>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</si>
  <si>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</si>
  <si>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</si>
  <si>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</si>
  <si>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</si>
  <si>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</si>
  <si>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</si>
  <si>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</si>
  <si>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</si>
  <si>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</si>
  <si>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</si>
  <si>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</si>
  <si>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</si>
  <si>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</si>
  <si>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</si>
  <si>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</si>
  <si>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</si>
  <si>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</si>
  <si>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</si>
  <si>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</si>
  <si>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</si>
  <si>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</si>
  <si>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</si>
  <si>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</si>
  <si>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</si>
  <si>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</si>
  <si>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</si>
  <si>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</si>
  <si>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</si>
  <si>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</si>
  <si>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</si>
  <si>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</si>
  <si>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</si>
  <si>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</si>
  <si>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</si>
  <si>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</si>
  <si>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</si>
  <si>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</si>
  <si>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</si>
  <si>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</si>
  <si>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</si>
  <si>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</si>
  <si>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</si>
  <si>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</si>
  <si>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</si>
  <si>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</si>
  <si>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</si>
  <si>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</si>
  <si>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</si>
  <si>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</si>
  <si>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</si>
  <si>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</si>
  <si>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</si>
  <si>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</si>
  <si>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</si>
  <si>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</si>
  <si>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</si>
  <si>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</si>
  <si>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</si>
  <si>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</si>
  <si>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</si>
  <si>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</si>
  <si>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</si>
  <si>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</si>
  <si>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</si>
  <si>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</si>
  <si>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</si>
  <si>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</si>
  <si>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</si>
  <si>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</si>
  <si>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</si>
  <si>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</si>
  <si>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</si>
  <si>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</si>
  <si>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</si>
  <si>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</si>
  <si>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</si>
  <si>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</si>
  <si>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</si>
  <si>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</si>
  <si>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</si>
  <si>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</si>
  <si>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</si>
  <si>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</si>
  <si>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</si>
  <si>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</si>
  <si>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</si>
  <si>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</si>
  <si>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</si>
  <si>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</si>
  <si>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</si>
  <si>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</si>
  <si>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</si>
  <si>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</si>
  <si>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</si>
  <si>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</si>
  <si>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</si>
  <si>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</si>
  <si>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</si>
  <si>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</si>
  <si>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</si>
  <si>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</si>
  <si>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</si>
  <si>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</si>
  <si>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</si>
  <si>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</si>
  <si>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</si>
  <si>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</si>
  <si>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</si>
  <si>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</si>
  <si>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</si>
  <si>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</si>
  <si>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</si>
  <si>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</si>
  <si>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</si>
  <si>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</si>
  <si>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</si>
  <si>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</si>
  <si>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</si>
  <si>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</si>
  <si>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</si>
  <si>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</si>
  <si>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</si>
  <si>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</si>
  <si>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</si>
  <si>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</si>
  <si>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</si>
  <si>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</si>
  <si>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</si>
  <si>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</si>
  <si>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</si>
  <si>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</si>
  <si>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</si>
  <si>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</si>
  <si>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</si>
  <si>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</si>
  <si>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</si>
  <si>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</si>
  <si>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</si>
  <si>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</si>
  <si>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</si>
  <si>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</si>
  <si>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</si>
  <si>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</si>
  <si>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</si>
  <si>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</si>
  <si>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</si>
  <si>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</si>
  <si>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</si>
  <si>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</si>
  <si>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</si>
  <si>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</si>
  <si>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</si>
  <si>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</si>
  <si>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</si>
  <si>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</si>
  <si>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</si>
  <si>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</si>
  <si>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</si>
  <si>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</si>
  <si>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</si>
  <si>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</si>
  <si>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</si>
  <si>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</si>
  <si>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</si>
  <si>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</si>
  <si>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</si>
  <si>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</si>
  <si>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</si>
  <si>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</si>
  <si>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</si>
  <si>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</si>
  <si>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</si>
  <si>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</si>
  <si>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</si>
  <si>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</si>
  <si>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</si>
  <si>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</si>
  <si>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</si>
  <si>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</si>
  <si>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</si>
  <si>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</si>
  <si>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</si>
  <si>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</si>
  <si>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</si>
  <si>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</si>
  <si>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</si>
  <si>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</si>
  <si>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</si>
  <si>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</si>
  <si>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</si>
  <si>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</si>
  <si>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</si>
  <si>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</si>
  <si>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</si>
  <si>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</si>
  <si>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</si>
  <si>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</si>
  <si>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</si>
  <si>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</si>
  <si>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</si>
  <si>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</si>
  <si>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</si>
  <si>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</si>
  <si>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</si>
  <si>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</si>
  <si>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</si>
  <si>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</si>
  <si>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</si>
  <si>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</si>
  <si>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</si>
  <si>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</si>
  <si>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</si>
  <si>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</si>
  <si>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</si>
  <si>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</si>
  <si>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</si>
  <si>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</si>
  <si>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</si>
  <si>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</si>
  <si>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</si>
  <si>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</si>
  <si>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</si>
  <si>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</si>
  <si>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</si>
  <si>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</si>
  <si>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</si>
  <si>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</si>
  <si>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</si>
  <si>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</si>
  <si>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</si>
  <si>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</si>
  <si>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</si>
  <si>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</si>
  <si>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</si>
  <si>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</si>
  <si>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</si>
  <si>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</si>
  <si>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</si>
  <si>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</si>
  <si>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</si>
  <si>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</si>
  <si>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</si>
  <si>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</si>
  <si>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</si>
  <si>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</si>
  <si>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</si>
  <si>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</si>
  <si>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</si>
  <si>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</si>
  <si>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</si>
  <si>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</si>
  <si>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</si>
  <si>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</si>
  <si>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</si>
  <si>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</si>
  <si>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</si>
  <si>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</si>
  <si>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</si>
  <si>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</si>
  <si>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</si>
  <si>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</si>
  <si>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</si>
  <si>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</si>
  <si>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</si>
  <si>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</si>
  <si>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</si>
  <si>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</si>
  <si>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</si>
  <si>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</si>
  <si>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</si>
  <si>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</si>
  <si>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</si>
  <si>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</si>
  <si>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</si>
  <si>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</si>
  <si>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</si>
  <si>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</si>
  <si>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</si>
  <si>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</si>
  <si>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</si>
  <si>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</si>
  <si>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</si>
  <si>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</si>
  <si>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</si>
  <si>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</si>
  <si>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</si>
  <si>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</si>
  <si>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</si>
  <si>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</si>
  <si>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</si>
  <si>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</si>
  <si>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</si>
  <si>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</si>
  <si>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</si>
  <si>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</si>
  <si>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</si>
  <si>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</si>
  <si>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</si>
  <si>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</si>
  <si>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</si>
  <si>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</si>
  <si>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</si>
  <si>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</si>
  <si>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</si>
  <si>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</si>
  <si>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</si>
  <si>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</si>
  <si>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</si>
  <si>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</si>
  <si>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</si>
  <si>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</si>
  <si>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</si>
  <si>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</si>
  <si>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</si>
  <si>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</si>
  <si>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</si>
  <si>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</si>
  <si>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</si>
  <si>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</si>
  <si>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</si>
  <si>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</si>
  <si>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</si>
  <si>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</si>
  <si>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</si>
  <si>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</si>
  <si>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</si>
  <si>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</si>
  <si>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</si>
  <si>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</si>
  <si>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</si>
  <si>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</si>
  <si>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</si>
  <si>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</si>
  <si>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</si>
  <si>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</si>
  <si>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</si>
  <si>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</si>
  <si>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</si>
  <si>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</si>
  <si>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</si>
  <si>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</si>
  <si>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</si>
  <si>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</si>
  <si>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</si>
  <si>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</si>
  <si>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</si>
  <si>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</si>
  <si>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</si>
  <si>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</si>
  <si>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</si>
  <si>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</si>
  <si>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</si>
  <si>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</si>
  <si>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</si>
  <si>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</si>
  <si>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</si>
  <si>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</si>
  <si>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</si>
  <si>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</si>
  <si>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</si>
  <si>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</si>
  <si>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</si>
  <si>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</si>
  <si>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</si>
  <si>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</si>
  <si>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</si>
  <si>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</si>
  <si>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</si>
  <si>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</si>
  <si>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</si>
  <si>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</si>
  <si>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</si>
  <si>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</si>
  <si>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</si>
  <si>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</si>
  <si>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</si>
  <si>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</si>
  <si>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</si>
  <si>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</si>
  <si>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</si>
  <si>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</si>
  <si>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</si>
  <si>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</si>
  <si>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</si>
  <si>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</si>
  <si>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</si>
  <si>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</si>
  <si>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</si>
  <si>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</si>
  <si>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</si>
  <si>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</si>
  <si>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</si>
  <si>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</si>
  <si>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</si>
  <si>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</si>
  <si>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</si>
  <si>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</si>
  <si>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</si>
  <si>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</si>
  <si>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</si>
  <si>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</si>
  <si>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</si>
  <si>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</si>
  <si>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</si>
  <si>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</si>
  <si>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</si>
  <si>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</si>
  <si>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</si>
  <si>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</si>
  <si>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</si>
  <si>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</si>
  <si>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</si>
  <si>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</si>
  <si>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</si>
  <si>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</si>
  <si>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</si>
  <si>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</si>
  <si>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</si>
  <si>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</si>
  <si>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</si>
  <si>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</si>
  <si>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</si>
  <si>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</si>
  <si>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</si>
  <si>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</si>
  <si>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</si>
  <si>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</si>
  <si>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</si>
  <si>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</si>
  <si>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</si>
  <si>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</si>
  <si>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</si>
  <si>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</si>
  <si>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</si>
  <si>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</si>
  <si>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</si>
  <si>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</si>
  <si>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</si>
  <si>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</si>
  <si>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</si>
  <si>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</si>
  <si>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</si>
  <si>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</si>
  <si>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</si>
  <si>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</si>
  <si>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</si>
  <si>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</si>
  <si>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</si>
  <si>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</si>
  <si>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</si>
  <si>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</si>
  <si>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</si>
  <si>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</si>
  <si>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</si>
  <si>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</si>
  <si>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</si>
  <si>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</si>
  <si>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</si>
  <si>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</si>
  <si>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</si>
  <si>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</si>
  <si>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</si>
  <si>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</si>
  <si>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</si>
  <si>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</si>
  <si>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</si>
  <si>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</si>
  <si>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</si>
  <si>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</si>
  <si>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</si>
  <si>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</si>
  <si>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</si>
  <si>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</si>
  <si>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</si>
  <si>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</si>
  <si>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</si>
  <si>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</si>
  <si>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</si>
  <si>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</si>
  <si>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</si>
  <si>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</si>
  <si>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</si>
  <si>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</si>
  <si>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</si>
  <si>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</si>
  <si>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</si>
  <si>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</si>
  <si>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</si>
  <si>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</si>
  <si>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</si>
  <si>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</si>
  <si>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</si>
  <si>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</si>
  <si>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</si>
  <si>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</si>
  <si>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</si>
  <si>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</si>
  <si>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</si>
  <si>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</si>
  <si>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</si>
  <si>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</si>
  <si>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</si>
  <si>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</si>
  <si>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</si>
  <si>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</si>
  <si>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</si>
  <si>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</si>
  <si>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</si>
  <si>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</si>
  <si>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</si>
  <si>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</si>
  <si>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</si>
  <si>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</si>
  <si>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</si>
  <si>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</si>
  <si>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</si>
  <si>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</si>
  <si>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</si>
  <si>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</si>
  <si>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</si>
  <si>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</si>
  <si>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</si>
  <si>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</si>
  <si>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</si>
  <si>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</si>
  <si>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</si>
  <si>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</si>
  <si>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</si>
  <si>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</si>
  <si>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</si>
  <si>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</si>
  <si>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</si>
  <si>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</si>
  <si>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</si>
  <si>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</si>
  <si>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</si>
  <si>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</si>
  <si>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</si>
  <si>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</si>
  <si>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</si>
  <si>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</si>
  <si>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</si>
  <si>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</si>
  <si>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</si>
  <si>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</si>
  <si>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</si>
  <si>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</si>
  <si>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</si>
  <si>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</si>
  <si>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</si>
  <si>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</si>
  <si>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</si>
  <si>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</si>
  <si>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</si>
  <si>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</si>
  <si>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</si>
  <si>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</si>
  <si>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</si>
  <si>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</si>
  <si>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</si>
  <si>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</si>
  <si>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</si>
  <si>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</si>
  <si>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</si>
  <si>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</si>
  <si>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</si>
  <si>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</si>
  <si>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</si>
  <si>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</si>
  <si>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</si>
  <si>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</si>
  <si>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</si>
  <si>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</si>
  <si>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</si>
  <si>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</si>
  <si>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</si>
  <si>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</si>
  <si>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</si>
  <si>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</si>
  <si>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</si>
  <si>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</si>
  <si>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</si>
  <si>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</si>
  <si>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</si>
  <si>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</si>
  <si>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</si>
  <si>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</si>
  <si>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</si>
  <si>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</si>
  <si>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</si>
  <si>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</si>
  <si>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</si>
  <si>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</si>
  <si>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</si>
  <si>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</si>
  <si>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</si>
  <si>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</si>
  <si>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</si>
  <si>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</si>
  <si>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</si>
  <si>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</si>
  <si>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</si>
  <si>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</si>
  <si>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</si>
  <si>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</si>
  <si>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</si>
  <si>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</si>
  <si>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</si>
  <si>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</si>
  <si>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</si>
  <si>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</si>
  <si>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</si>
  <si>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</si>
  <si>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</si>
  <si>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</si>
  <si>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</si>
  <si>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</si>
  <si>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</si>
  <si>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</si>
  <si>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</si>
  <si>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</si>
  <si>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</si>
  <si>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</si>
  <si>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</si>
  <si>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</si>
  <si>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</si>
  <si>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</si>
  <si>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</si>
  <si>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</si>
  <si>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</si>
  <si>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</si>
  <si>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</si>
  <si>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</si>
  <si>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</si>
  <si>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</si>
  <si>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</si>
  <si>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</si>
  <si>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</si>
  <si>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</si>
  <si>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</si>
  <si>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</si>
  <si>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</si>
  <si>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</si>
  <si>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</si>
  <si>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</si>
  <si>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</si>
  <si>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</si>
  <si>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</si>
  <si>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</si>
  <si>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</si>
  <si>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</si>
  <si>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</si>
  <si>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</si>
  <si>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</si>
  <si>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</si>
  <si>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</si>
  <si>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</si>
  <si>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</si>
  <si>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</si>
  <si>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</si>
  <si>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</si>
  <si>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</si>
  <si>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</si>
  <si>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</si>
  <si>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</si>
  <si>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</si>
  <si>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</si>
  <si>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</si>
  <si>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</si>
  <si>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</si>
  <si>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</si>
  <si>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</si>
  <si>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</si>
  <si>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</si>
  <si>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</si>
  <si>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</si>
  <si>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</si>
  <si>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</si>
  <si>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</si>
  <si>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</si>
  <si>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</si>
  <si>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</si>
  <si>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</si>
  <si>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</si>
  <si>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</si>
  <si>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</si>
  <si>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</si>
  <si>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</si>
  <si>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</si>
  <si>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</si>
  <si>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</si>
  <si>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</si>
  <si>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</si>
  <si>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</si>
  <si>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</si>
  <si>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</si>
  <si>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</si>
  <si>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</si>
  <si>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</si>
  <si>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</si>
  <si>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</si>
  <si>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</si>
  <si>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</si>
  <si>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</si>
  <si>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</si>
  <si>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</si>
  <si>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</si>
  <si>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</si>
  <si>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</si>
  <si>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</si>
  <si>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</si>
  <si>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</si>
  <si>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</si>
  <si>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</si>
  <si>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</si>
  <si>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</si>
  <si>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</si>
  <si>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</si>
  <si>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</si>
  <si>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</si>
  <si>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</si>
  <si>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</si>
  <si>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</si>
  <si>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</si>
  <si>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</si>
  <si>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</si>
  <si>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</si>
  <si>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</si>
  <si>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</si>
  <si>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</si>
  <si>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</si>
  <si>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</si>
  <si>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</si>
  <si>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</si>
  <si>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</si>
  <si>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</si>
  <si>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</si>
  <si>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</si>
  <si>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</si>
  <si>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</si>
  <si>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</si>
  <si>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</si>
  <si>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</si>
  <si>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</si>
  <si>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</si>
  <si>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</si>
  <si>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</si>
  <si>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</si>
  <si>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</si>
  <si>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</si>
  <si>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</si>
  <si>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</si>
  <si>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</si>
  <si>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</si>
  <si>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</si>
  <si>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</si>
  <si>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</si>
  <si>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</si>
  <si>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</si>
  <si>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</si>
  <si>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</si>
  <si>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</si>
  <si>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</si>
  <si>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</si>
  <si>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</si>
  <si>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</si>
  <si>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</si>
  <si>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</si>
  <si>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</si>
  <si>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</si>
  <si>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</si>
  <si>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</si>
  <si>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</si>
  <si>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</si>
  <si>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</si>
  <si>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</si>
  <si>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</si>
  <si>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</si>
  <si>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</si>
  <si>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</si>
  <si>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</si>
  <si>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</si>
  <si>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</si>
  <si>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</si>
  <si>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</si>
  <si>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</si>
  <si>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</si>
  <si>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</si>
  <si>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</si>
  <si>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</si>
  <si>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</si>
  <si>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</si>
  <si>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</si>
  <si>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</si>
  <si>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</si>
  <si>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</si>
  <si>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</si>
  <si>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</si>
  <si>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</si>
  <si>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</si>
  <si>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</si>
  <si>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</si>
  <si>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</si>
  <si>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</si>
  <si>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</si>
  <si>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</si>
  <si>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</si>
  <si>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</si>
  <si>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</si>
  <si>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</si>
  <si>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</si>
  <si>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</si>
  <si>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</si>
  <si>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</si>
  <si>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</si>
  <si>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</si>
  <si>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</si>
  <si>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</si>
  <si>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</si>
  <si>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</si>
  <si>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</si>
  <si>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</si>
  <si>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</si>
  <si>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</si>
  <si>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</si>
  <si>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</si>
  <si>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</si>
  <si>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</si>
  <si>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</si>
  <si>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</si>
  <si>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</si>
  <si>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</si>
  <si>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</si>
  <si>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</si>
  <si>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</si>
  <si>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</si>
  <si>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</si>
  <si>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</si>
  <si>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</si>
  <si>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</si>
  <si>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</si>
  <si>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</si>
  <si>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</si>
  <si>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</si>
  <si>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</si>
  <si>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</si>
  <si>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</si>
  <si>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</si>
  <si>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</si>
  <si>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</si>
  <si>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</si>
  <si>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</si>
  <si>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</si>
  <si>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</si>
  <si>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</si>
  <si>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</si>
  <si>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</si>
  <si>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</si>
  <si>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</si>
  <si>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</si>
  <si>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</si>
  <si>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</si>
  <si>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</si>
  <si>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</si>
  <si>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</si>
  <si>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</si>
  <si>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</si>
  <si>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</si>
  <si>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</si>
  <si>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</si>
  <si>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</si>
  <si>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</si>
  <si>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</si>
  <si>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</si>
  <si>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</si>
  <si>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</si>
  <si>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</si>
  <si>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</si>
  <si>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</si>
  <si>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</si>
  <si>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</si>
  <si>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</si>
  <si>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</si>
  <si>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</si>
  <si>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</si>
  <si>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</si>
  <si>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</si>
  <si>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</si>
  <si>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</si>
  <si>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</si>
  <si>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</si>
  <si>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</si>
  <si>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</si>
  <si>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</si>
  <si>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</si>
  <si>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</si>
  <si>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</si>
  <si>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</si>
  <si>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</si>
  <si>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</si>
  <si>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</si>
  <si>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</si>
  <si>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</si>
  <si>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</si>
  <si>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</si>
  <si>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</si>
  <si>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</si>
  <si>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</si>
  <si>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</si>
  <si>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</si>
  <si>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</si>
  <si>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</si>
  <si>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</si>
  <si>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</si>
  <si>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</si>
  <si>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</si>
  <si>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</si>
  <si>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</si>
  <si>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</si>
  <si>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</si>
  <si>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</si>
  <si>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</si>
  <si>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</si>
  <si>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</si>
  <si>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</si>
  <si>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</si>
  <si>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</si>
  <si>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</si>
  <si>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</si>
  <si>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</si>
  <si>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</si>
  <si>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</si>
  <si>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</si>
  <si>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</si>
  <si>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</si>
  <si>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</si>
  <si>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</si>
  <si>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</si>
  <si>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</si>
  <si>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</si>
  <si>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</si>
  <si>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</si>
  <si>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</si>
  <si>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</si>
  <si>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</si>
  <si>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</si>
  <si>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</si>
  <si>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</si>
  <si>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</si>
  <si>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</si>
  <si>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</si>
  <si>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</si>
  <si>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</si>
  <si>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</si>
  <si>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</si>
  <si>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</si>
  <si>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</si>
  <si>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</si>
  <si>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</si>
  <si>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</si>
  <si>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</si>
  <si>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</si>
  <si>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</si>
  <si>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</si>
  <si>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</si>
  <si>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</si>
  <si>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</si>
  <si>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</si>
  <si>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</si>
  <si>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</si>
  <si>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</si>
  <si>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</si>
  <si>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</si>
  <si>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</si>
  <si>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</si>
  <si>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</si>
  <si>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</si>
  <si>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</si>
  <si>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</si>
  <si>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</si>
  <si>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</si>
  <si>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</si>
  <si>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</si>
  <si>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</si>
  <si>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</si>
  <si>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</si>
  <si>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</si>
  <si>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</si>
  <si>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</si>
  <si>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</si>
  <si>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</si>
  <si>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</si>
  <si>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</si>
  <si>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</si>
  <si>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</si>
  <si>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</si>
  <si>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</si>
  <si>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</si>
  <si>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</si>
  <si>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</si>
  <si>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</si>
  <si>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</si>
  <si>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</si>
  <si>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</si>
  <si>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</si>
  <si>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</si>
  <si>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</si>
  <si>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</si>
  <si>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</si>
  <si>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</si>
  <si>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</si>
  <si>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</si>
  <si>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</si>
  <si>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</si>
  <si>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</si>
  <si>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</si>
  <si>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</si>
  <si>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</si>
  <si>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</si>
  <si>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</si>
  <si>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</si>
  <si>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</si>
  <si>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</si>
  <si>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</si>
  <si>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</si>
  <si>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</si>
  <si>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</si>
  <si>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</si>
  <si>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</si>
  <si>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</si>
  <si>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</si>
  <si>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</si>
  <si>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</si>
  <si>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</si>
  <si>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</si>
  <si>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</si>
  <si>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</si>
  <si>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</si>
  <si>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</si>
  <si>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</si>
  <si>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</si>
  <si>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</si>
  <si>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</si>
  <si>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</si>
  <si>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</si>
  <si>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</si>
  <si>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</si>
  <si>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</si>
  <si>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</si>
  <si>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</si>
  <si>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</si>
  <si>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</si>
  <si>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</si>
  <si>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</si>
  <si>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</si>
  <si>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</si>
  <si>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</si>
  <si>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</si>
  <si>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</si>
  <si>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</si>
  <si>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</si>
  <si>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</si>
  <si>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</si>
  <si>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</si>
  <si>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</si>
  <si>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</si>
  <si>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</si>
  <si>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</si>
  <si>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</si>
  <si>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</si>
  <si>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</si>
  <si>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</si>
  <si>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</si>
  <si>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</si>
  <si>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</si>
  <si>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</si>
  <si>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</si>
  <si>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</si>
  <si>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</si>
  <si>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</si>
  <si>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</si>
  <si>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</si>
  <si>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</si>
  <si>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</si>
  <si>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</si>
  <si>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</si>
  <si>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</si>
  <si>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</si>
  <si>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</si>
  <si>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</si>
  <si>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</si>
  <si>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</si>
  <si>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</si>
  <si>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</si>
  <si>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</si>
  <si>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</si>
  <si>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</si>
  <si>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</si>
  <si>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</si>
  <si>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</si>
  <si>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</si>
  <si>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</si>
  <si>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</si>
  <si>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</si>
  <si>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</si>
  <si>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</si>
  <si>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</si>
  <si>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</si>
  <si>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</si>
  <si>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</si>
  <si>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</si>
  <si>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</si>
  <si>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</si>
  <si>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</si>
  <si>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</si>
  <si>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</si>
  <si>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</si>
  <si>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</si>
  <si>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</si>
  <si>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</si>
  <si>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</si>
  <si>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</si>
  <si>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</si>
  <si>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</si>
  <si>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</si>
  <si>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</si>
  <si>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</si>
  <si>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</si>
  <si>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</si>
  <si>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</si>
  <si>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</si>
  <si>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</si>
  <si>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</si>
  <si>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</si>
  <si>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</si>
  <si>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</si>
  <si>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</si>
  <si>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</si>
  <si>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</si>
  <si>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</si>
  <si>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</si>
  <si>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</si>
  <si>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</si>
  <si>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</si>
  <si>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</si>
  <si>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</si>
  <si>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</si>
  <si>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</si>
  <si>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</si>
  <si>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</si>
  <si>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</si>
  <si>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</si>
  <si>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</si>
  <si>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</si>
  <si>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</si>
  <si>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</si>
  <si>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</si>
  <si>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</si>
  <si>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</si>
  <si>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</si>
  <si>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</si>
  <si>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</si>
  <si>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</si>
  <si>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</si>
  <si>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</si>
  <si>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</si>
  <si>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</si>
  <si>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</si>
  <si>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</si>
  <si>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</si>
  <si>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</si>
  <si>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</si>
  <si>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</si>
  <si>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</si>
  <si>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</si>
  <si>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</si>
  <si>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</si>
  <si>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</si>
  <si>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</si>
  <si>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</si>
  <si>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</si>
  <si>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</si>
  <si>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</si>
  <si>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</si>
  <si>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</si>
  <si>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</si>
  <si>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</si>
  <si>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</si>
  <si>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</si>
  <si>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</si>
  <si>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</si>
  <si>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</si>
  <si>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</si>
  <si>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</si>
  <si>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</si>
  <si>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</si>
  <si>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</si>
  <si>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</si>
  <si>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</si>
  <si>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</si>
  <si>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</si>
  <si>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</si>
  <si>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</si>
  <si>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</si>
  <si>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</si>
  <si>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</si>
  <si>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</si>
  <si>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</si>
  <si>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</si>
  <si>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</si>
  <si>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</si>
  <si>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</si>
  <si>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</si>
  <si>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</si>
  <si>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</si>
  <si>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</si>
  <si>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</si>
  <si>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</si>
  <si>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</si>
  <si>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</si>
  <si>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</si>
  <si>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</si>
  <si>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</si>
  <si>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</si>
  <si>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</si>
  <si>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</si>
  <si>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</si>
  <si>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</si>
  <si>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</si>
  <si>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</si>
  <si>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</si>
  <si>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</si>
  <si>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</si>
  <si>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</si>
  <si>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</si>
  <si>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</si>
  <si>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</si>
  <si>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</si>
  <si>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</si>
  <si>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</si>
  <si>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</si>
  <si>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</si>
  <si>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</si>
  <si>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</si>
  <si>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</si>
  <si>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</si>
  <si>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</si>
  <si>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</si>
  <si>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</si>
  <si>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</si>
  <si>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</si>
  <si>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</si>
  <si>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</si>
  <si>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</si>
  <si>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</si>
  <si>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</si>
  <si>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</si>
  <si>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</si>
  <si>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</si>
  <si>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</si>
  <si>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</si>
  <si>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</si>
  <si>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</si>
  <si>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</si>
  <si>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</si>
  <si>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</si>
  <si>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</si>
  <si>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</si>
  <si>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</si>
  <si>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</si>
  <si>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</si>
  <si>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</si>
  <si>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</si>
  <si>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</si>
  <si>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</si>
  <si>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</si>
  <si>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</si>
  <si>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</si>
  <si>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</si>
  <si>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</si>
  <si>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</si>
  <si>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</si>
  <si>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</si>
  <si>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</si>
  <si>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</si>
  <si>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</si>
  <si>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</si>
  <si>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</si>
  <si>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</si>
  <si>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</si>
  <si>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</si>
  <si>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</si>
  <si>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</si>
  <si>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</si>
  <si>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</si>
  <si>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</si>
  <si>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</si>
  <si>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</si>
  <si>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</si>
  <si>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</si>
  <si>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</si>
  <si>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</si>
  <si>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</si>
  <si>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</si>
  <si>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</si>
  <si>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</si>
  <si>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</si>
  <si>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</si>
  <si>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</si>
  <si>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</si>
  <si>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</si>
  <si>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</si>
  <si>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</si>
  <si>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</si>
  <si>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</si>
  <si>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</si>
  <si>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</si>
  <si>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</si>
  <si>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</si>
  <si>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</si>
  <si>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</si>
  <si>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</si>
  <si>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</si>
  <si>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</si>
  <si>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</si>
  <si>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</si>
  <si>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</si>
  <si>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</si>
  <si>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</si>
  <si>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</si>
  <si>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</si>
  <si>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</si>
  <si>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</si>
  <si>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</si>
  <si>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</si>
  <si>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</si>
  <si>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</si>
  <si>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</si>
  <si>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</si>
  <si>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</si>
  <si>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</si>
  <si>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</si>
  <si>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</si>
  <si>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</si>
  <si>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</si>
  <si>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</si>
  <si>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</si>
  <si>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</si>
  <si>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</si>
  <si>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</si>
  <si>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</si>
  <si>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</si>
  <si>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</si>
  <si>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</si>
  <si>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</si>
  <si>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</si>
  <si>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</si>
  <si>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</si>
  <si>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</si>
  <si>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</si>
  <si>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</si>
  <si>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</si>
  <si>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</si>
  <si>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</si>
  <si>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</si>
  <si>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</si>
  <si>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</si>
  <si>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</si>
  <si>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</si>
  <si>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</si>
  <si>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</si>
  <si>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</si>
  <si>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</si>
  <si>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</si>
  <si>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</si>
  <si>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</si>
  <si>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</si>
  <si>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</si>
  <si>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</si>
  <si>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</si>
  <si>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</si>
  <si>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</si>
  <si>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</si>
  <si>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</si>
  <si>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</si>
  <si>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</si>
  <si>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</si>
  <si>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</si>
  <si>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</si>
  <si>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</si>
  <si>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</si>
  <si>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</si>
  <si>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</si>
  <si>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</si>
  <si>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</si>
  <si>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</si>
  <si>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</si>
  <si>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</si>
  <si>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</si>
  <si>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</si>
  <si>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</si>
  <si>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</si>
  <si>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</si>
  <si>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</si>
  <si>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</si>
  <si>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</si>
  <si>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</si>
  <si>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</si>
  <si>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</si>
  <si>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</si>
  <si>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</si>
  <si>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</si>
  <si>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</si>
  <si>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</si>
  <si>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</si>
  <si>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</si>
  <si>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</si>
  <si>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</si>
  <si>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</si>
  <si>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</si>
  <si>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</si>
  <si>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</si>
  <si>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</si>
  <si>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</si>
  <si>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</si>
  <si>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</si>
  <si>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</si>
  <si>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</si>
  <si>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</si>
  <si>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</si>
  <si>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</si>
  <si>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</si>
  <si>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</si>
  <si>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</si>
  <si>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</si>
  <si>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</si>
  <si>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</si>
  <si>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</si>
  <si>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</si>
  <si>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</si>
  <si>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</si>
  <si>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</si>
  <si>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</si>
  <si>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</si>
  <si>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</si>
  <si>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</si>
  <si>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</si>
  <si>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</si>
  <si>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</si>
  <si>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</si>
  <si>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</si>
  <si>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</si>
  <si>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</si>
  <si>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</si>
  <si>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</si>
  <si>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</si>
  <si>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</si>
  <si>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</si>
  <si>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</si>
  <si>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</si>
  <si>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</si>
  <si>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</si>
  <si>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</si>
  <si>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</si>
  <si>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</si>
  <si>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</si>
  <si>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</si>
  <si>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</si>
  <si>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</si>
  <si>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</si>
  <si>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</si>
  <si>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</si>
  <si>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</si>
  <si>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</si>
  <si>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</si>
  <si>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</si>
  <si>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</si>
  <si>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</si>
  <si>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</si>
  <si>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</si>
  <si>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</si>
  <si>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</si>
  <si>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</si>
  <si>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</si>
  <si>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</si>
  <si>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</si>
  <si>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</si>
  <si>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</si>
  <si>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</si>
  <si>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</si>
  <si>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</si>
  <si>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</si>
  <si>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</si>
  <si>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</si>
  <si>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</si>
  <si>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</si>
  <si>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</si>
  <si>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</si>
  <si>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</si>
  <si>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</si>
  <si>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</si>
  <si>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</si>
  <si>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</si>
  <si>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</si>
  <si>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</si>
  <si>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</si>
  <si>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</si>
  <si>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</si>
  <si>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</si>
  <si>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</si>
  <si>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</si>
  <si>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</si>
  <si>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</si>
  <si>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</si>
  <si>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</si>
  <si>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</si>
  <si>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</si>
  <si>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</si>
  <si>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</si>
  <si>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</si>
  <si>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</si>
  <si>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</si>
  <si>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</si>
  <si>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</si>
  <si>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</si>
  <si>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</si>
  <si>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</si>
  <si>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</si>
  <si>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</si>
  <si>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</si>
  <si>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</si>
  <si>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</si>
  <si>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</si>
  <si>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</si>
  <si>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</si>
  <si>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</si>
  <si>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</si>
  <si>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</si>
  <si>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</si>
  <si>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</si>
  <si>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</si>
  <si>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</si>
  <si>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</si>
  <si>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</si>
  <si>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</si>
  <si>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</si>
  <si>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</si>
  <si>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</si>
  <si>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</si>
  <si>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</si>
  <si>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</si>
  <si>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</si>
  <si>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</si>
  <si>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</si>
  <si>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</si>
  <si>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</si>
  <si>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</si>
  <si>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</si>
  <si>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</si>
  <si>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</si>
  <si>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</si>
  <si>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</si>
  <si>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</si>
  <si>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</si>
  <si>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</si>
  <si>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</si>
  <si>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</si>
  <si>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</si>
  <si>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</si>
  <si>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</si>
  <si>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</si>
  <si>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</si>
  <si>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</si>
  <si>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</si>
  <si>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</si>
  <si>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</si>
  <si>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</si>
  <si>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</si>
  <si>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</si>
  <si>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</si>
  <si>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</si>
  <si>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</si>
  <si>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</si>
  <si>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</si>
  <si>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</si>
  <si>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</si>
  <si>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</si>
  <si>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</si>
  <si>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</si>
  <si>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</si>
  <si>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</si>
  <si>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</si>
  <si>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</si>
  <si>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</si>
  <si>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</si>
  <si>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</si>
  <si>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</si>
  <si>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</si>
  <si>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</si>
  <si>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</si>
  <si>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</si>
  <si>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</si>
  <si>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</si>
  <si>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</si>
  <si>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</si>
  <si>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</si>
  <si>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</si>
  <si>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</si>
  <si>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</si>
  <si>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</si>
  <si>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</si>
  <si>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</si>
  <si>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</si>
  <si>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</si>
  <si>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</si>
  <si>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</si>
  <si>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</si>
  <si>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</si>
  <si>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</si>
  <si>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</si>
  <si>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</si>
  <si>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</si>
  <si>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</si>
  <si>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</si>
  <si>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</si>
  <si>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</si>
  <si>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</si>
  <si>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</si>
  <si>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</si>
  <si>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</si>
  <si>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</si>
  <si>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</si>
  <si>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</si>
  <si>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</si>
  <si>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</si>
  <si>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</si>
  <si>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</si>
  <si>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</si>
  <si>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</si>
  <si>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</si>
  <si>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</si>
  <si>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</si>
  <si>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</si>
  <si>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</si>
  <si>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</si>
  <si>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</si>
  <si>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</si>
  <si>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</si>
  <si>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</si>
  <si>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</si>
  <si>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</si>
  <si>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</si>
  <si>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</si>
  <si>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</si>
  <si>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</si>
  <si>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</si>
  <si>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</si>
  <si>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</si>
  <si>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</si>
  <si>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</si>
  <si>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</si>
  <si>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</si>
  <si>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</si>
  <si>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</si>
  <si>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</si>
  <si>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</si>
  <si>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</si>
  <si>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</si>
  <si>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</si>
  <si>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</si>
  <si>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</si>
  <si>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</si>
  <si>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</si>
  <si>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</si>
  <si>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</si>
  <si>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</si>
  <si>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</si>
  <si>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</si>
  <si>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</si>
  <si>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</si>
  <si>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</si>
  <si>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</si>
  <si>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</si>
  <si>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</si>
  <si>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</si>
  <si>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</si>
  <si>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</si>
  <si>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</si>
  <si>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</si>
  <si>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</si>
  <si>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</si>
  <si>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</si>
  <si>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</si>
  <si>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</si>
  <si>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</si>
  <si>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</si>
  <si>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</si>
  <si>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</si>
  <si>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</si>
  <si>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</si>
  <si>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</si>
  <si>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</si>
  <si>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</si>
  <si>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</si>
  <si>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</si>
  <si>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</si>
  <si>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</si>
  <si>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</si>
  <si>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</si>
  <si>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</si>
  <si>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</si>
  <si>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</si>
  <si>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</si>
  <si>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</si>
  <si>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</si>
  <si>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</si>
  <si>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</si>
  <si>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</si>
  <si>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</si>
  <si>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</si>
  <si>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</si>
  <si>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</si>
  <si>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</si>
  <si>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</si>
  <si>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</si>
  <si>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</si>
  <si>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</si>
  <si>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</si>
  <si>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</si>
  <si>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</si>
  <si>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</si>
  <si>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</si>
  <si>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</si>
  <si>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</si>
  <si>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</si>
  <si>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</si>
  <si>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</si>
  <si>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</si>
  <si>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</si>
  <si>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</si>
  <si>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</si>
  <si>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</si>
  <si>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</si>
  <si>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</si>
  <si>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</si>
  <si>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</si>
  <si>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</si>
  <si>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</si>
  <si>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</si>
  <si>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</si>
  <si>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</si>
  <si>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</si>
  <si>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</si>
  <si>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</si>
  <si>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</si>
  <si>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</si>
  <si>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</si>
  <si>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</si>
  <si>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</si>
  <si>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</si>
  <si>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</si>
  <si>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</si>
  <si>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</si>
  <si>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</si>
  <si>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</si>
  <si>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</si>
  <si>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</si>
  <si>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</si>
  <si>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</si>
  <si>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</si>
  <si>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</si>
  <si>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</si>
  <si>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</si>
  <si>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</si>
  <si>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</si>
  <si>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</si>
  <si>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</si>
  <si>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</si>
  <si>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</si>
  <si>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</si>
  <si>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</si>
  <si>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</si>
  <si>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</si>
  <si>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</si>
  <si>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</si>
  <si>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</si>
  <si>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</si>
  <si>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</si>
  <si>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</si>
  <si>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</si>
  <si>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</si>
  <si>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</si>
  <si>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</si>
  <si>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</si>
  <si>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</si>
  <si>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</si>
  <si>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</si>
  <si>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</si>
  <si>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</si>
  <si>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</si>
  <si>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</si>
  <si>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</si>
  <si>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</si>
  <si>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</si>
  <si>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</si>
  <si>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</si>
  <si>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</si>
  <si>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</si>
  <si>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</si>
  <si>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</si>
  <si>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</si>
  <si>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</si>
  <si>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</si>
  <si>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</si>
  <si>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</si>
  <si>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</si>
  <si>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</si>
  <si>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</si>
  <si>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</si>
  <si>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</si>
  <si>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</si>
  <si>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</si>
  <si>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</si>
  <si>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</si>
  <si>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</si>
  <si>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</si>
  <si>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</si>
  <si>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</si>
  <si>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</si>
  <si>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</si>
  <si>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</si>
  <si>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</si>
  <si>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</si>
  <si>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</si>
  <si>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</si>
  <si>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</si>
  <si>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</si>
  <si>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</si>
  <si>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</si>
  <si>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</si>
  <si>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</si>
  <si>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</si>
  <si>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</si>
  <si>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</si>
  <si>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</si>
  <si>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</si>
  <si>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</si>
  <si>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</si>
  <si>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</si>
  <si>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</si>
  <si>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</si>
  <si>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</si>
  <si>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</si>
  <si>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</si>
  <si>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</si>
  <si>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</si>
  <si>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</si>
  <si>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</si>
  <si>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</si>
  <si>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</si>
  <si>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</si>
  <si>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</si>
  <si>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</si>
  <si>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</si>
  <si>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</si>
  <si>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</si>
  <si>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</si>
  <si>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</si>
  <si>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</si>
  <si>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</si>
  <si>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</si>
  <si>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</si>
  <si>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</si>
  <si>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</si>
  <si>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</si>
  <si>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</si>
  <si>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</si>
  <si>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</si>
  <si>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</si>
  <si>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</si>
  <si>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</si>
  <si>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</si>
  <si>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</si>
  <si>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</si>
  <si>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</si>
  <si>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</si>
  <si>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</si>
  <si>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</si>
  <si>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</si>
  <si>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</si>
  <si>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</si>
  <si>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</si>
  <si>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</si>
  <si>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</si>
  <si>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</si>
  <si>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</si>
  <si>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</si>
  <si>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</si>
  <si>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</si>
  <si>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</si>
  <si>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</si>
  <si>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</si>
  <si>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</si>
  <si>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</si>
  <si>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</si>
  <si>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</si>
  <si>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</si>
  <si>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</si>
  <si>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</si>
  <si>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</si>
  <si>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</si>
  <si>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</si>
  <si>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</si>
  <si>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</si>
  <si>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</si>
  <si>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</si>
  <si>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</si>
  <si>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</si>
  <si>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</si>
  <si>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</si>
  <si>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</si>
  <si>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</si>
  <si>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</si>
  <si>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</si>
  <si>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</si>
  <si>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</si>
  <si>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</si>
  <si>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</si>
  <si>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</si>
  <si>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</si>
  <si>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</si>
  <si>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</si>
  <si>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</si>
  <si>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</si>
  <si>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</si>
  <si>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</si>
  <si>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</si>
  <si>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</si>
  <si>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</si>
  <si>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</si>
  <si>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</si>
  <si>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</si>
  <si>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</si>
  <si>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</si>
  <si>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</si>
  <si>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</si>
  <si>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</si>
  <si>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</si>
  <si>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</si>
  <si>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</si>
  <si>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</si>
  <si>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</si>
  <si>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</si>
  <si>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</si>
  <si>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</si>
  <si>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</si>
  <si>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</si>
  <si>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</si>
  <si>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</si>
  <si>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</si>
  <si>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</si>
  <si>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</si>
  <si>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</si>
  <si>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</si>
  <si>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</si>
  <si>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</si>
  <si>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</si>
  <si>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</si>
  <si>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</si>
  <si>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</si>
  <si>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</si>
  <si>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</si>
  <si>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</si>
  <si>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</si>
  <si>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</si>
  <si>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</si>
  <si>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</si>
  <si>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</si>
  <si>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</si>
  <si>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</si>
  <si>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</si>
  <si>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</si>
  <si>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</si>
  <si>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</si>
  <si>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</si>
  <si>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</si>
  <si>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</si>
  <si>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</si>
  <si>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</si>
  <si>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</si>
  <si>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</si>
  <si>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</si>
  <si>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</si>
  <si>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</si>
  <si>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</si>
  <si>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</si>
  <si>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</si>
  <si>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</si>
  <si>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</si>
  <si>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</si>
  <si>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</si>
  <si>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</si>
  <si>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</si>
  <si>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</si>
  <si>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</si>
  <si>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</si>
  <si>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</si>
  <si>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</si>
  <si>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</si>
  <si>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</si>
  <si>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</si>
  <si>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</si>
  <si>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</si>
  <si>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</si>
  <si>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</si>
  <si>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</si>
  <si>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</si>
  <si>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</si>
  <si>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</si>
  <si>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</si>
  <si>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</si>
  <si>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</si>
  <si>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</si>
  <si>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</si>
  <si>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</si>
  <si>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</si>
  <si>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</si>
  <si>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</si>
  <si>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</si>
  <si>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</si>
  <si>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</si>
  <si>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</si>
  <si>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</si>
  <si>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</si>
  <si>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</si>
  <si>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</si>
  <si>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</si>
  <si>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</si>
  <si>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</si>
  <si>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</si>
  <si>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</si>
  <si>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</si>
  <si>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</si>
  <si>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</si>
  <si>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</si>
  <si>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</si>
  <si>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</si>
  <si>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</si>
  <si>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</si>
  <si>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</si>
  <si>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</si>
  <si>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</si>
  <si>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</si>
  <si>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</si>
  <si>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</si>
  <si>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</si>
  <si>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</si>
  <si>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</si>
  <si>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</si>
  <si>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</si>
  <si>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</si>
  <si>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</si>
  <si>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</si>
  <si>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</si>
  <si>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</si>
  <si>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</si>
  <si>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</si>
  <si>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</si>
  <si>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</si>
  <si>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</si>
  <si>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</si>
  <si>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</si>
  <si>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</si>
  <si>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</si>
  <si>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</si>
  <si>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</si>
  <si>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</si>
  <si>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</si>
  <si>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</si>
  <si>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</si>
  <si>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</si>
  <si>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</si>
  <si>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</si>
  <si>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</si>
  <si>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</si>
  <si>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</si>
  <si>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</si>
  <si>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</si>
  <si>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</si>
  <si>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</si>
  <si>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</si>
  <si>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</si>
  <si>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</si>
  <si>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</si>
  <si>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</si>
  <si>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</si>
  <si>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</si>
  <si>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</si>
  <si>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</si>
  <si>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</si>
  <si>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</si>
  <si>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</si>
  <si>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</si>
  <si>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</si>
  <si>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</si>
  <si>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</si>
  <si>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</si>
  <si>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</si>
  <si>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</si>
  <si>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</si>
  <si>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</si>
  <si>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</si>
  <si>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</si>
  <si>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</si>
  <si>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</si>
  <si>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</si>
  <si>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</si>
  <si>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</si>
  <si>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</si>
  <si>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</si>
  <si>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</si>
  <si>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</si>
  <si>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</si>
  <si>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</si>
  <si>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</si>
  <si>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</si>
  <si>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</si>
  <si>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</si>
  <si>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</si>
  <si>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</si>
  <si>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</si>
  <si>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</si>
  <si>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</si>
  <si>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</si>
  <si>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</si>
  <si>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</si>
  <si>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</si>
  <si>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</si>
  <si>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</si>
  <si>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</si>
  <si>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</si>
  <si>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</si>
  <si>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</si>
  <si>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</si>
  <si>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</si>
  <si>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</si>
  <si>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</si>
  <si>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</si>
  <si>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</si>
  <si>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</si>
  <si>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</si>
  <si>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</si>
  <si>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</si>
  <si>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</si>
  <si>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</si>
  <si>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</si>
  <si>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</si>
  <si>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</si>
  <si>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</si>
  <si>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</si>
  <si>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</si>
  <si>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</si>
  <si>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</si>
  <si>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</si>
  <si>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</si>
  <si>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</si>
  <si>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</si>
  <si>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</si>
  <si>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</si>
  <si>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</si>
  <si>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</si>
  <si>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</si>
  <si>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</si>
  <si>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</si>
  <si>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</si>
  <si>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</si>
  <si>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</si>
  <si>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</si>
  <si>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</si>
  <si>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</si>
  <si>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</si>
  <si>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</si>
  <si>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</si>
  <si>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</si>
  <si>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</si>
  <si>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</si>
  <si>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</si>
  <si>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</si>
  <si>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</si>
  <si>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</si>
  <si>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</si>
  <si>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</si>
  <si>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</si>
  <si>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</si>
  <si>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</si>
  <si>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</si>
  <si>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</si>
  <si>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</si>
  <si>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</si>
  <si>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</si>
  <si>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</si>
  <si>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</si>
  <si>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</si>
  <si>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</si>
  <si>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</si>
  <si>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</si>
  <si>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</si>
  <si>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</si>
  <si>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</si>
  <si>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</si>
  <si>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</si>
  <si>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</si>
  <si>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</si>
  <si>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</si>
  <si>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</si>
  <si>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</si>
  <si>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</si>
  <si>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</si>
  <si>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</si>
  <si>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</si>
  <si>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</si>
  <si>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</si>
  <si>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</si>
  <si>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</si>
  <si>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</si>
  <si>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</si>
  <si>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</si>
  <si>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</si>
  <si>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</si>
  <si>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</si>
  <si>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</si>
  <si>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</si>
  <si>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</si>
  <si>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</si>
  <si>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</si>
  <si>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</si>
  <si>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</si>
  <si>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</si>
  <si>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</si>
  <si>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</si>
  <si>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</si>
  <si>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</si>
  <si>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</si>
  <si>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</si>
  <si>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</si>
  <si>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</si>
  <si>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</si>
  <si>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</si>
  <si>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</si>
  <si>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</si>
  <si>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</si>
  <si>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</si>
  <si>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</si>
  <si>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</si>
  <si>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</si>
  <si>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</si>
  <si>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</si>
  <si>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</si>
  <si>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</si>
  <si>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</si>
  <si>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</si>
  <si>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</si>
  <si>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</si>
  <si>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</si>
  <si>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</si>
  <si>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</si>
  <si>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</si>
  <si>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</si>
  <si>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</si>
  <si>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</si>
  <si>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</si>
  <si>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</si>
  <si>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</si>
  <si>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</si>
  <si>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</si>
  <si>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</si>
  <si>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</si>
  <si>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</si>
  <si>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</si>
  <si>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</si>
  <si>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</si>
  <si>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</si>
  <si>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</si>
  <si>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</si>
  <si>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</si>
  <si>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</si>
  <si>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</si>
  <si>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</si>
  <si>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</si>
  <si>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</si>
  <si>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</si>
  <si>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</si>
  <si>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</si>
  <si>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</si>
  <si>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</si>
  <si>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</si>
  <si>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</si>
  <si>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</si>
  <si>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</si>
  <si>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</si>
  <si>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</si>
  <si>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</si>
  <si>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</si>
  <si>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</si>
  <si>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</si>
  <si>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</si>
  <si>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</si>
  <si>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</si>
  <si>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</si>
  <si>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</si>
  <si>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</si>
  <si>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</si>
  <si>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</si>
  <si>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</si>
  <si>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</si>
  <si>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</si>
  <si>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</si>
  <si>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</si>
  <si>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</si>
  <si>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</si>
  <si>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</si>
  <si>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</si>
  <si>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</si>
  <si>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</si>
  <si>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</si>
  <si>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</si>
  <si>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</si>
  <si>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</si>
  <si>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</si>
  <si>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</si>
  <si>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</si>
  <si>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</si>
  <si>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</si>
  <si>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</si>
  <si>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</si>
  <si>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</si>
  <si>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</si>
  <si>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</si>
  <si>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</si>
  <si>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</si>
  <si>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</si>
  <si>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</si>
  <si>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</si>
  <si>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</si>
  <si>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</si>
  <si>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</si>
  <si>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</si>
  <si>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</si>
  <si>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</si>
  <si>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</si>
  <si>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</si>
  <si>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</si>
  <si>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</si>
  <si>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</si>
  <si>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</si>
  <si>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</si>
  <si>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</si>
  <si>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</si>
  <si>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</si>
  <si>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</si>
  <si>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</si>
  <si>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</si>
  <si>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</si>
  <si>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</si>
  <si>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</si>
  <si>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</si>
  <si>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</si>
  <si>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</si>
  <si>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</si>
  <si>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</si>
  <si>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</si>
  <si>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</si>
  <si>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</si>
  <si>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</si>
  <si>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</si>
  <si>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</si>
  <si>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</si>
  <si>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</si>
  <si>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</si>
  <si>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</si>
  <si>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</si>
  <si>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</si>
  <si>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</si>
  <si>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</si>
  <si>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</si>
  <si>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</si>
  <si>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</si>
  <si>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</si>
  <si>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</si>
  <si>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</si>
  <si>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</si>
  <si>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</si>
  <si>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</si>
  <si>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</si>
  <si>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</si>
  <si>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</si>
  <si>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</si>
  <si>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</si>
  <si>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</si>
  <si>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</si>
  <si>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</si>
  <si>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</si>
  <si>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</si>
  <si>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</si>
  <si>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</si>
  <si>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</si>
  <si>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</si>
  <si>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</si>
  <si>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</si>
  <si>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</si>
  <si>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</si>
  <si>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</si>
  <si>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</si>
  <si>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</si>
  <si>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</si>
  <si>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</si>
  <si>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</si>
  <si>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</si>
  <si>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</si>
  <si>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</si>
  <si>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</si>
  <si>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</si>
  <si>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</si>
  <si>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</si>
  <si>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</si>
  <si>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</si>
  <si>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</si>
  <si>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</si>
  <si>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</si>
  <si>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</si>
  <si>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</si>
  <si>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</si>
  <si>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</si>
  <si>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</si>
  <si>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</si>
  <si>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</si>
  <si>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</si>
  <si>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</si>
  <si>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</si>
  <si>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</si>
  <si>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</si>
  <si>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</si>
  <si>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</si>
  <si>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</si>
  <si>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</si>
  <si>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</si>
  <si>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</si>
  <si>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</si>
  <si>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</si>
  <si>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</si>
  <si>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</si>
  <si>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</si>
  <si>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</si>
  <si>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</si>
  <si>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</si>
  <si>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</si>
  <si>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</si>
  <si>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</si>
  <si>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</si>
  <si>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</si>
  <si>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</si>
  <si>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</si>
  <si>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</si>
  <si>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</si>
  <si>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</si>
  <si>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</si>
  <si>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</si>
  <si>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</si>
  <si>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</si>
  <si>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</si>
  <si>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</si>
  <si>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</si>
  <si>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</si>
  <si>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</si>
  <si>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</si>
  <si>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</si>
  <si>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</si>
  <si>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</si>
  <si>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</si>
  <si>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</si>
  <si>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</si>
  <si>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</si>
  <si>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</si>
  <si>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</si>
  <si>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</si>
  <si>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</si>
  <si>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</si>
  <si>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</si>
  <si>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</si>
  <si>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</si>
  <si>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</si>
  <si>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</si>
  <si>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</si>
  <si>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</si>
  <si>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</si>
  <si>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</si>
  <si>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</si>
  <si>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</si>
  <si>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</si>
  <si>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</si>
  <si>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</si>
  <si>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</si>
  <si>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</si>
  <si>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</si>
  <si>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</si>
  <si>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</si>
  <si>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</si>
  <si>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</si>
  <si>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</si>
  <si>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</si>
  <si>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</si>
  <si>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</si>
  <si>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</si>
  <si>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</si>
  <si>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</si>
  <si>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</si>
  <si>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</si>
  <si>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</si>
  <si>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</si>
  <si>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</si>
  <si>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</si>
  <si>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</si>
  <si>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</si>
  <si>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</si>
  <si>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</si>
  <si>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</si>
  <si>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</si>
  <si>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</si>
  <si>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</si>
  <si>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</si>
  <si>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</si>
  <si>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</si>
  <si>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</si>
  <si>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</si>
  <si>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</si>
  <si>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</si>
  <si>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</si>
  <si>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</si>
  <si>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</si>
  <si>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</si>
  <si>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</si>
  <si>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</si>
  <si>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</si>
  <si>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</si>
  <si>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</si>
  <si>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</si>
  <si>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</si>
  <si>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</si>
  <si>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</si>
  <si>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</si>
  <si>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</si>
  <si>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</si>
  <si>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</si>
  <si>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</si>
  <si>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</si>
  <si>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</si>
  <si>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</si>
  <si>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</si>
  <si>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</si>
  <si>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</si>
  <si>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</si>
  <si>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</si>
  <si>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</si>
  <si>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</si>
  <si>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</si>
  <si>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</si>
  <si>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</si>
  <si>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</si>
  <si>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</si>
  <si>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</si>
  <si>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</si>
  <si>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</si>
  <si>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</si>
  <si>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</si>
  <si>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</si>
  <si>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</si>
  <si>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</si>
  <si>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</si>
  <si>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</si>
  <si>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</si>
  <si>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</si>
  <si>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</si>
  <si>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</si>
  <si>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</si>
  <si>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</si>
  <si>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</si>
  <si>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</si>
  <si>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</si>
  <si>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</si>
  <si>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</si>
  <si>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</si>
  <si>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</si>
  <si>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</si>
  <si>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</si>
  <si>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</si>
  <si>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</si>
  <si>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</si>
  <si>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</si>
  <si>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</si>
  <si>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</si>
  <si>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</si>
  <si>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</si>
  <si>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</si>
  <si>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</si>
  <si>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</si>
  <si>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</si>
  <si>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</si>
  <si>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</si>
  <si>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</si>
  <si>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</si>
  <si>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</si>
  <si>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</si>
  <si>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</si>
  <si>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</si>
  <si>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</si>
  <si>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</si>
  <si>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</si>
  <si>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</si>
  <si>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4H/8612</t>
    <phoneticPr fontId="143" type="noConversion"/>
  </si>
  <si>
    <t>2F3/8608</t>
    <phoneticPr fontId="143" type="noConversion"/>
  </si>
  <si>
    <t>4G/8609</t>
    <phoneticPr fontId="143" type="noConversion"/>
  </si>
  <si>
    <t>3E/8812</t>
    <phoneticPr fontId="143" type="noConversion"/>
  </si>
  <si>
    <t>3F/8817</t>
    <phoneticPr fontId="143" type="noConversion"/>
  </si>
  <si>
    <t>5E/8469</t>
    <phoneticPr fontId="143" type="noConversion"/>
  </si>
  <si>
    <t>5D/8470</t>
    <phoneticPr fontId="143" type="noConversion"/>
  </si>
  <si>
    <t>5B商/0101</t>
    <phoneticPr fontId="143" type="noConversion"/>
  </si>
  <si>
    <t>5A商/1843</t>
    <phoneticPr fontId="143" type="noConversion"/>
  </si>
  <si>
    <t>酒店/4779</t>
    <phoneticPr fontId="143"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</si>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</sst>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361949</xdr:colOff>
      <xdr:row>38</xdr:row>
      <xdr:rowOff>171449</xdr:rowOff>
    </xdr:from>
    <xdr:to>
      <xdr:col>12</xdr:col>
      <xdr:colOff>676275</xdr:colOff>
      <xdr:row>54</xdr:row>
      <xdr:rowOff>62670</xdr:rowOff>
    </xdr:to>
    <xdr:pic>
      <xdr:nvPicPr>
        <xdr:cNvPr id="4" name="图片 3"/>
        <xdr:cNvPicPr>
          <a:picLocks noChangeAspect="1"/>
        </xdr:cNvPicPr>
      </xdr:nvPicPr>
      <xdr:blipFill>
        <a:blip xmlns:r="http://schemas.openxmlformats.org/officeDocument/2006/relationships" r:embed="rId2"/>
        <a:stretch>
          <a:fillRect/>
        </a:stretch>
      </xdr:blipFill>
      <xdr:spPr>
        <a:xfrm>
          <a:off x="1162049" y="5857874"/>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61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60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609-&#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812-&#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817-&#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469-&#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470-&#23545;&#20844;&#20107;&#19994;&#37096;&#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01-&#23545;&#20844;&#20107;&#19994;&#37096;&#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843-&#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典型户型修正-住宅"/>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164235.27000000002</v>
          </cell>
          <cell r="C14">
            <v>47697.85</v>
          </cell>
          <cell r="D14">
            <v>63034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8">
          <cell r="E8">
            <v>1824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5">
          <cell r="R25">
            <v>14778</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55082.04</v>
          </cell>
          <cell r="C14">
            <v>30325.07</v>
          </cell>
          <cell r="D14">
            <v>9409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251267.9</v>
          </cell>
          <cell r="C14">
            <v>75029.52</v>
          </cell>
          <cell r="D14">
            <v>104872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128433.05999999998</v>
          </cell>
          <cell r="C14">
            <v>25280.560000000001</v>
          </cell>
          <cell r="D14">
            <v>27066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62390.93</v>
          </cell>
          <cell r="C14">
            <v>38994.33</v>
          </cell>
          <cell r="D14">
            <v>39652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5361.13</v>
          </cell>
          <cell r="C14">
            <v>11169.03</v>
          </cell>
          <cell r="D14">
            <v>3497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156383.23000000001</v>
          </cell>
          <cell r="C14">
            <v>53925.25</v>
          </cell>
          <cell r="D14">
            <v>97769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505610.32</v>
          </cell>
          <cell r="C14">
            <v>110836.2</v>
          </cell>
          <cell r="D14">
            <v>106075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9">
          <cell r="C49">
            <v>10740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327036.76999999996</v>
          </cell>
          <cell r="C14">
            <v>84771.3</v>
          </cell>
          <cell r="D14">
            <v>64788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2018年8月29日</v>
      </c>
    </row>
    <row r="13" spans="1:2" s="1596" customFormat="1">
      <c r="A13" s="1594" t="s">
        <v>1227</v>
      </c>
      <c r="B13" s="1595" t="str">
        <f>'预评函-1'!A18</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64309</v>
      </c>
    </row>
    <row r="21" spans="1:2" s="1596" customFormat="1">
      <c r="A21" s="1594" t="s">
        <v>1235</v>
      </c>
      <c r="B21" s="1595">
        <f ca="1">'预评函-2'!D7</f>
        <v>16616</v>
      </c>
    </row>
    <row r="22" spans="1:2" s="1596" customFormat="1">
      <c r="A22" s="1594" t="s">
        <v>1236</v>
      </c>
      <c r="B22" s="1595" t="str">
        <f ca="1">'预评函-2'!D6</f>
        <v>陆亿肆仟叁佰零玖万元整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64309</v>
      </c>
    </row>
    <row r="31" spans="1:2" s="1596" customFormat="1">
      <c r="A31" s="1594" t="s">
        <v>1274</v>
      </c>
      <c r="B31" s="1595">
        <f ca="1">'预评函-2'!D15</f>
        <v>16616</v>
      </c>
    </row>
    <row r="32" spans="1:2" s="1596" customFormat="1">
      <c r="A32" s="1594" t="s">
        <v>1241</v>
      </c>
      <c r="B32" s="1595" t="str">
        <f ca="1">'预评函-2'!D14</f>
        <v>陆亿肆仟叁佰零玖万元整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14212</v>
      </c>
    </row>
    <row r="48" spans="1:2" s="1596" customFormat="1">
      <c r="A48" s="1594" t="s">
        <v>1247</v>
      </c>
      <c r="B48" s="1595">
        <f ca="1">'预评函-3'!E4</f>
        <v>3672</v>
      </c>
    </row>
    <row r="49" spans="1:2" s="1596" customFormat="1">
      <c r="A49" s="1594" t="s">
        <v>1248</v>
      </c>
      <c r="B49" s="1595" t="str">
        <f ca="1">'预评函-3'!D5</f>
        <v>壹亿肆仟贰佰壹拾贰万元整</v>
      </c>
    </row>
    <row r="50" spans="1:2" s="1596" customFormat="1">
      <c r="A50" s="1594" t="s">
        <v>1272</v>
      </c>
      <c r="B50" s="1595" t="str">
        <f>'预评函-3'!F2</f>
        <v>在建建筑物价值</v>
      </c>
    </row>
    <row r="51" spans="1:2" s="1596" customFormat="1">
      <c r="A51" s="1594" t="s">
        <v>1249</v>
      </c>
      <c r="B51" s="1595">
        <f ca="1">'预评函-3'!F4</f>
        <v>50097</v>
      </c>
    </row>
    <row r="52" spans="1:2" s="1596" customFormat="1">
      <c r="A52" s="1594" t="s">
        <v>1250</v>
      </c>
      <c r="B52" s="1595">
        <f ca="1">'预评函-3'!G4</f>
        <v>12944</v>
      </c>
    </row>
    <row r="53" spans="1:2" s="1596" customFormat="1">
      <c r="A53" s="1594" t="s">
        <v>1278</v>
      </c>
      <c r="B53" s="1595" t="str">
        <f ca="1">'预评函-3'!F5</f>
        <v>伍亿零玖拾柒万元整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13" t="str">
        <f>IF(B10="北京市","北京市",C10)&amp;F10&amp;IF(结果表!G1="在建","出让国有建设用地使用权及在建建筑物",IF(结果表!G1="土地","出让国有建设用地使用权",))&amp;B9&amp;"预评估"</f>
        <v>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43341</v>
      </c>
      <c r="E3" s="2028"/>
      <c r="F3" s="2028"/>
      <c r="G3" s="2028"/>
      <c r="H3" s="2028"/>
      <c r="I3" s="2028"/>
      <c r="J3" s="2028"/>
      <c r="K3" s="2029"/>
      <c r="L3" s="2030"/>
      <c r="M3" s="2030"/>
      <c r="N3" s="2031"/>
      <c r="O3" s="2032"/>
      <c r="P3" s="2031"/>
      <c r="Q3" s="2031"/>
      <c r="R3" s="2031"/>
      <c r="S3" s="2033"/>
    </row>
    <row r="4" spans="1:19" ht="18" customHeight="1" thickBot="1">
      <c r="A4" s="2040" t="s">
        <v>1770</v>
      </c>
      <c r="B4" s="2041" t="s">
        <v>3167</v>
      </c>
      <c r="C4" s="1040">
        <f ca="1">SUMIF(注册房地产估价师,B4,估价师及机构信息!B3:B24)</f>
        <v>1419970001</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16"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17"/>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27.73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23"/>
      <c r="C16" s="3024"/>
      <c r="D16" s="3025"/>
      <c r="E16" s="2088" t="s">
        <v>1792</v>
      </c>
      <c r="F16" s="3026"/>
      <c r="G16" s="3027"/>
      <c r="H16" s="3027"/>
      <c r="I16" s="3028"/>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29" t="s">
        <v>1796</v>
      </c>
      <c r="F17" s="3030"/>
      <c r="G17" s="3030"/>
      <c r="H17" s="3030"/>
      <c r="I17" s="3031"/>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32" t="s">
        <v>1799</v>
      </c>
      <c r="F18" s="3033"/>
      <c r="G18" s="3033"/>
      <c r="H18" s="3033"/>
      <c r="I18" s="3034"/>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19" t="s">
        <v>1804</v>
      </c>
      <c r="C20" s="3020"/>
      <c r="D20" s="3021" t="s">
        <v>1805</v>
      </c>
      <c r="E20" s="3022"/>
      <c r="F20" s="2100" t="s">
        <v>1806</v>
      </c>
      <c r="G20" s="2044"/>
      <c r="H20" s="2044"/>
      <c r="I20" s="2044"/>
      <c r="J20" s="2044"/>
      <c r="K20" s="3018"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6"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6"/>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6"/>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7"/>
      <c r="B30" s="2037" t="s">
        <v>1823</v>
      </c>
      <c r="C30" s="3038"/>
      <c r="D30" s="303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0"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35" t="s">
        <v>1833</v>
      </c>
      <c r="T34" s="2137" t="str">
        <f>NUMBERSTRING(7-K34,1)&amp;"通"</f>
        <v>七通</v>
      </c>
      <c r="U34" s="2031"/>
      <c r="V34" s="2031"/>
    </row>
    <row r="35" spans="1:22" ht="18" customHeight="1">
      <c r="A35" s="2138"/>
      <c r="B35" s="3042" t="s">
        <v>1834</v>
      </c>
      <c r="C35" s="3042"/>
      <c r="D35" s="3042"/>
      <c r="E35" s="3042"/>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54" t="s">
        <v>1930</v>
      </c>
      <c r="B2" s="3054"/>
      <c r="C2" s="3054"/>
      <c r="D2" s="970" t="s">
        <v>1906</v>
      </c>
      <c r="E2" s="2230" t="s">
        <v>1907</v>
      </c>
      <c r="F2" s="1395"/>
      <c r="G2" s="2231"/>
      <c r="H2" s="2232"/>
      <c r="I2" s="2233" t="s">
        <v>1931</v>
      </c>
      <c r="J2" s="1395"/>
      <c r="K2" s="1395"/>
      <c r="L2" s="1395"/>
      <c r="M2" s="1395"/>
      <c r="N2" s="1430"/>
      <c r="O2" s="1395"/>
      <c r="P2" s="1395"/>
    </row>
    <row r="3" spans="1:16" ht="15.75" thickBot="1">
      <c r="A3" s="3055" t="s">
        <v>1904</v>
      </c>
      <c r="B3" s="3055"/>
      <c r="C3" s="3055"/>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56"/>
      <c r="B4" s="3057"/>
      <c r="C4" s="3058"/>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59" t="s">
        <v>1909</v>
      </c>
      <c r="C5" s="3059"/>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59" t="s">
        <v>1910</v>
      </c>
      <c r="C6" s="3059"/>
      <c r="D6" s="48">
        <f>ROUND($D$3*E6/$E$3,2)</f>
        <v>13879.46</v>
      </c>
      <c r="E6" s="49">
        <f>E3-E5</f>
        <v>38702.28</v>
      </c>
      <c r="F6" s="1395"/>
      <c r="G6" s="2238" t="s">
        <v>1911</v>
      </c>
      <c r="H6" s="1402" t="s">
        <v>1912</v>
      </c>
      <c r="I6" s="942">
        <f>ROUND(F31/D31,2)</f>
        <v>2.79</v>
      </c>
      <c r="J6" s="1395"/>
      <c r="K6" s="1395"/>
      <c r="L6" s="1395"/>
      <c r="M6" s="1395"/>
      <c r="N6" s="1395"/>
      <c r="O6" s="1395"/>
      <c r="P6" s="1395"/>
    </row>
    <row r="7" spans="1:16" ht="15">
      <c r="A7" s="3051"/>
      <c r="B7" s="3052"/>
      <c r="C7" s="3053"/>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48" t="s">
        <v>1934</v>
      </c>
      <c r="L16" s="3049"/>
      <c r="M16" s="3049"/>
      <c r="N16" s="3049"/>
      <c r="O16" s="3049"/>
      <c r="P16" s="3050"/>
    </row>
    <row r="17" spans="1:19" ht="15">
      <c r="A17" s="2245" t="s">
        <v>1935</v>
      </c>
      <c r="B17" s="2246" t="s">
        <v>1936</v>
      </c>
      <c r="C17" s="2247" t="s">
        <v>1937</v>
      </c>
      <c r="D17" s="2248" t="s">
        <v>1925</v>
      </c>
      <c r="E17" s="2249" t="s">
        <v>1926</v>
      </c>
      <c r="F17" s="2250"/>
      <c r="G17" s="2251"/>
      <c r="H17" s="2252" t="s">
        <v>1938</v>
      </c>
      <c r="I17" s="2253" t="s">
        <v>1923</v>
      </c>
      <c r="J17" s="1395"/>
      <c r="K17" s="3045" t="s">
        <v>1939</v>
      </c>
      <c r="L17" s="3046"/>
      <c r="M17" s="3047"/>
      <c r="N17" s="3045" t="s">
        <v>1940</v>
      </c>
      <c r="O17" s="3046"/>
      <c r="P17" s="3047"/>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43341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27.73</v>
      </c>
      <c r="G6" s="73">
        <f>IF(ISERROR(ROUND(POWER(1+H6,D6-F6)*(POWER(1+H6,F6)-1)/(POWER(1+H6,D6)-1),3)),0,ROUND(POWER(1+H6,D6-F6)*(POWER(1+H6,F6)-1)/(POWER(1+H6,D6)-1),3))</f>
        <v>0.86399999999999999</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0.93</v>
      </c>
      <c r="Z6" s="81"/>
      <c r="AA6" s="74"/>
      <c r="AB6" s="74"/>
      <c r="AC6" s="1264"/>
      <c r="AD6" s="82"/>
      <c r="AE6" s="1265">
        <f ca="1">IF(AN6="",0,SUMIF(INDIRECT("'"&amp;AN6&amp;"'"&amp;"!E:E"),$AE$5,INDIRECT("'"&amp;AN6&amp;"'"&amp;"!F:F")))</f>
        <v>27.73</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72213</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0.86399999999999999</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60" t="s">
        <v>2075</v>
      </c>
      <c r="B1" s="3061"/>
      <c r="C1" s="3061"/>
      <c r="D1" s="3061"/>
      <c r="E1" s="3061"/>
      <c r="F1" s="3061"/>
      <c r="G1" s="306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workbookViewId="0">
      <selection activeCell="B16" sqref="B16"/>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1694502.93</v>
      </c>
      <c r="C1" s="1744"/>
      <c r="D1" s="1744"/>
      <c r="E1" s="1744"/>
      <c r="F1" s="1744"/>
      <c r="G1" s="1742"/>
    </row>
    <row r="2" spans="1:18" ht="16.5">
      <c r="A2" s="1745" t="s">
        <v>1343</v>
      </c>
      <c r="B2" s="1745">
        <f>SUM(C14:C23)</f>
        <v>491908.57000000007</v>
      </c>
      <c r="C2" s="1744"/>
      <c r="D2" s="1744"/>
      <c r="E2" s="1744"/>
      <c r="F2" s="1744"/>
      <c r="G2" s="1742"/>
    </row>
    <row r="3" spans="1:18" ht="16.5">
      <c r="A3" s="1745" t="s">
        <v>1352</v>
      </c>
      <c r="B3" s="1746">
        <f>项目基本情况!D3</f>
        <v>43341</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580471</v>
      </c>
      <c r="C5" s="1745">
        <f ca="1">ROUND(B5*10000/$B$1,0)</f>
        <v>3426</v>
      </c>
      <c r="D5" s="1745">
        <f ca="1">ROUND(B5*10000/$B$2,0)</f>
        <v>11800</v>
      </c>
      <c r="E5" s="1744"/>
      <c r="F5" s="1742"/>
      <c r="G5" s="1742"/>
    </row>
    <row r="6" spans="1:18" ht="16.5">
      <c r="A6" s="1745" t="s">
        <v>1346</v>
      </c>
      <c r="B6" s="1745">
        <f ca="1">SUM(G14:G23)</f>
        <v>580471</v>
      </c>
      <c r="C6" s="1745">
        <f ca="1">ROUND(B6*10000/$B$1,0)</f>
        <v>3426</v>
      </c>
      <c r="D6" s="1745">
        <f ca="1">ROUND(B6*10000/$B$2,0)</f>
        <v>11800</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3166</v>
      </c>
      <c r="B14" s="1743">
        <f>结果表!B118</f>
        <v>38702.28</v>
      </c>
      <c r="C14" s="1743">
        <f>结果表!C118</f>
        <v>13879.46</v>
      </c>
      <c r="D14" s="1743">
        <f ca="1">结果表!H118</f>
        <v>64309</v>
      </c>
      <c r="E14" s="1743">
        <f ca="1">ROUND(D14*10000/B14,0)</f>
        <v>16616</v>
      </c>
      <c r="F14" s="1743">
        <f ca="1">ROUND(D14*10000/C14,0)</f>
        <v>46334</v>
      </c>
      <c r="G14" s="1743">
        <f ca="1">结果表!D122</f>
        <v>64309</v>
      </c>
      <c r="H14" s="1743" t="str">
        <f>结果表!D124</f>
        <v>——</v>
      </c>
      <c r="I14" s="1743" t="str">
        <f>结果表!D126</f>
        <v>——</v>
      </c>
      <c r="J14" s="2959">
        <f>B14/C14</f>
        <v>2.7884571878156645</v>
      </c>
      <c r="K14" s="2961">
        <f ca="1">F14*666.67/10000</f>
        <v>3088.9487779999999</v>
      </c>
    </row>
    <row r="15" spans="1:18" ht="16.5">
      <c r="A15" s="2960" t="s">
        <v>3157</v>
      </c>
      <c r="B15" s="1748">
        <f>[1]系统读取表!B14</f>
        <v>164235.27000000002</v>
      </c>
      <c r="C15" s="1748">
        <f>[1]系统读取表!C14</f>
        <v>47697.85</v>
      </c>
      <c r="D15" s="1748">
        <f ca="1">[1]系统读取表!D14</f>
        <v>63034</v>
      </c>
      <c r="E15" s="1743">
        <f t="shared" ref="E15:E23" ca="1" si="0">ROUND(D15*10000/B15,0)</f>
        <v>3838</v>
      </c>
      <c r="F15" s="1743">
        <f t="shared" ref="F15:F23" ca="1" si="1">ROUND(D15*10000/C15,0)</f>
        <v>13215</v>
      </c>
      <c r="G15" s="1749">
        <f ca="1">D15</f>
        <v>63034</v>
      </c>
      <c r="H15" s="1749"/>
      <c r="I15" s="1748"/>
      <c r="J15" s="2959">
        <f t="shared" ref="J15:J23" si="2">B15/C15</f>
        <v>3.4432426199503756</v>
      </c>
      <c r="K15" s="2965">
        <f t="shared" ref="K15:K23" ca="1" si="3">F15*666.67/10000</f>
        <v>881.00440499999991</v>
      </c>
      <c r="L15" s="2966">
        <v>2.2000000000000002</v>
      </c>
    </row>
    <row r="16" spans="1:18" ht="16.5">
      <c r="A16" s="2960" t="s">
        <v>3158</v>
      </c>
      <c r="B16" s="1748">
        <f>[2]系统读取表!B14</f>
        <v>55082.04</v>
      </c>
      <c r="C16" s="1748">
        <f>[2]系统读取表!C14</f>
        <v>30325.07</v>
      </c>
      <c r="D16" s="1748">
        <f ca="1">[2]系统读取表!D14</f>
        <v>9409</v>
      </c>
      <c r="E16" s="1743">
        <f t="shared" ca="1" si="0"/>
        <v>1708</v>
      </c>
      <c r="F16" s="1743">
        <f t="shared" ca="1" si="1"/>
        <v>3103</v>
      </c>
      <c r="G16" s="1749">
        <f t="shared" ref="G16:G23" ca="1" si="4">D16</f>
        <v>9409</v>
      </c>
      <c r="H16" s="1749"/>
      <c r="I16" s="1748"/>
      <c r="J16" s="2959">
        <f t="shared" si="2"/>
        <v>1.8163862441207885</v>
      </c>
      <c r="K16" s="2965">
        <f t="shared" ca="1" si="3"/>
        <v>206.86770099999998</v>
      </c>
      <c r="L16" s="2966">
        <v>0.56000000000000005</v>
      </c>
    </row>
    <row r="17" spans="1:12" ht="16.5">
      <c r="A17" s="2960" t="s">
        <v>3159</v>
      </c>
      <c r="B17" s="1748">
        <f>[3]系统读取表!B14</f>
        <v>251267.9</v>
      </c>
      <c r="C17" s="1748">
        <f>[3]系统读取表!C14</f>
        <v>75029.52</v>
      </c>
      <c r="D17" s="1748">
        <f ca="1">[3]系统读取表!D14</f>
        <v>104872</v>
      </c>
      <c r="E17" s="1743">
        <f t="shared" ca="1" si="0"/>
        <v>4174</v>
      </c>
      <c r="F17" s="1743">
        <f t="shared" ca="1" si="1"/>
        <v>13977</v>
      </c>
      <c r="G17" s="1749">
        <f t="shared" ca="1" si="4"/>
        <v>104872</v>
      </c>
      <c r="H17" s="1749"/>
      <c r="I17" s="1748"/>
      <c r="J17" s="2959">
        <f t="shared" si="2"/>
        <v>3.34892053154545</v>
      </c>
      <c r="K17" s="2965">
        <f t="shared" ca="1" si="3"/>
        <v>931.80465900000002</v>
      </c>
      <c r="L17" s="2966">
        <v>2.2999999999999998</v>
      </c>
    </row>
    <row r="18" spans="1:12" ht="16.5">
      <c r="A18" s="2960" t="s">
        <v>3160</v>
      </c>
      <c r="B18" s="1748">
        <f>[4]系统读取表!B14</f>
        <v>128433.05999999998</v>
      </c>
      <c r="C18" s="1748">
        <f>[4]系统读取表!C14</f>
        <v>25280.560000000001</v>
      </c>
      <c r="D18" s="1748">
        <f ca="1">[4]系统读取表!D14</f>
        <v>27066</v>
      </c>
      <c r="E18" s="1743">
        <f t="shared" ca="1" si="0"/>
        <v>2107</v>
      </c>
      <c r="F18" s="1743">
        <f t="shared" ca="1" si="1"/>
        <v>10706</v>
      </c>
      <c r="G18" s="1749">
        <f t="shared" ca="1" si="4"/>
        <v>27066</v>
      </c>
      <c r="H18" s="1748"/>
      <c r="I18" s="1748"/>
      <c r="J18" s="2959">
        <f t="shared" si="2"/>
        <v>5.0803091387216099</v>
      </c>
      <c r="K18" s="2965">
        <f t="shared" ca="1" si="3"/>
        <v>713.73690199999999</v>
      </c>
      <c r="L18" s="2966">
        <v>1.9</v>
      </c>
    </row>
    <row r="19" spans="1:12" ht="16.5">
      <c r="A19" s="2960" t="s">
        <v>3161</v>
      </c>
      <c r="B19" s="1748">
        <f>[5]系统读取表!B14</f>
        <v>62390.93</v>
      </c>
      <c r="C19" s="1748">
        <f>[5]系统读取表!C14</f>
        <v>38994.33</v>
      </c>
      <c r="D19" s="1748">
        <f ca="1">[5]系统读取表!D14</f>
        <v>39652</v>
      </c>
      <c r="E19" s="1743">
        <f t="shared" ca="1" si="0"/>
        <v>6355</v>
      </c>
      <c r="F19" s="1743">
        <f t="shared" ca="1" si="1"/>
        <v>10169</v>
      </c>
      <c r="G19" s="1749">
        <f t="shared" ca="1" si="4"/>
        <v>39652</v>
      </c>
      <c r="H19" s="1748"/>
      <c r="I19" s="1748"/>
      <c r="J19" s="2962">
        <f t="shared" si="2"/>
        <v>1.6000000512895078</v>
      </c>
      <c r="K19" s="2963">
        <f t="shared" ca="1" si="3"/>
        <v>677.93672299999992</v>
      </c>
      <c r="L19" s="2964">
        <v>1.6</v>
      </c>
    </row>
    <row r="20" spans="1:12" ht="16.5">
      <c r="A20" s="2960" t="s">
        <v>3162</v>
      </c>
      <c r="B20" s="1748">
        <f>[6]系统读取表!B14</f>
        <v>5361.13</v>
      </c>
      <c r="C20" s="1748">
        <f>[6]系统读取表!C14</f>
        <v>11169.03</v>
      </c>
      <c r="D20" s="1748">
        <f ca="1">[6]系统读取表!D14</f>
        <v>3497</v>
      </c>
      <c r="E20" s="1743">
        <f t="shared" ca="1" si="0"/>
        <v>6523</v>
      </c>
      <c r="F20" s="1743">
        <f t="shared" ca="1" si="1"/>
        <v>3131</v>
      </c>
      <c r="G20" s="1749">
        <f t="shared" ca="1" si="4"/>
        <v>3497</v>
      </c>
      <c r="H20" s="1748"/>
      <c r="I20" s="1748"/>
      <c r="J20" s="2962">
        <f t="shared" si="2"/>
        <v>0.47999960605352476</v>
      </c>
      <c r="K20" s="2963">
        <f t="shared" ca="1" si="3"/>
        <v>208.73437699999997</v>
      </c>
      <c r="L20" s="2964">
        <v>0.48</v>
      </c>
    </row>
    <row r="21" spans="1:12" ht="16.5">
      <c r="A21" s="2960" t="s">
        <v>3163</v>
      </c>
      <c r="B21" s="1748">
        <f>[7]系统读取表!B14</f>
        <v>156383.23000000001</v>
      </c>
      <c r="C21" s="1748">
        <f>[7]系统读取表!C14</f>
        <v>53925.25</v>
      </c>
      <c r="D21" s="1748">
        <f ca="1">[7]系统读取表!D14</f>
        <v>97769</v>
      </c>
      <c r="E21" s="1743">
        <f t="shared" ca="1" si="0"/>
        <v>6252</v>
      </c>
      <c r="F21" s="1743">
        <f t="shared" ca="1" si="1"/>
        <v>18130</v>
      </c>
      <c r="G21" s="1749">
        <f t="shared" ca="1" si="4"/>
        <v>97769</v>
      </c>
      <c r="H21" s="1748"/>
      <c r="I21" s="1748"/>
      <c r="J21" s="2962">
        <f t="shared" si="2"/>
        <v>2.9000000927209424</v>
      </c>
      <c r="K21" s="2963">
        <f t="shared" ca="1" si="3"/>
        <v>1208.6727100000001</v>
      </c>
      <c r="L21" s="2964">
        <v>2.9</v>
      </c>
    </row>
    <row r="22" spans="1:12" ht="16.5">
      <c r="A22" s="2960" t="s">
        <v>3164</v>
      </c>
      <c r="B22" s="1748">
        <f>[8]系统读取表!B14</f>
        <v>505610.32</v>
      </c>
      <c r="C22" s="1748">
        <f>[8]系统读取表!C14</f>
        <v>110836.2</v>
      </c>
      <c r="D22" s="1748">
        <f ca="1">[8]系统读取表!D14</f>
        <v>106075</v>
      </c>
      <c r="E22" s="1743">
        <f t="shared" ca="1" si="0"/>
        <v>2098</v>
      </c>
      <c r="F22" s="1743">
        <f t="shared" ca="1" si="1"/>
        <v>9570</v>
      </c>
      <c r="G22" s="1749">
        <f t="shared" ca="1" si="4"/>
        <v>106075</v>
      </c>
      <c r="H22" s="1748"/>
      <c r="I22" s="1748"/>
      <c r="J22" s="2959">
        <f t="shared" si="2"/>
        <v>4.5617796351733464</v>
      </c>
      <c r="K22" s="2967">
        <f t="shared" ca="1" si="3"/>
        <v>638.0031899999999</v>
      </c>
      <c r="L22" s="2968">
        <v>3.6</v>
      </c>
    </row>
    <row r="23" spans="1:12" ht="16.5">
      <c r="A23" s="2960" t="s">
        <v>3165</v>
      </c>
      <c r="B23" s="1748">
        <f>[9]系统读取表!B14</f>
        <v>327036.76999999996</v>
      </c>
      <c r="C23" s="1748">
        <f>[9]系统读取表!C14</f>
        <v>84771.3</v>
      </c>
      <c r="D23" s="1748">
        <f ca="1">[9]系统读取表!D14</f>
        <v>64788</v>
      </c>
      <c r="E23" s="1745">
        <f t="shared" ca="1" si="0"/>
        <v>1981</v>
      </c>
      <c r="F23" s="1745">
        <f t="shared" ca="1" si="1"/>
        <v>7643</v>
      </c>
      <c r="G23" s="1749">
        <f t="shared" ca="1" si="4"/>
        <v>64788</v>
      </c>
      <c r="H23" s="1748"/>
      <c r="I23" s="1748"/>
      <c r="J23" s="2959">
        <f t="shared" si="2"/>
        <v>3.8578713550458699</v>
      </c>
      <c r="K23" s="2967">
        <f t="shared" ca="1" si="3"/>
        <v>509.53588099999996</v>
      </c>
      <c r="L23" s="2968">
        <v>2.9</v>
      </c>
    </row>
    <row r="26" spans="1:12">
      <c r="D26" s="1741">
        <f ca="1">SUM(D15:D21)</f>
        <v>345299</v>
      </c>
    </row>
    <row r="27" spans="1:12">
      <c r="D27" s="1741">
        <f>SUM(B15:B21)</f>
        <v>823153.56</v>
      </c>
    </row>
    <row r="28" spans="1:12">
      <c r="D28" s="1741">
        <f ca="1">ROUND(D26/D27*10000,0)</f>
        <v>4195</v>
      </c>
    </row>
    <row r="29" spans="1:12">
      <c r="D29" s="1741">
        <f>530374/B1</f>
        <v>0.31299680313919553</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D118" sqref="D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34" t="str">
        <f>项目基本情况!S2</f>
        <v>房地产</v>
      </c>
      <c r="B2" s="3135"/>
      <c r="C2" s="3135"/>
      <c r="D2" s="3135"/>
      <c r="E2" s="3135"/>
      <c r="F2" s="3135"/>
      <c r="G2" s="3135"/>
      <c r="H2" s="3135"/>
      <c r="I2" s="3136"/>
    </row>
    <row r="3" spans="1:12" ht="12.75">
      <c r="A3" s="3137" t="s">
        <v>2111</v>
      </c>
      <c r="B3" s="3138"/>
      <c r="C3" s="3138"/>
      <c r="D3" s="3138"/>
      <c r="E3" s="3138"/>
      <c r="F3" s="3138"/>
      <c r="G3" s="3138"/>
      <c r="H3" s="3138"/>
      <c r="I3" s="3138"/>
    </row>
    <row r="4" spans="1:12" ht="14.25">
      <c r="A4" s="2428" t="s">
        <v>2112</v>
      </c>
      <c r="B4" s="2429" t="s">
        <v>2113</v>
      </c>
      <c r="C4" s="2430" t="s">
        <v>3124</v>
      </c>
      <c r="D4" s="2430" t="s">
        <v>3049</v>
      </c>
      <c r="E4" s="3118" t="s">
        <v>2114</v>
      </c>
      <c r="F4" s="3131"/>
      <c r="G4" s="3131"/>
      <c r="H4" s="3131"/>
      <c r="I4" s="311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09" t="s">
        <v>2115</v>
      </c>
      <c r="B5" s="3035">
        <v>25</v>
      </c>
      <c r="C5" s="3139"/>
      <c r="D5" s="3127"/>
      <c r="E5" s="140" t="s">
        <v>2116</v>
      </c>
      <c r="F5" s="2432"/>
      <c r="G5" s="2432"/>
      <c r="H5" s="2432"/>
      <c r="I5" s="1833"/>
    </row>
    <row r="6" spans="1:12" ht="12.75">
      <c r="A6" s="3109"/>
      <c r="B6" s="3035"/>
      <c r="C6" s="3141"/>
      <c r="D6" s="3127"/>
      <c r="E6" s="140" t="s">
        <v>2117</v>
      </c>
      <c r="F6" s="2432"/>
      <c r="G6" s="2432"/>
      <c r="H6" s="2432"/>
      <c r="I6" s="1833"/>
    </row>
    <row r="7" spans="1:12" ht="12.75">
      <c r="A7" s="3109"/>
      <c r="B7" s="3035"/>
      <c r="C7" s="3140"/>
      <c r="D7" s="3127"/>
      <c r="E7" s="140" t="s">
        <v>2118</v>
      </c>
      <c r="F7" s="2432"/>
      <c r="G7" s="2432"/>
      <c r="H7" s="2432"/>
      <c r="I7" s="1833"/>
    </row>
    <row r="8" spans="1:12" ht="12.75">
      <c r="A8" s="3109" t="s">
        <v>2119</v>
      </c>
      <c r="B8" s="3035">
        <v>15</v>
      </c>
      <c r="C8" s="3139"/>
      <c r="D8" s="3127"/>
      <c r="E8" s="140" t="s">
        <v>2120</v>
      </c>
      <c r="F8" s="2432"/>
      <c r="G8" s="2432"/>
      <c r="H8" s="2432"/>
      <c r="I8" s="1833"/>
    </row>
    <row r="9" spans="1:12" ht="12.75">
      <c r="A9" s="3109"/>
      <c r="B9" s="3035"/>
      <c r="C9" s="3140"/>
      <c r="D9" s="3127"/>
      <c r="E9" s="140" t="s">
        <v>2121</v>
      </c>
      <c r="F9" s="2432"/>
      <c r="G9" s="2432"/>
      <c r="H9" s="2432"/>
      <c r="I9" s="1833"/>
    </row>
    <row r="10" spans="1:12" ht="12.75">
      <c r="A10" s="3109" t="s">
        <v>2122</v>
      </c>
      <c r="B10" s="3035">
        <v>15</v>
      </c>
      <c r="C10" s="3139"/>
      <c r="D10" s="3127"/>
      <c r="E10" s="140" t="s">
        <v>2123</v>
      </c>
      <c r="F10" s="2432"/>
      <c r="G10" s="2432"/>
      <c r="H10" s="2432"/>
      <c r="I10" s="1833"/>
    </row>
    <row r="11" spans="1:12" ht="12.75">
      <c r="A11" s="3109"/>
      <c r="B11" s="3035"/>
      <c r="C11" s="3140"/>
      <c r="D11" s="3127"/>
      <c r="E11" s="140" t="s">
        <v>2124</v>
      </c>
      <c r="F11" s="2432"/>
      <c r="G11" s="2432"/>
      <c r="H11" s="2432"/>
      <c r="I11" s="1833"/>
    </row>
    <row r="12" spans="1:12" ht="12.75">
      <c r="A12" s="3109" t="s">
        <v>2125</v>
      </c>
      <c r="B12" s="3035">
        <v>15</v>
      </c>
      <c r="C12" s="3139"/>
      <c r="D12" s="3127"/>
      <c r="E12" s="140" t="s">
        <v>2126</v>
      </c>
      <c r="F12" s="2432"/>
      <c r="G12" s="2432"/>
      <c r="H12" s="2432"/>
      <c r="I12" s="1833"/>
    </row>
    <row r="13" spans="1:12" ht="12.75">
      <c r="A13" s="3109"/>
      <c r="B13" s="3035"/>
      <c r="C13" s="3140"/>
      <c r="D13" s="3127"/>
      <c r="E13" s="140" t="s">
        <v>2127</v>
      </c>
      <c r="F13" s="2432"/>
      <c r="G13" s="2432"/>
      <c r="H13" s="2432"/>
      <c r="I13" s="1833"/>
    </row>
    <row r="14" spans="1:12" ht="12.75">
      <c r="A14" s="3109" t="s">
        <v>2128</v>
      </c>
      <c r="B14" s="3035">
        <v>30</v>
      </c>
      <c r="C14" s="3139">
        <v>5</v>
      </c>
      <c r="D14" s="3127">
        <v>5</v>
      </c>
      <c r="E14" s="140" t="s">
        <v>2129</v>
      </c>
      <c r="F14" s="2432"/>
      <c r="G14" s="2432"/>
      <c r="H14" s="2432"/>
      <c r="I14" s="1833"/>
    </row>
    <row r="15" spans="1:12" ht="12.75">
      <c r="A15" s="3109"/>
      <c r="B15" s="3035"/>
      <c r="C15" s="3141"/>
      <c r="D15" s="3127"/>
      <c r="E15" s="140" t="s">
        <v>2130</v>
      </c>
      <c r="F15" s="2432"/>
      <c r="G15" s="2432"/>
      <c r="H15" s="2432"/>
      <c r="I15" s="1833"/>
    </row>
    <row r="16" spans="1:12" ht="12.75">
      <c r="A16" s="3109"/>
      <c r="B16" s="3035"/>
      <c r="C16" s="3140"/>
      <c r="D16" s="3127"/>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56405</v>
      </c>
      <c r="D19" s="144">
        <f ca="1">SUMIF(INDIRECT("'"&amp;D4&amp;"'"&amp;"!A:A"),结果表!B19,INDIRECT("'"&amp;D4&amp;"'"&amp;"!B:B"))</f>
        <v>72213</v>
      </c>
      <c r="E19" s="2437" t="s">
        <v>2139</v>
      </c>
      <c r="F19" s="2438" t="s">
        <v>2138</v>
      </c>
      <c r="G19" s="145">
        <f ca="1">ROUND(C19*$C$18+D19*$D$18,0)</f>
        <v>64309</v>
      </c>
      <c r="H19" s="2439" t="s">
        <v>2140</v>
      </c>
      <c r="I19" s="138"/>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14574</v>
      </c>
      <c r="D20" s="147">
        <f ca="1">SUMIF(INDIRECT("'"&amp;D4&amp;"'"&amp;"!A:A"),结果表!B20,INDIRECT("'"&amp;D4&amp;"'"&amp;"!B:B"))</f>
        <v>18659</v>
      </c>
      <c r="E20" s="2440"/>
      <c r="F20" s="1250" t="s">
        <v>2142</v>
      </c>
      <c r="G20" s="148">
        <f ca="1">ROUND(C20*$C$18+D20*$D$18,0)</f>
        <v>16617</v>
      </c>
      <c r="H20" s="983" t="s">
        <v>2143</v>
      </c>
      <c r="I20" s="138"/>
    </row>
    <row r="21" spans="1:35" ht="15" customHeight="1" thickBot="1">
      <c r="A21" s="1003"/>
      <c r="B21" s="2441" t="s">
        <v>2144</v>
      </c>
      <c r="C21" s="789">
        <f ca="1">ROUND(C19*10000/L19,0)</f>
        <v>40639</v>
      </c>
      <c r="D21" s="790">
        <f ca="1">ROUND(D19*10000/L19,0)</f>
        <v>52029</v>
      </c>
      <c r="E21" s="1003"/>
      <c r="F21" s="2441" t="s">
        <v>2144</v>
      </c>
      <c r="G21" s="149">
        <f ca="1">ROUND(G19*10000/L19,0)</f>
        <v>46334</v>
      </c>
      <c r="H21" s="2442" t="s">
        <v>2143</v>
      </c>
      <c r="I21" s="138"/>
    </row>
    <row r="22" spans="1:35" ht="15" thickBot="1">
      <c r="A22" s="2284" t="s">
        <v>2145</v>
      </c>
      <c r="B22" s="2443"/>
      <c r="C22" s="2444"/>
      <c r="D22" s="791">
        <f ca="1">IF(C19&lt;D19,D19/C19-1,C19/D19-1)</f>
        <v>0.28025884230121445</v>
      </c>
      <c r="E22" s="138"/>
      <c r="F22" s="138"/>
      <c r="G22" s="138"/>
      <c r="H22" s="138"/>
      <c r="I22" s="138"/>
    </row>
    <row r="23" spans="1:35" ht="13.5" thickBot="1">
      <c r="A23" s="2421"/>
      <c r="B23" s="2421"/>
      <c r="C23" s="2421"/>
      <c r="D23" s="2421"/>
      <c r="E23" s="138"/>
      <c r="F23" s="138"/>
      <c r="G23" s="138"/>
      <c r="H23" s="138"/>
      <c r="I23" s="138"/>
    </row>
    <row r="24" spans="1:35" ht="14.25">
      <c r="A24" s="3148" t="s">
        <v>2146</v>
      </c>
      <c r="B24" s="2438" t="s">
        <v>2138</v>
      </c>
      <c r="C24" s="145">
        <f>IF(B30=0,0,D30)</f>
        <v>0</v>
      </c>
      <c r="D24" s="2445"/>
      <c r="E24" s="138"/>
      <c r="F24" s="138"/>
      <c r="G24" s="138"/>
      <c r="H24" s="138"/>
      <c r="I24" s="138"/>
    </row>
    <row r="25" spans="1:35" ht="14.25">
      <c r="A25" s="3149"/>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64309</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14212</v>
      </c>
      <c r="D34" s="1058">
        <f ca="1">IF(C33="自定义",ROUND(C34/C32,3),IF(C33="收益比率",SUMIF(INDIRECT("'"&amp;D33&amp;"'"&amp;"!b:b"),"土地收益比率",INDIRECT("'"&amp;D33&amp;"'"&amp;"!c:c")),SUMIF(INDIRECT("'"&amp;D33&amp;"'"&amp;"!b:b"),"土地成本比率",INDIRECT("'"&amp;D33&amp;"'"&amp;"!c:c"))))</f>
        <v>0.22099999999999997</v>
      </c>
      <c r="E34" s="2460" t="s">
        <v>2157</v>
      </c>
      <c r="F34" s="1739"/>
      <c r="G34" s="138"/>
      <c r="H34" s="138"/>
      <c r="I34" s="138"/>
    </row>
    <row r="35" spans="1:15" ht="15.75" thickBot="1">
      <c r="A35" s="2461"/>
      <c r="B35" s="2462" t="s">
        <v>2158</v>
      </c>
      <c r="C35" s="1444">
        <f ca="1">IF(C33="自定义",F35,ROUND(C32*D35,0))</f>
        <v>50097</v>
      </c>
      <c r="D35" s="1445">
        <f ca="1">IF(C33="自定义",ROUND(C35/C32,3),IF(C33="收益比率",SUMIF(INDIRECT("'"&amp;D33&amp;"'"&amp;"!b:b"),"建筑物收益比率",INDIRECT("'"&amp;D33&amp;"'"&amp;"!c:c")),SUMIF(INDIRECT("'"&amp;D33&amp;"'"&amp;"!b:b"),"建筑物成本比率",INDIRECT("'"&amp;D33&amp;"'"&amp;"!c:c"))))</f>
        <v>0.77900000000000003</v>
      </c>
      <c r="E35" s="2463" t="s">
        <v>2159</v>
      </c>
      <c r="F35" s="163"/>
      <c r="G35" s="138"/>
      <c r="H35" s="138"/>
      <c r="I35" s="138"/>
    </row>
    <row r="36" spans="1:15" ht="15.75" thickBot="1">
      <c r="A36" s="3128" t="s">
        <v>2160</v>
      </c>
      <c r="B36" s="2464" t="s">
        <v>2161</v>
      </c>
      <c r="C36" s="154"/>
      <c r="D36" s="2465"/>
      <c r="E36" s="2466"/>
      <c r="F36" s="2467"/>
      <c r="G36" s="138"/>
      <c r="H36" s="138"/>
      <c r="I36" s="138"/>
    </row>
    <row r="37" spans="1:15" ht="15.75" thickBot="1">
      <c r="A37" s="3129"/>
      <c r="B37" s="2270" t="s">
        <v>2162</v>
      </c>
      <c r="C37" s="156"/>
      <c r="D37" s="1395"/>
      <c r="E37" s="1395"/>
      <c r="F37" s="2467"/>
      <c r="G37" s="138"/>
      <c r="H37" s="138"/>
      <c r="I37" s="138"/>
    </row>
    <row r="38" spans="1:15" ht="15.75" thickBot="1">
      <c r="A38" s="3130"/>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145" t="s">
        <v>2174</v>
      </c>
      <c r="B45" s="3146"/>
      <c r="C45" s="3147"/>
      <c r="D45" s="2958">
        <f ca="1">ROUND(系统读取表!B5*F45,0)</f>
        <v>580471</v>
      </c>
      <c r="E45" s="165" t="s">
        <v>2175</v>
      </c>
      <c r="F45" s="166">
        <v>1</v>
      </c>
      <c r="G45" s="167" t="s">
        <v>2176</v>
      </c>
      <c r="H45" s="138"/>
      <c r="I45" s="138"/>
      <c r="J45" s="3064" t="s">
        <v>2177</v>
      </c>
      <c r="K45" s="3064"/>
      <c r="L45" s="3064"/>
      <c r="M45" s="3064"/>
      <c r="N45" s="3064"/>
      <c r="O45" s="3064"/>
    </row>
    <row r="46" spans="1:15" ht="14.25" customHeight="1">
      <c r="A46" s="3142" t="s">
        <v>2178</v>
      </c>
      <c r="B46" s="3143"/>
      <c r="C46" s="3143"/>
      <c r="D46" s="3143"/>
      <c r="E46" s="3143"/>
      <c r="F46" s="3143"/>
      <c r="G46" s="3144"/>
      <c r="H46" s="2483"/>
      <c r="I46" s="168"/>
      <c r="J46" s="1811">
        <v>1</v>
      </c>
      <c r="K46" s="3064" t="s">
        <v>2179</v>
      </c>
      <c r="L46" s="3064"/>
      <c r="M46" s="3065"/>
      <c r="N46" s="3065"/>
      <c r="O46" s="3065"/>
    </row>
    <row r="47" spans="1:15" ht="12" customHeight="1">
      <c r="A47" s="169" t="s">
        <v>2180</v>
      </c>
      <c r="B47" s="170"/>
      <c r="C47" s="171"/>
      <c r="D47" s="172" t="s">
        <v>2181</v>
      </c>
      <c r="E47" s="24" t="s">
        <v>2182</v>
      </c>
      <c r="F47" s="173" t="s">
        <v>2183</v>
      </c>
      <c r="G47" s="174" t="s">
        <v>2184</v>
      </c>
      <c r="H47" s="2483"/>
      <c r="I47" s="168"/>
      <c r="J47" s="1811">
        <v>2</v>
      </c>
      <c r="K47" s="3064" t="s">
        <v>2185</v>
      </c>
      <c r="L47" s="3064"/>
      <c r="M47" s="3066">
        <f>'数据-取费表'!B2</f>
        <v>43341</v>
      </c>
      <c r="N47" s="3066"/>
      <c r="O47" s="3066"/>
    </row>
    <row r="48" spans="1:15" ht="25.5">
      <c r="A48" s="3132" t="s">
        <v>2186</v>
      </c>
      <c r="B48" s="3133"/>
      <c r="C48" s="3133"/>
      <c r="D48" s="140">
        <f ca="1">IF(H48="情况1",0,IF(H48="情况2",D52,IF(H48="情况3",D53,IF(H48="情况4",D54))))</f>
        <v>30958</v>
      </c>
      <c r="E48" s="1800" t="str">
        <f>IF(H48="情况4","(销售额-原购置价)×税（费）率","销售额×税（费）率")</f>
        <v>销售额×税（费）率</v>
      </c>
      <c r="F48" s="175">
        <f>IF(H48="情况1","免征",'数据-取费表'!B41)</f>
        <v>5.6000000000000001E-2</v>
      </c>
      <c r="G48" s="2484" t="s">
        <v>2187</v>
      </c>
      <c r="H48" s="2485" t="s">
        <v>3146</v>
      </c>
      <c r="I48" s="2483"/>
      <c r="J48" s="1811">
        <v>3</v>
      </c>
      <c r="K48" s="3064" t="s">
        <v>2188</v>
      </c>
      <c r="L48" s="3064"/>
      <c r="M48" s="3067">
        <f ca="1">系统读取表!B5</f>
        <v>580471</v>
      </c>
      <c r="N48" s="3067"/>
      <c r="O48" s="3067"/>
    </row>
    <row r="49" spans="1:35" ht="25.5" customHeight="1">
      <c r="A49" s="176" t="s">
        <v>2189</v>
      </c>
      <c r="B49" s="3112" t="s">
        <v>2190</v>
      </c>
      <c r="C49" s="3112"/>
      <c r="D49" s="177">
        <v>0</v>
      </c>
      <c r="E49" s="23" t="s">
        <v>2191</v>
      </c>
      <c r="F49" s="28" t="s">
        <v>34</v>
      </c>
      <c r="G49" s="3093"/>
      <c r="H49" s="138"/>
      <c r="I49" s="2486"/>
      <c r="J49" s="1811">
        <v>4</v>
      </c>
      <c r="K49" s="3064" t="str">
        <f>IF(项目基本情况!E8="房地产抵押价值","房地产抵押价值","抵押担保权已注销时的房地产抵押价值")</f>
        <v>房地产抵押价值</v>
      </c>
      <c r="L49" s="3064"/>
      <c r="M49" s="3067">
        <f ca="1">系统读取表!B6</f>
        <v>580471</v>
      </c>
      <c r="N49" s="3067"/>
      <c r="O49" s="3067"/>
    </row>
    <row r="50" spans="1:35" ht="25.5" customHeight="1">
      <c r="A50" s="178"/>
      <c r="B50" s="3112" t="s">
        <v>2192</v>
      </c>
      <c r="C50" s="3112"/>
      <c r="D50" s="179"/>
      <c r="E50" s="31"/>
      <c r="F50" s="180"/>
      <c r="G50" s="3094"/>
      <c r="H50" s="138"/>
      <c r="I50" s="2486"/>
      <c r="J50" s="3064" t="s">
        <v>2193</v>
      </c>
      <c r="K50" s="3064"/>
      <c r="L50" s="3064"/>
      <c r="M50" s="3064"/>
      <c r="N50" s="3064"/>
      <c r="O50" s="3064"/>
    </row>
    <row r="51" spans="1:35" ht="12" customHeight="1">
      <c r="A51" s="181"/>
      <c r="B51" s="3112" t="s">
        <v>2194</v>
      </c>
      <c r="C51" s="3112"/>
      <c r="D51" s="182"/>
      <c r="E51" s="30"/>
      <c r="F51" s="180"/>
      <c r="G51" s="3095"/>
      <c r="H51" s="138"/>
      <c r="I51" s="2486"/>
      <c r="J51" s="2487" t="s">
        <v>2195</v>
      </c>
      <c r="K51" s="3064" t="s">
        <v>2196</v>
      </c>
      <c r="L51" s="3064"/>
      <c r="M51" s="2487" t="s">
        <v>2197</v>
      </c>
      <c r="N51" s="2487" t="s">
        <v>2198</v>
      </c>
      <c r="O51" s="2487" t="s">
        <v>2199</v>
      </c>
    </row>
    <row r="52" spans="1:35" ht="24" customHeight="1">
      <c r="A52" s="183" t="s">
        <v>2200</v>
      </c>
      <c r="B52" s="3112" t="s">
        <v>2201</v>
      </c>
      <c r="C52" s="3112"/>
      <c r="D52" s="182">
        <f ca="1">ROUND(D45*'数据-取费表'!B41/(1+'数据-取费表'!C42),0)</f>
        <v>30958</v>
      </c>
      <c r="E52" s="11" t="s">
        <v>2202</v>
      </c>
      <c r="F52" s="184">
        <f>'数据-取费表'!B41</f>
        <v>5.6000000000000001E-2</v>
      </c>
      <c r="G52" s="2488"/>
      <c r="H52" s="138"/>
      <c r="I52" s="2486"/>
      <c r="J52" s="1811">
        <v>1</v>
      </c>
      <c r="K52" s="3087" t="s">
        <v>2203</v>
      </c>
      <c r="L52" s="3087"/>
      <c r="M52" s="1753">
        <f ca="1">D48</f>
        <v>30958</v>
      </c>
      <c r="N52" s="1811" t="str">
        <f>E48</f>
        <v>销售额×税（费）率</v>
      </c>
      <c r="O52" s="1754">
        <f>F48</f>
        <v>5.6000000000000001E-2</v>
      </c>
    </row>
    <row r="53" spans="1:35" ht="12" customHeight="1">
      <c r="A53" s="183" t="s">
        <v>2204</v>
      </c>
      <c r="B53" s="3113" t="s">
        <v>2205</v>
      </c>
      <c r="C53" s="3114"/>
      <c r="D53" s="182">
        <f ca="1">ROUND(D45*'数据-取费表'!B41/(1+'数据-取费表'!C42),0)</f>
        <v>30958</v>
      </c>
      <c r="E53" s="11" t="s">
        <v>2202</v>
      </c>
      <c r="F53" s="184">
        <f>'数据-取费表'!B41</f>
        <v>5.6000000000000001E-2</v>
      </c>
      <c r="G53" s="2488"/>
      <c r="H53" s="138"/>
      <c r="I53" s="2486"/>
      <c r="J53" s="1811">
        <v>2</v>
      </c>
      <c r="K53" s="3087" t="s">
        <v>2206</v>
      </c>
      <c r="L53" s="3087"/>
      <c r="M53" s="1753">
        <f t="shared" ref="M53:O54" ca="1" si="0">D55</f>
        <v>290</v>
      </c>
      <c r="N53" s="1811" t="str">
        <f t="shared" si="0"/>
        <v>销售额×税（费）率</v>
      </c>
      <c r="O53" s="1754">
        <f t="shared" si="0"/>
        <v>5.0000000000000001E-4</v>
      </c>
    </row>
    <row r="54" spans="1:35" ht="12" customHeight="1">
      <c r="A54" s="183" t="s">
        <v>2207</v>
      </c>
      <c r="B54" s="3113" t="s">
        <v>2208</v>
      </c>
      <c r="C54" s="3114"/>
      <c r="D54" s="182">
        <f ca="1">C68</f>
        <v>30958</v>
      </c>
      <c r="E54" s="30" t="s">
        <v>2209</v>
      </c>
      <c r="F54" s="184">
        <f>'数据-取费表'!B41</f>
        <v>5.6000000000000001E-2</v>
      </c>
      <c r="G54" s="2488"/>
      <c r="H54" s="2489"/>
      <c r="I54" s="2486"/>
      <c r="J54" s="1811">
        <v>3</v>
      </c>
      <c r="K54" s="3087" t="s">
        <v>2210</v>
      </c>
      <c r="L54" s="3087"/>
      <c r="M54" s="1753">
        <f t="shared" ca="1" si="0"/>
        <v>96266</v>
      </c>
      <c r="N54" s="1811" t="str">
        <f t="shared" si="0"/>
        <v>增值额×税（费）率</v>
      </c>
      <c r="O54" s="1755" t="str">
        <f t="shared" si="0"/>
        <v>——</v>
      </c>
    </row>
    <row r="55" spans="1:35" ht="24" customHeight="1">
      <c r="A55" s="3151" t="s">
        <v>2211</v>
      </c>
      <c r="B55" s="3133"/>
      <c r="C55" s="3133"/>
      <c r="D55" s="185">
        <f ca="1">IF(H55="个人住宅",0,ROUND(D45*I55,0))</f>
        <v>290</v>
      </c>
      <c r="E55" s="11" t="s">
        <v>2212</v>
      </c>
      <c r="F55" s="184">
        <f>IF(H55="正常",I55,"免征")</f>
        <v>5.0000000000000001E-4</v>
      </c>
      <c r="G55" s="2488"/>
      <c r="H55" s="2485" t="s">
        <v>2213</v>
      </c>
      <c r="I55" s="186">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c r="A56" s="3151" t="s">
        <v>2214</v>
      </c>
      <c r="B56" s="3133"/>
      <c r="C56" s="3133"/>
      <c r="D56" s="185">
        <f ca="1">IF(H56="个人住宅",D57,D58)</f>
        <v>96266</v>
      </c>
      <c r="E56" s="11" t="s">
        <v>2215</v>
      </c>
      <c r="F56" s="184" t="str">
        <f>IF(H56="正常",F58,"免征")</f>
        <v>——</v>
      </c>
      <c r="G56" s="2490" t="s">
        <v>2216</v>
      </c>
      <c r="H56" s="2491" t="s">
        <v>2213</v>
      </c>
      <c r="I56" s="2492"/>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c r="A57" s="183" t="s">
        <v>2189</v>
      </c>
      <c r="B57" s="3118" t="s">
        <v>2217</v>
      </c>
      <c r="C57" s="3119"/>
      <c r="D57" s="187">
        <v>0</v>
      </c>
      <c r="E57" s="23" t="s">
        <v>2191</v>
      </c>
      <c r="F57" s="155"/>
      <c r="G57" s="2488"/>
      <c r="H57" s="2492"/>
      <c r="I57" s="2492"/>
      <c r="J57" s="3087">
        <f>IF(AND(J55="",J56=""),4,IF(项目基本情况!K6="上海银行",结果表!J56+1,结果表!J55+1))</f>
        <v>4</v>
      </c>
      <c r="K57" s="3087" t="s">
        <v>2218</v>
      </c>
      <c r="L57" s="2493" t="s">
        <v>2219</v>
      </c>
      <c r="M57" s="1758"/>
      <c r="N57" s="1759">
        <f ca="1">SUMIF(M52:M56,"&lt;9e307")</f>
        <v>127514</v>
      </c>
      <c r="O57" s="2494"/>
      <c r="P57" s="1752">
        <f ca="1">N57/M49</f>
        <v>0.2196733342406425</v>
      </c>
    </row>
    <row r="58" spans="1:35" ht="24.75">
      <c r="A58" s="183" t="s">
        <v>2200</v>
      </c>
      <c r="B58" s="3118" t="s">
        <v>2220</v>
      </c>
      <c r="C58" s="3131"/>
      <c r="D58" s="185">
        <f ca="1">IF(H58="转让取得",C81,C97)</f>
        <v>96266</v>
      </c>
      <c r="E58" s="11" t="s">
        <v>2215</v>
      </c>
      <c r="F58" s="24" t="s">
        <v>34</v>
      </c>
      <c r="G58" s="2488"/>
      <c r="H58" s="2491" t="s">
        <v>2221</v>
      </c>
      <c r="I58" s="2492"/>
      <c r="J58" s="3087"/>
      <c r="K58" s="3087"/>
      <c r="L58" s="2493" t="s">
        <v>2222</v>
      </c>
      <c r="M58" s="1760"/>
      <c r="N58" s="2495" t="str">
        <f ca="1">NUMBERSTRING(INT(N57*10000),2)&amp;"元整"</f>
        <v>壹拾贰亿柒仟伍佰壹拾肆万元整</v>
      </c>
      <c r="O58" s="2496"/>
    </row>
    <row r="59" spans="1:35" ht="24.75" thickBot="1">
      <c r="A59" s="3091" t="s">
        <v>2223</v>
      </c>
      <c r="B59" s="3092"/>
      <c r="C59" s="3092"/>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089">
        <f>J57+1</f>
        <v>5</v>
      </c>
      <c r="K59" s="3087" t="s">
        <v>2225</v>
      </c>
      <c r="L59" s="1811" t="s">
        <v>2219</v>
      </c>
      <c r="M59" s="1761"/>
      <c r="N59" s="1762">
        <f ca="1">M49-N57</f>
        <v>452957</v>
      </c>
      <c r="O59" s="2498"/>
    </row>
    <row r="60" spans="1:35" ht="12" customHeight="1">
      <c r="A60" s="2499"/>
      <c r="B60" s="2421"/>
      <c r="C60" s="2421"/>
      <c r="D60" s="2421"/>
      <c r="E60" s="2169"/>
      <c r="F60" s="2492"/>
      <c r="G60" s="2492"/>
      <c r="H60" s="2500"/>
      <c r="I60" s="138"/>
      <c r="J60" s="3090"/>
      <c r="K60" s="3087"/>
      <c r="L60" s="2493" t="s">
        <v>2222</v>
      </c>
      <c r="M60" s="1760"/>
      <c r="N60" s="2495" t="str">
        <f ca="1">NUMBERSTRING(INT(N59*10000),2)&amp;"元整"</f>
        <v>肆拾伍亿贰仟玖佰伍拾柒万元整</v>
      </c>
      <c r="O60" s="2496"/>
    </row>
    <row r="61" spans="1:35" ht="13.5" thickBot="1">
      <c r="A61" s="3150" t="s">
        <v>2226</v>
      </c>
      <c r="B61" s="3150"/>
      <c r="C61" s="3150"/>
      <c r="D61" s="3150"/>
      <c r="E61" s="3150"/>
      <c r="F61" s="2492"/>
      <c r="G61" s="2492"/>
      <c r="H61" s="2500"/>
      <c r="I61" s="138"/>
      <c r="J61" s="1811">
        <f>J59+1</f>
        <v>6</v>
      </c>
      <c r="K61" s="3087" t="s">
        <v>2227</v>
      </c>
      <c r="L61" s="3087"/>
      <c r="M61" s="1763"/>
      <c r="N61" s="1764">
        <f ca="1">ROUND(N59*10000/系统读取表!B1,0)</f>
        <v>2673</v>
      </c>
      <c r="O61" s="2501"/>
    </row>
    <row r="62" spans="1:35" ht="12.75">
      <c r="A62" s="3107" t="s">
        <v>2228</v>
      </c>
      <c r="B62" s="3108"/>
      <c r="C62" s="1803"/>
      <c r="D62" s="1803" t="s">
        <v>2229</v>
      </c>
      <c r="E62" s="192" t="s">
        <v>2230</v>
      </c>
      <c r="F62" s="2492"/>
      <c r="G62" s="2492"/>
      <c r="H62" s="2500"/>
      <c r="I62" s="138"/>
    </row>
    <row r="63" spans="1:35" ht="12.75">
      <c r="A63" s="203" t="s">
        <v>775</v>
      </c>
      <c r="B63" s="193" t="s">
        <v>2231</v>
      </c>
      <c r="C63" s="194">
        <f ca="1">ROUND((C64+C65)/(1+'数据-取费表'!C42),0)</f>
        <v>552830</v>
      </c>
      <c r="D63" s="195"/>
      <c r="E63" s="196"/>
      <c r="F63" s="2492"/>
      <c r="G63" s="2492"/>
      <c r="H63" s="2500"/>
      <c r="I63" s="138"/>
      <c r="J63" s="3072" t="s">
        <v>2232</v>
      </c>
      <c r="K63" s="2502" t="s">
        <v>2233</v>
      </c>
      <c r="L63" s="1751">
        <f ca="1">IF(M49&gt;10000,M49*0.5%,IF(AND(M49&gt;1000,M49&lt;=10000),M49*1%,IF(AND(M49&gt;100,M49&lt;=1000),M49*3%,IF(AND(M49&gt;10,M49&lt;=100),M49*5%,M49*8%))))</f>
        <v>2902.355</v>
      </c>
      <c r="M63" s="24">
        <f ca="1">ROUND(L63,1)</f>
        <v>2902.4</v>
      </c>
      <c r="Z63" s="2426"/>
      <c r="AI63" s="2427"/>
    </row>
    <row r="64" spans="1:35" ht="14.25" customHeight="1">
      <c r="A64" s="197" t="s">
        <v>770</v>
      </c>
      <c r="B64" s="198" t="s">
        <v>2234</v>
      </c>
      <c r="C64" s="199">
        <f ca="1">D45</f>
        <v>580471</v>
      </c>
      <c r="D64" s="200" t="s">
        <v>32</v>
      </c>
      <c r="E64" s="201"/>
      <c r="F64" s="2492"/>
      <c r="G64" s="2492"/>
      <c r="H64" s="2500"/>
      <c r="I64" s="138"/>
      <c r="J64" s="3072"/>
      <c r="K64" s="2502" t="s">
        <v>2235</v>
      </c>
      <c r="L64" s="1751">
        <f ca="1">IF(M49&gt;2000,M49*0.5%,IF(AND(M49&gt;1000,M49&lt;=2000),M49*0.6%,IF(AND(M49&gt;500,M49&lt;=1000),M49*0.7%,IF(AND(M49&gt;200,M49&lt;=500),M49*0.8%,IF(AND(M49&gt;100,M49&lt;=200),M49*0.9%,IF(AND(M49&gt;50,M49&lt;=100),M49*1%,IF(AND(M49&gt;20,M49&lt;=50),M49*1.5%,IF(AND(M49&gt;10,M49&lt;=20),M49*2%,IF(AND(M49&gt;1,M49&lt;=10),M49*2.5%)))))))))</f>
        <v>2902.355</v>
      </c>
      <c r="M64" s="24">
        <f t="shared" ref="M64:M65" ca="1" si="1">ROUND(L64,1)</f>
        <v>2902.4</v>
      </c>
      <c r="N64" s="138" t="s">
        <v>2236</v>
      </c>
      <c r="Z64" s="2426"/>
      <c r="AI64" s="2427"/>
    </row>
    <row r="65" spans="1:35" ht="14.25" customHeight="1">
      <c r="A65" s="197" t="s">
        <v>771</v>
      </c>
      <c r="B65" s="198" t="s">
        <v>2237</v>
      </c>
      <c r="C65" s="202"/>
      <c r="D65" s="200"/>
      <c r="E65" s="201"/>
      <c r="F65" s="2492"/>
      <c r="G65" s="2492"/>
      <c r="H65" s="2500"/>
      <c r="I65" s="138"/>
      <c r="J65" s="3072"/>
      <c r="K65" s="2502" t="s">
        <v>2238</v>
      </c>
      <c r="L65" s="1751">
        <f ca="1">IF(M49&gt;1000,M49*0.1%,IF(AND(M49&gt;500,M49&lt;=1000),M49*0.5%,IF(AND(M49&gt;50,M49&lt;=500),M49*1%,IF(AND(M49&gt;1,M49&lt;=50),M49*1.5%))))</f>
        <v>580.471</v>
      </c>
      <c r="M65" s="24">
        <f t="shared" ca="1" si="1"/>
        <v>580.5</v>
      </c>
      <c r="N65" s="138" t="s">
        <v>2236</v>
      </c>
      <c r="Z65" s="2426"/>
      <c r="AI65" s="2427"/>
    </row>
    <row r="66" spans="1:35" ht="14.25" customHeight="1">
      <c r="A66" s="203" t="s">
        <v>772</v>
      </c>
      <c r="B66" s="204" t="s">
        <v>2239</v>
      </c>
      <c r="C66" s="205"/>
      <c r="D66" s="206" t="s">
        <v>32</v>
      </c>
      <c r="E66" s="1775" t="s">
        <v>1361</v>
      </c>
      <c r="F66" s="2492"/>
      <c r="G66" s="2492"/>
      <c r="H66" s="2500"/>
      <c r="I66" s="138"/>
      <c r="J66" s="3072"/>
      <c r="K66" s="2502" t="s">
        <v>2240</v>
      </c>
      <c r="L66" s="1751">
        <f ca="1">M49*0.5%</f>
        <v>2902.355</v>
      </c>
      <c r="M66" s="24">
        <f ca="1">IF(L66&gt;0.5,0.5,ROUND(L66,0))</f>
        <v>0.5</v>
      </c>
      <c r="N66" s="138" t="s">
        <v>2241</v>
      </c>
      <c r="Z66" s="2426"/>
      <c r="AI66" s="2427"/>
    </row>
    <row r="67" spans="1:35" ht="14.25" customHeight="1">
      <c r="A67" s="203" t="s">
        <v>773</v>
      </c>
      <c r="B67" s="204" t="s">
        <v>2242</v>
      </c>
      <c r="C67" s="207">
        <f ca="1">C63-C66</f>
        <v>552830</v>
      </c>
      <c r="D67" s="200" t="s">
        <v>32</v>
      </c>
      <c r="E67" s="201"/>
      <c r="F67" s="2492"/>
      <c r="G67" s="2492"/>
      <c r="H67" s="2500"/>
      <c r="I67" s="138"/>
      <c r="J67" s="3072"/>
      <c r="K67" s="2502" t="s">
        <v>2243</v>
      </c>
      <c r="L67" s="1751">
        <f ca="1">IF(M49&gt;=10000,(8.25+(M49-10000)*0.01%),IF(AND(M49&gt;=8000,M49&lt;10000),(7.85+(M49-8000)*0.02%),IF(AND(M49&gt;=5000,M49&lt;8000),(6.65+(M49-5000)*0.04%),IF(AND(M49&gt;=2000,M49&lt;5000),(4.25+(PM49-2000)*0.08%),IF(AND(M49&gt;=1000,M49&lt;2000),(2.75+(M49-1000)*0.15%),IF(AND(M49&gt;=100,M49&lt;1000),(0.5+(M49-100)*0.25%),IF(AND(M49&gt;0,M49&lt;100),M49*0.5%)))))))</f>
        <v>65.2971</v>
      </c>
      <c r="M67" s="24">
        <f ca="1">ROUND(L67*0.9,1)</f>
        <v>58.8</v>
      </c>
      <c r="Z67" s="2426"/>
      <c r="AI67" s="2427"/>
    </row>
    <row r="68" spans="1:35" ht="14.25" customHeight="1" thickBot="1">
      <c r="A68" s="208" t="s">
        <v>774</v>
      </c>
      <c r="B68" s="209" t="s">
        <v>2244</v>
      </c>
      <c r="C68" s="210">
        <f ca="1">IF(C67&lt;=0,0,ROUND(C67*D68,0))</f>
        <v>30958</v>
      </c>
      <c r="D68" s="211">
        <f>'数据-取费表'!B41</f>
        <v>5.6000000000000001E-2</v>
      </c>
      <c r="E68" s="212"/>
      <c r="F68" s="2492"/>
      <c r="G68" s="2492"/>
      <c r="H68" s="2500"/>
      <c r="I68" s="138"/>
      <c r="J68" s="3072"/>
      <c r="K68" s="2502" t="s">
        <v>2245</v>
      </c>
      <c r="L68" s="1751">
        <f ca="1">IF(M49&gt;10000,M49*0.5%,IF(AND(M49&gt;5000,M49&lt;=10000),M49*1%,IF(AND(M49&gt;1000,M49&lt;=5000),M49*2%,IF(AND(M49&gt;200,M49&lt;=1000),M49*3%,M49*5%))))</f>
        <v>2902.355</v>
      </c>
      <c r="M68" s="24">
        <f ca="1">ROUND(L68,1)</f>
        <v>2902.4</v>
      </c>
      <c r="Z68" s="2426"/>
      <c r="AI68" s="2427"/>
    </row>
    <row r="69" spans="1:35" s="2449" customFormat="1" ht="16.5" customHeight="1">
      <c r="A69" s="2503"/>
      <c r="B69" s="2504"/>
      <c r="C69" s="2505"/>
      <c r="D69" s="2506"/>
      <c r="E69" s="2507"/>
      <c r="F69" s="2169"/>
      <c r="G69" s="2169"/>
      <c r="H69" s="2168"/>
      <c r="I69" s="2421"/>
      <c r="J69" s="3072"/>
      <c r="K69" s="2502" t="s">
        <v>2246</v>
      </c>
      <c r="L69" s="2508"/>
      <c r="M69" s="24">
        <f ca="1">ROUND(SUM(M63:M68),0)</f>
        <v>9347</v>
      </c>
      <c r="N69" s="1752">
        <f ca="1">M69/M49</f>
        <v>1.6102440948815702E-2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6" t="s">
        <v>2247</v>
      </c>
      <c r="B70" s="3117"/>
      <c r="C70" s="3117"/>
      <c r="D70" s="3117"/>
      <c r="E70" s="3117"/>
      <c r="F70" s="3117"/>
      <c r="G70" s="3117"/>
      <c r="H70" s="311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7" t="s">
        <v>2228</v>
      </c>
      <c r="B71" s="3108"/>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552830</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3317</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113" t="s">
        <v>2256</v>
      </c>
      <c r="F76" s="3112"/>
      <c r="G76" s="3112"/>
      <c r="H76" s="311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3317</v>
      </c>
      <c r="D78" s="226">
        <f>'数据-取费表'!B43</f>
        <v>6.000000000000001E-3</v>
      </c>
      <c r="E78" s="3104" t="s">
        <v>2261</v>
      </c>
      <c r="F78" s="3105"/>
      <c r="G78" s="3105"/>
      <c r="H78" s="310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549513</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165.66566174253845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328547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6" t="s">
        <v>2265</v>
      </c>
      <c r="B83" s="3117"/>
      <c r="C83" s="3117"/>
      <c r="D83" s="3117"/>
      <c r="E83" s="3117"/>
      <c r="F83" s="3117"/>
      <c r="G83" s="3117"/>
      <c r="H83" s="311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7" t="s">
        <v>2228</v>
      </c>
      <c r="B84" s="3108"/>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552830</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277481</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104" t="s">
        <v>2274</v>
      </c>
      <c r="F91" s="3105"/>
      <c r="G91" s="3105"/>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104" t="s">
        <v>2278</v>
      </c>
      <c r="F92" s="3105"/>
      <c r="G92" s="3105"/>
      <c r="H92" s="310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3317</v>
      </c>
      <c r="D93" s="226">
        <f>'数据-取费表'!B43</f>
        <v>6.000000000000001E-3</v>
      </c>
      <c r="E93" s="3104" t="s">
        <v>2261</v>
      </c>
      <c r="F93" s="3105"/>
      <c r="G93" s="3105"/>
      <c r="H93" s="310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152" t="s">
        <v>2282</v>
      </c>
      <c r="F94" s="3153"/>
      <c r="G94" s="3153"/>
      <c r="H94" s="315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275349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0.99231659104587344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96266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56" t="s">
        <v>2284</v>
      </c>
      <c r="B100" s="3057"/>
      <c r="C100" s="3057"/>
      <c r="D100" s="3088"/>
      <c r="E100" s="3057" t="s">
        <v>2285</v>
      </c>
      <c r="F100" s="3057"/>
      <c r="G100" s="3057"/>
      <c r="H100" s="3088"/>
      <c r="I100" s="138"/>
    </row>
    <row r="101" spans="1:35" ht="18.75" customHeight="1">
      <c r="A101" s="3096" t="s">
        <v>2286</v>
      </c>
      <c r="B101" s="3097"/>
      <c r="C101" s="736" t="str">
        <f>C4</f>
        <v>成本法</v>
      </c>
      <c r="D101" s="737" t="str">
        <f>D4</f>
        <v>收益法</v>
      </c>
      <c r="E101" s="3068" t="s">
        <v>2287</v>
      </c>
      <c r="F101" s="3069"/>
      <c r="G101" s="2523" t="s">
        <v>2288</v>
      </c>
      <c r="H101" s="1048">
        <f ca="1">H118</f>
        <v>64309</v>
      </c>
      <c r="I101" s="138"/>
    </row>
    <row r="102" spans="1:35" ht="18.75" customHeight="1">
      <c r="A102" s="3098" t="s">
        <v>2289</v>
      </c>
      <c r="B102" s="2523" t="s">
        <v>2288</v>
      </c>
      <c r="C102" s="736">
        <f ca="1">C19</f>
        <v>56405</v>
      </c>
      <c r="D102" s="737">
        <f ca="1">D19</f>
        <v>72213</v>
      </c>
      <c r="E102" s="3068"/>
      <c r="F102" s="3069"/>
      <c r="G102" s="2523" t="s">
        <v>2290</v>
      </c>
      <c r="H102" s="371">
        <f ca="1">I118</f>
        <v>16616</v>
      </c>
      <c r="I102" s="138"/>
    </row>
    <row r="103" spans="1:35" ht="42.75" customHeight="1">
      <c r="A103" s="3098"/>
      <c r="B103" s="2523" t="s">
        <v>2290</v>
      </c>
      <c r="C103" s="738">
        <f ca="1">C20</f>
        <v>14574</v>
      </c>
      <c r="D103" s="739">
        <f ca="1">D20</f>
        <v>18659</v>
      </c>
      <c r="E103" s="3062" t="s">
        <v>2291</v>
      </c>
      <c r="F103" s="3063"/>
      <c r="G103" s="2524" t="s">
        <v>2292</v>
      </c>
      <c r="H103" s="1048">
        <f>IF(D36="正常操作",H104+H105+H106,H105+H106)</f>
        <v>0</v>
      </c>
      <c r="I103" s="138"/>
    </row>
    <row r="104" spans="1:35" ht="18.75" customHeight="1">
      <c r="A104" s="3098" t="s">
        <v>2293</v>
      </c>
      <c r="B104" s="2525" t="s">
        <v>2288</v>
      </c>
      <c r="C104" s="740">
        <f ca="1">H118</f>
        <v>64309</v>
      </c>
      <c r="D104" s="741"/>
      <c r="E104" s="2270" t="s">
        <v>2294</v>
      </c>
      <c r="F104" s="2261"/>
      <c r="G104" s="2524" t="s">
        <v>2292</v>
      </c>
      <c r="H104" s="1049">
        <f>IF(D36="同一抵押权人同一抵押物续贷",C36&amp;"（未扣减，详见特别提示）",C36)</f>
        <v>0</v>
      </c>
      <c r="I104" s="138"/>
    </row>
    <row r="105" spans="1:35" ht="18.75" customHeight="1" thickBot="1">
      <c r="A105" s="3110"/>
      <c r="B105" s="2526" t="s">
        <v>2290</v>
      </c>
      <c r="C105" s="742">
        <f ca="1">I118</f>
        <v>16616</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099" t="str">
        <f>IF(项目基本情况!E8="已注销","——","3.房地产抵押价值")</f>
        <v>3.房地产抵押价值</v>
      </c>
      <c r="F107" s="3069"/>
      <c r="G107" s="2523" t="s">
        <v>2288</v>
      </c>
      <c r="H107" s="1048">
        <f ca="1">IF(E107="——","——",H101-H103)</f>
        <v>64309</v>
      </c>
      <c r="I107" s="138"/>
    </row>
    <row r="108" spans="1:35" ht="18.75" customHeight="1">
      <c r="A108" s="138"/>
      <c r="B108" s="138"/>
      <c r="C108" s="138"/>
      <c r="D108" s="138"/>
      <c r="E108" s="3099"/>
      <c r="F108" s="3069"/>
      <c r="G108" s="2523" t="s">
        <v>2290</v>
      </c>
      <c r="H108" s="371">
        <f ca="1">ROUND(H107*10000/'数据-汇总表'!E3,0)</f>
        <v>16616</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23" t="s">
        <v>2288</v>
      </c>
      <c r="H109" s="348" t="str">
        <f>IF(E109="——","——",H101-H105-H106)</f>
        <v>——</v>
      </c>
      <c r="I109" s="138"/>
    </row>
    <row r="110" spans="1:35" ht="18.75" customHeight="1">
      <c r="A110" s="138"/>
      <c r="B110" s="138"/>
      <c r="C110" s="138"/>
      <c r="D110" s="138"/>
      <c r="E110" s="3099"/>
      <c r="F110" s="3069"/>
      <c r="G110" s="2523" t="s">
        <v>2290</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3" t="s">
        <v>2288</v>
      </c>
      <c r="H111" s="1048" t="str">
        <f>IF(E111="——","——",N59)</f>
        <v>——</v>
      </c>
      <c r="I111" s="138"/>
    </row>
    <row r="112" spans="1:35" ht="18.75" customHeight="1" thickBot="1">
      <c r="A112" s="138"/>
      <c r="B112" s="138"/>
      <c r="C112" s="138"/>
      <c r="D112" s="138"/>
      <c r="E112" s="3102"/>
      <c r="F112" s="3103"/>
      <c r="G112" s="2528" t="s">
        <v>2290</v>
      </c>
      <c r="H112" s="790" t="str">
        <f>IF(E111="——","——",N61)</f>
        <v>——</v>
      </c>
      <c r="I112" s="138"/>
    </row>
    <row r="113" spans="1:11" ht="18.75" customHeight="1">
      <c r="A113" s="138"/>
      <c r="B113" s="138"/>
      <c r="C113" s="138"/>
      <c r="D113" s="138"/>
      <c r="E113" s="3111" t="s">
        <v>2296</v>
      </c>
      <c r="F113" s="3111"/>
      <c r="G113" s="3111"/>
      <c r="H113" s="3111"/>
      <c r="I113" s="138"/>
    </row>
    <row r="114" spans="1:11" ht="3.75" customHeight="1">
      <c r="A114" s="2421"/>
      <c r="B114" s="2421"/>
      <c r="C114" s="2421"/>
      <c r="D114" s="2421"/>
      <c r="E114" s="2499"/>
      <c r="F114" s="2499"/>
      <c r="G114" s="2499"/>
      <c r="H114" s="2499"/>
      <c r="I114" s="2421"/>
    </row>
    <row r="115" spans="1:11" ht="18.75" customHeight="1">
      <c r="A115" s="3124" t="s">
        <v>2298</v>
      </c>
      <c r="B115" s="3125"/>
      <c r="C115" s="3125"/>
      <c r="D115" s="3125"/>
      <c r="E115" s="3125"/>
      <c r="F115" s="3125"/>
      <c r="G115" s="3125"/>
      <c r="H115" s="3125"/>
      <c r="I115" s="3126"/>
    </row>
    <row r="116" spans="1:11" ht="27" customHeight="1">
      <c r="A116" s="3035" t="s">
        <v>2299</v>
      </c>
      <c r="B116" s="3078" t="s">
        <v>2300</v>
      </c>
      <c r="C116" s="3078" t="s">
        <v>2301</v>
      </c>
      <c r="D116" s="3084" t="s">
        <v>2302</v>
      </c>
      <c r="E116" s="3085"/>
      <c r="F116" s="3120" t="s">
        <v>2303</v>
      </c>
      <c r="G116" s="3120"/>
      <c r="H116" s="3035" t="s">
        <v>2304</v>
      </c>
      <c r="I116" s="3035"/>
    </row>
    <row r="117" spans="1:11" ht="18.75" customHeight="1">
      <c r="A117" s="3035"/>
      <c r="B117" s="3079"/>
      <c r="C117" s="3079"/>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14212</v>
      </c>
      <c r="E118" s="1797">
        <f ca="1">ROUND(IF(C33="自定义",IF(D32="楼面单价",C34,D118*10000/B118),I118-G118),0)</f>
        <v>3672</v>
      </c>
      <c r="F118" s="1797">
        <f ca="1">ROUND(IF(D32="总价",C35,G118*B118/10000),0)</f>
        <v>50097</v>
      </c>
      <c r="G118" s="1797">
        <f ca="1">ROUND(IF(D32="楼面单价",C35,F118*10000/B118),0)</f>
        <v>12944</v>
      </c>
      <c r="H118" s="1797">
        <f ca="1">ROUND(IF(D32="总价",C32,I118*B118/10000),0)</f>
        <v>64309</v>
      </c>
      <c r="I118" s="1797">
        <f ca="1">ROUND(IF(D32="楼面单价",C32,H118*10000/B118),0)</f>
        <v>16616</v>
      </c>
    </row>
    <row r="119" spans="1:11" ht="18.75" customHeight="1">
      <c r="A119" s="3035" t="s">
        <v>2308</v>
      </c>
      <c r="B119" s="3035"/>
      <c r="C119" s="3035"/>
      <c r="D119" s="3080" t="str">
        <f ca="1">NUMBERSTRING(INT(D118*10000),2)&amp;"元整"</f>
        <v>壹亿肆仟贰佰壹拾贰万元整</v>
      </c>
      <c r="E119" s="3081"/>
      <c r="F119" s="3080" t="str">
        <f ca="1">NUMBERSTRING(INT(F118*10000),2)&amp;"元整"</f>
        <v>伍亿零玖拾柒万元整</v>
      </c>
      <c r="G119" s="3081"/>
      <c r="H119" s="3080" t="str">
        <f ca="1">NUMBERSTRING(INT(H118*10000),2)&amp;"元整"</f>
        <v>陆亿肆仟叁佰零玖万元整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6" t="str">
        <f>IF(D120=0,"故，本次评估不存在"&amp;A120,"故，本次评估"&amp;A120&amp;"为人民币"&amp;D120&amp;"万元整。")</f>
        <v>故，本次评估不存在估价师知悉的法定优先受偿款</v>
      </c>
    </row>
    <row r="121" spans="1:11" ht="18.75" customHeight="1">
      <c r="A121" s="3121" t="s">
        <v>2308</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64309</v>
      </c>
      <c r="E122" s="3076"/>
      <c r="F122" s="3076"/>
      <c r="G122" s="3076"/>
      <c r="H122" s="3076"/>
      <c r="I122" s="3077"/>
    </row>
    <row r="123" spans="1:11" ht="18.75" customHeight="1">
      <c r="A123" s="3035" t="s">
        <v>2308</v>
      </c>
      <c r="B123" s="3035"/>
      <c r="C123" s="3035"/>
      <c r="D123" s="3080" t="str">
        <f ca="1">NUMBERSTRING(INT(D122*10000),2)&amp;"元整"</f>
        <v>陆亿肆仟叁佰零玖万元整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2308</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2308</v>
      </c>
      <c r="B127" s="3035"/>
      <c r="C127" s="3035"/>
      <c r="D127" s="3080" t="e">
        <f>NUMBERSTRING(INT(D126*10000),2)&amp;"元整"</f>
        <v>#VALUE!</v>
      </c>
      <c r="E127" s="3082"/>
      <c r="F127" s="3082"/>
      <c r="G127" s="3082"/>
      <c r="H127" s="3082"/>
      <c r="I127" s="3081"/>
    </row>
    <row r="128" spans="1:11" ht="21.75" customHeight="1">
      <c r="A128" s="3083" t="s">
        <v>2309</v>
      </c>
      <c r="B128" s="3083"/>
      <c r="C128" s="3083"/>
      <c r="D128" s="3083"/>
      <c r="E128" s="3083"/>
      <c r="F128" s="3083"/>
      <c r="G128" s="3083"/>
      <c r="H128" s="3083"/>
      <c r="I128" s="3083"/>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56405</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14574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8388</v>
      </c>
      <c r="D5" s="255" t="s">
        <v>2325</v>
      </c>
      <c r="E5" s="256" t="s">
        <v>2326</v>
      </c>
      <c r="F5" s="256" t="s">
        <v>2327</v>
      </c>
      <c r="G5" s="257"/>
    </row>
    <row r="6" spans="1:9" s="258" customFormat="1" ht="13.5" customHeight="1">
      <c r="A6" s="952" t="s">
        <v>2328</v>
      </c>
      <c r="B6" s="259" t="s">
        <v>2329</v>
      </c>
      <c r="C6" s="260">
        <f>'土地比较法-住宅、综合'!B2</f>
        <v>7802</v>
      </c>
      <c r="D6" s="261"/>
      <c r="E6" s="262"/>
      <c r="F6" s="262"/>
      <c r="G6" s="263"/>
    </row>
    <row r="7" spans="1:9" s="258" customFormat="1" ht="13.5" customHeight="1">
      <c r="A7" s="952" t="s">
        <v>2330</v>
      </c>
      <c r="B7" s="259" t="s">
        <v>2331</v>
      </c>
      <c r="C7" s="264">
        <f>ROUND(C6*F7,0)</f>
        <v>238</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168</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1042</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1032</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1711</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1711</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12443</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55" t="s">
        <v>2400</v>
      </c>
    </row>
    <row r="43" spans="1:7" ht="13.5" customHeight="1">
      <c r="A43" s="954" t="s">
        <v>792</v>
      </c>
      <c r="B43" s="259" t="s">
        <v>2401</v>
      </c>
      <c r="C43" s="282">
        <f ca="1">ROUND(IF('数据-取费表'!B22&lt;=1,C39*F22*'数据-取费表'!B21/2,C39*(POWER((1+F22),'数据-取费表'!B21/2)-1)),0)</f>
        <v>40</v>
      </c>
      <c r="D43" s="282"/>
      <c r="E43" s="282"/>
      <c r="F43" s="283"/>
      <c r="G43" s="3156"/>
    </row>
    <row r="44" spans="1:7" ht="13.5" customHeight="1">
      <c r="A44" s="954" t="s">
        <v>793</v>
      </c>
      <c r="B44" s="259" t="s">
        <v>2402</v>
      </c>
      <c r="C44" s="282">
        <f ca="1">ROUND(IF('数据-取费表'!B22&lt;=1,C40*F22*'数据-取费表'!B21/2,C40*(POWER((1+F22),'数据-取费表'!B21/2)-1)),4)</f>
        <v>1.8E-3</v>
      </c>
      <c r="D44" s="282"/>
      <c r="E44" s="282"/>
      <c r="F44" s="283"/>
      <c r="G44" s="3157"/>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56405</v>
      </c>
      <c r="D52" s="310"/>
      <c r="E52" s="310"/>
      <c r="F52" s="310"/>
      <c r="G52" s="312"/>
    </row>
    <row r="55" spans="1:7" ht="15">
      <c r="B55" s="314" t="s">
        <v>2418</v>
      </c>
      <c r="C55" s="315"/>
    </row>
    <row r="56" spans="1:7">
      <c r="B56" s="317" t="s">
        <v>1503</v>
      </c>
      <c r="C56" s="319">
        <f ca="1">1-C57</f>
        <v>0.22099999999999997</v>
      </c>
    </row>
    <row r="57" spans="1:7">
      <c r="B57" s="317" t="s">
        <v>1504</v>
      </c>
      <c r="C57" s="318">
        <f ca="1">ROUND(C51/C52,3)</f>
        <v>0.77900000000000003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55" t="s">
        <v>2447</v>
      </c>
    </row>
    <row r="43" spans="1:7" ht="13.5" customHeight="1">
      <c r="A43" s="954" t="s">
        <v>792</v>
      </c>
      <c r="B43" s="259" t="s">
        <v>2401</v>
      </c>
      <c r="C43" s="282">
        <f ca="1">ROUND(IF('数据-取费表'!B22&lt;=1,C39*F22*'数据-取费表'!B20/2,C39*(POWER((1+F22),'数据-取费表'!B20/2)-1)),0)</f>
        <v>399416</v>
      </c>
      <c r="D43" s="282"/>
      <c r="E43" s="282"/>
      <c r="F43" s="283"/>
      <c r="G43" s="3156"/>
    </row>
    <row r="44" spans="1:7" ht="13.5" customHeight="1">
      <c r="A44" s="954" t="s">
        <v>793</v>
      </c>
      <c r="B44" s="259" t="s">
        <v>2402</v>
      </c>
      <c r="C44" s="282">
        <f ca="1">ROUND(IF('数据-取费表'!B22&lt;=1,C40*F22*'数据-取费表'!B20/2,C40*(POWER((1+F22),'数据-取费表'!B20/2)-1)),4)</f>
        <v>1.8E-3</v>
      </c>
      <c r="D44" s="282"/>
      <c r="E44" s="282"/>
      <c r="F44" s="283"/>
      <c r="G44" s="3157"/>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27.73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72213</v>
      </c>
      <c r="C2" s="1847" t="s">
        <v>1506</v>
      </c>
      <c r="D2" s="1847"/>
      <c r="E2" s="1848"/>
      <c r="F2" s="1849"/>
      <c r="G2" s="1850"/>
      <c r="H2" s="1842"/>
      <c r="I2" s="1842"/>
      <c r="J2" s="1842"/>
      <c r="K2" s="1843"/>
      <c r="L2" s="1842"/>
      <c r="M2" s="1842"/>
    </row>
    <row r="3" spans="1:37" ht="18" customHeight="1" thickBot="1">
      <c r="A3" s="1851" t="s">
        <v>1507</v>
      </c>
      <c r="B3" s="1852">
        <f ca="1">IF(ISERROR(B2*10000/F43),0,ROUND(B2*10000/F43,0))</f>
        <v>18659</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160" t="s">
        <v>1393</v>
      </c>
      <c r="C6" s="1299">
        <f ca="1">ROUND(F6*F8*F7*(1-F9)/10000,0)</f>
        <v>5602</v>
      </c>
      <c r="D6" s="164" t="s">
        <v>3025</v>
      </c>
      <c r="E6" s="347" t="s">
        <v>1395</v>
      </c>
      <c r="F6" s="348">
        <f ca="1">INDIRECT("'数据-取费表'!u"&amp;$G$1)</f>
        <v>3.9656436792559644</v>
      </c>
      <c r="G6" s="1853"/>
      <c r="H6" s="1294" t="s">
        <v>1035</v>
      </c>
      <c r="I6" s="3160" t="s">
        <v>1393</v>
      </c>
      <c r="J6" s="346">
        <f ca="1">ROUND(M6*M8*M7*(1-M9)/10000,0)</f>
        <v>0</v>
      </c>
      <c r="K6" s="164" t="s">
        <v>3024</v>
      </c>
      <c r="L6" s="347" t="s">
        <v>1395</v>
      </c>
      <c r="M6" s="348">
        <f ca="1">INDIRECT("'数据-取费表'!z"&amp;$G$1)</f>
        <v>0</v>
      </c>
    </row>
    <row r="7" spans="1:37" ht="18" customHeight="1">
      <c r="A7" s="1298"/>
      <c r="B7" s="3161"/>
      <c r="C7" s="1300"/>
      <c r="D7" s="352"/>
      <c r="E7" s="1301" t="s">
        <v>1396</v>
      </c>
      <c r="F7" s="348">
        <f ca="1">IF(INDIRECT("'数据-取费表'!ah"&amp;$G$1)="",INDIRECT("'数据-取费表'!k"&amp;$G$1),INDIRECT("'数据-取费表'!ah"&amp;$G$1))</f>
        <v>38702.28</v>
      </c>
      <c r="G7" s="1853"/>
      <c r="H7" s="349"/>
      <c r="I7" s="3161"/>
      <c r="J7" s="351"/>
      <c r="K7" s="352"/>
      <c r="L7" s="347" t="s">
        <v>1396</v>
      </c>
      <c r="M7" s="348">
        <f ca="1">F7</f>
        <v>38702.28</v>
      </c>
    </row>
    <row r="8" spans="1:37" ht="18" customHeight="1">
      <c r="A8" s="349"/>
      <c r="B8" s="3161"/>
      <c r="C8" s="351"/>
      <c r="D8" s="352"/>
      <c r="E8" s="347" t="s">
        <v>1397</v>
      </c>
      <c r="F8" s="348">
        <f ca="1">INDIRECT("'数据-取费表'!ai"&amp;$G$1)</f>
        <v>365</v>
      </c>
      <c r="G8" s="1853"/>
      <c r="H8" s="349"/>
      <c r="I8" s="3161"/>
      <c r="J8" s="351"/>
      <c r="K8" s="352"/>
      <c r="L8" s="347" t="s">
        <v>1397</v>
      </c>
      <c r="M8" s="348">
        <f ca="1">INDIRECT("'数据-取费表'!ai"&amp;$G$1)</f>
        <v>365</v>
      </c>
    </row>
    <row r="9" spans="1:37" ht="18" customHeight="1">
      <c r="A9" s="349"/>
      <c r="B9" s="3162"/>
      <c r="C9" s="351"/>
      <c r="D9" s="352"/>
      <c r="E9" s="347" t="s">
        <v>1398</v>
      </c>
      <c r="F9" s="357">
        <f ca="1">INDIRECT("'数据-取费表'!w"&amp;$G$1)</f>
        <v>0</v>
      </c>
      <c r="G9" s="1853"/>
      <c r="H9" s="349"/>
      <c r="I9" s="3162"/>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0.93</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69895</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27.73</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18060</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-86671</v>
      </c>
      <c r="D46" s="1874" t="str">
        <f>C2</f>
        <v>万元</v>
      </c>
      <c r="E46" s="1868"/>
      <c r="F46" s="1868"/>
      <c r="I46" s="1875" t="s">
        <v>1511</v>
      </c>
      <c r="J46" s="1876"/>
      <c r="K46" s="1877"/>
      <c r="L46" s="1878">
        <f ca="1">IF(M47="住宅",0,IF(L48&gt;J51,L60,J60))</f>
        <v>2318</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69895</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27.73</v>
      </c>
      <c r="O48" s="1886" t="s">
        <v>1041</v>
      </c>
      <c r="P48" s="1887" t="s">
        <v>1522</v>
      </c>
      <c r="Q48" s="1888">
        <f ca="1">J60</f>
        <v>2318</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0.47099999999999997</v>
      </c>
      <c r="R50" s="1888"/>
    </row>
    <row r="51" spans="1:18" s="1844" customFormat="1" ht="13.5" thickBot="1">
      <c r="A51" s="1199"/>
      <c r="B51" s="1201"/>
      <c r="C51" s="1202"/>
      <c r="D51" s="1175"/>
      <c r="E51" s="1203" t="s">
        <v>1397</v>
      </c>
      <c r="F51" s="348">
        <f ca="1">F8</f>
        <v>365</v>
      </c>
      <c r="I51" s="1900" t="s">
        <v>1530</v>
      </c>
      <c r="J51" s="1901">
        <f>IF(J49="",J50,J49+J50-YEAR('数据-取费表'!B2))</f>
        <v>56</v>
      </c>
      <c r="K51" s="1902" t="s">
        <v>1531</v>
      </c>
      <c r="L51" s="1903">
        <f ca="1">ROUND(-PV(INDIRECT("'数据-取费表'!h"&amp;$G$1),L48,(C39-C13*C76),0),0)</f>
        <v>7549</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27.73</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27.73</v>
      </c>
      <c r="K53" s="3158" t="s">
        <v>1538</v>
      </c>
      <c r="L53" s="3159"/>
      <c r="O53" s="1886" t="s">
        <v>1046</v>
      </c>
      <c r="P53" s="1887" t="s">
        <v>1539</v>
      </c>
      <c r="Q53" s="1888">
        <f ca="1">Q47+Q48</f>
        <v>72213</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0.47099999999999997</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69895</v>
      </c>
      <c r="R56" s="1888" t="s">
        <v>1519</v>
      </c>
    </row>
    <row r="57" spans="1:18" s="1844" customFormat="1" ht="24.75" thickBot="1">
      <c r="A57" s="1920"/>
      <c r="B57" s="1172" t="s">
        <v>1468</v>
      </c>
      <c r="C57" s="282">
        <f ca="1">C29</f>
        <v>47271</v>
      </c>
      <c r="D57" s="1921"/>
      <c r="E57" s="1922"/>
      <c r="F57" s="1923"/>
      <c r="I57" s="1924" t="s">
        <v>1546</v>
      </c>
      <c r="J57" s="1925">
        <f ca="1">IF(OR(M47="住宅",J51&lt;L48,J56="是"),"——",J51-L48)</f>
        <v>28.27</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0.47099999999999997</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22265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2318</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69895</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69895</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7549</v>
      </c>
      <c r="R67" s="1888" t="s">
        <v>1572</v>
      </c>
    </row>
    <row r="68" spans="1:18" s="1844" customFormat="1" ht="16.5" thickBot="1">
      <c r="A68" s="1169" t="s">
        <v>1032</v>
      </c>
      <c r="B68" s="1170" t="s">
        <v>1475</v>
      </c>
      <c r="C68" s="346">
        <f ca="1">ROUND(C67*(1-((1+F70)/(1+F68))^F69)/(F68-F70),0)</f>
        <v>-16776</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27.73</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-4335</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69895</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0.371</v>
      </c>
    </row>
    <row r="83" spans="2:3">
      <c r="B83" s="317" t="s">
        <v>1504</v>
      </c>
      <c r="C83" s="318">
        <f ca="1">ROUND(C13/C40,3)</f>
        <v>0.629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160" t="s">
        <v>1393</v>
      </c>
      <c r="C6" s="1299">
        <f ca="1">ROUND(F6*F8*F7*(1-F9),0)</f>
        <v>0</v>
      </c>
      <c r="D6" s="164" t="s">
        <v>3022</v>
      </c>
      <c r="E6" s="347" t="s">
        <v>1395</v>
      </c>
      <c r="F6" s="348">
        <f ca="1">INDIRECT("'数据-取费表'!u"&amp;$G$1)</f>
        <v>0</v>
      </c>
      <c r="G6" s="1853"/>
      <c r="H6" s="1294" t="s">
        <v>1035</v>
      </c>
      <c r="I6" s="3160" t="s">
        <v>1393</v>
      </c>
      <c r="J6" s="346">
        <f ca="1">ROUND(M6*M8*M7*(1-M9),0)</f>
        <v>0</v>
      </c>
      <c r="K6" s="1836" t="s">
        <v>3023</v>
      </c>
      <c r="L6" s="347" t="s">
        <v>1395</v>
      </c>
      <c r="M6" s="348">
        <f ca="1">INDIRECT("'数据-取费表'!z"&amp;$G$1)</f>
        <v>0</v>
      </c>
    </row>
    <row r="7" spans="1:37" ht="18" customHeight="1">
      <c r="A7" s="1298"/>
      <c r="B7" s="3161"/>
      <c r="C7" s="1300"/>
      <c r="D7" s="352"/>
      <c r="E7" s="1301" t="s">
        <v>1396</v>
      </c>
      <c r="F7" s="348">
        <f ca="1">IF(INDIRECT("'数据-取费表'!ah"&amp;$G$1)="",INDIRECT("'数据-取费表'!k"&amp;$G$1),INDIRECT("'数据-取费表'!ah"&amp;$G$1))</f>
        <v>0</v>
      </c>
      <c r="G7" s="1853"/>
      <c r="H7" s="349"/>
      <c r="I7" s="3161"/>
      <c r="J7" s="351"/>
      <c r="K7" s="352"/>
      <c r="L7" s="347" t="s">
        <v>1396</v>
      </c>
      <c r="M7" s="348">
        <f ca="1">F7</f>
        <v>0</v>
      </c>
    </row>
    <row r="8" spans="1:37" ht="18" customHeight="1">
      <c r="A8" s="349"/>
      <c r="B8" s="3161"/>
      <c r="C8" s="351"/>
      <c r="D8" s="352"/>
      <c r="E8" s="347" t="s">
        <v>1397</v>
      </c>
      <c r="F8" s="348">
        <f ca="1">INDIRECT("'数据-取费表'!ai"&amp;$G$1)</f>
        <v>0</v>
      </c>
      <c r="G8" s="1853"/>
      <c r="H8" s="349"/>
      <c r="I8" s="3161"/>
      <c r="J8" s="351"/>
      <c r="K8" s="352"/>
      <c r="L8" s="347" t="s">
        <v>1397</v>
      </c>
      <c r="M8" s="348">
        <f ca="1">INDIRECT("'数据-取费表'!ai"&amp;$G$1)</f>
        <v>0</v>
      </c>
    </row>
    <row r="9" spans="1:37" ht="18" customHeight="1">
      <c r="A9" s="349"/>
      <c r="B9" s="3162"/>
      <c r="C9" s="351"/>
      <c r="D9" s="352"/>
      <c r="E9" s="347" t="s">
        <v>1398</v>
      </c>
      <c r="F9" s="357">
        <f ca="1">INDIRECT("'数据-取费表'!w"&amp;$G$1)</f>
        <v>0</v>
      </c>
      <c r="G9" s="1853"/>
      <c r="H9" s="349"/>
      <c r="I9" s="3162"/>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158" t="s">
        <v>1538</v>
      </c>
      <c r="L53" s="3159"/>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72213</v>
      </c>
      <c r="C2" s="2571" t="s">
        <v>2510</v>
      </c>
      <c r="D2" s="2572" t="s">
        <v>2511</v>
      </c>
      <c r="E2" s="2573">
        <f>SUM(E6:E13)</f>
        <v>38702.28</v>
      </c>
    </row>
    <row r="3" spans="1:6" ht="15.75">
      <c r="A3" s="2569" t="s">
        <v>1385</v>
      </c>
      <c r="B3" s="2570">
        <f ca="1">ROUND(B2*10000/E2,0)</f>
        <v>18659</v>
      </c>
      <c r="C3" s="2571" t="s">
        <v>2518</v>
      </c>
      <c r="D3" s="2574"/>
      <c r="E3" s="2575"/>
    </row>
    <row r="4" spans="1:6" ht="15.75">
      <c r="A4" s="2576"/>
      <c r="B4" s="2574"/>
      <c r="C4" s="2574"/>
      <c r="D4" s="2574"/>
      <c r="E4" s="2575"/>
    </row>
    <row r="5" spans="1:6" ht="15">
      <c r="A5" s="2577" t="s">
        <v>2512</v>
      </c>
      <c r="B5" s="3163" t="s">
        <v>2513</v>
      </c>
      <c r="C5" s="3163"/>
      <c r="D5" s="2578"/>
      <c r="E5" s="2579" t="s">
        <v>2514</v>
      </c>
      <c r="F5" s="2580" t="s">
        <v>2515</v>
      </c>
    </row>
    <row r="6" spans="1:6">
      <c r="A6" s="2581" t="str">
        <f>'数据-取费表'!AN6</f>
        <v>收益法</v>
      </c>
      <c r="B6" s="2580">
        <f ca="1">IF(F6="是",'数据-取费表'!AO6,0)</f>
        <v>72213</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N46" sqref="N46"/>
    </sheetView>
  </sheetViews>
  <sheetFormatPr defaultRowHeight="13.5"/>
  <cols>
    <col min="1" max="1" width="10.5" customWidth="1"/>
    <col min="2" max="2" width="12.875" customWidth="1"/>
    <col min="3" max="3" width="8.75" customWidth="1"/>
  </cols>
  <sheetData>
    <row r="1" spans="1:9" ht="14.25">
      <c r="A1" s="3164" t="s">
        <v>1076</v>
      </c>
      <c r="B1" s="3165"/>
      <c r="C1" s="3166"/>
      <c r="D1" s="3167">
        <f>SUM(I10,I15,I20,I21,I23)</f>
        <v>12449</v>
      </c>
      <c r="E1" s="3167"/>
      <c r="F1" s="3167"/>
      <c r="G1" s="3167"/>
      <c r="H1" s="3167"/>
      <c r="I1" s="3168"/>
    </row>
    <row r="2" spans="1:9">
      <c r="A2" s="3169" t="s">
        <v>1077</v>
      </c>
      <c r="B2" s="3170" t="s">
        <v>1078</v>
      </c>
      <c r="C2" s="3170"/>
      <c r="D2" s="1304" t="s">
        <v>1079</v>
      </c>
      <c r="E2" s="1304" t="s">
        <v>1080</v>
      </c>
      <c r="F2" s="1304" t="s">
        <v>1081</v>
      </c>
      <c r="G2" s="1304" t="s">
        <v>1082</v>
      </c>
      <c r="H2" s="1304" t="s">
        <v>1083</v>
      </c>
      <c r="I2" s="1305" t="s">
        <v>1084</v>
      </c>
    </row>
    <row r="3" spans="1:9">
      <c r="A3" s="3169"/>
      <c r="B3" s="3170" t="s">
        <v>1085</v>
      </c>
      <c r="C3" s="3170"/>
      <c r="D3" s="1306">
        <f>100+169+36+1</f>
        <v>306</v>
      </c>
      <c r="E3" s="1304">
        <v>880</v>
      </c>
      <c r="F3" s="1307">
        <v>1</v>
      </c>
      <c r="G3" s="1307">
        <v>0.8</v>
      </c>
      <c r="H3" s="1308">
        <v>365</v>
      </c>
      <c r="I3" s="1309">
        <f>ROUND(D3*E3*F3*G3*H3/10000,0)</f>
        <v>7863</v>
      </c>
    </row>
    <row r="4" spans="1:9">
      <c r="A4" s="3169"/>
      <c r="B4" s="3170" t="s">
        <v>1086</v>
      </c>
      <c r="C4" s="3170"/>
      <c r="D4" s="1306"/>
      <c r="E4" s="1304"/>
      <c r="F4" s="1307"/>
      <c r="G4" s="1307"/>
      <c r="H4" s="1308"/>
      <c r="I4" s="1309">
        <f t="shared" ref="I4:I9" si="0">ROUND(D4*E4*F4*G4*H4/10000,0)</f>
        <v>0</v>
      </c>
    </row>
    <row r="5" spans="1:9">
      <c r="A5" s="3169"/>
      <c r="B5" s="3170" t="s">
        <v>1087</v>
      </c>
      <c r="C5" s="3170"/>
      <c r="D5" s="1306"/>
      <c r="E5" s="1304"/>
      <c r="F5" s="1307"/>
      <c r="G5" s="1307"/>
      <c r="H5" s="1308"/>
      <c r="I5" s="1309">
        <f t="shared" si="0"/>
        <v>0</v>
      </c>
    </row>
    <row r="6" spans="1:9">
      <c r="A6" s="3169"/>
      <c r="B6" s="3170" t="s">
        <v>1088</v>
      </c>
      <c r="C6" s="3170"/>
      <c r="D6" s="1306"/>
      <c r="E6" s="1304"/>
      <c r="F6" s="1307"/>
      <c r="G6" s="1307"/>
      <c r="H6" s="1308"/>
      <c r="I6" s="1309">
        <f t="shared" si="0"/>
        <v>0</v>
      </c>
    </row>
    <row r="7" spans="1:9">
      <c r="A7" s="3169"/>
      <c r="B7" s="3170" t="s">
        <v>1089</v>
      </c>
      <c r="C7" s="3170"/>
      <c r="D7" s="1306"/>
      <c r="E7" s="1304"/>
      <c r="F7" s="1307"/>
      <c r="G7" s="1307"/>
      <c r="H7" s="1308"/>
      <c r="I7" s="1309">
        <f t="shared" si="0"/>
        <v>0</v>
      </c>
    </row>
    <row r="8" spans="1:9">
      <c r="A8" s="3169"/>
      <c r="B8" s="3170" t="s">
        <v>1090</v>
      </c>
      <c r="C8" s="3170"/>
      <c r="D8" s="1306"/>
      <c r="E8" s="1304"/>
      <c r="F8" s="1307"/>
      <c r="G8" s="1307"/>
      <c r="H8" s="1308"/>
      <c r="I8" s="1309">
        <f t="shared" si="0"/>
        <v>0</v>
      </c>
    </row>
    <row r="9" spans="1:9">
      <c r="A9" s="3169"/>
      <c r="B9" s="3170" t="s">
        <v>1091</v>
      </c>
      <c r="C9" s="3170"/>
      <c r="D9" s="1306"/>
      <c r="E9" s="1304"/>
      <c r="F9" s="1307"/>
      <c r="G9" s="1307"/>
      <c r="H9" s="1308"/>
      <c r="I9" s="1309">
        <f t="shared" si="0"/>
        <v>0</v>
      </c>
    </row>
    <row r="10" spans="1:9">
      <c r="A10" s="3169"/>
      <c r="B10" s="3171" t="s">
        <v>1092</v>
      </c>
      <c r="C10" s="3171"/>
      <c r="D10" s="1310"/>
      <c r="E10" s="1310" t="e">
        <f>ROUND(D1*10000/D10/H9,0)</f>
        <v>#DIV/0!</v>
      </c>
      <c r="F10" s="1311"/>
      <c r="G10" s="1311"/>
      <c r="H10" s="1312"/>
      <c r="I10" s="1313">
        <f>SUM(I3:I9)</f>
        <v>7863</v>
      </c>
    </row>
    <row r="11" spans="1:9" ht="14.25">
      <c r="A11" s="3169" t="s">
        <v>1093</v>
      </c>
      <c r="B11" s="3170" t="s">
        <v>1094</v>
      </c>
      <c r="C11" s="3170"/>
      <c r="D11" s="1306" t="s">
        <v>1095</v>
      </c>
      <c r="E11" s="1306" t="s">
        <v>1096</v>
      </c>
      <c r="F11" s="1307" t="s">
        <v>1097</v>
      </c>
      <c r="G11" s="1307" t="s">
        <v>1083</v>
      </c>
      <c r="H11" s="1314" t="s">
        <v>1098</v>
      </c>
      <c r="I11" s="1305" t="s">
        <v>1084</v>
      </c>
    </row>
    <row r="12" spans="1:9">
      <c r="A12" s="3169"/>
      <c r="B12" s="3170" t="s">
        <v>1099</v>
      </c>
      <c r="C12" s="3170"/>
      <c r="D12" s="1306"/>
      <c r="E12" s="1306"/>
      <c r="F12" s="1307"/>
      <c r="G12" s="1308"/>
      <c r="H12" s="1315"/>
      <c r="I12" s="1305">
        <v>3600</v>
      </c>
    </row>
    <row r="13" spans="1:9">
      <c r="A13" s="3169"/>
      <c r="B13" s="3170" t="s">
        <v>1100</v>
      </c>
      <c r="C13" s="3170"/>
      <c r="D13" s="1306"/>
      <c r="E13" s="1306"/>
      <c r="F13" s="1307"/>
      <c r="G13" s="1308"/>
      <c r="H13" s="1315"/>
      <c r="I13" s="1305">
        <f>ROUND(D13*E13*F13*G13/10000,0)</f>
        <v>0</v>
      </c>
    </row>
    <row r="14" spans="1:9">
      <c r="A14" s="3169"/>
      <c r="B14" s="3170" t="s">
        <v>1101</v>
      </c>
      <c r="C14" s="3170"/>
      <c r="D14" s="1306"/>
      <c r="E14" s="1306"/>
      <c r="F14" s="1307"/>
      <c r="G14" s="1308"/>
      <c r="H14" s="1315"/>
      <c r="I14" s="1305">
        <f>ROUND(D14*E14*F14*G14/10000,0)</f>
        <v>0</v>
      </c>
    </row>
    <row r="15" spans="1:9">
      <c r="A15" s="3169"/>
      <c r="B15" s="3171" t="s">
        <v>1092</v>
      </c>
      <c r="C15" s="3171"/>
      <c r="D15" s="1310"/>
      <c r="E15" s="1310">
        <f>SUM(E12:E14)</f>
        <v>0</v>
      </c>
      <c r="F15" s="1311"/>
      <c r="G15" s="1308"/>
      <c r="H15" s="1315"/>
      <c r="I15" s="1316">
        <f>SUM(I12:I14)</f>
        <v>3600</v>
      </c>
    </row>
    <row r="16" spans="1:9" ht="24">
      <c r="A16" s="3169" t="s">
        <v>1102</v>
      </c>
      <c r="B16" s="3170" t="s">
        <v>1103</v>
      </c>
      <c r="C16" s="3170"/>
      <c r="D16" s="1306" t="s">
        <v>1079</v>
      </c>
      <c r="E16" s="1317" t="s">
        <v>1104</v>
      </c>
      <c r="F16" s="1307" t="s">
        <v>1105</v>
      </c>
      <c r="G16" s="1308" t="s">
        <v>1083</v>
      </c>
      <c r="H16" s="1314" t="s">
        <v>1098</v>
      </c>
      <c r="I16" s="1305" t="s">
        <v>1084</v>
      </c>
    </row>
    <row r="17" spans="1:9" ht="14.25">
      <c r="A17" s="3169"/>
      <c r="B17" s="3170" t="s">
        <v>1106</v>
      </c>
      <c r="C17" s="3170"/>
      <c r="D17" s="1306"/>
      <c r="E17" s="1306"/>
      <c r="F17" s="1307"/>
      <c r="G17" s="1308"/>
      <c r="H17" s="1318"/>
      <c r="I17" s="1319">
        <v>200</v>
      </c>
    </row>
    <row r="18" spans="1:9" ht="14.25">
      <c r="A18" s="3169"/>
      <c r="B18" s="3170" t="s">
        <v>1107</v>
      </c>
      <c r="C18" s="3170"/>
      <c r="D18" s="1306"/>
      <c r="E18" s="1306"/>
      <c r="F18" s="1307"/>
      <c r="G18" s="1308"/>
      <c r="H18" s="1318"/>
      <c r="I18" s="1319">
        <f>ROUND(D18*E18*F18*G18/10000,0)</f>
        <v>0</v>
      </c>
    </row>
    <row r="19" spans="1:9" ht="14.25">
      <c r="A19" s="3169"/>
      <c r="B19" s="3170" t="s">
        <v>1108</v>
      </c>
      <c r="C19" s="3170"/>
      <c r="D19" s="1306"/>
      <c r="E19" s="1306"/>
      <c r="F19" s="1307"/>
      <c r="G19" s="1308"/>
      <c r="H19" s="1318"/>
      <c r="I19" s="1319">
        <f>ROUND(D19*E19*F19*G19/10000,0)</f>
        <v>0</v>
      </c>
    </row>
    <row r="20" spans="1:9">
      <c r="A20" s="3169"/>
      <c r="B20" s="3171" t="s">
        <v>1092</v>
      </c>
      <c r="C20" s="3171"/>
      <c r="D20" s="1310">
        <f>SUM(D17:D19)</f>
        <v>0</v>
      </c>
      <c r="E20" s="1310"/>
      <c r="F20" s="1311"/>
      <c r="G20" s="1308"/>
      <c r="H20" s="1315"/>
      <c r="I20" s="1316">
        <f>SUM(I17:I19)</f>
        <v>200</v>
      </c>
    </row>
    <row r="21" spans="1:9">
      <c r="A21" s="3169" t="s">
        <v>1109</v>
      </c>
      <c r="B21" s="3173"/>
      <c r="C21" s="3173"/>
      <c r="D21" s="3173"/>
      <c r="E21" s="3173"/>
      <c r="F21" s="3173"/>
      <c r="G21" s="3173"/>
      <c r="H21" s="1767">
        <v>0.1</v>
      </c>
      <c r="I21" s="1313">
        <f>ROUND(I10*H21,0)</f>
        <v>786</v>
      </c>
    </row>
    <row r="22" spans="1:9" ht="14.25">
      <c r="A22" s="3174" t="s">
        <v>1110</v>
      </c>
      <c r="B22" s="3175"/>
      <c r="C22" s="3176"/>
      <c r="D22" s="1320" t="s">
        <v>1111</v>
      </c>
      <c r="E22" s="1320" t="s">
        <v>1112</v>
      </c>
      <c r="F22" s="1321" t="s">
        <v>1113</v>
      </c>
      <c r="G22" s="1321" t="s">
        <v>1114</v>
      </c>
      <c r="H22" s="1314" t="s">
        <v>1115</v>
      </c>
      <c r="I22" s="1305" t="s">
        <v>1116</v>
      </c>
    </row>
    <row r="23" spans="1:9" ht="14.25" thickBot="1">
      <c r="A23" s="3177"/>
      <c r="B23" s="3178"/>
      <c r="C23" s="3179"/>
      <c r="D23" s="1322"/>
      <c r="E23" s="1322"/>
      <c r="F23" s="1322"/>
      <c r="G23" s="1323"/>
      <c r="H23" s="1324"/>
      <c r="I23" s="1325">
        <f>ROUND(E23*D23*F23*(1-G23)/10000,0)</f>
        <v>0</v>
      </c>
    </row>
    <row r="26" spans="1:9">
      <c r="A26" s="1326" t="s">
        <v>1117</v>
      </c>
      <c r="B26" s="1326"/>
      <c r="C26" s="1326"/>
      <c r="D26" s="1326"/>
      <c r="E26" s="3180">
        <f>C27-C30-C31-C32</f>
        <v>5602</v>
      </c>
      <c r="F26" s="3180"/>
      <c r="G26" s="3180"/>
      <c r="H26" s="1740" t="s">
        <v>1340</v>
      </c>
    </row>
    <row r="27" spans="1:9">
      <c r="A27" s="1327">
        <v>1</v>
      </c>
      <c r="B27" s="1328" t="s">
        <v>1118</v>
      </c>
      <c r="C27" s="1328">
        <f>C28+C29</f>
        <v>12449</v>
      </c>
      <c r="D27" s="1328"/>
      <c r="E27" s="3181"/>
      <c r="F27" s="3181"/>
      <c r="G27" s="3181"/>
    </row>
    <row r="28" spans="1:9">
      <c r="A28" s="1329" t="s">
        <v>1119</v>
      </c>
      <c r="B28" s="1328" t="s">
        <v>1120</v>
      </c>
      <c r="C28" s="1328">
        <f>I10</f>
        <v>7863</v>
      </c>
      <c r="D28" s="1328"/>
      <c r="E28" s="3181"/>
      <c r="F28" s="3181"/>
      <c r="G28" s="3181"/>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172"/>
      <c r="F32" s="3172"/>
      <c r="G32" s="3172"/>
    </row>
    <row r="33" spans="1:7" hidden="1">
      <c r="A33" s="3182" t="s">
        <v>1129</v>
      </c>
      <c r="B33" s="3183"/>
      <c r="C33" s="3183"/>
      <c r="D33" s="3184"/>
      <c r="E33" s="3180"/>
      <c r="F33" s="3180"/>
      <c r="G33" s="3180"/>
    </row>
    <row r="34" spans="1:7" hidden="1">
      <c r="A34" s="1331">
        <v>1</v>
      </c>
      <c r="B34" s="1328" t="s">
        <v>1130</v>
      </c>
      <c r="C34" s="1328"/>
      <c r="D34" s="1328"/>
      <c r="E34" s="3181"/>
      <c r="F34" s="3181"/>
      <c r="G34" s="3181"/>
    </row>
    <row r="35" spans="1:7" hidden="1">
      <c r="A35" s="1331">
        <v>2</v>
      </c>
      <c r="B35" s="1328" t="s">
        <v>1131</v>
      </c>
      <c r="C35" s="1328"/>
      <c r="D35" s="1328"/>
      <c r="E35" s="3181"/>
      <c r="F35" s="3181"/>
      <c r="G35" s="3181"/>
    </row>
    <row r="36" spans="1:7" hidden="1">
      <c r="A36" s="1331">
        <v>3</v>
      </c>
      <c r="B36" s="1328" t="s">
        <v>1132</v>
      </c>
      <c r="C36" s="1328"/>
      <c r="D36" s="1328"/>
      <c r="E36" s="3181"/>
      <c r="F36" s="3181"/>
      <c r="G36" s="3181"/>
    </row>
    <row r="37" spans="1:7" hidden="1">
      <c r="A37" s="1331">
        <v>4</v>
      </c>
      <c r="B37" s="1328" t="s">
        <v>1133</v>
      </c>
      <c r="C37" s="1328"/>
      <c r="D37" s="1328"/>
      <c r="E37" s="3181"/>
      <c r="F37" s="3181"/>
      <c r="G37" s="3181"/>
    </row>
    <row r="38" spans="1:7" hidden="1">
      <c r="A38" s="3182" t="s">
        <v>1134</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203" t="s">
        <v>2527</v>
      </c>
      <c r="D4" s="3204"/>
      <c r="E4" s="3205" t="s">
        <v>2528</v>
      </c>
      <c r="F4" s="3206"/>
      <c r="G4" s="3203" t="s">
        <v>2529</v>
      </c>
      <c r="H4" s="3204"/>
      <c r="I4" s="3203" t="s">
        <v>2530</v>
      </c>
      <c r="J4" s="3204"/>
      <c r="K4" s="2601" t="s">
        <v>2531</v>
      </c>
      <c r="L4" s="1133"/>
      <c r="M4" s="1134"/>
      <c r="N4" s="1134"/>
      <c r="O4" s="1134"/>
      <c r="P4" s="3207" t="s">
        <v>2532</v>
      </c>
      <c r="Q4" s="3208"/>
      <c r="R4" s="3190" t="s">
        <v>2528</v>
      </c>
      <c r="S4" s="3191"/>
      <c r="T4" s="3190" t="s">
        <v>2529</v>
      </c>
      <c r="U4" s="3191"/>
      <c r="V4" s="3215" t="s">
        <v>2530</v>
      </c>
      <c r="W4" s="3215"/>
      <c r="X4" s="1815"/>
      <c r="Y4" s="3190" t="s">
        <v>2532</v>
      </c>
      <c r="Z4" s="3191"/>
      <c r="AA4" s="3185" t="s">
        <v>2528</v>
      </c>
      <c r="AB4" s="3185" t="s">
        <v>2529</v>
      </c>
      <c r="AC4" s="3185" t="s">
        <v>2530</v>
      </c>
    </row>
    <row r="5" spans="1:29" ht="15">
      <c r="A5" s="404"/>
      <c r="B5" s="405"/>
      <c r="C5" s="3196" t="s">
        <v>2533</v>
      </c>
      <c r="D5" s="3197"/>
      <c r="E5" s="3194" t="s">
        <v>2534</v>
      </c>
      <c r="F5" s="3195"/>
      <c r="G5" s="3196" t="s">
        <v>2535</v>
      </c>
      <c r="H5" s="3197"/>
      <c r="I5" s="3196" t="s">
        <v>2536</v>
      </c>
      <c r="J5" s="3197"/>
      <c r="K5" s="2602"/>
      <c r="L5" s="1133"/>
      <c r="M5" s="1134"/>
      <c r="N5" s="1134"/>
      <c r="O5" s="1134"/>
      <c r="P5" s="3209"/>
      <c r="Q5" s="3210"/>
      <c r="R5" s="3192"/>
      <c r="S5" s="3193"/>
      <c r="T5" s="3192"/>
      <c r="U5" s="3193"/>
      <c r="V5" s="3215"/>
      <c r="W5" s="3215"/>
      <c r="X5" s="1815"/>
      <c r="Y5" s="3192"/>
      <c r="Z5" s="3193"/>
      <c r="AA5" s="3186"/>
      <c r="AB5" s="3186"/>
      <c r="AC5" s="3186"/>
    </row>
    <row r="6" spans="1:29" ht="15.75" thickBot="1">
      <c r="A6" s="406"/>
      <c r="B6" s="407"/>
      <c r="C6" s="3198" t="s">
        <v>2537</v>
      </c>
      <c r="D6" s="3199"/>
      <c r="E6" s="3200" t="s">
        <v>2537</v>
      </c>
      <c r="F6" s="3201"/>
      <c r="G6" s="3198" t="s">
        <v>2537</v>
      </c>
      <c r="H6" s="3199"/>
      <c r="I6" s="3198" t="s">
        <v>2537</v>
      </c>
      <c r="J6" s="3199"/>
      <c r="K6" s="2602" t="s">
        <v>2538</v>
      </c>
      <c r="L6" s="1133"/>
      <c r="M6" s="1134"/>
      <c r="N6" s="1134"/>
      <c r="O6" s="1134"/>
      <c r="P6" s="3211"/>
      <c r="Q6" s="3212"/>
      <c r="R6" s="3192"/>
      <c r="S6" s="3193"/>
      <c r="T6" s="3213"/>
      <c r="U6" s="3214"/>
      <c r="V6" s="3215"/>
      <c r="W6" s="3215"/>
      <c r="X6" s="1815"/>
      <c r="Y6" s="3213"/>
      <c r="Z6" s="3214"/>
      <c r="AA6" s="3187"/>
      <c r="AB6" s="3187"/>
      <c r="AC6" s="3187"/>
    </row>
    <row r="7" spans="1:29" s="117" customFormat="1" ht="15.75" thickBot="1">
      <c r="A7" s="408" t="s">
        <v>2539</v>
      </c>
      <c r="B7" s="409"/>
      <c r="C7" s="410">
        <f>'数据-取费表'!B2</f>
        <v>43341</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8" t="s">
        <v>2540</v>
      </c>
      <c r="Q7" s="3216"/>
      <c r="R7" s="770" t="s">
        <v>23</v>
      </c>
      <c r="S7" s="771">
        <f t="shared" ref="S7:S15" si="0">F7</f>
        <v>0</v>
      </c>
      <c r="T7" s="770" t="s">
        <v>23</v>
      </c>
      <c r="U7" s="771">
        <f t="shared" ref="U7:U15" si="1">H7</f>
        <v>0</v>
      </c>
      <c r="V7" s="770" t="s">
        <v>23</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8" t="s">
        <v>2543</v>
      </c>
      <c r="Q8" s="3189"/>
      <c r="R8" s="770" t="s">
        <v>23</v>
      </c>
      <c r="S8" s="771">
        <f t="shared" si="0"/>
        <v>0</v>
      </c>
      <c r="T8" s="770" t="s">
        <v>23</v>
      </c>
      <c r="U8" s="771">
        <f t="shared" si="1"/>
        <v>0</v>
      </c>
      <c r="V8" s="770" t="s">
        <v>23</v>
      </c>
      <c r="W8" s="771">
        <f t="shared" si="2"/>
        <v>0</v>
      </c>
      <c r="X8" s="772"/>
      <c r="Y8" s="3188" t="s">
        <v>2543</v>
      </c>
      <c r="Z8" s="318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2" t="s">
        <v>2546</v>
      </c>
      <c r="Q9" s="1797" t="str">
        <f t="shared" ref="Q9:Q15" si="6">B9</f>
        <v>用途</v>
      </c>
      <c r="R9" s="770" t="s">
        <v>17</v>
      </c>
      <c r="S9" s="771">
        <f t="shared" si="0"/>
        <v>100</v>
      </c>
      <c r="T9" s="770" t="s">
        <v>17</v>
      </c>
      <c r="U9" s="771">
        <f t="shared" si="1"/>
        <v>100</v>
      </c>
      <c r="V9" s="770" t="s">
        <v>17</v>
      </c>
      <c r="W9" s="771">
        <f t="shared" si="2"/>
        <v>100</v>
      </c>
      <c r="X9" s="772"/>
      <c r="Y9" s="303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7"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2"/>
      <c r="Q12" s="1797">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2"/>
      <c r="Q13" s="1797">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2"/>
      <c r="Q14" s="1797">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2551</v>
      </c>
      <c r="Q15" s="1812" t="str">
        <f t="shared" si="6"/>
        <v>居住社区成熟度</v>
      </c>
      <c r="R15" s="774" t="s">
        <v>21</v>
      </c>
      <c r="S15" s="775">
        <f t="shared" si="0"/>
        <v>100</v>
      </c>
      <c r="T15" s="774" t="s">
        <v>21</v>
      </c>
      <c r="U15" s="775">
        <f t="shared" si="1"/>
        <v>100</v>
      </c>
      <c r="V15" s="774" t="s">
        <v>21</v>
      </c>
      <c r="W15" s="775">
        <f t="shared" si="2"/>
        <v>100</v>
      </c>
      <c r="X15" s="1815"/>
      <c r="Y15" s="3222"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30"/>
      <c r="Q16" s="1812"/>
      <c r="R16" s="774"/>
      <c r="S16" s="775"/>
      <c r="T16" s="774"/>
      <c r="U16" s="775"/>
      <c r="V16" s="774"/>
      <c r="W16" s="775"/>
      <c r="X16" s="1815"/>
      <c r="Y16" s="3223"/>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2" t="str">
        <f>B17</f>
        <v>交通便捷度</v>
      </c>
      <c r="R17" s="774" t="s">
        <v>21</v>
      </c>
      <c r="S17" s="775">
        <f>F17</f>
        <v>100</v>
      </c>
      <c r="T17" s="774" t="s">
        <v>21</v>
      </c>
      <c r="U17" s="775">
        <f>H17</f>
        <v>100</v>
      </c>
      <c r="V17" s="774" t="s">
        <v>21</v>
      </c>
      <c r="W17" s="775">
        <f>J17</f>
        <v>100</v>
      </c>
      <c r="X17" s="1815"/>
      <c r="Y17" s="3223"/>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30"/>
      <c r="Q18" s="1812"/>
      <c r="R18" s="774"/>
      <c r="S18" s="775"/>
      <c r="T18" s="774"/>
      <c r="U18" s="775"/>
      <c r="V18" s="774"/>
      <c r="W18" s="775"/>
      <c r="X18" s="1815"/>
      <c r="Y18" s="3223"/>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2" t="str">
        <f>B19</f>
        <v>公共配套设施</v>
      </c>
      <c r="R19" s="774" t="s">
        <v>21</v>
      </c>
      <c r="S19" s="775">
        <f>F19</f>
        <v>100</v>
      </c>
      <c r="T19" s="774" t="s">
        <v>21</v>
      </c>
      <c r="U19" s="775">
        <f>H19</f>
        <v>100</v>
      </c>
      <c r="V19" s="774" t="s">
        <v>21</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30"/>
      <c r="Q20" s="1812"/>
      <c r="R20" s="774"/>
      <c r="S20" s="775"/>
      <c r="T20" s="774"/>
      <c r="U20" s="775"/>
      <c r="V20" s="774"/>
      <c r="W20" s="775"/>
      <c r="X20" s="1815"/>
      <c r="Y20" s="3223"/>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30"/>
      <c r="Q22" s="1812"/>
      <c r="R22" s="774"/>
      <c r="S22" s="775"/>
      <c r="T22" s="774"/>
      <c r="U22" s="775"/>
      <c r="V22" s="774"/>
      <c r="W22" s="775"/>
      <c r="X22" s="1815"/>
      <c r="Y22" s="3223"/>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2" t="str">
        <f>B23</f>
        <v>自然及人文环境</v>
      </c>
      <c r="R23" s="774" t="s">
        <v>21</v>
      </c>
      <c r="S23" s="775">
        <f>F23</f>
        <v>100</v>
      </c>
      <c r="T23" s="774" t="s">
        <v>21</v>
      </c>
      <c r="U23" s="775">
        <f>H23</f>
        <v>100</v>
      </c>
      <c r="V23" s="774" t="s">
        <v>21</v>
      </c>
      <c r="W23" s="775">
        <f>J23</f>
        <v>100</v>
      </c>
      <c r="X23" s="1815"/>
      <c r="Y23" s="3223"/>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30"/>
      <c r="Q24" s="1812"/>
      <c r="R24" s="774"/>
      <c r="S24" s="775"/>
      <c r="T24" s="774"/>
      <c r="U24" s="775"/>
      <c r="V24" s="774"/>
      <c r="W24" s="775"/>
      <c r="X24" s="1815"/>
      <c r="Y24" s="3223"/>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3"/>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0"/>
      <c r="Q26" s="1812" t="str">
        <f t="shared" si="11"/>
        <v>朝向</v>
      </c>
      <c r="R26" s="774" t="s">
        <v>21</v>
      </c>
      <c r="S26" s="775">
        <f t="shared" si="12"/>
        <v>100</v>
      </c>
      <c r="T26" s="774" t="s">
        <v>21</v>
      </c>
      <c r="U26" s="775">
        <f t="shared" si="13"/>
        <v>100</v>
      </c>
      <c r="V26" s="774" t="s">
        <v>21</v>
      </c>
      <c r="W26" s="775">
        <f t="shared" si="14"/>
        <v>100</v>
      </c>
      <c r="X26" s="1815"/>
      <c r="Y26" s="322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0"/>
      <c r="Q27" s="1797">
        <f t="shared" si="11"/>
        <v>111</v>
      </c>
      <c r="R27" s="770" t="s">
        <v>21</v>
      </c>
      <c r="S27" s="771">
        <f t="shared" si="12"/>
        <v>100</v>
      </c>
      <c r="T27" s="770" t="s">
        <v>21</v>
      </c>
      <c r="U27" s="771">
        <f t="shared" si="13"/>
        <v>100</v>
      </c>
      <c r="V27" s="770" t="s">
        <v>21</v>
      </c>
      <c r="W27" s="771">
        <f t="shared" si="14"/>
        <v>100</v>
      </c>
      <c r="X27" s="772"/>
      <c r="Y27" s="322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0"/>
      <c r="Q28" s="1812">
        <f t="shared" si="11"/>
        <v>111</v>
      </c>
      <c r="R28" s="774" t="s">
        <v>21</v>
      </c>
      <c r="S28" s="775">
        <f t="shared" si="12"/>
        <v>100</v>
      </c>
      <c r="T28" s="774" t="s">
        <v>21</v>
      </c>
      <c r="U28" s="775">
        <f t="shared" si="13"/>
        <v>100</v>
      </c>
      <c r="V28" s="774" t="s">
        <v>21</v>
      </c>
      <c r="W28" s="775">
        <f t="shared" si="14"/>
        <v>100</v>
      </c>
      <c r="X28" s="1815"/>
      <c r="Y28" s="322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0"/>
      <c r="Q29" s="1812">
        <f t="shared" si="11"/>
        <v>111</v>
      </c>
      <c r="R29" s="774" t="s">
        <v>21</v>
      </c>
      <c r="S29" s="775">
        <f t="shared" si="12"/>
        <v>100</v>
      </c>
      <c r="T29" s="774" t="s">
        <v>21</v>
      </c>
      <c r="U29" s="775">
        <f t="shared" si="13"/>
        <v>100</v>
      </c>
      <c r="V29" s="774" t="s">
        <v>21</v>
      </c>
      <c r="W29" s="775">
        <f t="shared" si="14"/>
        <v>100</v>
      </c>
      <c r="X29" s="1815"/>
      <c r="Y29" s="322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0"/>
      <c r="Q30" s="1812">
        <f t="shared" si="11"/>
        <v>111</v>
      </c>
      <c r="R30" s="774" t="s">
        <v>21</v>
      </c>
      <c r="S30" s="775">
        <f t="shared" si="12"/>
        <v>100</v>
      </c>
      <c r="T30" s="774" t="s">
        <v>21</v>
      </c>
      <c r="U30" s="775">
        <f t="shared" si="13"/>
        <v>100</v>
      </c>
      <c r="V30" s="774" t="s">
        <v>21</v>
      </c>
      <c r="W30" s="775">
        <f t="shared" si="14"/>
        <v>100</v>
      </c>
      <c r="X30" s="1815"/>
      <c r="Y30" s="322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0"/>
      <c r="Q31" s="1812">
        <f t="shared" si="11"/>
        <v>111</v>
      </c>
      <c r="R31" s="774" t="s">
        <v>21</v>
      </c>
      <c r="S31" s="775">
        <f t="shared" si="12"/>
        <v>100</v>
      </c>
      <c r="T31" s="774" t="s">
        <v>21</v>
      </c>
      <c r="U31" s="775">
        <f t="shared" si="13"/>
        <v>100</v>
      </c>
      <c r="V31" s="774" t="s">
        <v>21</v>
      </c>
      <c r="W31" s="775">
        <f t="shared" si="14"/>
        <v>100</v>
      </c>
      <c r="X31" s="1815"/>
      <c r="Y31" s="3223"/>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4" t="s">
        <v>2556</v>
      </c>
      <c r="Q32" s="1812" t="str">
        <f t="shared" si="11"/>
        <v>建筑类型</v>
      </c>
      <c r="R32" s="774" t="s">
        <v>21</v>
      </c>
      <c r="S32" s="775">
        <f t="shared" si="12"/>
        <v>100</v>
      </c>
      <c r="T32" s="774" t="s">
        <v>21</v>
      </c>
      <c r="U32" s="775">
        <f t="shared" si="13"/>
        <v>100</v>
      </c>
      <c r="V32" s="774" t="s">
        <v>21</v>
      </c>
      <c r="W32" s="775">
        <f t="shared" si="14"/>
        <v>100</v>
      </c>
      <c r="X32" s="1815"/>
      <c r="Y32" s="3227"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5"/>
      <c r="Q34" s="1812" t="str">
        <f t="shared" si="11"/>
        <v>建筑结构</v>
      </c>
      <c r="R34" s="774" t="s">
        <v>21</v>
      </c>
      <c r="S34" s="775">
        <f t="shared" si="12"/>
        <v>100</v>
      </c>
      <c r="T34" s="774" t="s">
        <v>21</v>
      </c>
      <c r="U34" s="775">
        <f t="shared" si="13"/>
        <v>100</v>
      </c>
      <c r="V34" s="774" t="s">
        <v>21</v>
      </c>
      <c r="W34" s="775">
        <f t="shared" si="14"/>
        <v>100</v>
      </c>
      <c r="X34" s="1815"/>
      <c r="Y34" s="3227"/>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5"/>
      <c r="Q35" s="1812" t="str">
        <f t="shared" si="11"/>
        <v>建筑品质</v>
      </c>
      <c r="R35" s="774" t="s">
        <v>21</v>
      </c>
      <c r="S35" s="775">
        <f t="shared" si="12"/>
        <v>100</v>
      </c>
      <c r="T35" s="774" t="s">
        <v>21</v>
      </c>
      <c r="U35" s="775">
        <f t="shared" si="13"/>
        <v>100</v>
      </c>
      <c r="V35" s="774" t="s">
        <v>21</v>
      </c>
      <c r="W35" s="775">
        <f t="shared" si="14"/>
        <v>100</v>
      </c>
      <c r="X35" s="1815"/>
      <c r="Y35" s="3227"/>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5"/>
      <c r="Q36" s="1812" t="str">
        <f t="shared" si="11"/>
        <v>公共部分装修</v>
      </c>
      <c r="R36" s="774" t="s">
        <v>21</v>
      </c>
      <c r="S36" s="775">
        <f t="shared" si="12"/>
        <v>100</v>
      </c>
      <c r="T36" s="774" t="s">
        <v>21</v>
      </c>
      <c r="U36" s="775">
        <f t="shared" si="13"/>
        <v>100</v>
      </c>
      <c r="V36" s="774" t="s">
        <v>21</v>
      </c>
      <c r="W36" s="775">
        <f t="shared" si="14"/>
        <v>100</v>
      </c>
      <c r="X36" s="1815"/>
      <c r="Y36" s="3227"/>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7"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5" t="s">
        <v>2556</v>
      </c>
      <c r="Q38" s="1812" t="str">
        <f t="shared" si="11"/>
        <v>物业管理</v>
      </c>
      <c r="R38" s="774" t="s">
        <v>21</v>
      </c>
      <c r="S38" s="775">
        <f t="shared" si="12"/>
        <v>100</v>
      </c>
      <c r="T38" s="774" t="s">
        <v>21</v>
      </c>
      <c r="U38" s="775">
        <f t="shared" si="13"/>
        <v>100</v>
      </c>
      <c r="V38" s="774" t="s">
        <v>21</v>
      </c>
      <c r="W38" s="775">
        <f t="shared" si="14"/>
        <v>100</v>
      </c>
      <c r="X38" s="1815"/>
      <c r="Y38" s="3227"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5"/>
      <c r="Q39" s="1812" t="str">
        <f t="shared" si="11"/>
        <v>市政基础设施</v>
      </c>
      <c r="R39" s="774" t="s">
        <v>21</v>
      </c>
      <c r="S39" s="775">
        <f t="shared" si="12"/>
        <v>100</v>
      </c>
      <c r="T39" s="774" t="s">
        <v>21</v>
      </c>
      <c r="U39" s="775">
        <f t="shared" si="13"/>
        <v>100</v>
      </c>
      <c r="V39" s="774" t="s">
        <v>21</v>
      </c>
      <c r="W39" s="775">
        <f t="shared" si="14"/>
        <v>100</v>
      </c>
      <c r="X39" s="1815"/>
      <c r="Y39" s="3227"/>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5"/>
      <c r="Q40" s="1812" t="str">
        <f t="shared" si="11"/>
        <v>房型</v>
      </c>
      <c r="R40" s="774" t="s">
        <v>21</v>
      </c>
      <c r="S40" s="775">
        <f t="shared" si="12"/>
        <v>100</v>
      </c>
      <c r="T40" s="774" t="s">
        <v>21</v>
      </c>
      <c r="U40" s="775">
        <f t="shared" si="13"/>
        <v>100</v>
      </c>
      <c r="V40" s="774" t="s">
        <v>21</v>
      </c>
      <c r="W40" s="775">
        <f t="shared" si="14"/>
        <v>100</v>
      </c>
      <c r="X40" s="1815"/>
      <c r="Y40" s="3227"/>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5"/>
      <c r="Q42" s="1812" t="str">
        <f t="shared" si="11"/>
        <v>内部装修</v>
      </c>
      <c r="R42" s="774" t="s">
        <v>21</v>
      </c>
      <c r="S42" s="775">
        <f t="shared" si="12"/>
        <v>100</v>
      </c>
      <c r="T42" s="774" t="s">
        <v>21</v>
      </c>
      <c r="U42" s="775">
        <f t="shared" si="13"/>
        <v>100</v>
      </c>
      <c r="V42" s="774" t="s">
        <v>21</v>
      </c>
      <c r="W42" s="775">
        <f t="shared" si="14"/>
        <v>100</v>
      </c>
      <c r="X42" s="1815"/>
      <c r="Y42" s="3227"/>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5"/>
      <c r="Q43" s="1812" t="str">
        <f t="shared" si="11"/>
        <v>内部装修维护情况</v>
      </c>
      <c r="R43" s="774" t="s">
        <v>21</v>
      </c>
      <c r="S43" s="775">
        <f t="shared" si="12"/>
        <v>100</v>
      </c>
      <c r="T43" s="774" t="s">
        <v>21</v>
      </c>
      <c r="U43" s="775">
        <f t="shared" si="13"/>
        <v>100</v>
      </c>
      <c r="V43" s="774" t="s">
        <v>21</v>
      </c>
      <c r="W43" s="775">
        <f t="shared" si="14"/>
        <v>100</v>
      </c>
      <c r="X43" s="1815"/>
      <c r="Y43" s="3227"/>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5"/>
      <c r="Q44" s="1797">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5"/>
      <c r="Q45" s="1812">
        <f t="shared" si="11"/>
        <v>111</v>
      </c>
      <c r="R45" s="774" t="s">
        <v>21</v>
      </c>
      <c r="S45" s="775">
        <f t="shared" si="12"/>
        <v>100</v>
      </c>
      <c r="T45" s="774" t="s">
        <v>21</v>
      </c>
      <c r="U45" s="775">
        <f t="shared" si="13"/>
        <v>100</v>
      </c>
      <c r="V45" s="774" t="s">
        <v>21</v>
      </c>
      <c r="W45" s="775">
        <f t="shared" si="14"/>
        <v>100</v>
      </c>
      <c r="X45" s="1815"/>
      <c r="Y45" s="3227"/>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6"/>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190" t="s">
        <v>2638</v>
      </c>
      <c r="S4" s="3191"/>
      <c r="T4" s="3190" t="s">
        <v>2639</v>
      </c>
      <c r="U4" s="3191"/>
      <c r="V4" s="3215" t="s">
        <v>2640</v>
      </c>
      <c r="W4" s="3215"/>
      <c r="X4" s="1815"/>
      <c r="Y4" s="3190" t="s">
        <v>2642</v>
      </c>
      <c r="Z4" s="3191"/>
      <c r="AA4" s="3185" t="s">
        <v>2638</v>
      </c>
      <c r="AB4" s="3215" t="s">
        <v>2639</v>
      </c>
      <c r="AC4" s="3185" t="s">
        <v>2640</v>
      </c>
    </row>
    <row r="5" spans="1:29" ht="15">
      <c r="A5" s="404"/>
      <c r="B5" s="405"/>
      <c r="C5" s="3196" t="s">
        <v>2533</v>
      </c>
      <c r="D5" s="3197"/>
      <c r="E5" s="3194" t="s">
        <v>2534</v>
      </c>
      <c r="F5" s="3195"/>
      <c r="G5" s="3196" t="s">
        <v>2535</v>
      </c>
      <c r="H5" s="3197"/>
      <c r="I5" s="3196" t="s">
        <v>2536</v>
      </c>
      <c r="J5" s="3197"/>
      <c r="K5" s="610"/>
      <c r="L5" s="1133"/>
      <c r="M5" s="1134"/>
      <c r="N5" s="1134"/>
      <c r="O5" s="1134"/>
      <c r="P5" s="3209"/>
      <c r="Q5" s="3210"/>
      <c r="R5" s="3192"/>
      <c r="S5" s="3193"/>
      <c r="T5" s="3192"/>
      <c r="U5" s="3193"/>
      <c r="V5" s="3215"/>
      <c r="W5" s="3215"/>
      <c r="X5" s="1815"/>
      <c r="Y5" s="3192"/>
      <c r="Z5" s="3193"/>
      <c r="AA5" s="3186"/>
      <c r="AB5" s="3215"/>
      <c r="AC5" s="3186"/>
    </row>
    <row r="6" spans="1:29" ht="15.75" thickBot="1">
      <c r="A6" s="406"/>
      <c r="B6" s="407"/>
      <c r="C6" s="3198" t="s">
        <v>2537</v>
      </c>
      <c r="D6" s="3199"/>
      <c r="E6" s="3200" t="s">
        <v>2537</v>
      </c>
      <c r="F6" s="3201"/>
      <c r="G6" s="3198" t="s">
        <v>2537</v>
      </c>
      <c r="H6" s="3199"/>
      <c r="I6" s="3198" t="s">
        <v>2537</v>
      </c>
      <c r="J6" s="3199"/>
      <c r="K6" s="610" t="s">
        <v>2538</v>
      </c>
      <c r="L6" s="1133"/>
      <c r="M6" s="1134"/>
      <c r="N6" s="1134"/>
      <c r="O6" s="1134"/>
      <c r="P6" s="3211"/>
      <c r="Q6" s="3212"/>
      <c r="R6" s="3192"/>
      <c r="S6" s="3193"/>
      <c r="T6" s="3213"/>
      <c r="U6" s="3214"/>
      <c r="V6" s="3215"/>
      <c r="W6" s="3215"/>
      <c r="X6" s="1815"/>
      <c r="Y6" s="3213"/>
      <c r="Z6" s="3214"/>
      <c r="AA6" s="3187"/>
      <c r="AB6" s="3215"/>
      <c r="AC6" s="3187"/>
    </row>
    <row r="7" spans="1:29" s="117" customFormat="1" ht="15.75" thickBot="1">
      <c r="A7" s="408" t="s">
        <v>2539</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8" t="s">
        <v>2540</v>
      </c>
      <c r="Q7" s="3216"/>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8" t="s">
        <v>2543</v>
      </c>
      <c r="Q8" s="3189"/>
      <c r="R8" s="770" t="s">
        <v>17</v>
      </c>
      <c r="S8" s="771">
        <f t="shared" si="0"/>
        <v>0</v>
      </c>
      <c r="T8" s="770" t="s">
        <v>17</v>
      </c>
      <c r="U8" s="771">
        <f t="shared" si="1"/>
        <v>0</v>
      </c>
      <c r="V8" s="770" t="s">
        <v>17</v>
      </c>
      <c r="W8" s="771">
        <f t="shared" si="2"/>
        <v>0</v>
      </c>
      <c r="X8" s="772"/>
      <c r="Y8" s="3188" t="s">
        <v>2543</v>
      </c>
      <c r="Z8" s="3189"/>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2546</v>
      </c>
      <c r="Q9" s="1797" t="str">
        <f t="shared" ref="Q9:Q15" si="6">B9</f>
        <v>用途</v>
      </c>
      <c r="R9" s="770" t="s">
        <v>17</v>
      </c>
      <c r="S9" s="771">
        <f t="shared" si="0"/>
        <v>100</v>
      </c>
      <c r="T9" s="770" t="s">
        <v>17</v>
      </c>
      <c r="U9" s="771">
        <f t="shared" si="1"/>
        <v>100</v>
      </c>
      <c r="V9" s="770" t="s">
        <v>17</v>
      </c>
      <c r="W9" s="771">
        <f t="shared" si="2"/>
        <v>100</v>
      </c>
      <c r="X9" s="772"/>
      <c r="Y9" s="303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2551</v>
      </c>
      <c r="Q15" s="1812" t="str">
        <f t="shared" si="6"/>
        <v>商业繁华度</v>
      </c>
      <c r="R15" s="774" t="s">
        <v>17</v>
      </c>
      <c r="S15" s="775">
        <f t="shared" si="0"/>
        <v>100</v>
      </c>
      <c r="T15" s="774" t="s">
        <v>17</v>
      </c>
      <c r="U15" s="775">
        <f t="shared" si="1"/>
        <v>100</v>
      </c>
      <c r="V15" s="774" t="s">
        <v>17</v>
      </c>
      <c r="W15" s="775">
        <f t="shared" si="2"/>
        <v>100</v>
      </c>
      <c r="X15" s="1815"/>
      <c r="Y15" s="3222"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0"/>
      <c r="Q16" s="1812"/>
      <c r="R16" s="774"/>
      <c r="S16" s="775"/>
      <c r="T16" s="774"/>
      <c r="U16" s="775"/>
      <c r="V16" s="774"/>
      <c r="W16" s="775"/>
      <c r="X16" s="1815"/>
      <c r="Y16" s="3223"/>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30"/>
      <c r="Q18" s="1812"/>
      <c r="R18" s="774"/>
      <c r="S18" s="775"/>
      <c r="T18" s="774"/>
      <c r="U18" s="775"/>
      <c r="V18" s="774"/>
      <c r="W18" s="775"/>
      <c r="X18" s="1815"/>
      <c r="Y18" s="3223"/>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30"/>
      <c r="Q20" s="1812"/>
      <c r="R20" s="774"/>
      <c r="S20" s="775"/>
      <c r="T20" s="774"/>
      <c r="U20" s="775"/>
      <c r="V20" s="774"/>
      <c r="W20" s="775"/>
      <c r="X20" s="1815"/>
      <c r="Y20" s="3223"/>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30"/>
      <c r="Q22" s="1812"/>
      <c r="R22" s="774"/>
      <c r="S22" s="775"/>
      <c r="T22" s="774"/>
      <c r="U22" s="775"/>
      <c r="V22" s="774"/>
      <c r="W22" s="775"/>
      <c r="X22" s="1815"/>
      <c r="Y22" s="3223"/>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2" t="str">
        <f>B23</f>
        <v>自然及人文环境</v>
      </c>
      <c r="R23" s="774" t="s">
        <v>17</v>
      </c>
      <c r="S23" s="775">
        <f>F23</f>
        <v>100</v>
      </c>
      <c r="T23" s="774" t="s">
        <v>17</v>
      </c>
      <c r="U23" s="775">
        <f>H23</f>
        <v>100</v>
      </c>
      <c r="V23" s="774" t="s">
        <v>17</v>
      </c>
      <c r="W23" s="775">
        <f>J23</f>
        <v>100</v>
      </c>
      <c r="X23" s="1815"/>
      <c r="Y23" s="3223"/>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30"/>
      <c r="Q24" s="1812"/>
      <c r="R24" s="774"/>
      <c r="S24" s="775"/>
      <c r="T24" s="774"/>
      <c r="U24" s="775"/>
      <c r="V24" s="774"/>
      <c r="W24" s="775"/>
      <c r="X24" s="1815"/>
      <c r="Y24" s="3223"/>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2" t="str">
        <f t="shared" ref="Q25:Q46" si="11">B25</f>
        <v>临街状况</v>
      </c>
      <c r="R25" s="774" t="s">
        <v>17</v>
      </c>
      <c r="S25" s="775">
        <f>F25</f>
        <v>100</v>
      </c>
      <c r="T25" s="774" t="s">
        <v>17</v>
      </c>
      <c r="U25" s="775">
        <f>H25</f>
        <v>100</v>
      </c>
      <c r="V25" s="774" t="s">
        <v>17</v>
      </c>
      <c r="W25" s="775">
        <f>J25</f>
        <v>100</v>
      </c>
      <c r="X25" s="1815"/>
      <c r="Y25" s="3223"/>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2" t="str">
        <f t="shared" si="11"/>
        <v>平面位置/可视性</v>
      </c>
      <c r="R26" s="774" t="s">
        <v>17</v>
      </c>
      <c r="S26" s="775">
        <f>F26</f>
        <v>100</v>
      </c>
      <c r="T26" s="774" t="s">
        <v>17</v>
      </c>
      <c r="U26" s="775">
        <f>H26</f>
        <v>100</v>
      </c>
      <c r="V26" s="774" t="s">
        <v>17</v>
      </c>
      <c r="W26" s="775">
        <f>J26</f>
        <v>100</v>
      </c>
      <c r="X26" s="1815"/>
      <c r="Y26" s="3223"/>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0"/>
      <c r="Q27" s="1797" t="str">
        <f t="shared" si="11"/>
        <v>人流量</v>
      </c>
      <c r="R27" s="770" t="s">
        <v>17</v>
      </c>
      <c r="S27" s="771">
        <f>F27</f>
        <v>100</v>
      </c>
      <c r="T27" s="770" t="s">
        <v>17</v>
      </c>
      <c r="U27" s="771">
        <f>H27</f>
        <v>100</v>
      </c>
      <c r="V27" s="770" t="s">
        <v>17</v>
      </c>
      <c r="W27" s="771">
        <f>J27</f>
        <v>100</v>
      </c>
      <c r="X27" s="772"/>
      <c r="Y27" s="3223"/>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2">
        <f t="shared" si="11"/>
        <v>111</v>
      </c>
      <c r="R29" s="774" t="s">
        <v>17</v>
      </c>
      <c r="S29" s="775">
        <f t="shared" si="12"/>
        <v>100</v>
      </c>
      <c r="T29" s="774" t="s">
        <v>17</v>
      </c>
      <c r="U29" s="775">
        <f t="shared" si="13"/>
        <v>100</v>
      </c>
      <c r="V29" s="774" t="s">
        <v>17</v>
      </c>
      <c r="W29" s="775">
        <f t="shared" si="14"/>
        <v>100</v>
      </c>
      <c r="X29" s="1815"/>
      <c r="Y29" s="322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22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223"/>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4" t="s">
        <v>2556</v>
      </c>
      <c r="Q32" s="1812" t="str">
        <f t="shared" si="11"/>
        <v>商业类型</v>
      </c>
      <c r="R32" s="774" t="s">
        <v>17</v>
      </c>
      <c r="S32" s="775">
        <f t="shared" si="12"/>
        <v>100</v>
      </c>
      <c r="T32" s="774" t="s">
        <v>17</v>
      </c>
      <c r="U32" s="775">
        <f t="shared" si="13"/>
        <v>100</v>
      </c>
      <c r="V32" s="774" t="s">
        <v>17</v>
      </c>
      <c r="W32" s="775">
        <f t="shared" si="14"/>
        <v>100</v>
      </c>
      <c r="X32" s="1815"/>
      <c r="Y32" s="3227"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5"/>
      <c r="Q34" s="1812" t="str">
        <f t="shared" si="11"/>
        <v>建筑结构</v>
      </c>
      <c r="R34" s="774" t="s">
        <v>17</v>
      </c>
      <c r="S34" s="775">
        <f t="shared" si="12"/>
        <v>100</v>
      </c>
      <c r="T34" s="774" t="s">
        <v>17</v>
      </c>
      <c r="U34" s="775">
        <f t="shared" si="13"/>
        <v>100</v>
      </c>
      <c r="V34" s="774" t="s">
        <v>17</v>
      </c>
      <c r="W34" s="775">
        <f t="shared" si="14"/>
        <v>100</v>
      </c>
      <c r="X34" s="1815"/>
      <c r="Y34" s="3227"/>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5"/>
      <c r="Q35" s="1812" t="str">
        <f t="shared" si="11"/>
        <v>公共部分装修</v>
      </c>
      <c r="R35" s="774" t="s">
        <v>17</v>
      </c>
      <c r="S35" s="775">
        <f t="shared" si="12"/>
        <v>100</v>
      </c>
      <c r="T35" s="774" t="s">
        <v>17</v>
      </c>
      <c r="U35" s="775">
        <f t="shared" si="13"/>
        <v>100</v>
      </c>
      <c r="V35" s="774" t="s">
        <v>17</v>
      </c>
      <c r="W35" s="775">
        <f t="shared" si="14"/>
        <v>100</v>
      </c>
      <c r="X35" s="1815"/>
      <c r="Y35" s="3227"/>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2" t="str">
        <f t="shared" si="11"/>
        <v>成新度</v>
      </c>
      <c r="R36" s="774" t="s">
        <v>17</v>
      </c>
      <c r="S36" s="775" t="e">
        <f t="shared" si="12"/>
        <v>#N/A</v>
      </c>
      <c r="T36" s="774" t="s">
        <v>17</v>
      </c>
      <c r="U36" s="775" t="e">
        <f t="shared" si="13"/>
        <v>#N/A</v>
      </c>
      <c r="V36" s="774" t="s">
        <v>17</v>
      </c>
      <c r="W36" s="775" t="e">
        <f t="shared" si="14"/>
        <v>#N/A</v>
      </c>
      <c r="X36" s="1815"/>
      <c r="Y36" s="3227"/>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5"/>
      <c r="Q37" s="1797"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5" t="s">
        <v>2556</v>
      </c>
      <c r="Q38" s="1812" t="str">
        <f t="shared" si="11"/>
        <v>业态</v>
      </c>
      <c r="R38" s="774" t="s">
        <v>17</v>
      </c>
      <c r="S38" s="775">
        <f t="shared" si="12"/>
        <v>100</v>
      </c>
      <c r="T38" s="774" t="s">
        <v>17</v>
      </c>
      <c r="U38" s="775">
        <f t="shared" si="13"/>
        <v>100</v>
      </c>
      <c r="V38" s="774" t="s">
        <v>17</v>
      </c>
      <c r="W38" s="775">
        <f t="shared" si="14"/>
        <v>100</v>
      </c>
      <c r="X38" s="1815"/>
      <c r="Y38" s="3227"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5"/>
      <c r="Q39" s="1812" t="str">
        <f t="shared" si="11"/>
        <v>层高</v>
      </c>
      <c r="R39" s="774" t="s">
        <v>17</v>
      </c>
      <c r="S39" s="775">
        <f t="shared" si="12"/>
        <v>100</v>
      </c>
      <c r="T39" s="774" t="s">
        <v>17</v>
      </c>
      <c r="U39" s="775">
        <f t="shared" si="13"/>
        <v>100</v>
      </c>
      <c r="V39" s="774" t="s">
        <v>17</v>
      </c>
      <c r="W39" s="775">
        <f t="shared" si="14"/>
        <v>100</v>
      </c>
      <c r="X39" s="1815"/>
      <c r="Y39" s="3227"/>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2" t="str">
        <f t="shared" si="11"/>
        <v>单套建筑面积</v>
      </c>
      <c r="R40" s="774" t="s">
        <v>17</v>
      </c>
      <c r="S40" s="775">
        <f t="shared" si="12"/>
        <v>100</v>
      </c>
      <c r="T40" s="774" t="s">
        <v>17</v>
      </c>
      <c r="U40" s="775">
        <f t="shared" si="13"/>
        <v>100</v>
      </c>
      <c r="V40" s="774" t="s">
        <v>17</v>
      </c>
      <c r="W40" s="775">
        <f t="shared" si="14"/>
        <v>100</v>
      </c>
      <c r="X40" s="1815"/>
      <c r="Y40" s="3227"/>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5"/>
      <c r="Q42" s="1812" t="str">
        <f t="shared" si="11"/>
        <v>内部装修</v>
      </c>
      <c r="R42" s="774" t="s">
        <v>17</v>
      </c>
      <c r="S42" s="775">
        <f t="shared" si="12"/>
        <v>100</v>
      </c>
      <c r="T42" s="774" t="s">
        <v>17</v>
      </c>
      <c r="U42" s="775">
        <f t="shared" si="13"/>
        <v>100</v>
      </c>
      <c r="V42" s="774" t="s">
        <v>17</v>
      </c>
      <c r="W42" s="775">
        <f t="shared" si="14"/>
        <v>100</v>
      </c>
      <c r="X42" s="1815"/>
      <c r="Y42" s="3227"/>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5"/>
      <c r="Q43" s="1812" t="str">
        <f t="shared" si="11"/>
        <v>内部装修维护情况</v>
      </c>
      <c r="R43" s="774" t="s">
        <v>17</v>
      </c>
      <c r="S43" s="775">
        <f t="shared" si="12"/>
        <v>100</v>
      </c>
      <c r="T43" s="774" t="s">
        <v>17</v>
      </c>
      <c r="U43" s="775">
        <f t="shared" si="13"/>
        <v>100</v>
      </c>
      <c r="V43" s="774" t="s">
        <v>17</v>
      </c>
      <c r="W43" s="775">
        <f t="shared" si="14"/>
        <v>100</v>
      </c>
      <c r="X43" s="1815"/>
      <c r="Y43" s="322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7">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2">
        <f t="shared" si="11"/>
        <v>111</v>
      </c>
      <c r="R45" s="774" t="s">
        <v>17</v>
      </c>
      <c r="S45" s="775">
        <f t="shared" si="12"/>
        <v>100</v>
      </c>
      <c r="T45" s="774" t="s">
        <v>17</v>
      </c>
      <c r="U45" s="775">
        <f t="shared" si="13"/>
        <v>100</v>
      </c>
      <c r="V45" s="774" t="s">
        <v>17</v>
      </c>
      <c r="W45" s="775">
        <f t="shared" si="14"/>
        <v>100</v>
      </c>
      <c r="X45" s="1815"/>
      <c r="Y45" s="3227"/>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37" t="s">
        <v>2642</v>
      </c>
      <c r="Q4" s="3238"/>
      <c r="R4" s="3232" t="s">
        <v>2638</v>
      </c>
      <c r="S4" s="3233"/>
      <c r="T4" s="3232" t="s">
        <v>2639</v>
      </c>
      <c r="U4" s="3233"/>
      <c r="V4" s="3241" t="s">
        <v>2640</v>
      </c>
      <c r="W4" s="3241"/>
      <c r="X4" s="2675"/>
      <c r="Y4" s="3232" t="s">
        <v>2642</v>
      </c>
      <c r="Z4" s="3233"/>
      <c r="AA4" s="3231" t="s">
        <v>2638</v>
      </c>
      <c r="AB4" s="3231" t="s">
        <v>2639</v>
      </c>
      <c r="AC4" s="3234" t="s">
        <v>2640</v>
      </c>
    </row>
    <row r="5" spans="1:29" ht="15">
      <c r="A5" s="404"/>
      <c r="B5" s="405"/>
      <c r="C5" s="3196" t="s">
        <v>2533</v>
      </c>
      <c r="D5" s="3197"/>
      <c r="E5" s="3194" t="s">
        <v>2534</v>
      </c>
      <c r="F5" s="3195"/>
      <c r="G5" s="3196" t="s">
        <v>2535</v>
      </c>
      <c r="H5" s="3197"/>
      <c r="I5" s="3196" t="s">
        <v>2536</v>
      </c>
      <c r="J5" s="3197"/>
      <c r="K5" s="610"/>
      <c r="L5" s="1133"/>
      <c r="M5" s="1134"/>
      <c r="N5" s="1134"/>
      <c r="O5" s="1134"/>
      <c r="P5" s="3239"/>
      <c r="Q5" s="3210"/>
      <c r="R5" s="3192"/>
      <c r="S5" s="3193"/>
      <c r="T5" s="3192"/>
      <c r="U5" s="3193"/>
      <c r="V5" s="3215"/>
      <c r="W5" s="3215"/>
      <c r="X5" s="1815"/>
      <c r="Y5" s="3192"/>
      <c r="Z5" s="3193"/>
      <c r="AA5" s="3186"/>
      <c r="AB5" s="3186"/>
      <c r="AC5" s="3235"/>
    </row>
    <row r="6" spans="1:29" ht="15.75" thickBot="1">
      <c r="A6" s="406"/>
      <c r="B6" s="407"/>
      <c r="C6" s="3198" t="s">
        <v>2537</v>
      </c>
      <c r="D6" s="3199"/>
      <c r="E6" s="3200" t="s">
        <v>2537</v>
      </c>
      <c r="F6" s="3201"/>
      <c r="G6" s="3198" t="s">
        <v>2537</v>
      </c>
      <c r="H6" s="3199"/>
      <c r="I6" s="3198" t="s">
        <v>2537</v>
      </c>
      <c r="J6" s="3199"/>
      <c r="K6" s="610" t="s">
        <v>2538</v>
      </c>
      <c r="L6" s="1133"/>
      <c r="M6" s="1134"/>
      <c r="N6" s="1134"/>
      <c r="O6" s="1134"/>
      <c r="P6" s="3240"/>
      <c r="Q6" s="3212"/>
      <c r="R6" s="3192"/>
      <c r="S6" s="3193"/>
      <c r="T6" s="3213"/>
      <c r="U6" s="3214"/>
      <c r="V6" s="3215"/>
      <c r="W6" s="3215"/>
      <c r="X6" s="1815"/>
      <c r="Y6" s="3213"/>
      <c r="Z6" s="3214"/>
      <c r="AA6" s="3187"/>
      <c r="AB6" s="3187"/>
      <c r="AC6" s="3236"/>
    </row>
    <row r="7" spans="1:29" s="117" customFormat="1" ht="15.75" thickBot="1">
      <c r="A7" s="408" t="s">
        <v>2539</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2540</v>
      </c>
      <c r="Q7" s="3216"/>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2543</v>
      </c>
      <c r="Q8" s="3189"/>
      <c r="R8" s="770" t="s">
        <v>17</v>
      </c>
      <c r="S8" s="771">
        <f t="shared" si="0"/>
        <v>0</v>
      </c>
      <c r="T8" s="770" t="s">
        <v>17</v>
      </c>
      <c r="U8" s="771">
        <f t="shared" si="1"/>
        <v>0</v>
      </c>
      <c r="V8" s="770" t="s">
        <v>17</v>
      </c>
      <c r="W8" s="771">
        <f t="shared" si="2"/>
        <v>0</v>
      </c>
      <c r="X8" s="772"/>
      <c r="Y8" s="3188" t="s">
        <v>2543</v>
      </c>
      <c r="Z8" s="3189"/>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2546</v>
      </c>
      <c r="Q9" s="1797" t="str">
        <f t="shared" ref="Q9:Q15" si="6">B9</f>
        <v>用途</v>
      </c>
      <c r="R9" s="770" t="s">
        <v>17</v>
      </c>
      <c r="S9" s="771">
        <f t="shared" si="0"/>
        <v>100</v>
      </c>
      <c r="T9" s="770" t="s">
        <v>17</v>
      </c>
      <c r="U9" s="771">
        <f t="shared" si="1"/>
        <v>100</v>
      </c>
      <c r="V9" s="770" t="s">
        <v>17</v>
      </c>
      <c r="W9" s="771">
        <f t="shared" si="2"/>
        <v>100</v>
      </c>
      <c r="X9" s="772"/>
      <c r="Y9" s="3035"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2551</v>
      </c>
      <c r="Q15" s="1812" t="str">
        <f t="shared" si="6"/>
        <v>办公集聚程度</v>
      </c>
      <c r="R15" s="774" t="s">
        <v>17</v>
      </c>
      <c r="S15" s="775">
        <f t="shared" si="0"/>
        <v>100</v>
      </c>
      <c r="T15" s="774" t="s">
        <v>17</v>
      </c>
      <c r="U15" s="775">
        <f t="shared" si="1"/>
        <v>100</v>
      </c>
      <c r="V15" s="774" t="s">
        <v>17</v>
      </c>
      <c r="W15" s="775">
        <f t="shared" si="2"/>
        <v>100</v>
      </c>
      <c r="X15" s="1815"/>
      <c r="Y15" s="3222"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30"/>
      <c r="Q16" s="1812"/>
      <c r="R16" s="774"/>
      <c r="S16" s="775"/>
      <c r="T16" s="774"/>
      <c r="U16" s="775"/>
      <c r="V16" s="774"/>
      <c r="W16" s="775"/>
      <c r="X16" s="1815"/>
      <c r="Y16" s="3223"/>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30"/>
      <c r="Q18" s="1812"/>
      <c r="R18" s="774"/>
      <c r="S18" s="775"/>
      <c r="T18" s="774"/>
      <c r="U18" s="775"/>
      <c r="V18" s="774"/>
      <c r="W18" s="775"/>
      <c r="X18" s="1815"/>
      <c r="Y18" s="3223"/>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30"/>
      <c r="Q20" s="1812"/>
      <c r="R20" s="774"/>
      <c r="S20" s="775"/>
      <c r="T20" s="774"/>
      <c r="U20" s="775"/>
      <c r="V20" s="774"/>
      <c r="W20" s="775"/>
      <c r="X20" s="1815"/>
      <c r="Y20" s="3223"/>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30"/>
      <c r="Q22" s="1812"/>
      <c r="R22" s="774"/>
      <c r="S22" s="775"/>
      <c r="T22" s="774"/>
      <c r="U22" s="775"/>
      <c r="V22" s="774"/>
      <c r="W22" s="775"/>
      <c r="X22" s="1815"/>
      <c r="Y22" s="3223"/>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2" t="str">
        <f>B23</f>
        <v>环境质量</v>
      </c>
      <c r="R23" s="774" t="s">
        <v>17</v>
      </c>
      <c r="S23" s="775">
        <f>F23</f>
        <v>100</v>
      </c>
      <c r="T23" s="774" t="s">
        <v>17</v>
      </c>
      <c r="U23" s="775">
        <f>H23</f>
        <v>100</v>
      </c>
      <c r="V23" s="774" t="s">
        <v>17</v>
      </c>
      <c r="W23" s="775">
        <f>J23</f>
        <v>100</v>
      </c>
      <c r="X23" s="1815"/>
      <c r="Y23" s="3223"/>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30"/>
      <c r="Q24" s="1812"/>
      <c r="R24" s="774"/>
      <c r="S24" s="775"/>
      <c r="T24" s="774"/>
      <c r="U24" s="775"/>
      <c r="V24" s="774"/>
      <c r="W24" s="775"/>
      <c r="X24" s="1815"/>
      <c r="Y24" s="3223"/>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30"/>
      <c r="Q25" s="1812" t="str">
        <f>B25</f>
        <v>毗邻道路的类型与等级</v>
      </c>
      <c r="R25" s="774" t="s">
        <v>17</v>
      </c>
      <c r="S25" s="775">
        <f>F25</f>
        <v>100</v>
      </c>
      <c r="T25" s="774" t="s">
        <v>17</v>
      </c>
      <c r="U25" s="775">
        <f>H25</f>
        <v>100</v>
      </c>
      <c r="V25" s="774" t="s">
        <v>17</v>
      </c>
      <c r="W25" s="775">
        <f>J25</f>
        <v>100</v>
      </c>
      <c r="X25" s="1815"/>
      <c r="Y25" s="3223"/>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30"/>
      <c r="Q26" s="1812"/>
      <c r="R26" s="774"/>
      <c r="S26" s="775"/>
      <c r="T26" s="774"/>
      <c r="U26" s="775"/>
      <c r="V26" s="774"/>
      <c r="W26" s="775"/>
      <c r="X26" s="1815"/>
      <c r="Y26" s="3223"/>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2" t="str">
        <f t="shared" ref="Q27:Q47" si="11">B27</f>
        <v>楼层</v>
      </c>
      <c r="R27" s="774" t="s">
        <v>17</v>
      </c>
      <c r="S27" s="775">
        <f>F27</f>
        <v>100</v>
      </c>
      <c r="T27" s="774" t="s">
        <v>17</v>
      </c>
      <c r="U27" s="775">
        <f>H27</f>
        <v>100</v>
      </c>
      <c r="V27" s="774" t="s">
        <v>17</v>
      </c>
      <c r="W27" s="775">
        <f>J27</f>
        <v>100</v>
      </c>
      <c r="X27" s="1815"/>
      <c r="Y27" s="3223"/>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30"/>
      <c r="Q28" s="1797" t="str">
        <f t="shared" si="11"/>
        <v>朝向</v>
      </c>
      <c r="R28" s="770" t="s">
        <v>17</v>
      </c>
      <c r="S28" s="771">
        <f>F28</f>
        <v>100</v>
      </c>
      <c r="T28" s="770" t="s">
        <v>17</v>
      </c>
      <c r="U28" s="771">
        <f>H28</f>
        <v>100</v>
      </c>
      <c r="V28" s="770" t="s">
        <v>17</v>
      </c>
      <c r="W28" s="771">
        <f>J28</f>
        <v>100</v>
      </c>
      <c r="X28" s="772"/>
      <c r="Y28" s="3223"/>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30"/>
      <c r="Q29" s="1812">
        <f t="shared" si="11"/>
        <v>111</v>
      </c>
      <c r="R29" s="774" t="s">
        <v>17</v>
      </c>
      <c r="S29" s="775">
        <f t="shared" ref="S29:S47" si="12">F29</f>
        <v>100</v>
      </c>
      <c r="T29" s="774" t="s">
        <v>17</v>
      </c>
      <c r="U29" s="775">
        <f t="shared" ref="U29:U47" si="13">H29</f>
        <v>100</v>
      </c>
      <c r="V29" s="774" t="s">
        <v>17</v>
      </c>
      <c r="W29" s="775">
        <f t="shared" ref="W29:W47" si="14">J29</f>
        <v>100</v>
      </c>
      <c r="X29" s="1815"/>
      <c r="Y29" s="3223"/>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223"/>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223"/>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0"/>
      <c r="Q32" s="1812">
        <f t="shared" si="11"/>
        <v>111</v>
      </c>
      <c r="R32" s="774" t="s">
        <v>17</v>
      </c>
      <c r="S32" s="775">
        <f t="shared" si="12"/>
        <v>100</v>
      </c>
      <c r="T32" s="774" t="s">
        <v>17</v>
      </c>
      <c r="U32" s="775">
        <f t="shared" si="13"/>
        <v>100</v>
      </c>
      <c r="V32" s="774" t="s">
        <v>17</v>
      </c>
      <c r="W32" s="775">
        <f t="shared" si="14"/>
        <v>100</v>
      </c>
      <c r="X32" s="1815"/>
      <c r="Y32" s="3223"/>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4" t="s">
        <v>2556</v>
      </c>
      <c r="Q33" s="1812" t="str">
        <f t="shared" si="11"/>
        <v>建筑类型</v>
      </c>
      <c r="R33" s="774" t="s">
        <v>17</v>
      </c>
      <c r="S33" s="775">
        <f t="shared" si="12"/>
        <v>100</v>
      </c>
      <c r="T33" s="774" t="s">
        <v>17</v>
      </c>
      <c r="U33" s="775">
        <f t="shared" si="13"/>
        <v>100</v>
      </c>
      <c r="V33" s="774" t="s">
        <v>17</v>
      </c>
      <c r="W33" s="775">
        <f t="shared" si="14"/>
        <v>100</v>
      </c>
      <c r="X33" s="1815"/>
      <c r="Y33" s="3227"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5"/>
      <c r="Q35" s="1812" t="str">
        <f t="shared" si="11"/>
        <v>建筑结构</v>
      </c>
      <c r="R35" s="774" t="s">
        <v>17</v>
      </c>
      <c r="S35" s="775">
        <f t="shared" si="12"/>
        <v>100</v>
      </c>
      <c r="T35" s="774" t="s">
        <v>17</v>
      </c>
      <c r="U35" s="775">
        <f t="shared" si="13"/>
        <v>100</v>
      </c>
      <c r="V35" s="774" t="s">
        <v>17</v>
      </c>
      <c r="W35" s="775">
        <f t="shared" si="14"/>
        <v>100</v>
      </c>
      <c r="X35" s="1815"/>
      <c r="Y35" s="3227"/>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5"/>
      <c r="Q36" s="1812" t="str">
        <f t="shared" si="11"/>
        <v>公共部分装修</v>
      </c>
      <c r="R36" s="774" t="s">
        <v>17</v>
      </c>
      <c r="S36" s="775">
        <f t="shared" si="12"/>
        <v>100</v>
      </c>
      <c r="T36" s="774" t="s">
        <v>17</v>
      </c>
      <c r="U36" s="775">
        <f t="shared" si="13"/>
        <v>100</v>
      </c>
      <c r="V36" s="774" t="s">
        <v>17</v>
      </c>
      <c r="W36" s="775">
        <f t="shared" si="14"/>
        <v>100</v>
      </c>
      <c r="X36" s="1815"/>
      <c r="Y36" s="3227"/>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5"/>
      <c r="Q37" s="1812" t="str">
        <f t="shared" si="11"/>
        <v>成新度</v>
      </c>
      <c r="R37" s="774" t="s">
        <v>17</v>
      </c>
      <c r="S37" s="775" t="e">
        <f t="shared" si="12"/>
        <v>#N/A</v>
      </c>
      <c r="T37" s="774" t="s">
        <v>17</v>
      </c>
      <c r="U37" s="775" t="e">
        <f t="shared" si="13"/>
        <v>#N/A</v>
      </c>
      <c r="V37" s="774" t="s">
        <v>17</v>
      </c>
      <c r="W37" s="775" t="e">
        <f t="shared" si="14"/>
        <v>#N/A</v>
      </c>
      <c r="X37" s="1815"/>
      <c r="Y37" s="3227"/>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7"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5" t="s">
        <v>2556</v>
      </c>
      <c r="Q39" s="1812" t="str">
        <f t="shared" si="11"/>
        <v>物业管理</v>
      </c>
      <c r="R39" s="774" t="s">
        <v>17</v>
      </c>
      <c r="S39" s="775">
        <f t="shared" si="12"/>
        <v>100</v>
      </c>
      <c r="T39" s="774" t="s">
        <v>17</v>
      </c>
      <c r="U39" s="775">
        <f t="shared" si="13"/>
        <v>100</v>
      </c>
      <c r="V39" s="774" t="s">
        <v>17</v>
      </c>
      <c r="W39" s="775">
        <f t="shared" si="14"/>
        <v>100</v>
      </c>
      <c r="X39" s="1815"/>
      <c r="Y39" s="3227"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2" t="str">
        <f t="shared" si="11"/>
        <v>市政基础设施</v>
      </c>
      <c r="R40" s="774" t="s">
        <v>17</v>
      </c>
      <c r="S40" s="775">
        <f t="shared" si="12"/>
        <v>100</v>
      </c>
      <c r="T40" s="774" t="s">
        <v>17</v>
      </c>
      <c r="U40" s="775">
        <f t="shared" si="13"/>
        <v>100</v>
      </c>
      <c r="V40" s="774" t="s">
        <v>17</v>
      </c>
      <c r="W40" s="775">
        <f t="shared" si="14"/>
        <v>100</v>
      </c>
      <c r="X40" s="1815"/>
      <c r="Y40" s="3227"/>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2" t="str">
        <f t="shared" si="11"/>
        <v>层高</v>
      </c>
      <c r="R41" s="774" t="s">
        <v>17</v>
      </c>
      <c r="S41" s="775">
        <f t="shared" si="12"/>
        <v>100</v>
      </c>
      <c r="T41" s="774" t="s">
        <v>17</v>
      </c>
      <c r="U41" s="775">
        <f t="shared" si="13"/>
        <v>100</v>
      </c>
      <c r="V41" s="774" t="s">
        <v>17</v>
      </c>
      <c r="W41" s="775">
        <f t="shared" si="14"/>
        <v>100</v>
      </c>
      <c r="X41" s="1815"/>
      <c r="Y41" s="3227"/>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2" t="str">
        <f t="shared" si="11"/>
        <v>内部装修</v>
      </c>
      <c r="R43" s="774" t="s">
        <v>17</v>
      </c>
      <c r="S43" s="775">
        <f t="shared" si="12"/>
        <v>100</v>
      </c>
      <c r="T43" s="774" t="s">
        <v>17</v>
      </c>
      <c r="U43" s="775">
        <f t="shared" si="13"/>
        <v>100</v>
      </c>
      <c r="V43" s="774" t="s">
        <v>17</v>
      </c>
      <c r="W43" s="775">
        <f t="shared" si="14"/>
        <v>100</v>
      </c>
      <c r="X43" s="1815"/>
      <c r="Y43" s="3227"/>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5"/>
      <c r="Q44" s="1812" t="str">
        <f t="shared" si="11"/>
        <v>内部装修维护情况</v>
      </c>
      <c r="R44" s="774" t="s">
        <v>17</v>
      </c>
      <c r="S44" s="775">
        <f t="shared" si="12"/>
        <v>100</v>
      </c>
      <c r="T44" s="774" t="s">
        <v>17</v>
      </c>
      <c r="U44" s="775">
        <f t="shared" si="13"/>
        <v>100</v>
      </c>
      <c r="V44" s="774" t="s">
        <v>17</v>
      </c>
      <c r="W44" s="775">
        <f t="shared" si="14"/>
        <v>100</v>
      </c>
      <c r="X44" s="1815"/>
      <c r="Y44" s="3227"/>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7">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2">
        <f t="shared" si="11"/>
        <v>111</v>
      </c>
      <c r="R46" s="774" t="s">
        <v>17</v>
      </c>
      <c r="S46" s="775">
        <f t="shared" si="12"/>
        <v>100</v>
      </c>
      <c r="T46" s="774" t="s">
        <v>17</v>
      </c>
      <c r="U46" s="775">
        <f t="shared" si="13"/>
        <v>100</v>
      </c>
      <c r="V46" s="774" t="s">
        <v>17</v>
      </c>
      <c r="W46" s="775">
        <f t="shared" si="14"/>
        <v>100</v>
      </c>
      <c r="X46" s="1815"/>
      <c r="Y46" s="3227"/>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202" t="str">
        <f>A48</f>
        <v>成交单价（元/平方米）</v>
      </c>
      <c r="Q48" s="3220"/>
      <c r="R48" s="3221">
        <f>E48</f>
        <v>0</v>
      </c>
      <c r="S48" s="3221"/>
      <c r="T48" s="3221">
        <f>G48</f>
        <v>0</v>
      </c>
      <c r="U48" s="3221"/>
      <c r="V48" s="3221">
        <f>I48</f>
        <v>0</v>
      </c>
      <c r="W48" s="3221"/>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190" t="s">
        <v>2638</v>
      </c>
      <c r="S4" s="3191"/>
      <c r="T4" s="3190" t="s">
        <v>2639</v>
      </c>
      <c r="U4" s="3191"/>
      <c r="V4" s="3215" t="s">
        <v>2640</v>
      </c>
      <c r="W4" s="3215"/>
      <c r="X4" s="1815"/>
      <c r="Y4" s="3190" t="s">
        <v>2642</v>
      </c>
      <c r="Z4" s="3191"/>
      <c r="AA4" s="3185" t="s">
        <v>2638</v>
      </c>
      <c r="AB4" s="3186" t="s">
        <v>2639</v>
      </c>
      <c r="AC4" s="3185" t="s">
        <v>2640</v>
      </c>
    </row>
    <row r="5" spans="1:29" ht="15">
      <c r="A5" s="404"/>
      <c r="B5" s="405"/>
      <c r="C5" s="3196" t="s">
        <v>2533</v>
      </c>
      <c r="D5" s="3197"/>
      <c r="E5" s="3194" t="s">
        <v>2534</v>
      </c>
      <c r="F5" s="3195"/>
      <c r="G5" s="3196" t="s">
        <v>2535</v>
      </c>
      <c r="H5" s="3197"/>
      <c r="I5" s="3196" t="s">
        <v>2536</v>
      </c>
      <c r="J5" s="3197"/>
      <c r="K5" s="610"/>
      <c r="L5" s="1133"/>
      <c r="M5" s="1134"/>
      <c r="N5" s="1134"/>
      <c r="O5" s="1134"/>
      <c r="P5" s="3209"/>
      <c r="Q5" s="3210"/>
      <c r="R5" s="3192"/>
      <c r="S5" s="3193"/>
      <c r="T5" s="3192"/>
      <c r="U5" s="3193"/>
      <c r="V5" s="3215"/>
      <c r="W5" s="3215"/>
      <c r="X5" s="1815"/>
      <c r="Y5" s="3192"/>
      <c r="Z5" s="3193"/>
      <c r="AA5" s="3186"/>
      <c r="AB5" s="3186"/>
      <c r="AC5" s="3186"/>
    </row>
    <row r="6" spans="1:29" ht="15.75" thickBot="1">
      <c r="A6" s="406"/>
      <c r="B6" s="407"/>
      <c r="C6" s="3198" t="s">
        <v>2537</v>
      </c>
      <c r="D6" s="3199"/>
      <c r="E6" s="3200" t="s">
        <v>2537</v>
      </c>
      <c r="F6" s="3201"/>
      <c r="G6" s="3198" t="s">
        <v>2537</v>
      </c>
      <c r="H6" s="3199"/>
      <c r="I6" s="3198" t="s">
        <v>2537</v>
      </c>
      <c r="J6" s="3199"/>
      <c r="K6" s="610" t="s">
        <v>2538</v>
      </c>
      <c r="L6" s="1133"/>
      <c r="M6" s="1134"/>
      <c r="N6" s="1134"/>
      <c r="O6" s="1134"/>
      <c r="P6" s="3211"/>
      <c r="Q6" s="3212"/>
      <c r="R6" s="3192"/>
      <c r="S6" s="3193"/>
      <c r="T6" s="3213"/>
      <c r="U6" s="3214"/>
      <c r="V6" s="3215"/>
      <c r="W6" s="3215"/>
      <c r="X6" s="1815"/>
      <c r="Y6" s="3213"/>
      <c r="Z6" s="3214"/>
      <c r="AA6" s="3187"/>
      <c r="AB6" s="3187"/>
      <c r="AC6" s="3187"/>
    </row>
    <row r="7" spans="1:29" s="117" customFormat="1" ht="15.75" thickBot="1">
      <c r="A7" s="408" t="s">
        <v>2539</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8" t="s">
        <v>2540</v>
      </c>
      <c r="Q7" s="3216"/>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8" t="s">
        <v>2543</v>
      </c>
      <c r="Q8" s="3189"/>
      <c r="R8" s="770" t="s">
        <v>17</v>
      </c>
      <c r="S8" s="771">
        <f t="shared" si="0"/>
        <v>0</v>
      </c>
      <c r="T8" s="770" t="s">
        <v>17</v>
      </c>
      <c r="U8" s="771">
        <f t="shared" si="1"/>
        <v>0</v>
      </c>
      <c r="V8" s="770" t="s">
        <v>17</v>
      </c>
      <c r="W8" s="771">
        <f t="shared" si="2"/>
        <v>0</v>
      </c>
      <c r="X8" s="772"/>
      <c r="Y8" s="3188" t="s">
        <v>2543</v>
      </c>
      <c r="Z8" s="318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0" t="s">
        <v>2546</v>
      </c>
      <c r="Q9" s="1797" t="str">
        <f t="shared" ref="Q9:Q15" si="6">B9</f>
        <v>用途</v>
      </c>
      <c r="R9" s="770" t="s">
        <v>17</v>
      </c>
      <c r="S9" s="771">
        <f t="shared" si="0"/>
        <v>100</v>
      </c>
      <c r="T9" s="770" t="s">
        <v>17</v>
      </c>
      <c r="U9" s="771">
        <f t="shared" si="1"/>
        <v>100</v>
      </c>
      <c r="V9" s="770" t="s">
        <v>17</v>
      </c>
      <c r="W9" s="771">
        <f t="shared" si="2"/>
        <v>100</v>
      </c>
      <c r="X9" s="772"/>
      <c r="Y9" s="303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0"/>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0"/>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2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2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20"/>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2551</v>
      </c>
      <c r="Q15" s="1812" t="str">
        <f t="shared" si="6"/>
        <v>产业集聚程度</v>
      </c>
      <c r="R15" s="774" t="s">
        <v>17</v>
      </c>
      <c r="S15" s="775">
        <f t="shared" si="0"/>
        <v>100</v>
      </c>
      <c r="T15" s="774" t="s">
        <v>17</v>
      </c>
      <c r="U15" s="775">
        <f t="shared" si="1"/>
        <v>100</v>
      </c>
      <c r="V15" s="774" t="s">
        <v>17</v>
      </c>
      <c r="W15" s="775">
        <f t="shared" si="2"/>
        <v>100</v>
      </c>
      <c r="X15" s="1815"/>
      <c r="Y15" s="3222"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3"/>
      <c r="Q16" s="1812"/>
      <c r="R16" s="774"/>
      <c r="S16" s="775"/>
      <c r="T16" s="774"/>
      <c r="U16" s="775"/>
      <c r="V16" s="774"/>
      <c r="W16" s="775"/>
      <c r="X16" s="1815"/>
      <c r="Y16" s="3223"/>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23"/>
      <c r="Q18" s="1812"/>
      <c r="R18" s="774"/>
      <c r="S18" s="775"/>
      <c r="T18" s="774"/>
      <c r="U18" s="775"/>
      <c r="V18" s="774"/>
      <c r="W18" s="775"/>
      <c r="X18" s="1815"/>
      <c r="Y18" s="3223"/>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2" t="str">
        <f>B19</f>
        <v>公共配套设施</v>
      </c>
      <c r="R19" s="774" t="s">
        <v>17</v>
      </c>
      <c r="S19" s="775">
        <f>F19</f>
        <v>100</v>
      </c>
      <c r="T19" s="774" t="s">
        <v>17</v>
      </c>
      <c r="U19" s="775">
        <f>H19</f>
        <v>100</v>
      </c>
      <c r="V19" s="774" t="s">
        <v>17</v>
      </c>
      <c r="W19" s="775">
        <f>J19</f>
        <v>100</v>
      </c>
      <c r="X19" s="1815"/>
      <c r="Y19" s="3223"/>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23"/>
      <c r="Q20" s="1812"/>
      <c r="R20" s="774"/>
      <c r="S20" s="775"/>
      <c r="T20" s="774"/>
      <c r="U20" s="775"/>
      <c r="V20" s="774"/>
      <c r="W20" s="775"/>
      <c r="X20" s="1815"/>
      <c r="Y20" s="3223"/>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2" t="str">
        <f>B21</f>
        <v>基础设施水平</v>
      </c>
      <c r="R21" s="774" t="s">
        <v>17</v>
      </c>
      <c r="S21" s="775">
        <f>F21</f>
        <v>100</v>
      </c>
      <c r="T21" s="774" t="s">
        <v>17</v>
      </c>
      <c r="U21" s="775">
        <f>H21</f>
        <v>100</v>
      </c>
      <c r="V21" s="774" t="s">
        <v>17</v>
      </c>
      <c r="W21" s="775">
        <f>J21</f>
        <v>100</v>
      </c>
      <c r="X21" s="1815"/>
      <c r="Y21" s="3223"/>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223"/>
      <c r="Q22" s="1812"/>
      <c r="R22" s="774"/>
      <c r="S22" s="775"/>
      <c r="T22" s="774"/>
      <c r="U22" s="775"/>
      <c r="V22" s="774"/>
      <c r="W22" s="775"/>
      <c r="X22" s="1815"/>
      <c r="Y22" s="3223"/>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2" t="str">
        <f>B23</f>
        <v>环境质量</v>
      </c>
      <c r="R23" s="774" t="s">
        <v>17</v>
      </c>
      <c r="S23" s="775">
        <f>F23</f>
        <v>100</v>
      </c>
      <c r="T23" s="774" t="s">
        <v>17</v>
      </c>
      <c r="U23" s="775">
        <f>H23</f>
        <v>100</v>
      </c>
      <c r="V23" s="774" t="s">
        <v>17</v>
      </c>
      <c r="W23" s="775">
        <f>J23</f>
        <v>100</v>
      </c>
      <c r="X23" s="1815"/>
      <c r="Y23" s="3223"/>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223"/>
      <c r="Q24" s="1812"/>
      <c r="R24" s="774"/>
      <c r="S24" s="775"/>
      <c r="T24" s="774"/>
      <c r="U24" s="775"/>
      <c r="V24" s="774"/>
      <c r="W24" s="775"/>
      <c r="X24" s="1815"/>
      <c r="Y24" s="322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2">
        <f>B25</f>
        <v>111</v>
      </c>
      <c r="R25" s="774" t="s">
        <v>17</v>
      </c>
      <c r="S25" s="775">
        <f>F25</f>
        <v>100</v>
      </c>
      <c r="T25" s="774" t="s">
        <v>17</v>
      </c>
      <c r="U25" s="775">
        <f>H25</f>
        <v>100</v>
      </c>
      <c r="V25" s="774" t="s">
        <v>17</v>
      </c>
      <c r="W25" s="775">
        <f>J25</f>
        <v>100</v>
      </c>
      <c r="X25" s="1815"/>
      <c r="Y25" s="322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2">
        <f t="shared" ref="Q26:Q40" si="11">B26</f>
        <v>111</v>
      </c>
      <c r="R26" s="774" t="s">
        <v>17</v>
      </c>
      <c r="S26" s="775">
        <f>F26</f>
        <v>100</v>
      </c>
      <c r="T26" s="774" t="s">
        <v>17</v>
      </c>
      <c r="U26" s="775">
        <f>H26</f>
        <v>100</v>
      </c>
      <c r="V26" s="774" t="s">
        <v>17</v>
      </c>
      <c r="W26" s="775">
        <f>J26</f>
        <v>100</v>
      </c>
      <c r="X26" s="1815"/>
      <c r="Y26" s="322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7">
        <f t="shared" si="11"/>
        <v>111</v>
      </c>
      <c r="R27" s="770" t="s">
        <v>17</v>
      </c>
      <c r="S27" s="771">
        <f>F27</f>
        <v>100</v>
      </c>
      <c r="T27" s="770" t="s">
        <v>17</v>
      </c>
      <c r="U27" s="771">
        <f>H27</f>
        <v>100</v>
      </c>
      <c r="V27" s="770" t="s">
        <v>17</v>
      </c>
      <c r="W27" s="771">
        <f>J27</f>
        <v>100</v>
      </c>
      <c r="X27" s="772"/>
      <c r="Y27" s="322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2">
        <f t="shared" si="11"/>
        <v>111</v>
      </c>
      <c r="R28" s="774" t="s">
        <v>17</v>
      </c>
      <c r="S28" s="775">
        <f t="shared" ref="S28:S40" si="12">F28</f>
        <v>100</v>
      </c>
      <c r="T28" s="774" t="s">
        <v>17</v>
      </c>
      <c r="U28" s="775">
        <f t="shared" ref="U28:U40" si="13">H28</f>
        <v>100</v>
      </c>
      <c r="V28" s="774" t="s">
        <v>17</v>
      </c>
      <c r="W28" s="775">
        <f t="shared" ref="W28:W40" si="14">J28</f>
        <v>100</v>
      </c>
      <c r="X28" s="1815"/>
      <c r="Y28" s="3223"/>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6" t="s">
        <v>2556</v>
      </c>
      <c r="Q29" s="1812" t="str">
        <f t="shared" si="11"/>
        <v>建筑类型</v>
      </c>
      <c r="R29" s="774" t="s">
        <v>17</v>
      </c>
      <c r="S29" s="775">
        <f t="shared" si="12"/>
        <v>100</v>
      </c>
      <c r="T29" s="774" t="s">
        <v>17</v>
      </c>
      <c r="U29" s="775">
        <f t="shared" si="13"/>
        <v>100</v>
      </c>
      <c r="V29" s="774" t="s">
        <v>17</v>
      </c>
      <c r="W29" s="775">
        <f t="shared" si="14"/>
        <v>100</v>
      </c>
      <c r="X29" s="1815"/>
      <c r="Y29" s="3227"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2" t="str">
        <f t="shared" si="11"/>
        <v>建筑结构</v>
      </c>
      <c r="R31" s="774" t="s">
        <v>17</v>
      </c>
      <c r="S31" s="775">
        <f t="shared" si="12"/>
        <v>100</v>
      </c>
      <c r="T31" s="774" t="s">
        <v>17</v>
      </c>
      <c r="U31" s="775">
        <f t="shared" si="13"/>
        <v>100</v>
      </c>
      <c r="V31" s="774" t="s">
        <v>17</v>
      </c>
      <c r="W31" s="775">
        <f t="shared" si="14"/>
        <v>100</v>
      </c>
      <c r="X31" s="1815"/>
      <c r="Y31" s="3227"/>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2" t="str">
        <f t="shared" si="11"/>
        <v>公共部分装修</v>
      </c>
      <c r="R32" s="774" t="s">
        <v>17</v>
      </c>
      <c r="S32" s="775">
        <f t="shared" si="12"/>
        <v>100</v>
      </c>
      <c r="T32" s="774" t="s">
        <v>17</v>
      </c>
      <c r="U32" s="775">
        <f t="shared" si="13"/>
        <v>100</v>
      </c>
      <c r="V32" s="774" t="s">
        <v>17</v>
      </c>
      <c r="W32" s="775">
        <f t="shared" si="14"/>
        <v>100</v>
      </c>
      <c r="X32" s="1815"/>
      <c r="Y32" s="3227"/>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2" t="str">
        <f t="shared" si="11"/>
        <v>成新度</v>
      </c>
      <c r="R33" s="774" t="s">
        <v>17</v>
      </c>
      <c r="S33" s="775" t="e">
        <f t="shared" si="12"/>
        <v>#N/A</v>
      </c>
      <c r="T33" s="774" t="s">
        <v>17</v>
      </c>
      <c r="U33" s="775" t="e">
        <f t="shared" si="13"/>
        <v>#N/A</v>
      </c>
      <c r="V33" s="774" t="s">
        <v>17</v>
      </c>
      <c r="W33" s="775" t="e">
        <f t="shared" si="14"/>
        <v>#N/A</v>
      </c>
      <c r="X33" s="1815"/>
      <c r="Y33" s="3227"/>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7"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2556</v>
      </c>
      <c r="Q35" s="1812" t="str">
        <f t="shared" si="11"/>
        <v>市政基础设施</v>
      </c>
      <c r="R35" s="774" t="s">
        <v>17</v>
      </c>
      <c r="S35" s="775">
        <f t="shared" si="12"/>
        <v>100</v>
      </c>
      <c r="T35" s="774" t="s">
        <v>17</v>
      </c>
      <c r="U35" s="775">
        <f t="shared" si="13"/>
        <v>100</v>
      </c>
      <c r="V35" s="774" t="s">
        <v>17</v>
      </c>
      <c r="W35" s="775">
        <f t="shared" si="14"/>
        <v>100</v>
      </c>
      <c r="X35" s="1815"/>
      <c r="Y35" s="3227"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2" t="str">
        <f t="shared" si="11"/>
        <v>内部装修</v>
      </c>
      <c r="R36" s="774" t="s">
        <v>17</v>
      </c>
      <c r="S36" s="775">
        <f t="shared" si="12"/>
        <v>100</v>
      </c>
      <c r="T36" s="774" t="s">
        <v>17</v>
      </c>
      <c r="U36" s="775">
        <f t="shared" si="13"/>
        <v>100</v>
      </c>
      <c r="V36" s="774" t="s">
        <v>17</v>
      </c>
      <c r="W36" s="775">
        <f t="shared" si="14"/>
        <v>100</v>
      </c>
      <c r="X36" s="1815"/>
      <c r="Y36" s="3227"/>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2" t="str">
        <f t="shared" si="11"/>
        <v>内部装修状况</v>
      </c>
      <c r="R37" s="774" t="s">
        <v>17</v>
      </c>
      <c r="S37" s="775">
        <f t="shared" si="12"/>
        <v>100</v>
      </c>
      <c r="T37" s="774" t="s">
        <v>17</v>
      </c>
      <c r="U37" s="775">
        <f t="shared" si="13"/>
        <v>100</v>
      </c>
      <c r="V37" s="774" t="s">
        <v>17</v>
      </c>
      <c r="W37" s="775">
        <f t="shared" si="14"/>
        <v>100</v>
      </c>
      <c r="X37" s="1815"/>
      <c r="Y37" s="322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2">
        <f t="shared" si="11"/>
        <v>111</v>
      </c>
      <c r="R39" s="774" t="s">
        <v>17</v>
      </c>
      <c r="S39" s="775">
        <f t="shared" si="12"/>
        <v>100</v>
      </c>
      <c r="T39" s="774" t="s">
        <v>17</v>
      </c>
      <c r="U39" s="775">
        <f t="shared" si="13"/>
        <v>100</v>
      </c>
      <c r="V39" s="774" t="s">
        <v>17</v>
      </c>
      <c r="W39" s="775">
        <f t="shared" si="14"/>
        <v>100</v>
      </c>
      <c r="X39" s="1815"/>
      <c r="Y39" s="3227"/>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2018年8月29日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190" t="s">
        <v>2638</v>
      </c>
      <c r="S4" s="3191"/>
      <c r="T4" s="3190" t="s">
        <v>2639</v>
      </c>
      <c r="U4" s="3191"/>
      <c r="V4" s="3215" t="s">
        <v>2640</v>
      </c>
      <c r="W4" s="3215"/>
      <c r="X4" s="1815"/>
      <c r="Y4" s="3190" t="s">
        <v>2642</v>
      </c>
      <c r="Z4" s="3191"/>
      <c r="AA4" s="3185" t="s">
        <v>2638</v>
      </c>
      <c r="AB4" s="3186" t="s">
        <v>2639</v>
      </c>
      <c r="AC4" s="3185" t="s">
        <v>2640</v>
      </c>
    </row>
    <row r="5" spans="1:29" ht="15">
      <c r="A5" s="404"/>
      <c r="B5" s="405"/>
      <c r="C5" s="3196" t="s">
        <v>2533</v>
      </c>
      <c r="D5" s="3197"/>
      <c r="E5" s="3194" t="s">
        <v>2534</v>
      </c>
      <c r="F5" s="3195"/>
      <c r="G5" s="3196" t="s">
        <v>2535</v>
      </c>
      <c r="H5" s="3197"/>
      <c r="I5" s="3196" t="s">
        <v>2536</v>
      </c>
      <c r="J5" s="3197"/>
      <c r="K5" s="610"/>
      <c r="L5" s="1133"/>
      <c r="M5" s="1134"/>
      <c r="N5" s="1134"/>
      <c r="O5" s="1134"/>
      <c r="P5" s="3209"/>
      <c r="Q5" s="3210"/>
      <c r="R5" s="3192"/>
      <c r="S5" s="3193"/>
      <c r="T5" s="3192"/>
      <c r="U5" s="3193"/>
      <c r="V5" s="3215"/>
      <c r="W5" s="3215"/>
      <c r="X5" s="1815"/>
      <c r="Y5" s="3192"/>
      <c r="Z5" s="3193"/>
      <c r="AA5" s="3186"/>
      <c r="AB5" s="3186"/>
      <c r="AC5" s="3186"/>
    </row>
    <row r="6" spans="1:29" ht="15.75" thickBot="1">
      <c r="A6" s="406"/>
      <c r="B6" s="407"/>
      <c r="C6" s="3198" t="s">
        <v>2537</v>
      </c>
      <c r="D6" s="3199"/>
      <c r="E6" s="3200" t="s">
        <v>2537</v>
      </c>
      <c r="F6" s="3201"/>
      <c r="G6" s="3198" t="s">
        <v>2537</v>
      </c>
      <c r="H6" s="3199"/>
      <c r="I6" s="3198" t="s">
        <v>2537</v>
      </c>
      <c r="J6" s="3199"/>
      <c r="K6" s="610" t="s">
        <v>2538</v>
      </c>
      <c r="L6" s="1133"/>
      <c r="M6" s="1134"/>
      <c r="N6" s="1134"/>
      <c r="O6" s="1134"/>
      <c r="P6" s="3211"/>
      <c r="Q6" s="3212"/>
      <c r="R6" s="3192"/>
      <c r="S6" s="3193"/>
      <c r="T6" s="3213"/>
      <c r="U6" s="3214"/>
      <c r="V6" s="3215"/>
      <c r="W6" s="3215"/>
      <c r="X6" s="1815"/>
      <c r="Y6" s="3213"/>
      <c r="Z6" s="3214"/>
      <c r="AA6" s="3187"/>
      <c r="AB6" s="3187"/>
      <c r="AC6" s="3187"/>
    </row>
    <row r="7" spans="1:29" s="117" customFormat="1" ht="15.75" thickBot="1">
      <c r="A7" s="408" t="s">
        <v>2539</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8" t="s">
        <v>2540</v>
      </c>
      <c r="Q7" s="3216"/>
      <c r="R7" s="770" t="s">
        <v>17</v>
      </c>
      <c r="S7" s="771">
        <f t="shared" ref="S7:S14" si="0">F7</f>
        <v>0</v>
      </c>
      <c r="T7" s="770" t="s">
        <v>17</v>
      </c>
      <c r="U7" s="771">
        <f t="shared" ref="U7:U14" si="1">H7</f>
        <v>0</v>
      </c>
      <c r="V7" s="770" t="s">
        <v>17</v>
      </c>
      <c r="W7" s="771">
        <f t="shared" ref="W7:W14" si="2">J7</f>
        <v>0</v>
      </c>
      <c r="X7" s="772"/>
      <c r="Y7" s="3188" t="s">
        <v>2540</v>
      </c>
      <c r="Z7" s="318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8" t="s">
        <v>2543</v>
      </c>
      <c r="Q8" s="3189"/>
      <c r="R8" s="770" t="s">
        <v>17</v>
      </c>
      <c r="S8" s="771">
        <f t="shared" si="0"/>
        <v>0</v>
      </c>
      <c r="T8" s="770" t="s">
        <v>17</v>
      </c>
      <c r="U8" s="771">
        <f t="shared" si="1"/>
        <v>0</v>
      </c>
      <c r="V8" s="770" t="s">
        <v>17</v>
      </c>
      <c r="W8" s="771">
        <f t="shared" si="2"/>
        <v>0</v>
      </c>
      <c r="X8" s="772"/>
      <c r="Y8" s="3188" t="s">
        <v>2543</v>
      </c>
      <c r="Z8" s="318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0" t="s">
        <v>2546</v>
      </c>
      <c r="Q9" s="1797" t="str">
        <f t="shared" ref="Q9:Q14" si="6">B9</f>
        <v>用途</v>
      </c>
      <c r="R9" s="770" t="s">
        <v>17</v>
      </c>
      <c r="S9" s="771">
        <f t="shared" si="0"/>
        <v>100</v>
      </c>
      <c r="T9" s="770" t="s">
        <v>17</v>
      </c>
      <c r="U9" s="771">
        <f t="shared" si="1"/>
        <v>100</v>
      </c>
      <c r="V9" s="770" t="s">
        <v>17</v>
      </c>
      <c r="W9" s="771">
        <f t="shared" si="2"/>
        <v>100</v>
      </c>
      <c r="X9" s="772"/>
      <c r="Y9" s="3035"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0"/>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0"/>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2551</v>
      </c>
      <c r="Q14" s="1812" t="str">
        <f t="shared" si="6"/>
        <v>交通便捷度</v>
      </c>
      <c r="R14" s="774" t="s">
        <v>17</v>
      </c>
      <c r="S14" s="775">
        <f t="shared" si="0"/>
        <v>100</v>
      </c>
      <c r="T14" s="774" t="s">
        <v>17</v>
      </c>
      <c r="U14" s="775">
        <f t="shared" si="1"/>
        <v>100</v>
      </c>
      <c r="V14" s="774" t="s">
        <v>17</v>
      </c>
      <c r="W14" s="775">
        <f t="shared" si="2"/>
        <v>100</v>
      </c>
      <c r="X14" s="1815"/>
      <c r="Y14" s="3222"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3"/>
      <c r="Q15" s="1812"/>
      <c r="R15" s="774"/>
      <c r="S15" s="775"/>
      <c r="T15" s="774"/>
      <c r="U15" s="775"/>
      <c r="V15" s="774"/>
      <c r="W15" s="775"/>
      <c r="X15" s="1815"/>
      <c r="Y15" s="3223"/>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2" t="str">
        <f>B16</f>
        <v>公共配套设施</v>
      </c>
      <c r="R16" s="774" t="s">
        <v>17</v>
      </c>
      <c r="S16" s="775">
        <f>F16</f>
        <v>100</v>
      </c>
      <c r="T16" s="774" t="s">
        <v>17</v>
      </c>
      <c r="U16" s="775">
        <f>H16</f>
        <v>100</v>
      </c>
      <c r="V16" s="774" t="s">
        <v>17</v>
      </c>
      <c r="W16" s="775">
        <f>J16</f>
        <v>100</v>
      </c>
      <c r="X16" s="1815"/>
      <c r="Y16" s="3223"/>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23"/>
      <c r="Q17" s="1812"/>
      <c r="R17" s="774"/>
      <c r="S17" s="775"/>
      <c r="T17" s="774"/>
      <c r="U17" s="775"/>
      <c r="V17" s="774"/>
      <c r="W17" s="775"/>
      <c r="X17" s="1815"/>
      <c r="Y17" s="3223"/>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2" t="str">
        <f>B18</f>
        <v>基础设施水平</v>
      </c>
      <c r="R18" s="774" t="s">
        <v>17</v>
      </c>
      <c r="S18" s="775">
        <f>F18</f>
        <v>100</v>
      </c>
      <c r="T18" s="774" t="s">
        <v>17</v>
      </c>
      <c r="U18" s="775">
        <f>H18</f>
        <v>100</v>
      </c>
      <c r="V18" s="774" t="s">
        <v>17</v>
      </c>
      <c r="W18" s="775">
        <f>J18</f>
        <v>100</v>
      </c>
      <c r="X18" s="1815"/>
      <c r="Y18" s="3223"/>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223"/>
      <c r="Q19" s="1812"/>
      <c r="R19" s="774"/>
      <c r="S19" s="775"/>
      <c r="T19" s="774"/>
      <c r="U19" s="775"/>
      <c r="V19" s="774"/>
      <c r="W19" s="775"/>
      <c r="X19" s="1815"/>
      <c r="Y19" s="3223"/>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2" t="str">
        <f>B20</f>
        <v>自然及人文环境</v>
      </c>
      <c r="R20" s="774" t="s">
        <v>17</v>
      </c>
      <c r="S20" s="775">
        <f>F20</f>
        <v>100</v>
      </c>
      <c r="T20" s="774" t="s">
        <v>17</v>
      </c>
      <c r="U20" s="775">
        <f>H20</f>
        <v>100</v>
      </c>
      <c r="V20" s="774" t="s">
        <v>17</v>
      </c>
      <c r="W20" s="775">
        <f>J20</f>
        <v>100</v>
      </c>
      <c r="X20" s="1815"/>
      <c r="Y20" s="322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3"/>
      <c r="Q21" s="1812"/>
      <c r="R21" s="774"/>
      <c r="S21" s="775"/>
      <c r="T21" s="774"/>
      <c r="U21" s="775"/>
      <c r="V21" s="774"/>
      <c r="W21" s="775"/>
      <c r="X21" s="1815"/>
      <c r="Y21" s="3223"/>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2" t="str">
        <f>B22</f>
        <v>楼层</v>
      </c>
      <c r="R22" s="774" t="s">
        <v>17</v>
      </c>
      <c r="S22" s="775">
        <f>F22</f>
        <v>100</v>
      </c>
      <c r="T22" s="774" t="s">
        <v>17</v>
      </c>
      <c r="U22" s="775">
        <f>H22</f>
        <v>100</v>
      </c>
      <c r="V22" s="774" t="s">
        <v>17</v>
      </c>
      <c r="W22" s="775">
        <f>J22</f>
        <v>100</v>
      </c>
      <c r="X22" s="1815"/>
      <c r="Y22" s="322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2">
        <f>B23</f>
        <v>111</v>
      </c>
      <c r="R23" s="774" t="s">
        <v>17</v>
      </c>
      <c r="S23" s="775">
        <f>F23</f>
        <v>100</v>
      </c>
      <c r="T23" s="774" t="s">
        <v>17</v>
      </c>
      <c r="U23" s="775">
        <f>H23</f>
        <v>100</v>
      </c>
      <c r="V23" s="774" t="s">
        <v>17</v>
      </c>
      <c r="W23" s="775">
        <f>J23</f>
        <v>100</v>
      </c>
      <c r="X23" s="1815"/>
      <c r="Y23" s="322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2">
        <f t="shared" ref="Q24:Q36" si="11">B24</f>
        <v>111</v>
      </c>
      <c r="R24" s="774" t="s">
        <v>17</v>
      </c>
      <c r="S24" s="775">
        <f>F24</f>
        <v>100</v>
      </c>
      <c r="T24" s="774" t="s">
        <v>17</v>
      </c>
      <c r="U24" s="775">
        <f>H24</f>
        <v>100</v>
      </c>
      <c r="V24" s="774" t="s">
        <v>17</v>
      </c>
      <c r="W24" s="775">
        <f>J24</f>
        <v>100</v>
      </c>
      <c r="X24" s="1815"/>
      <c r="Y24" s="322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7">
        <f t="shared" si="11"/>
        <v>111</v>
      </c>
      <c r="R25" s="770" t="s">
        <v>17</v>
      </c>
      <c r="S25" s="771">
        <f>F25</f>
        <v>100</v>
      </c>
      <c r="T25" s="770" t="s">
        <v>17</v>
      </c>
      <c r="U25" s="771">
        <f>H25</f>
        <v>100</v>
      </c>
      <c r="V25" s="770" t="s">
        <v>17</v>
      </c>
      <c r="W25" s="771">
        <f>J25</f>
        <v>100</v>
      </c>
      <c r="X25" s="772"/>
      <c r="Y25" s="3223"/>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7"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2" t="str">
        <f t="shared" si="11"/>
        <v>公共部分装修</v>
      </c>
      <c r="R28" s="774" t="s">
        <v>17</v>
      </c>
      <c r="S28" s="775">
        <f t="shared" si="12"/>
        <v>100</v>
      </c>
      <c r="T28" s="774" t="s">
        <v>17</v>
      </c>
      <c r="U28" s="775">
        <f t="shared" si="13"/>
        <v>100</v>
      </c>
      <c r="V28" s="774" t="s">
        <v>17</v>
      </c>
      <c r="W28" s="775">
        <f t="shared" si="14"/>
        <v>100</v>
      </c>
      <c r="X28" s="1815"/>
      <c r="Y28" s="3227"/>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2" t="str">
        <f t="shared" si="11"/>
        <v>成新率</v>
      </c>
      <c r="R29" s="774" t="s">
        <v>17</v>
      </c>
      <c r="S29" s="775" t="e">
        <f t="shared" si="12"/>
        <v>#N/A</v>
      </c>
      <c r="T29" s="774" t="s">
        <v>17</v>
      </c>
      <c r="U29" s="775" t="e">
        <f t="shared" si="13"/>
        <v>#N/A</v>
      </c>
      <c r="V29" s="774" t="s">
        <v>17</v>
      </c>
      <c r="W29" s="775" t="e">
        <f t="shared" si="14"/>
        <v>#N/A</v>
      </c>
      <c r="X29" s="1815"/>
      <c r="Y29" s="3227"/>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2" t="str">
        <f t="shared" si="11"/>
        <v>物业等级</v>
      </c>
      <c r="R30" s="774" t="s">
        <v>17</v>
      </c>
      <c r="S30" s="775">
        <f t="shared" si="12"/>
        <v>100</v>
      </c>
      <c r="T30" s="774" t="s">
        <v>17</v>
      </c>
      <c r="U30" s="775">
        <f t="shared" si="13"/>
        <v>100</v>
      </c>
      <c r="V30" s="774" t="s">
        <v>17</v>
      </c>
      <c r="W30" s="775">
        <f t="shared" si="14"/>
        <v>100</v>
      </c>
      <c r="X30" s="1815"/>
      <c r="Y30" s="3227"/>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7"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2556</v>
      </c>
      <c r="Q32" s="1812" t="str">
        <f t="shared" si="11"/>
        <v>车位类型</v>
      </c>
      <c r="R32" s="774" t="s">
        <v>17</v>
      </c>
      <c r="S32" s="775">
        <f t="shared" si="12"/>
        <v>100</v>
      </c>
      <c r="T32" s="774" t="s">
        <v>17</v>
      </c>
      <c r="U32" s="775">
        <f t="shared" si="13"/>
        <v>100</v>
      </c>
      <c r="V32" s="774" t="s">
        <v>17</v>
      </c>
      <c r="W32" s="775">
        <f t="shared" si="14"/>
        <v>100</v>
      </c>
      <c r="X32" s="1815"/>
      <c r="Y32" s="3227"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2" t="str">
        <f t="shared" si="11"/>
        <v>是否直接入户</v>
      </c>
      <c r="R33" s="774" t="s">
        <v>17</v>
      </c>
      <c r="S33" s="775">
        <f t="shared" si="12"/>
        <v>100</v>
      </c>
      <c r="T33" s="774" t="s">
        <v>17</v>
      </c>
      <c r="U33" s="775">
        <f t="shared" si="13"/>
        <v>100</v>
      </c>
      <c r="V33" s="774" t="s">
        <v>17</v>
      </c>
      <c r="W33" s="775">
        <f t="shared" si="14"/>
        <v>100</v>
      </c>
      <c r="X33" s="1815"/>
      <c r="Y33" s="322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2">
        <f t="shared" si="11"/>
        <v>111</v>
      </c>
      <c r="R34" s="774" t="s">
        <v>17</v>
      </c>
      <c r="S34" s="775">
        <f t="shared" si="12"/>
        <v>100</v>
      </c>
      <c r="T34" s="774" t="s">
        <v>17</v>
      </c>
      <c r="U34" s="775">
        <f t="shared" si="13"/>
        <v>100</v>
      </c>
      <c r="V34" s="774" t="s">
        <v>17</v>
      </c>
      <c r="W34" s="775">
        <f t="shared" si="14"/>
        <v>100</v>
      </c>
      <c r="X34" s="1815"/>
      <c r="Y34" s="322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2">
        <f t="shared" si="11"/>
        <v>111</v>
      </c>
      <c r="R36" s="774" t="s">
        <v>17</v>
      </c>
      <c r="S36" s="775">
        <f t="shared" si="12"/>
        <v>100</v>
      </c>
      <c r="T36" s="774" t="s">
        <v>17</v>
      </c>
      <c r="U36" s="775">
        <f t="shared" si="13"/>
        <v>100</v>
      </c>
      <c r="V36" s="774" t="s">
        <v>17</v>
      </c>
      <c r="W36" s="775">
        <f t="shared" si="14"/>
        <v>100</v>
      </c>
      <c r="X36" s="1815"/>
      <c r="Y36" s="3227"/>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190" t="s">
        <v>2638</v>
      </c>
      <c r="S4" s="3191"/>
      <c r="T4" s="3190" t="s">
        <v>2639</v>
      </c>
      <c r="U4" s="3191"/>
      <c r="V4" s="3215" t="s">
        <v>2640</v>
      </c>
      <c r="W4" s="3215"/>
      <c r="X4" s="1815"/>
      <c r="Y4" s="3190" t="s">
        <v>2642</v>
      </c>
      <c r="Z4" s="3191"/>
      <c r="AA4" s="3185" t="s">
        <v>2638</v>
      </c>
      <c r="AB4" s="3186" t="s">
        <v>2639</v>
      </c>
      <c r="AC4" s="3185" t="s">
        <v>2640</v>
      </c>
    </row>
    <row r="5" spans="1:29" ht="15">
      <c r="A5" s="404"/>
      <c r="B5" s="405"/>
      <c r="C5" s="3196" t="s">
        <v>2533</v>
      </c>
      <c r="D5" s="3197"/>
      <c r="E5" s="3194" t="s">
        <v>2534</v>
      </c>
      <c r="F5" s="3195"/>
      <c r="G5" s="3196" t="s">
        <v>2535</v>
      </c>
      <c r="H5" s="3197"/>
      <c r="I5" s="3196" t="s">
        <v>2536</v>
      </c>
      <c r="J5" s="3197"/>
      <c r="K5" s="610"/>
      <c r="L5" s="1133"/>
      <c r="M5" s="1134"/>
      <c r="N5" s="1134"/>
      <c r="O5" s="1134"/>
      <c r="P5" s="3209"/>
      <c r="Q5" s="3210"/>
      <c r="R5" s="3192"/>
      <c r="S5" s="3193"/>
      <c r="T5" s="3192"/>
      <c r="U5" s="3193"/>
      <c r="V5" s="3215"/>
      <c r="W5" s="3215"/>
      <c r="X5" s="1815"/>
      <c r="Y5" s="3192"/>
      <c r="Z5" s="3193"/>
      <c r="AA5" s="3186"/>
      <c r="AB5" s="3186"/>
      <c r="AC5" s="3186"/>
    </row>
    <row r="6" spans="1:29" ht="15.75" thickBot="1">
      <c r="A6" s="406"/>
      <c r="B6" s="407"/>
      <c r="C6" s="3198" t="s">
        <v>2537</v>
      </c>
      <c r="D6" s="3199"/>
      <c r="E6" s="3200" t="s">
        <v>2537</v>
      </c>
      <c r="F6" s="3201"/>
      <c r="G6" s="3198" t="s">
        <v>2537</v>
      </c>
      <c r="H6" s="3199"/>
      <c r="I6" s="3198" t="s">
        <v>2537</v>
      </c>
      <c r="J6" s="3199"/>
      <c r="K6" s="610" t="s">
        <v>2538</v>
      </c>
      <c r="L6" s="1133"/>
      <c r="M6" s="1134"/>
      <c r="N6" s="1134"/>
      <c r="O6" s="1134"/>
      <c r="P6" s="3211"/>
      <c r="Q6" s="3212"/>
      <c r="R6" s="3192"/>
      <c r="S6" s="3193"/>
      <c r="T6" s="3213"/>
      <c r="U6" s="3214"/>
      <c r="V6" s="3215"/>
      <c r="W6" s="3215"/>
      <c r="X6" s="1815"/>
      <c r="Y6" s="3213"/>
      <c r="Z6" s="3214"/>
      <c r="AA6" s="3187"/>
      <c r="AB6" s="3187"/>
      <c r="AC6" s="3187"/>
    </row>
    <row r="7" spans="1:29" s="117" customFormat="1" ht="15.75" thickBot="1">
      <c r="A7" s="408" t="s">
        <v>2539</v>
      </c>
      <c r="B7" s="409"/>
      <c r="C7" s="410">
        <f>'数据-取费表'!B2</f>
        <v>43341</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8" t="s">
        <v>2540</v>
      </c>
      <c r="Q7" s="3216"/>
      <c r="R7" s="770" t="s">
        <v>17</v>
      </c>
      <c r="S7" s="771">
        <f t="shared" ref="S7:S14" si="0">F7</f>
        <v>0</v>
      </c>
      <c r="T7" s="770" t="s">
        <v>17</v>
      </c>
      <c r="U7" s="771">
        <f t="shared" ref="U7:U14" si="1">H7</f>
        <v>0</v>
      </c>
      <c r="V7" s="770" t="s">
        <v>17</v>
      </c>
      <c r="W7" s="771">
        <f t="shared" ref="W7:W14" si="2">J7</f>
        <v>0</v>
      </c>
      <c r="X7" s="772"/>
      <c r="Y7" s="3188" t="s">
        <v>2540</v>
      </c>
      <c r="Z7" s="318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8" t="s">
        <v>2543</v>
      </c>
      <c r="Q8" s="3189"/>
      <c r="R8" s="770" t="s">
        <v>17</v>
      </c>
      <c r="S8" s="771">
        <f t="shared" si="0"/>
        <v>0</v>
      </c>
      <c r="T8" s="770" t="s">
        <v>17</v>
      </c>
      <c r="U8" s="771">
        <f t="shared" si="1"/>
        <v>0</v>
      </c>
      <c r="V8" s="770" t="s">
        <v>17</v>
      </c>
      <c r="W8" s="771">
        <f t="shared" si="2"/>
        <v>0</v>
      </c>
      <c r="X8" s="772"/>
      <c r="Y8" s="3188" t="s">
        <v>2543</v>
      </c>
      <c r="Z8" s="318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0" t="s">
        <v>2546</v>
      </c>
      <c r="Q9" s="1797" t="str">
        <f t="shared" ref="Q9:Q14" si="6">B9</f>
        <v>用途</v>
      </c>
      <c r="R9" s="770" t="s">
        <v>17</v>
      </c>
      <c r="S9" s="771">
        <f t="shared" si="0"/>
        <v>100</v>
      </c>
      <c r="T9" s="770" t="s">
        <v>17</v>
      </c>
      <c r="U9" s="771">
        <f t="shared" si="1"/>
        <v>100</v>
      </c>
      <c r="V9" s="770" t="s">
        <v>17</v>
      </c>
      <c r="W9" s="771">
        <f t="shared" si="2"/>
        <v>100</v>
      </c>
      <c r="X9" s="772"/>
      <c r="Y9" s="3035"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0"/>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0"/>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2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2551</v>
      </c>
      <c r="Q14" s="1812" t="str">
        <f t="shared" si="6"/>
        <v>交通便捷度</v>
      </c>
      <c r="R14" s="774" t="s">
        <v>17</v>
      </c>
      <c r="S14" s="775">
        <f t="shared" si="0"/>
        <v>100</v>
      </c>
      <c r="T14" s="774" t="s">
        <v>17</v>
      </c>
      <c r="U14" s="775">
        <f t="shared" si="1"/>
        <v>100</v>
      </c>
      <c r="V14" s="774" t="s">
        <v>17</v>
      </c>
      <c r="W14" s="775">
        <f t="shared" si="2"/>
        <v>100</v>
      </c>
      <c r="X14" s="1815"/>
      <c r="Y14" s="3222"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3"/>
      <c r="Q15" s="1812"/>
      <c r="R15" s="774"/>
      <c r="S15" s="775"/>
      <c r="T15" s="774"/>
      <c r="U15" s="775"/>
      <c r="V15" s="774"/>
      <c r="W15" s="775"/>
      <c r="X15" s="1815"/>
      <c r="Y15" s="3223"/>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2" t="str">
        <f>B16</f>
        <v>公共配套设施</v>
      </c>
      <c r="R16" s="774" t="s">
        <v>17</v>
      </c>
      <c r="S16" s="775">
        <f>F16</f>
        <v>100</v>
      </c>
      <c r="T16" s="774" t="s">
        <v>17</v>
      </c>
      <c r="U16" s="775">
        <f>H16</f>
        <v>100</v>
      </c>
      <c r="V16" s="774" t="s">
        <v>17</v>
      </c>
      <c r="W16" s="775">
        <f>J16</f>
        <v>100</v>
      </c>
      <c r="X16" s="1815"/>
      <c r="Y16" s="3223"/>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23"/>
      <c r="Q17" s="1812"/>
      <c r="R17" s="774"/>
      <c r="S17" s="775"/>
      <c r="T17" s="774"/>
      <c r="U17" s="775"/>
      <c r="V17" s="774"/>
      <c r="W17" s="775"/>
      <c r="X17" s="1815"/>
      <c r="Y17" s="3223"/>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2" t="str">
        <f>B18</f>
        <v>基础设施水平</v>
      </c>
      <c r="R18" s="774" t="s">
        <v>17</v>
      </c>
      <c r="S18" s="775">
        <f>F18</f>
        <v>100</v>
      </c>
      <c r="T18" s="774" t="s">
        <v>17</v>
      </c>
      <c r="U18" s="775">
        <f>H18</f>
        <v>100</v>
      </c>
      <c r="V18" s="774" t="s">
        <v>17</v>
      </c>
      <c r="W18" s="775">
        <f>J18</f>
        <v>100</v>
      </c>
      <c r="X18" s="1815"/>
      <c r="Y18" s="3223"/>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223"/>
      <c r="Q19" s="1812"/>
      <c r="R19" s="774"/>
      <c r="S19" s="775"/>
      <c r="T19" s="774"/>
      <c r="U19" s="775"/>
      <c r="V19" s="774"/>
      <c r="W19" s="775"/>
      <c r="X19" s="1815"/>
      <c r="Y19" s="3223"/>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2" t="str">
        <f>B20</f>
        <v>自然及人文环境</v>
      </c>
      <c r="R20" s="774" t="s">
        <v>17</v>
      </c>
      <c r="S20" s="775">
        <f>F20</f>
        <v>100</v>
      </c>
      <c r="T20" s="774" t="s">
        <v>17</v>
      </c>
      <c r="U20" s="775">
        <f>H20</f>
        <v>100</v>
      </c>
      <c r="V20" s="774" t="s">
        <v>17</v>
      </c>
      <c r="W20" s="775">
        <f>J20</f>
        <v>100</v>
      </c>
      <c r="X20" s="1815"/>
      <c r="Y20" s="322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3"/>
      <c r="Q21" s="1812"/>
      <c r="R21" s="774"/>
      <c r="S21" s="775"/>
      <c r="T21" s="774"/>
      <c r="U21" s="775"/>
      <c r="V21" s="774"/>
      <c r="W21" s="775"/>
      <c r="X21" s="1815"/>
      <c r="Y21" s="3223"/>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2" t="str">
        <f>B22</f>
        <v>楼层</v>
      </c>
      <c r="R22" s="774" t="s">
        <v>17</v>
      </c>
      <c r="S22" s="775">
        <f>F22</f>
        <v>100</v>
      </c>
      <c r="T22" s="774" t="s">
        <v>17</v>
      </c>
      <c r="U22" s="775">
        <f>H22</f>
        <v>100</v>
      </c>
      <c r="V22" s="774" t="s">
        <v>17</v>
      </c>
      <c r="W22" s="775">
        <f>J22</f>
        <v>100</v>
      </c>
      <c r="X22" s="1815"/>
      <c r="Y22" s="3223"/>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2">
        <f>B23</f>
        <v>111</v>
      </c>
      <c r="R23" s="774" t="s">
        <v>17</v>
      </c>
      <c r="S23" s="775">
        <f>F23</f>
        <v>100</v>
      </c>
      <c r="T23" s="774" t="s">
        <v>17</v>
      </c>
      <c r="U23" s="775">
        <f>H23</f>
        <v>100</v>
      </c>
      <c r="V23" s="774" t="s">
        <v>17</v>
      </c>
      <c r="W23" s="775">
        <f>J23</f>
        <v>100</v>
      </c>
      <c r="X23" s="1815"/>
      <c r="Y23" s="3223"/>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2">
        <f t="shared" ref="Q24:Q34" si="11">B24</f>
        <v>111</v>
      </c>
      <c r="R24" s="774" t="s">
        <v>17</v>
      </c>
      <c r="S24" s="775">
        <f>F24</f>
        <v>100</v>
      </c>
      <c r="T24" s="774" t="s">
        <v>17</v>
      </c>
      <c r="U24" s="775">
        <f>H24</f>
        <v>100</v>
      </c>
      <c r="V24" s="774" t="s">
        <v>17</v>
      </c>
      <c r="W24" s="775">
        <f>J24</f>
        <v>100</v>
      </c>
      <c r="X24" s="1815"/>
      <c r="Y24" s="3223"/>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3"/>
      <c r="Q25" s="1797">
        <f t="shared" si="11"/>
        <v>111</v>
      </c>
      <c r="R25" s="770" t="s">
        <v>17</v>
      </c>
      <c r="S25" s="771">
        <f>F25</f>
        <v>100</v>
      </c>
      <c r="T25" s="770" t="s">
        <v>17</v>
      </c>
      <c r="U25" s="771">
        <f>H25</f>
        <v>100</v>
      </c>
      <c r="V25" s="770" t="s">
        <v>17</v>
      </c>
      <c r="W25" s="771">
        <f>J25</f>
        <v>100</v>
      </c>
      <c r="X25" s="772"/>
      <c r="Y25" s="3223"/>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6"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7"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2" t="str">
        <f t="shared" si="11"/>
        <v>物业等级</v>
      </c>
      <c r="R28" s="774" t="s">
        <v>17</v>
      </c>
      <c r="S28" s="775">
        <f t="shared" si="12"/>
        <v>100</v>
      </c>
      <c r="T28" s="774" t="s">
        <v>17</v>
      </c>
      <c r="U28" s="775">
        <f t="shared" si="13"/>
        <v>100</v>
      </c>
      <c r="V28" s="774" t="s">
        <v>17</v>
      </c>
      <c r="W28" s="775">
        <f t="shared" si="14"/>
        <v>100</v>
      </c>
      <c r="X28" s="1815"/>
      <c r="Y28" s="3227"/>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2" t="str">
        <f t="shared" si="11"/>
        <v>有无电梯</v>
      </c>
      <c r="R29" s="774" t="s">
        <v>17</v>
      </c>
      <c r="S29" s="775">
        <f t="shared" si="12"/>
        <v>100</v>
      </c>
      <c r="T29" s="774" t="s">
        <v>17</v>
      </c>
      <c r="U29" s="775">
        <f t="shared" si="13"/>
        <v>100</v>
      </c>
      <c r="V29" s="774" t="s">
        <v>17</v>
      </c>
      <c r="W29" s="775">
        <f t="shared" si="14"/>
        <v>100</v>
      </c>
      <c r="X29" s="1815"/>
      <c r="Y29" s="3227"/>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2" t="str">
        <f t="shared" si="11"/>
        <v>建筑面积</v>
      </c>
      <c r="R30" s="774" t="s">
        <v>17</v>
      </c>
      <c r="S30" s="775" t="e">
        <f t="shared" si="12"/>
        <v>#N/A</v>
      </c>
      <c r="T30" s="774" t="s">
        <v>17</v>
      </c>
      <c r="U30" s="775" t="e">
        <f t="shared" si="13"/>
        <v>#N/A</v>
      </c>
      <c r="V30" s="774" t="s">
        <v>17</v>
      </c>
      <c r="W30" s="775" t="e">
        <f t="shared" si="14"/>
        <v>#N/A</v>
      </c>
      <c r="X30" s="1815"/>
      <c r="Y30" s="3227"/>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7"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2556</v>
      </c>
      <c r="Q32" s="1812">
        <f t="shared" si="11"/>
        <v>111</v>
      </c>
      <c r="R32" s="774" t="s">
        <v>17</v>
      </c>
      <c r="S32" s="775">
        <f t="shared" si="12"/>
        <v>100</v>
      </c>
      <c r="T32" s="774" t="s">
        <v>17</v>
      </c>
      <c r="U32" s="775">
        <f t="shared" si="13"/>
        <v>100</v>
      </c>
      <c r="V32" s="774" t="s">
        <v>17</v>
      </c>
      <c r="W32" s="775">
        <f t="shared" si="14"/>
        <v>100</v>
      </c>
      <c r="X32" s="1815"/>
      <c r="Y32" s="3227"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2">
        <f t="shared" si="11"/>
        <v>111</v>
      </c>
      <c r="R33" s="774" t="s">
        <v>17</v>
      </c>
      <c r="S33" s="775">
        <f t="shared" si="12"/>
        <v>100</v>
      </c>
      <c r="T33" s="774" t="s">
        <v>17</v>
      </c>
      <c r="U33" s="775">
        <f t="shared" si="13"/>
        <v>100</v>
      </c>
      <c r="V33" s="774" t="s">
        <v>17</v>
      </c>
      <c r="W33" s="775">
        <f t="shared" si="14"/>
        <v>100</v>
      </c>
      <c r="X33" s="1815"/>
      <c r="Y33" s="3227"/>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7"/>
      <c r="Q34" s="1812">
        <f t="shared" si="11"/>
        <v>111</v>
      </c>
      <c r="R34" s="774" t="s">
        <v>17</v>
      </c>
      <c r="S34" s="775">
        <f t="shared" si="12"/>
        <v>100</v>
      </c>
      <c r="T34" s="774" t="s">
        <v>17</v>
      </c>
      <c r="U34" s="775">
        <f t="shared" si="13"/>
        <v>100</v>
      </c>
      <c r="V34" s="774" t="s">
        <v>17</v>
      </c>
      <c r="W34" s="775">
        <f t="shared" si="14"/>
        <v>100</v>
      </c>
      <c r="X34" s="1815"/>
      <c r="Y34" s="3227"/>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70" zoomScaleNormal="70" workbookViewId="0">
      <selection activeCell="C21" sqref="C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7802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2016</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190" t="s">
        <v>2638</v>
      </c>
      <c r="S4" s="3191"/>
      <c r="T4" s="3190" t="s">
        <v>2639</v>
      </c>
      <c r="U4" s="3191"/>
      <c r="V4" s="3215" t="s">
        <v>2640</v>
      </c>
      <c r="W4" s="3215"/>
      <c r="X4" s="1815"/>
      <c r="Y4" s="3190" t="s">
        <v>2642</v>
      </c>
      <c r="Z4" s="3191"/>
      <c r="AA4" s="3185" t="s">
        <v>2638</v>
      </c>
      <c r="AB4" s="3186" t="s">
        <v>2639</v>
      </c>
      <c r="AC4" s="3185" t="s">
        <v>2640</v>
      </c>
    </row>
    <row r="5" spans="1:30" ht="15">
      <c r="A5" s="404"/>
      <c r="B5" s="405"/>
      <c r="C5" s="3196" t="s">
        <v>2533</v>
      </c>
      <c r="D5" s="3197"/>
      <c r="E5" s="3194" t="str">
        <f>Sheet1!A3</f>
        <v>观山湖区宾阳大道与体育路交叉口西南、西北两侧</v>
      </c>
      <c r="F5" s="3195"/>
      <c r="G5" s="3196" t="str">
        <f>Sheet1!A4</f>
        <v>观山湖区宾阳大道与体育路交叉口西南、西北两侧</v>
      </c>
      <c r="H5" s="3197"/>
      <c r="I5" s="3196" t="str">
        <f>Sheet1!A6</f>
        <v>观山西路南侧,云潭南路西侧</v>
      </c>
      <c r="J5" s="3197"/>
      <c r="K5" s="610"/>
      <c r="L5" s="1133"/>
      <c r="M5" s="1134"/>
      <c r="N5" s="1134"/>
      <c r="O5" s="1134"/>
      <c r="P5" s="3209"/>
      <c r="Q5" s="3210"/>
      <c r="R5" s="3192"/>
      <c r="S5" s="3193"/>
      <c r="T5" s="3192"/>
      <c r="U5" s="3193"/>
      <c r="V5" s="3215"/>
      <c r="W5" s="3215"/>
      <c r="X5" s="1815"/>
      <c r="Y5" s="3192"/>
      <c r="Z5" s="3193"/>
      <c r="AA5" s="3186"/>
      <c r="AB5" s="3186"/>
      <c r="AC5" s="3186"/>
    </row>
    <row r="6" spans="1:30" ht="15.75" thickBot="1">
      <c r="A6" s="406"/>
      <c r="B6" s="407"/>
      <c r="C6" s="3198" t="s">
        <v>2537</v>
      </c>
      <c r="D6" s="3199"/>
      <c r="E6" s="3200" t="s">
        <v>2537</v>
      </c>
      <c r="F6" s="3201"/>
      <c r="G6" s="3198" t="s">
        <v>2537</v>
      </c>
      <c r="H6" s="3199"/>
      <c r="I6" s="3198" t="s">
        <v>2537</v>
      </c>
      <c r="J6" s="3199"/>
      <c r="K6" s="610" t="s">
        <v>2538</v>
      </c>
      <c r="L6" s="1133"/>
      <c r="M6" s="1134"/>
      <c r="N6" s="1134"/>
      <c r="O6" s="1134"/>
      <c r="P6" s="3211"/>
      <c r="Q6" s="3212"/>
      <c r="R6" s="3192"/>
      <c r="S6" s="3193"/>
      <c r="T6" s="3213"/>
      <c r="U6" s="3214"/>
      <c r="V6" s="3215"/>
      <c r="W6" s="3215"/>
      <c r="X6" s="1815"/>
      <c r="Y6" s="3213"/>
      <c r="Z6" s="3214"/>
      <c r="AA6" s="3187"/>
      <c r="AB6" s="3187"/>
      <c r="AC6" s="3187"/>
    </row>
    <row r="7" spans="1:30" s="117" customFormat="1" ht="15.75" thickBot="1">
      <c r="A7" s="408" t="s">
        <v>2539</v>
      </c>
      <c r="B7" s="409"/>
      <c r="C7" s="410">
        <f>'数据-取费表'!B2</f>
        <v>43341</v>
      </c>
      <c r="D7" s="411">
        <v>100</v>
      </c>
      <c r="E7" s="412" t="str">
        <f>Sheet1!H3</f>
        <v>2018-02-07</v>
      </c>
      <c r="F7" s="413">
        <f>SUMIF(70:70,YEAR(E7)&amp;"-"&amp;INT((MONTH(E7)+2)/3),71:71)</f>
        <v>98</v>
      </c>
      <c r="G7" s="2701" t="str">
        <f>Sheet1!H4</f>
        <v>2018-02-07</v>
      </c>
      <c r="H7" s="411">
        <f>SUMIF(70:70,YEAR(G7)&amp;"-"&amp;INT((MONTH(G7)+2)/3),71:71)</f>
        <v>98</v>
      </c>
      <c r="I7" s="2701" t="str">
        <f>Sheet1!H6</f>
        <v>2017-07-28</v>
      </c>
      <c r="J7" s="411">
        <f>SUMIF(70:70,YEAR(I7)&amp;"-"&amp;INT((MONTH(I7)+2)/3),71:71)</f>
        <v>96</v>
      </c>
      <c r="K7" s="611"/>
      <c r="L7" s="1135"/>
      <c r="M7" s="1136"/>
      <c r="N7" s="1136"/>
      <c r="O7" s="1136"/>
      <c r="P7" s="3188" t="s">
        <v>2540</v>
      </c>
      <c r="Q7" s="3216"/>
      <c r="R7" s="770" t="s">
        <v>17</v>
      </c>
      <c r="S7" s="771">
        <f t="shared" ref="S7:S15" si="0">F7</f>
        <v>98</v>
      </c>
      <c r="T7" s="770" t="s">
        <v>17</v>
      </c>
      <c r="U7" s="771">
        <f t="shared" ref="U7:U15" si="1">H7</f>
        <v>98</v>
      </c>
      <c r="V7" s="770" t="s">
        <v>17</v>
      </c>
      <c r="W7" s="771">
        <f t="shared" ref="W7:W15" si="2">J7</f>
        <v>96</v>
      </c>
      <c r="X7" s="772"/>
      <c r="Y7" s="3188" t="s">
        <v>2540</v>
      </c>
      <c r="Z7" s="3189"/>
      <c r="AA7" s="773">
        <f>D7/F7</f>
        <v>1.0204081632653061</v>
      </c>
      <c r="AB7" s="773">
        <f>D7/H7</f>
        <v>1.0204081632653061</v>
      </c>
      <c r="AC7" s="773">
        <f>D7/J7</f>
        <v>1.0416666666666667</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188" t="s">
        <v>2543</v>
      </c>
      <c r="Q8" s="3189"/>
      <c r="R8" s="770" t="s">
        <v>17</v>
      </c>
      <c r="S8" s="771">
        <f t="shared" si="0"/>
        <v>100</v>
      </c>
      <c r="T8" s="770" t="s">
        <v>17</v>
      </c>
      <c r="U8" s="771">
        <f t="shared" si="1"/>
        <v>100</v>
      </c>
      <c r="V8" s="770" t="s">
        <v>17</v>
      </c>
      <c r="W8" s="771">
        <f t="shared" si="2"/>
        <v>100</v>
      </c>
      <c r="X8" s="772"/>
      <c r="Y8" s="3188" t="s">
        <v>2543</v>
      </c>
      <c r="Z8" s="3189"/>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220" t="s">
        <v>2546</v>
      </c>
      <c r="Q9" s="1797" t="str">
        <f t="shared" ref="Q9:Q15" si="6">B9</f>
        <v>用途</v>
      </c>
      <c r="R9" s="770" t="s">
        <v>17</v>
      </c>
      <c r="S9" s="771">
        <f t="shared" si="0"/>
        <v>100</v>
      </c>
      <c r="T9" s="770" t="s">
        <v>17</v>
      </c>
      <c r="U9" s="771">
        <f t="shared" si="1"/>
        <v>100</v>
      </c>
      <c r="V9" s="770" t="s">
        <v>17</v>
      </c>
      <c r="W9" s="771">
        <f t="shared" si="2"/>
        <v>100</v>
      </c>
      <c r="X9" s="772"/>
      <c r="Y9" s="3035"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20"/>
      <c r="Q10" s="1797" t="str">
        <f t="shared" si="6"/>
        <v>土地使用年限（年）</v>
      </c>
      <c r="R10" s="770" t="s">
        <v>17</v>
      </c>
      <c r="S10" s="771">
        <f t="shared" si="0"/>
        <v>116</v>
      </c>
      <c r="T10" s="770" t="s">
        <v>17</v>
      </c>
      <c r="U10" s="771">
        <f t="shared" si="1"/>
        <v>116</v>
      </c>
      <c r="V10" s="770" t="s">
        <v>17</v>
      </c>
      <c r="W10" s="771">
        <f t="shared" si="2"/>
        <v>116</v>
      </c>
      <c r="X10" s="772"/>
      <c r="Y10" s="3035"/>
      <c r="Z10" s="55" t="str">
        <f t="shared" si="7"/>
        <v>土地使用年限（年）</v>
      </c>
      <c r="AA10" s="773">
        <f t="shared" si="3"/>
        <v>0.86206896551724133</v>
      </c>
      <c r="AB10" s="773">
        <f t="shared" si="4"/>
        <v>0.86206896551724133</v>
      </c>
      <c r="AC10" s="773">
        <f t="shared" si="5"/>
        <v>0.86206896551724133</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220"/>
      <c r="Q11" s="1797" t="str">
        <f t="shared" si="6"/>
        <v>容积率</v>
      </c>
      <c r="R11" s="770" t="s">
        <v>17</v>
      </c>
      <c r="S11" s="771">
        <f t="shared" si="0"/>
        <v>100</v>
      </c>
      <c r="T11" s="770" t="s">
        <v>17</v>
      </c>
      <c r="U11" s="771">
        <f t="shared" si="1"/>
        <v>100</v>
      </c>
      <c r="V11" s="770" t="s">
        <v>17</v>
      </c>
      <c r="W11" s="771">
        <f t="shared" si="2"/>
        <v>94</v>
      </c>
      <c r="X11" s="772"/>
      <c r="Y11" s="3035"/>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0"/>
      <c r="Q12" s="1797"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0"/>
      <c r="Q13" s="1797">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0"/>
      <c r="Q14" s="1797">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2551</v>
      </c>
      <c r="Q15" s="1812" t="str">
        <f t="shared" si="6"/>
        <v>居住社区成熟度</v>
      </c>
      <c r="R15" s="774" t="s">
        <v>17</v>
      </c>
      <c r="S15" s="775">
        <f t="shared" si="0"/>
        <v>100</v>
      </c>
      <c r="T15" s="774" t="s">
        <v>17</v>
      </c>
      <c r="U15" s="775">
        <f t="shared" si="1"/>
        <v>100</v>
      </c>
      <c r="V15" s="774" t="s">
        <v>17</v>
      </c>
      <c r="W15" s="775">
        <f t="shared" si="2"/>
        <v>100</v>
      </c>
      <c r="X15" s="1815"/>
      <c r="Y15" s="3222"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223"/>
      <c r="Q16" s="1812"/>
      <c r="R16" s="774"/>
      <c r="S16" s="775"/>
      <c r="T16" s="774"/>
      <c r="U16" s="775"/>
      <c r="V16" s="774"/>
      <c r="W16" s="775"/>
      <c r="X16" s="1815"/>
      <c r="Y16" s="3223"/>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2" t="str">
        <f>B17</f>
        <v>商业繁华度</v>
      </c>
      <c r="R17" s="774" t="s">
        <v>17</v>
      </c>
      <c r="S17" s="775">
        <f>F17</f>
        <v>100</v>
      </c>
      <c r="T17" s="774" t="s">
        <v>17</v>
      </c>
      <c r="U17" s="775">
        <f>H17</f>
        <v>100</v>
      </c>
      <c r="V17" s="774" t="s">
        <v>17</v>
      </c>
      <c r="W17" s="775">
        <f>J17</f>
        <v>100</v>
      </c>
      <c r="X17" s="1815"/>
      <c r="Y17" s="3223"/>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223"/>
      <c r="Q18" s="1812"/>
      <c r="R18" s="774"/>
      <c r="S18" s="775"/>
      <c r="T18" s="774"/>
      <c r="U18" s="775"/>
      <c r="V18" s="774"/>
      <c r="W18" s="775"/>
      <c r="X18" s="1815"/>
      <c r="Y18" s="3223"/>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2" t="str">
        <f>B19</f>
        <v>办公集聚程度</v>
      </c>
      <c r="R19" s="774" t="s">
        <v>17</v>
      </c>
      <c r="S19" s="775">
        <f>F19</f>
        <v>100</v>
      </c>
      <c r="T19" s="774" t="s">
        <v>17</v>
      </c>
      <c r="U19" s="775">
        <f>H19</f>
        <v>100</v>
      </c>
      <c r="V19" s="774" t="s">
        <v>17</v>
      </c>
      <c r="W19" s="775">
        <f>J19</f>
        <v>100</v>
      </c>
      <c r="X19" s="1815"/>
      <c r="Y19" s="3223"/>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223"/>
      <c r="Q20" s="1812"/>
      <c r="R20" s="774"/>
      <c r="S20" s="775"/>
      <c r="T20" s="774"/>
      <c r="U20" s="775"/>
      <c r="V20" s="774"/>
      <c r="W20" s="775"/>
      <c r="X20" s="1815"/>
      <c r="Y20" s="3223"/>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2" t="str">
        <f>B21</f>
        <v>交通便捷度</v>
      </c>
      <c r="R21" s="774" t="s">
        <v>17</v>
      </c>
      <c r="S21" s="775">
        <f>F21</f>
        <v>100</v>
      </c>
      <c r="T21" s="774" t="s">
        <v>17</v>
      </c>
      <c r="U21" s="775">
        <f>H21</f>
        <v>100</v>
      </c>
      <c r="V21" s="774" t="s">
        <v>17</v>
      </c>
      <c r="W21" s="775">
        <f>J21</f>
        <v>100</v>
      </c>
      <c r="X21" s="1815"/>
      <c r="Y21" s="3223"/>
      <c r="Z21" s="1816" t="str">
        <f>Q21</f>
        <v>交通便捷度</v>
      </c>
      <c r="AA21" s="1813">
        <f t="shared" si="3"/>
        <v>1</v>
      </c>
      <c r="AB21" s="1813">
        <f t="shared" si="4"/>
        <v>1</v>
      </c>
      <c r="AC21" s="1813">
        <f t="shared" si="5"/>
        <v>1</v>
      </c>
    </row>
    <row r="22" spans="1:29" ht="15">
      <c r="A22" s="428"/>
      <c r="B22" s="1387"/>
      <c r="C22" s="447"/>
      <c r="D22" s="450"/>
      <c r="E22" s="2610"/>
      <c r="F22" s="448"/>
      <c r="G22" s="2610"/>
      <c r="H22" s="448"/>
      <c r="I22" s="2609"/>
      <c r="J22" s="448"/>
      <c r="K22" s="672"/>
      <c r="L22" s="1143"/>
      <c r="M22" s="1134"/>
      <c r="N22" s="1134"/>
      <c r="O22" s="1142"/>
      <c r="P22" s="3223"/>
      <c r="Q22" s="1812"/>
      <c r="R22" s="774"/>
      <c r="S22" s="775"/>
      <c r="T22" s="774"/>
      <c r="U22" s="775"/>
      <c r="V22" s="774"/>
      <c r="W22" s="775"/>
      <c r="X22" s="1815"/>
      <c r="Y22" s="3223"/>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2" t="str">
        <f t="shared" ref="Q23:Q37" si="8">B23</f>
        <v>区域土地利用方向</v>
      </c>
      <c r="R23" s="774" t="s">
        <v>17</v>
      </c>
      <c r="S23" s="775">
        <f>F23</f>
        <v>100</v>
      </c>
      <c r="T23" s="774" t="s">
        <v>17</v>
      </c>
      <c r="U23" s="775">
        <f>H23</f>
        <v>100</v>
      </c>
      <c r="V23" s="774" t="s">
        <v>17</v>
      </c>
      <c r="W23" s="775">
        <f>J23</f>
        <v>100</v>
      </c>
      <c r="X23" s="1815"/>
      <c r="Y23" s="3223"/>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223"/>
      <c r="Q24" s="1812"/>
      <c r="R24" s="774"/>
      <c r="S24" s="775"/>
      <c r="T24" s="774"/>
      <c r="U24" s="775"/>
      <c r="V24" s="774"/>
      <c r="W24" s="775"/>
      <c r="X24" s="1815"/>
      <c r="Y24" s="3223"/>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2" t="str">
        <f t="shared" si="8"/>
        <v>自然及人文环境状况</v>
      </c>
      <c r="R25" s="774" t="s">
        <v>17</v>
      </c>
      <c r="S25" s="775">
        <f>F25</f>
        <v>100</v>
      </c>
      <c r="T25" s="774" t="s">
        <v>17</v>
      </c>
      <c r="U25" s="775">
        <f>H25</f>
        <v>100</v>
      </c>
      <c r="V25" s="774" t="s">
        <v>17</v>
      </c>
      <c r="W25" s="775">
        <f>J25</f>
        <v>100</v>
      </c>
      <c r="X25" s="1815"/>
      <c r="Y25" s="3223"/>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223"/>
      <c r="Q26" s="1812"/>
      <c r="R26" s="774"/>
      <c r="S26" s="775"/>
      <c r="T26" s="774"/>
      <c r="U26" s="775"/>
      <c r="V26" s="774"/>
      <c r="W26" s="775"/>
      <c r="X26" s="1815"/>
      <c r="Y26" s="3223"/>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7" t="str">
        <f t="shared" si="8"/>
        <v>公共配套设施</v>
      </c>
      <c r="R27" s="770" t="s">
        <v>17</v>
      </c>
      <c r="S27" s="771">
        <f>F27</f>
        <v>100</v>
      </c>
      <c r="T27" s="770" t="s">
        <v>17</v>
      </c>
      <c r="U27" s="771">
        <f>H27</f>
        <v>100</v>
      </c>
      <c r="V27" s="770" t="s">
        <v>17</v>
      </c>
      <c r="W27" s="771">
        <f>J27</f>
        <v>100</v>
      </c>
      <c r="X27" s="772"/>
      <c r="Y27" s="3223"/>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223"/>
      <c r="Q28" s="1797"/>
      <c r="R28" s="770"/>
      <c r="S28" s="771"/>
      <c r="T28" s="770"/>
      <c r="U28" s="771"/>
      <c r="V28" s="770"/>
      <c r="W28" s="771"/>
      <c r="X28" s="772"/>
      <c r="Y28" s="3223"/>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7"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223"/>
      <c r="Q30" s="1797"/>
      <c r="R30" s="770"/>
      <c r="S30" s="771"/>
      <c r="T30" s="770"/>
      <c r="U30" s="771"/>
      <c r="V30" s="770"/>
      <c r="W30" s="771"/>
      <c r="X30" s="772"/>
      <c r="Y30" s="3223"/>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3"/>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2" t="str">
        <f t="shared" si="8"/>
        <v>毗邻道路的类型与等级</v>
      </c>
      <c r="R32" s="774" t="s">
        <v>17</v>
      </c>
      <c r="S32" s="775">
        <f t="shared" si="10"/>
        <v>100</v>
      </c>
      <c r="T32" s="774" t="s">
        <v>17</v>
      </c>
      <c r="U32" s="775">
        <f t="shared" si="11"/>
        <v>100</v>
      </c>
      <c r="V32" s="774" t="s">
        <v>17</v>
      </c>
      <c r="W32" s="775">
        <f t="shared" si="12"/>
        <v>100</v>
      </c>
      <c r="X32" s="1815"/>
      <c r="Y32" s="3223"/>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223"/>
      <c r="Q33" s="1812"/>
      <c r="R33" s="774"/>
      <c r="S33" s="775"/>
      <c r="T33" s="774"/>
      <c r="U33" s="775"/>
      <c r="V33" s="774"/>
      <c r="W33" s="775"/>
      <c r="X33" s="1815"/>
      <c r="Y33" s="3223"/>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2" t="str">
        <f t="shared" si="8"/>
        <v>土地级别</v>
      </c>
      <c r="R34" s="774" t="s">
        <v>17</v>
      </c>
      <c r="S34" s="775">
        <f t="shared" si="10"/>
        <v>100</v>
      </c>
      <c r="T34" s="774" t="s">
        <v>17</v>
      </c>
      <c r="U34" s="775">
        <f t="shared" si="11"/>
        <v>100</v>
      </c>
      <c r="V34" s="774" t="s">
        <v>17</v>
      </c>
      <c r="W34" s="775">
        <f t="shared" si="12"/>
        <v>100</v>
      </c>
      <c r="X34" s="1815"/>
      <c r="Y34" s="3223"/>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2">
        <f t="shared" si="8"/>
        <v>111</v>
      </c>
      <c r="R35" s="774" t="s">
        <v>17</v>
      </c>
      <c r="S35" s="775">
        <f t="shared" si="10"/>
        <v>100</v>
      </c>
      <c r="T35" s="774" t="s">
        <v>17</v>
      </c>
      <c r="U35" s="775">
        <f t="shared" si="11"/>
        <v>100</v>
      </c>
      <c r="V35" s="774" t="s">
        <v>17</v>
      </c>
      <c r="W35" s="775">
        <f t="shared" si="12"/>
        <v>100</v>
      </c>
      <c r="X35" s="1815"/>
      <c r="Y35" s="3223"/>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2556</v>
      </c>
      <c r="Q36" s="1812">
        <f t="shared" si="8"/>
        <v>111</v>
      </c>
      <c r="R36" s="774" t="s">
        <v>17</v>
      </c>
      <c r="S36" s="775">
        <f t="shared" si="10"/>
        <v>100</v>
      </c>
      <c r="T36" s="774" t="s">
        <v>17</v>
      </c>
      <c r="U36" s="775">
        <f t="shared" si="11"/>
        <v>100</v>
      </c>
      <c r="V36" s="774" t="s">
        <v>17</v>
      </c>
      <c r="W36" s="775">
        <f t="shared" si="12"/>
        <v>100</v>
      </c>
      <c r="X36" s="1815"/>
      <c r="Y36" s="3227"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2">
        <f t="shared" si="8"/>
        <v>111</v>
      </c>
      <c r="R37" s="777" t="s">
        <v>17</v>
      </c>
      <c r="S37" s="778">
        <f t="shared" si="10"/>
        <v>100</v>
      </c>
      <c r="T37" s="777" t="s">
        <v>17</v>
      </c>
      <c r="U37" s="778">
        <f t="shared" si="11"/>
        <v>100</v>
      </c>
      <c r="V37" s="777" t="s">
        <v>17</v>
      </c>
      <c r="W37" s="778">
        <f t="shared" si="12"/>
        <v>100</v>
      </c>
      <c r="X37" s="779"/>
      <c r="Y37" s="3227"/>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227"/>
      <c r="Q38" s="1812" t="str">
        <f>B38</f>
        <v>宗地面积</v>
      </c>
      <c r="R38" s="774" t="s">
        <v>17</v>
      </c>
      <c r="S38" s="775">
        <f t="shared" si="10"/>
        <v>100</v>
      </c>
      <c r="T38" s="774" t="s">
        <v>17</v>
      </c>
      <c r="U38" s="775">
        <f t="shared" si="11"/>
        <v>100</v>
      </c>
      <c r="V38" s="774" t="s">
        <v>17</v>
      </c>
      <c r="W38" s="775">
        <f t="shared" si="12"/>
        <v>100</v>
      </c>
      <c r="X38" s="1815"/>
      <c r="Y38" s="3227"/>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27"/>
      <c r="Q39" s="1812" t="str">
        <f t="shared" ref="Q39:Q45" si="14">B39</f>
        <v>宗地形状</v>
      </c>
      <c r="R39" s="774" t="s">
        <v>17</v>
      </c>
      <c r="S39" s="775">
        <f t="shared" si="10"/>
        <v>100</v>
      </c>
      <c r="T39" s="774" t="s">
        <v>17</v>
      </c>
      <c r="U39" s="775">
        <f t="shared" si="11"/>
        <v>100</v>
      </c>
      <c r="V39" s="774" t="s">
        <v>17</v>
      </c>
      <c r="W39" s="775">
        <f t="shared" si="12"/>
        <v>100</v>
      </c>
      <c r="X39" s="1815"/>
      <c r="Y39" s="3227"/>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27"/>
      <c r="Q40" s="1812" t="str">
        <f t="shared" si="14"/>
        <v>临街宽度及深度</v>
      </c>
      <c r="R40" s="774" t="s">
        <v>17</v>
      </c>
      <c r="S40" s="775">
        <f t="shared" si="10"/>
        <v>100</v>
      </c>
      <c r="T40" s="774" t="s">
        <v>17</v>
      </c>
      <c r="U40" s="775">
        <f t="shared" si="11"/>
        <v>100</v>
      </c>
      <c r="V40" s="774" t="s">
        <v>17</v>
      </c>
      <c r="W40" s="775">
        <f t="shared" si="12"/>
        <v>100</v>
      </c>
      <c r="X40" s="1815"/>
      <c r="Y40" s="3227"/>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227"/>
      <c r="Q41" s="1812" t="str">
        <f t="shared" si="14"/>
        <v>宗地开发程度</v>
      </c>
      <c r="R41" s="770" t="s">
        <v>17</v>
      </c>
      <c r="S41" s="771">
        <f t="shared" si="10"/>
        <v>94</v>
      </c>
      <c r="T41" s="770" t="s">
        <v>17</v>
      </c>
      <c r="U41" s="771">
        <f t="shared" si="11"/>
        <v>94</v>
      </c>
      <c r="V41" s="770" t="s">
        <v>17</v>
      </c>
      <c r="W41" s="771">
        <f t="shared" si="12"/>
        <v>100</v>
      </c>
      <c r="X41" s="772"/>
      <c r="Y41" s="3227"/>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27" t="s">
        <v>2556</v>
      </c>
      <c r="Q42" s="1812" t="str">
        <f t="shared" si="14"/>
        <v>工程地质条件</v>
      </c>
      <c r="R42" s="774" t="s">
        <v>17</v>
      </c>
      <c r="S42" s="775">
        <f t="shared" si="10"/>
        <v>100</v>
      </c>
      <c r="T42" s="774" t="s">
        <v>17</v>
      </c>
      <c r="U42" s="775">
        <f t="shared" si="11"/>
        <v>100</v>
      </c>
      <c r="V42" s="774" t="s">
        <v>17</v>
      </c>
      <c r="W42" s="775">
        <f t="shared" si="12"/>
        <v>100</v>
      </c>
      <c r="X42" s="1815"/>
      <c r="Y42" s="3227"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2">
        <f t="shared" si="14"/>
        <v>111</v>
      </c>
      <c r="R43" s="774" t="s">
        <v>17</v>
      </c>
      <c r="S43" s="775">
        <f t="shared" si="10"/>
        <v>100</v>
      </c>
      <c r="T43" s="774" t="s">
        <v>17</v>
      </c>
      <c r="U43" s="775">
        <f t="shared" si="11"/>
        <v>100</v>
      </c>
      <c r="V43" s="774" t="s">
        <v>17</v>
      </c>
      <c r="W43" s="775">
        <f t="shared" si="12"/>
        <v>100</v>
      </c>
      <c r="X43" s="1815"/>
      <c r="Y43" s="3227"/>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2">
        <f t="shared" si="14"/>
        <v>111</v>
      </c>
      <c r="R44" s="774" t="s">
        <v>17</v>
      </c>
      <c r="S44" s="775">
        <f t="shared" si="10"/>
        <v>100</v>
      </c>
      <c r="T44" s="774" t="s">
        <v>17</v>
      </c>
      <c r="U44" s="775">
        <f t="shared" si="11"/>
        <v>100</v>
      </c>
      <c r="V44" s="774" t="s">
        <v>17</v>
      </c>
      <c r="W44" s="775">
        <f t="shared" si="12"/>
        <v>100</v>
      </c>
      <c r="X44" s="1815"/>
      <c r="Y44" s="3227"/>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2">
        <f t="shared" si="14"/>
        <v>111</v>
      </c>
      <c r="R45" s="777" t="s">
        <v>17</v>
      </c>
      <c r="S45" s="778">
        <f t="shared" si="10"/>
        <v>100</v>
      </c>
      <c r="T45" s="777" t="s">
        <v>17</v>
      </c>
      <c r="U45" s="778">
        <f t="shared" si="11"/>
        <v>100</v>
      </c>
      <c r="V45" s="777" t="s">
        <v>17</v>
      </c>
      <c r="W45" s="778">
        <f t="shared" si="12"/>
        <v>100</v>
      </c>
      <c r="X45" s="779"/>
      <c r="Y45" s="3227"/>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220" t="str">
        <f>A46</f>
        <v>成交单价</v>
      </c>
      <c r="Q46" s="3220"/>
      <c r="R46" s="3215">
        <f>E46</f>
        <v>1977</v>
      </c>
      <c r="S46" s="3215"/>
      <c r="T46" s="3215">
        <f>G46</f>
        <v>2134</v>
      </c>
      <c r="U46" s="3215"/>
      <c r="V46" s="3215">
        <f>I46</f>
        <v>2305</v>
      </c>
      <c r="W46" s="3215"/>
      <c r="X46" s="759"/>
      <c r="Y46" s="781"/>
      <c r="Z46" s="759"/>
      <c r="AA46" s="759"/>
      <c r="AB46" s="759"/>
      <c r="AC46" s="759"/>
    </row>
    <row r="47" spans="1:29" ht="15.75" thickBot="1">
      <c r="A47" s="486" t="s">
        <v>2660</v>
      </c>
      <c r="B47" s="683"/>
      <c r="C47" s="490">
        <f>R48</f>
        <v>2016</v>
      </c>
      <c r="D47" s="489"/>
      <c r="E47" s="490">
        <f>R47</f>
        <v>1850</v>
      </c>
      <c r="F47" s="491"/>
      <c r="G47" s="488">
        <f>T47</f>
        <v>1997</v>
      </c>
      <c r="H47" s="489"/>
      <c r="I47" s="490">
        <f>V47</f>
        <v>2202</v>
      </c>
      <c r="J47" s="489"/>
      <c r="K47" s="784"/>
      <c r="L47" s="1146"/>
      <c r="M47" s="1147"/>
      <c r="N47" s="1147"/>
      <c r="O47" s="1147"/>
      <c r="P47" s="3220" t="str">
        <f>A47</f>
        <v>比较价值（元/平方米）</v>
      </c>
      <c r="Q47" s="3220"/>
      <c r="R47" s="3247">
        <f>ROUND(PRODUCT(R46,AA7:AA45),0)</f>
        <v>1850</v>
      </c>
      <c r="S47" s="3247"/>
      <c r="T47" s="3247">
        <f>ROUND(PRODUCT(T46,AB7:AB45),0)</f>
        <v>1997</v>
      </c>
      <c r="U47" s="3247"/>
      <c r="V47" s="3247">
        <f>ROUND(PRODUCT(V46,AC7:AC45),0)</f>
        <v>2202</v>
      </c>
      <c r="W47" s="3247"/>
      <c r="X47" s="759"/>
      <c r="Y47" s="759"/>
      <c r="Z47" s="759"/>
      <c r="AA47" s="759"/>
      <c r="AB47" s="759"/>
      <c r="AC47" s="759"/>
    </row>
    <row r="48" spans="1:29" ht="15.75" thickBot="1">
      <c r="A48" s="492" t="s">
        <v>2748</v>
      </c>
      <c r="B48" s="493"/>
      <c r="C48" s="494">
        <f>R48</f>
        <v>2016</v>
      </c>
      <c r="D48" s="494"/>
      <c r="E48" s="494"/>
      <c r="F48" s="494"/>
      <c r="G48" s="494"/>
      <c r="H48" s="494"/>
      <c r="I48" s="494"/>
      <c r="J48" s="494"/>
      <c r="K48" s="785"/>
      <c r="L48" s="1146"/>
      <c r="M48" s="1147"/>
      <c r="N48" s="1147"/>
      <c r="O48" s="1147"/>
      <c r="P48" s="3217" t="str">
        <f>A48</f>
        <v>估价对象XX用房的比较价值（楼面单价，元/平方米）</v>
      </c>
      <c r="Q48" s="3218"/>
      <c r="R48" s="3248">
        <f>ROUND(AVERAGE(R47:V47),0)</f>
        <v>2016</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6.8648648648648614E-2</v>
      </c>
      <c r="F51" s="500" t="str">
        <f>IF(OR(E51&gt;=0.3,E51&lt;=-0.3),"超过30%","")</f>
        <v/>
      </c>
      <c r="G51" s="499">
        <f>IF(G46&lt;G47,G47/G46-1,G46/G47-1)</f>
        <v>6.8602904356534822E-2</v>
      </c>
      <c r="H51" s="500" t="str">
        <f>IF(OR(G51&gt;=0.3,G51&lt;=-0.3),"超过30%","")</f>
        <v/>
      </c>
      <c r="I51" s="499">
        <f>IF(I46&lt;I47,I47/I46-1,I46/I47-1)</f>
        <v>4.6775658492279826E-2</v>
      </c>
      <c r="J51" s="500" t="str">
        <f>IF(OR(I51&gt;=0.3,I51&lt;=-0.3),"超过30%","")</f>
        <v/>
      </c>
      <c r="K51" s="1108"/>
      <c r="L51" s="1109"/>
      <c r="M51" s="1147"/>
      <c r="N51" s="1147"/>
      <c r="O51" s="1147"/>
    </row>
    <row r="52" spans="1:15" ht="13.5" customHeight="1">
      <c r="A52" s="1147"/>
      <c r="B52" s="1147"/>
      <c r="C52" s="497" t="s">
        <v>2663</v>
      </c>
      <c r="D52" s="501"/>
      <c r="E52" s="499">
        <f>IF(E47&lt;G47,G47/E47-1,E47/G47-1)</f>
        <v>7.9459459459459536E-2</v>
      </c>
      <c r="F52" s="500" t="str">
        <f>IF(OR(E52&gt;=0.2,E52&lt;=-0.2),"超过20%","")</f>
        <v/>
      </c>
      <c r="G52" s="499">
        <f>IF(G47&lt;I47,I47/G47-1,G47/I47-1)</f>
        <v>0.10265398097145728</v>
      </c>
      <c r="H52" s="500" t="str">
        <f>IF(OR(G52&gt;=0.2,G52&lt;=-0.2),"超过20%","")</f>
        <v/>
      </c>
      <c r="I52" s="499">
        <f>IF(I47&lt;E47,E47/I47-1,I47/E47-1)</f>
        <v>0.19027027027027033</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203" t="s">
        <v>2755</v>
      </c>
      <c r="H55" s="3249"/>
      <c r="I55" s="144" t="s">
        <v>2756</v>
      </c>
      <c r="J55" s="2712">
        <f>项目基本情况!F35</f>
        <v>0</v>
      </c>
      <c r="K55" s="2713" t="s">
        <v>2757</v>
      </c>
      <c r="L55" s="1109"/>
      <c r="M55" s="1147"/>
      <c r="N55" s="1147"/>
      <c r="O55" s="1147"/>
    </row>
    <row r="56" spans="1:15" s="692" customFormat="1">
      <c r="A56" s="688" t="s">
        <v>2758</v>
      </c>
      <c r="B56" s="689">
        <f>C48</f>
        <v>2016</v>
      </c>
      <c r="C56" s="690">
        <v>1</v>
      </c>
      <c r="D56" s="1166">
        <v>1</v>
      </c>
      <c r="E56" s="690">
        <f>'数据-汇总表'!E8+'数据-汇总表'!E9</f>
        <v>38702.28</v>
      </c>
      <c r="F56" s="1106">
        <f t="shared" ref="F56:F65" si="15">ROUND(B56*E56/10000,0)</f>
        <v>7802</v>
      </c>
      <c r="G56" s="3202"/>
      <c r="H56" s="3220"/>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50"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50"/>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50"/>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50"/>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7802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2774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03" t="s">
        <v>2637</v>
      </c>
      <c r="D4" s="3204"/>
      <c r="E4" s="3205" t="s">
        <v>2638</v>
      </c>
      <c r="F4" s="3206"/>
      <c r="G4" s="3203" t="s">
        <v>2639</v>
      </c>
      <c r="H4" s="3204"/>
      <c r="I4" s="3203" t="s">
        <v>2640</v>
      </c>
      <c r="J4" s="3204"/>
      <c r="K4" s="610" t="s">
        <v>2641</v>
      </c>
      <c r="L4" s="1133"/>
      <c r="M4" s="1134"/>
      <c r="N4" s="1134"/>
      <c r="O4" s="1134"/>
      <c r="P4" s="3207" t="s">
        <v>2642</v>
      </c>
      <c r="Q4" s="3208"/>
      <c r="R4" s="3190" t="s">
        <v>2638</v>
      </c>
      <c r="S4" s="3191"/>
      <c r="T4" s="3190" t="s">
        <v>2639</v>
      </c>
      <c r="U4" s="3191"/>
      <c r="V4" s="3215" t="s">
        <v>2640</v>
      </c>
      <c r="W4" s="3215"/>
      <c r="X4" s="1815"/>
      <c r="Y4" s="3190" t="s">
        <v>2642</v>
      </c>
      <c r="Z4" s="3191"/>
      <c r="AA4" s="3185" t="s">
        <v>2638</v>
      </c>
      <c r="AB4" s="3186" t="s">
        <v>2639</v>
      </c>
      <c r="AC4" s="3185" t="s">
        <v>2640</v>
      </c>
    </row>
    <row r="5" spans="1:29" ht="15">
      <c r="A5" s="404"/>
      <c r="B5" s="405"/>
      <c r="C5" s="3196" t="s">
        <v>2533</v>
      </c>
      <c r="D5" s="3197"/>
      <c r="E5" s="3194" t="s">
        <v>2534</v>
      </c>
      <c r="F5" s="3195"/>
      <c r="G5" s="3196" t="s">
        <v>2535</v>
      </c>
      <c r="H5" s="3197"/>
      <c r="I5" s="3196" t="s">
        <v>2536</v>
      </c>
      <c r="J5" s="3197"/>
      <c r="K5" s="610"/>
      <c r="L5" s="1133"/>
      <c r="M5" s="1134"/>
      <c r="N5" s="1134"/>
      <c r="O5" s="1134"/>
      <c r="P5" s="3209"/>
      <c r="Q5" s="3210"/>
      <c r="R5" s="3192"/>
      <c r="S5" s="3193"/>
      <c r="T5" s="3192"/>
      <c r="U5" s="3193"/>
      <c r="V5" s="3215"/>
      <c r="W5" s="3215"/>
      <c r="X5" s="1815"/>
      <c r="Y5" s="3192"/>
      <c r="Z5" s="3193"/>
      <c r="AA5" s="3186"/>
      <c r="AB5" s="3186"/>
      <c r="AC5" s="3186"/>
    </row>
    <row r="6" spans="1:29" ht="15.75" thickBot="1">
      <c r="A6" s="406"/>
      <c r="B6" s="407"/>
      <c r="C6" s="3251" t="s">
        <v>2788</v>
      </c>
      <c r="D6" s="3252"/>
      <c r="E6" s="3253" t="s">
        <v>2788</v>
      </c>
      <c r="F6" s="3254"/>
      <c r="G6" s="3251" t="s">
        <v>2788</v>
      </c>
      <c r="H6" s="3252"/>
      <c r="I6" s="3251" t="s">
        <v>2788</v>
      </c>
      <c r="J6" s="3252"/>
      <c r="K6" s="610" t="s">
        <v>2538</v>
      </c>
      <c r="L6" s="1133"/>
      <c r="M6" s="1134"/>
      <c r="N6" s="1134"/>
      <c r="O6" s="1134"/>
      <c r="P6" s="3211"/>
      <c r="Q6" s="3212"/>
      <c r="R6" s="3192"/>
      <c r="S6" s="3193"/>
      <c r="T6" s="3213"/>
      <c r="U6" s="3214"/>
      <c r="V6" s="3215"/>
      <c r="W6" s="3215"/>
      <c r="X6" s="1815"/>
      <c r="Y6" s="3213"/>
      <c r="Z6" s="3214"/>
      <c r="AA6" s="3187"/>
      <c r="AB6" s="3187"/>
      <c r="AC6" s="3187"/>
    </row>
    <row r="7" spans="1:29" s="117" customFormat="1" ht="15.75" thickBot="1">
      <c r="A7" s="408" t="s">
        <v>2539</v>
      </c>
      <c r="B7" s="409"/>
      <c r="C7" s="410">
        <f>'数据-取费表'!B2</f>
        <v>43341</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8" t="s">
        <v>2540</v>
      </c>
      <c r="Q7" s="3216"/>
      <c r="R7" s="770" t="s">
        <v>17</v>
      </c>
      <c r="S7" s="771">
        <f t="shared" ref="S7:S15" si="0">F7</f>
        <v>0</v>
      </c>
      <c r="T7" s="770" t="s">
        <v>17</v>
      </c>
      <c r="U7" s="771">
        <f t="shared" ref="U7:U15" si="1">H7</f>
        <v>0</v>
      </c>
      <c r="V7" s="770" t="s">
        <v>17</v>
      </c>
      <c r="W7" s="771">
        <f t="shared" ref="W7:W15" si="2">J7</f>
        <v>0</v>
      </c>
      <c r="X7" s="772"/>
      <c r="Y7" s="3188" t="s">
        <v>2540</v>
      </c>
      <c r="Z7" s="3189"/>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8" t="s">
        <v>2543</v>
      </c>
      <c r="Q8" s="3189"/>
      <c r="R8" s="770" t="s">
        <v>17</v>
      </c>
      <c r="S8" s="771">
        <f t="shared" si="0"/>
        <v>0</v>
      </c>
      <c r="T8" s="770" t="s">
        <v>17</v>
      </c>
      <c r="U8" s="771">
        <f t="shared" si="1"/>
        <v>0</v>
      </c>
      <c r="V8" s="770" t="s">
        <v>17</v>
      </c>
      <c r="W8" s="771">
        <f t="shared" si="2"/>
        <v>0</v>
      </c>
      <c r="X8" s="772"/>
      <c r="Y8" s="3188" t="s">
        <v>2543</v>
      </c>
      <c r="Z8" s="3189"/>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20" t="s">
        <v>2546</v>
      </c>
      <c r="Q9" s="1797" t="str">
        <f t="shared" ref="Q9:Q15" si="6">B9</f>
        <v>用途</v>
      </c>
      <c r="R9" s="770" t="s">
        <v>17</v>
      </c>
      <c r="S9" s="771">
        <f t="shared" si="0"/>
        <v>100</v>
      </c>
      <c r="T9" s="770" t="s">
        <v>17</v>
      </c>
      <c r="U9" s="771">
        <f t="shared" si="1"/>
        <v>100</v>
      </c>
      <c r="V9" s="770" t="s">
        <v>17</v>
      </c>
      <c r="W9" s="771">
        <f t="shared" si="2"/>
        <v>100</v>
      </c>
      <c r="X9" s="772"/>
      <c r="Y9" s="3035"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220"/>
      <c r="Q10" s="1797" t="str">
        <f t="shared" si="6"/>
        <v>土地使用年限（年）</v>
      </c>
      <c r="R10" s="770" t="s">
        <v>17</v>
      </c>
      <c r="S10" s="771">
        <f t="shared" si="0"/>
        <v>116</v>
      </c>
      <c r="T10" s="770" t="s">
        <v>17</v>
      </c>
      <c r="U10" s="771">
        <f t="shared" si="1"/>
        <v>116</v>
      </c>
      <c r="V10" s="770" t="s">
        <v>17</v>
      </c>
      <c r="W10" s="771">
        <f t="shared" si="2"/>
        <v>116</v>
      </c>
      <c r="X10" s="772"/>
      <c r="Y10" s="3035"/>
      <c r="Z10" s="55" t="str">
        <f t="shared" si="7"/>
        <v>土地使用年限（年）</v>
      </c>
      <c r="AA10" s="773">
        <f t="shared" si="3"/>
        <v>0.86206896551724133</v>
      </c>
      <c r="AB10" s="773">
        <f t="shared" si="4"/>
        <v>0.86206896551724133</v>
      </c>
      <c r="AC10" s="773">
        <f t="shared" si="5"/>
        <v>0.86206896551724133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0"/>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0"/>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0"/>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0"/>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2551</v>
      </c>
      <c r="Q15" s="1812" t="str">
        <f t="shared" si="6"/>
        <v>产业集聚程度</v>
      </c>
      <c r="R15" s="774" t="s">
        <v>17</v>
      </c>
      <c r="S15" s="775">
        <f t="shared" si="0"/>
        <v>100</v>
      </c>
      <c r="T15" s="774" t="s">
        <v>17</v>
      </c>
      <c r="U15" s="775">
        <f t="shared" si="1"/>
        <v>100</v>
      </c>
      <c r="V15" s="774" t="s">
        <v>17</v>
      </c>
      <c r="W15" s="775">
        <f t="shared" si="2"/>
        <v>100</v>
      </c>
      <c r="X15" s="1815"/>
      <c r="Y15" s="3222"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23"/>
      <c r="Q16" s="1812"/>
      <c r="R16" s="774"/>
      <c r="S16" s="775"/>
      <c r="T16" s="774"/>
      <c r="U16" s="775"/>
      <c r="V16" s="774"/>
      <c r="W16" s="775"/>
      <c r="X16" s="1815"/>
      <c r="Y16" s="3223"/>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2" t="str">
        <f>B17</f>
        <v>交通便捷度</v>
      </c>
      <c r="R17" s="774" t="s">
        <v>17</v>
      </c>
      <c r="S17" s="775">
        <f>F17</f>
        <v>100</v>
      </c>
      <c r="T17" s="774" t="s">
        <v>17</v>
      </c>
      <c r="U17" s="775">
        <f>H17</f>
        <v>100</v>
      </c>
      <c r="V17" s="774" t="s">
        <v>17</v>
      </c>
      <c r="W17" s="775">
        <f>J17</f>
        <v>100</v>
      </c>
      <c r="X17" s="1815"/>
      <c r="Y17" s="3223"/>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23"/>
      <c r="Q18" s="1812"/>
      <c r="R18" s="774"/>
      <c r="S18" s="775"/>
      <c r="T18" s="774"/>
      <c r="U18" s="775"/>
      <c r="V18" s="774"/>
      <c r="W18" s="775"/>
      <c r="X18" s="1815"/>
      <c r="Y18" s="3223"/>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2" t="str">
        <f t="shared" ref="Q19:Q33" si="8">B19</f>
        <v>区域土地利用方向</v>
      </c>
      <c r="R19" s="774" t="s">
        <v>17</v>
      </c>
      <c r="S19" s="775">
        <f>F19</f>
        <v>100</v>
      </c>
      <c r="T19" s="774" t="s">
        <v>17</v>
      </c>
      <c r="U19" s="775">
        <f>H19</f>
        <v>100</v>
      </c>
      <c r="V19" s="774" t="s">
        <v>17</v>
      </c>
      <c r="W19" s="775">
        <f>J19</f>
        <v>100</v>
      </c>
      <c r="X19" s="1815"/>
      <c r="Y19" s="3223"/>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23"/>
      <c r="Q20" s="1812"/>
      <c r="R20" s="774"/>
      <c r="S20" s="775"/>
      <c r="T20" s="774"/>
      <c r="U20" s="775"/>
      <c r="V20" s="774"/>
      <c r="W20" s="775"/>
      <c r="X20" s="1815"/>
      <c r="Y20" s="3223"/>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2" t="str">
        <f t="shared" si="8"/>
        <v>环境状况</v>
      </c>
      <c r="R21" s="774" t="s">
        <v>17</v>
      </c>
      <c r="S21" s="775">
        <f>F21</f>
        <v>100</v>
      </c>
      <c r="T21" s="774" t="s">
        <v>17</v>
      </c>
      <c r="U21" s="775">
        <f>H21</f>
        <v>100</v>
      </c>
      <c r="V21" s="774" t="s">
        <v>17</v>
      </c>
      <c r="W21" s="775">
        <f>J21</f>
        <v>100</v>
      </c>
      <c r="X21" s="1815"/>
      <c r="Y21" s="3223"/>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23"/>
      <c r="Q22" s="1812"/>
      <c r="R22" s="774"/>
      <c r="S22" s="775"/>
      <c r="T22" s="774"/>
      <c r="U22" s="775"/>
      <c r="V22" s="774"/>
      <c r="W22" s="775"/>
      <c r="X22" s="1815"/>
      <c r="Y22" s="3223"/>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7" t="str">
        <f t="shared" si="8"/>
        <v>公共配套设施</v>
      </c>
      <c r="R23" s="770" t="s">
        <v>17</v>
      </c>
      <c r="S23" s="771">
        <f>F23</f>
        <v>100</v>
      </c>
      <c r="T23" s="770" t="s">
        <v>17</v>
      </c>
      <c r="U23" s="771">
        <f>H23</f>
        <v>100</v>
      </c>
      <c r="V23" s="770" t="s">
        <v>17</v>
      </c>
      <c r="W23" s="771">
        <f>J23</f>
        <v>100</v>
      </c>
      <c r="X23" s="772"/>
      <c r="Y23" s="3223"/>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23"/>
      <c r="Q24" s="1797"/>
      <c r="R24" s="770"/>
      <c r="S24" s="771"/>
      <c r="T24" s="770"/>
      <c r="U24" s="771"/>
      <c r="V24" s="770"/>
      <c r="W24" s="771"/>
      <c r="X24" s="772"/>
      <c r="Y24" s="3223"/>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3"/>
      <c r="Q25" s="1797"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23"/>
      <c r="Q26" s="1797"/>
      <c r="R26" s="770"/>
      <c r="S26" s="771"/>
      <c r="T26" s="770"/>
      <c r="U26" s="771"/>
      <c r="V26" s="770"/>
      <c r="W26" s="771"/>
      <c r="X26" s="772"/>
      <c r="Y26" s="3223"/>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3"/>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2" t="str">
        <f t="shared" si="8"/>
        <v>毗邻道路的类型与等级</v>
      </c>
      <c r="R28" s="774" t="s">
        <v>17</v>
      </c>
      <c r="S28" s="775">
        <f t="shared" si="10"/>
        <v>100</v>
      </c>
      <c r="T28" s="774" t="s">
        <v>17</v>
      </c>
      <c r="U28" s="775">
        <f t="shared" si="11"/>
        <v>100</v>
      </c>
      <c r="V28" s="774" t="s">
        <v>17</v>
      </c>
      <c r="W28" s="775">
        <f t="shared" si="12"/>
        <v>100</v>
      </c>
      <c r="X28" s="1815"/>
      <c r="Y28" s="3223"/>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23"/>
      <c r="Q29" s="1812"/>
      <c r="R29" s="774"/>
      <c r="S29" s="775"/>
      <c r="T29" s="774"/>
      <c r="U29" s="775"/>
      <c r="V29" s="774"/>
      <c r="W29" s="775"/>
      <c r="X29" s="1815"/>
      <c r="Y29" s="3223"/>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2" t="str">
        <f t="shared" si="8"/>
        <v>土地级别</v>
      </c>
      <c r="R30" s="774" t="s">
        <v>17</v>
      </c>
      <c r="S30" s="775">
        <f t="shared" si="10"/>
        <v>100</v>
      </c>
      <c r="T30" s="774" t="s">
        <v>17</v>
      </c>
      <c r="U30" s="775">
        <f t="shared" si="11"/>
        <v>100</v>
      </c>
      <c r="V30" s="774" t="s">
        <v>17</v>
      </c>
      <c r="W30" s="775">
        <f t="shared" si="12"/>
        <v>100</v>
      </c>
      <c r="X30" s="1815"/>
      <c r="Y30" s="3223"/>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2">
        <f t="shared" si="8"/>
        <v>111</v>
      </c>
      <c r="R31" s="774" t="s">
        <v>17</v>
      </c>
      <c r="S31" s="775">
        <f t="shared" si="10"/>
        <v>100</v>
      </c>
      <c r="T31" s="774" t="s">
        <v>17</v>
      </c>
      <c r="U31" s="775">
        <f t="shared" si="11"/>
        <v>100</v>
      </c>
      <c r="V31" s="774" t="s">
        <v>17</v>
      </c>
      <c r="W31" s="775">
        <f t="shared" si="12"/>
        <v>100</v>
      </c>
      <c r="X31" s="1815"/>
      <c r="Y31" s="3223"/>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2556</v>
      </c>
      <c r="Q32" s="1812">
        <f t="shared" si="8"/>
        <v>111</v>
      </c>
      <c r="R32" s="774" t="s">
        <v>17</v>
      </c>
      <c r="S32" s="775">
        <f t="shared" si="10"/>
        <v>100</v>
      </c>
      <c r="T32" s="774" t="s">
        <v>17</v>
      </c>
      <c r="U32" s="775">
        <f t="shared" si="11"/>
        <v>100</v>
      </c>
      <c r="V32" s="774" t="s">
        <v>17</v>
      </c>
      <c r="W32" s="775">
        <f t="shared" si="12"/>
        <v>100</v>
      </c>
      <c r="X32" s="1815"/>
      <c r="Y32" s="3227"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2">
        <f t="shared" si="8"/>
        <v>111</v>
      </c>
      <c r="R33" s="777" t="s">
        <v>17</v>
      </c>
      <c r="S33" s="778">
        <f t="shared" si="10"/>
        <v>100</v>
      </c>
      <c r="T33" s="777" t="s">
        <v>17</v>
      </c>
      <c r="U33" s="778">
        <f t="shared" si="11"/>
        <v>100</v>
      </c>
      <c r="V33" s="777" t="s">
        <v>17</v>
      </c>
      <c r="W33" s="778">
        <f t="shared" si="12"/>
        <v>100</v>
      </c>
      <c r="X33" s="779"/>
      <c r="Y33" s="3227"/>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2" t="str">
        <f>B34</f>
        <v>宗地面积</v>
      </c>
      <c r="R34" s="774" t="s">
        <v>17</v>
      </c>
      <c r="S34" s="775" t="e">
        <f t="shared" si="10"/>
        <v>#N/A</v>
      </c>
      <c r="T34" s="774" t="s">
        <v>17</v>
      </c>
      <c r="U34" s="775" t="e">
        <f t="shared" si="11"/>
        <v>#N/A</v>
      </c>
      <c r="V34" s="774" t="s">
        <v>17</v>
      </c>
      <c r="W34" s="775" t="e">
        <f t="shared" si="12"/>
        <v>#N/A</v>
      </c>
      <c r="X34" s="1815"/>
      <c r="Y34" s="3227"/>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7"/>
      <c r="Q35" s="1812" t="str">
        <f t="shared" ref="Q35:Q40" si="14">B35</f>
        <v>宗地形状</v>
      </c>
      <c r="R35" s="774" t="s">
        <v>17</v>
      </c>
      <c r="S35" s="775">
        <f t="shared" si="10"/>
        <v>100</v>
      </c>
      <c r="T35" s="774" t="s">
        <v>17</v>
      </c>
      <c r="U35" s="775">
        <f t="shared" si="11"/>
        <v>100</v>
      </c>
      <c r="V35" s="774" t="s">
        <v>17</v>
      </c>
      <c r="W35" s="775">
        <f t="shared" si="12"/>
        <v>100</v>
      </c>
      <c r="X35" s="1815"/>
      <c r="Y35" s="3227"/>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7"/>
      <c r="Q36" s="1812"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7" t="s">
        <v>2556</v>
      </c>
      <c r="Q37" s="1812" t="str">
        <f t="shared" si="14"/>
        <v>工程地质条件</v>
      </c>
      <c r="R37" s="774" t="s">
        <v>17</v>
      </c>
      <c r="S37" s="775">
        <f t="shared" si="10"/>
        <v>100</v>
      </c>
      <c r="T37" s="774" t="s">
        <v>17</v>
      </c>
      <c r="U37" s="775">
        <f t="shared" si="11"/>
        <v>100</v>
      </c>
      <c r="V37" s="774" t="s">
        <v>17</v>
      </c>
      <c r="W37" s="775">
        <f t="shared" si="12"/>
        <v>100</v>
      </c>
      <c r="X37" s="1815"/>
      <c r="Y37" s="3227"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2">
        <f t="shared" si="14"/>
        <v>111</v>
      </c>
      <c r="R38" s="774" t="s">
        <v>17</v>
      </c>
      <c r="S38" s="775">
        <f t="shared" si="10"/>
        <v>100</v>
      </c>
      <c r="T38" s="774" t="s">
        <v>17</v>
      </c>
      <c r="U38" s="775">
        <f t="shared" si="11"/>
        <v>100</v>
      </c>
      <c r="V38" s="774" t="s">
        <v>17</v>
      </c>
      <c r="W38" s="775">
        <f t="shared" si="12"/>
        <v>100</v>
      </c>
      <c r="X38" s="1815"/>
      <c r="Y38" s="322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2">
        <f t="shared" si="14"/>
        <v>111</v>
      </c>
      <c r="R39" s="774" t="s">
        <v>17</v>
      </c>
      <c r="S39" s="775">
        <f t="shared" si="10"/>
        <v>100</v>
      </c>
      <c r="T39" s="774" t="s">
        <v>17</v>
      </c>
      <c r="U39" s="775">
        <f t="shared" si="11"/>
        <v>100</v>
      </c>
      <c r="V39" s="774" t="s">
        <v>17</v>
      </c>
      <c r="W39" s="775">
        <f t="shared" si="12"/>
        <v>100</v>
      </c>
      <c r="X39" s="1815"/>
      <c r="Y39" s="3227"/>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2">
        <f t="shared" si="14"/>
        <v>111</v>
      </c>
      <c r="R40" s="777" t="s">
        <v>17</v>
      </c>
      <c r="S40" s="778">
        <f t="shared" si="10"/>
        <v>100</v>
      </c>
      <c r="T40" s="777" t="s">
        <v>17</v>
      </c>
      <c r="U40" s="778">
        <f t="shared" si="11"/>
        <v>100</v>
      </c>
      <c r="V40" s="777" t="s">
        <v>17</v>
      </c>
      <c r="W40" s="778">
        <f t="shared" si="12"/>
        <v>100</v>
      </c>
      <c r="X40" s="779"/>
      <c r="Y40" s="3227"/>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220" t="str">
        <f>A41</f>
        <v>成交单价</v>
      </c>
      <c r="Q41" s="3220"/>
      <c r="R41" s="3215">
        <f>E41</f>
        <v>0</v>
      </c>
      <c r="S41" s="3215"/>
      <c r="T41" s="3215">
        <f>G41</f>
        <v>0</v>
      </c>
      <c r="U41" s="3215"/>
      <c r="V41" s="3215">
        <f>I41</f>
        <v>0</v>
      </c>
      <c r="W41" s="3215"/>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220" t="str">
        <f>A42</f>
        <v>比较价值（元/平方米）</v>
      </c>
      <c r="Q42" s="3220"/>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203" t="s">
        <v>2755</v>
      </c>
      <c r="H50" s="3249"/>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202"/>
      <c r="H51" s="3220"/>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5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5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5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5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9"/>
      <c r="B4" s="3270"/>
      <c r="C4" s="3270"/>
      <c r="D4" s="3271"/>
      <c r="E4" s="3271"/>
      <c r="F4" s="3271"/>
      <c r="G4" s="3271"/>
      <c r="H4" s="3271"/>
      <c r="I4" s="3271"/>
      <c r="J4" s="3272"/>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55"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56"/>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6" t="s">
        <v>2831</v>
      </c>
      <c r="X8" s="3267"/>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56"/>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8"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6"/>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6"/>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8"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55"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8"/>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3"/>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68"/>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73"/>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4"/>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5"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6"/>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43341</v>
      </c>
      <c r="H19" s="2803" t="s">
        <v>2886</v>
      </c>
      <c r="I19" s="930" t="str">
        <f>IF(H19="季度增幅（自定义）",SUMIF(N21:N24,E2,O21:O24),"")</f>
        <v/>
      </c>
      <c r="J19" s="2800"/>
      <c r="K19" s="1380"/>
      <c r="L19" s="2804" t="s">
        <v>2887</v>
      </c>
      <c r="M19" s="1737">
        <f>ROUND(SUMIF(地价!B2:F2,E2,地价!B23:F23),0)</f>
        <v>0</v>
      </c>
      <c r="N19" s="2805"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63"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65"/>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7" t="s">
        <v>2965</v>
      </c>
      <c r="B90" s="3257"/>
      <c r="C90" s="3257"/>
      <c r="D90" s="3257"/>
      <c r="E90" s="3257"/>
      <c r="F90" s="3257"/>
      <c r="G90" s="3257"/>
      <c r="H90" s="3257"/>
      <c r="I90" s="3257"/>
      <c r="J90" s="3257"/>
      <c r="K90" s="2897"/>
      <c r="L90" s="2897"/>
      <c r="M90" s="2897"/>
      <c r="N90" s="2897"/>
    </row>
    <row r="91" spans="1:37">
      <c r="A91" s="3259" t="s">
        <v>2966</v>
      </c>
      <c r="B91" s="3259" t="s">
        <v>2967</v>
      </c>
      <c r="C91" s="2851" t="s">
        <v>2968</v>
      </c>
      <c r="D91" s="2852"/>
      <c r="E91" s="2852"/>
      <c r="F91" s="2852"/>
      <c r="G91" s="2852"/>
      <c r="H91" s="2852"/>
      <c r="I91" s="2852"/>
      <c r="J91" s="2898"/>
      <c r="K91" s="2899"/>
      <c r="L91" s="2899"/>
      <c r="M91" s="2899"/>
      <c r="N91" s="2899"/>
    </row>
    <row r="92" spans="1:37">
      <c r="A92" s="3259"/>
      <c r="B92" s="3259"/>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60"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1"/>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6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0"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61"/>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61"/>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61"/>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61"/>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61"/>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61"/>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61"/>
      <c r="B108" s="3089"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62"/>
      <c r="B109" s="3090"/>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58" t="s">
        <v>2973</v>
      </c>
      <c r="B110" s="3258"/>
      <c r="C110" s="3258"/>
      <c r="D110" s="3258"/>
      <c r="E110" s="3258"/>
      <c r="F110" s="3258"/>
      <c r="G110" s="3258"/>
      <c r="H110" s="3258"/>
      <c r="I110" s="3258"/>
      <c r="J110" s="3258"/>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1150</v>
      </c>
      <c r="C1" s="3281"/>
      <c r="D1" s="3281"/>
      <c r="E1" s="3281"/>
      <c r="F1" s="3281"/>
      <c r="G1" s="3277" t="s">
        <v>1151</v>
      </c>
      <c r="H1" s="3277"/>
      <c r="I1" s="3277"/>
      <c r="J1" s="3277"/>
      <c r="K1" s="3277"/>
      <c r="L1" s="3277"/>
      <c r="N1" s="3277" t="s">
        <v>1152</v>
      </c>
      <c r="O1" s="3277"/>
      <c r="P1" s="3277"/>
      <c r="Q1" s="3277"/>
      <c r="R1" s="1449"/>
      <c r="S1" s="3277" t="s">
        <v>1153</v>
      </c>
      <c r="T1" s="3277"/>
      <c r="U1" s="3277"/>
      <c r="V1" s="3277"/>
      <c r="X1" s="3276" t="s">
        <v>1154</v>
      </c>
      <c r="Y1" s="3277"/>
      <c r="Z1" s="3277"/>
      <c r="AA1" s="3277"/>
      <c r="AB1" s="3277"/>
      <c r="AD1" s="3276" t="s">
        <v>1155</v>
      </c>
      <c r="AE1" s="3277"/>
      <c r="AF1" s="3277"/>
      <c r="AG1" s="3277"/>
      <c r="AH1" s="3277"/>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9">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0">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9">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7" t="s">
        <v>2999</v>
      </c>
      <c r="D1" s="3288"/>
      <c r="E1" s="3288"/>
      <c r="F1" s="3288"/>
      <c r="G1" s="3288"/>
      <c r="H1" s="3288"/>
      <c r="I1" s="3288"/>
      <c r="J1" s="3288"/>
      <c r="K1" s="3288"/>
      <c r="L1" s="3288"/>
      <c r="M1" s="3288"/>
      <c r="N1" s="3288"/>
      <c r="O1" s="3288"/>
      <c r="P1" s="3288"/>
      <c r="Q1" s="3288"/>
      <c r="R1" s="3288"/>
      <c r="S1" s="3289"/>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70" t="s">
        <v>33</v>
      </c>
      <c r="D22" s="3071"/>
      <c r="E22" s="3071"/>
      <c r="F22" s="3071"/>
      <c r="G22" s="3071"/>
      <c r="H22" s="3071"/>
      <c r="I22" s="3071"/>
      <c r="J22" s="3071"/>
      <c r="K22" s="3071"/>
      <c r="L22" s="3071"/>
      <c r="M22" s="3071"/>
      <c r="N22" s="3071"/>
      <c r="O22" s="3071"/>
      <c r="P22" s="3071"/>
      <c r="Q22" s="328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1620</v>
      </c>
      <c r="C4" s="2973"/>
      <c r="D4" s="2973"/>
      <c r="E4" s="1963"/>
    </row>
    <row r="5" spans="1:5" ht="16.5" thickTop="1">
      <c r="A5" s="1961"/>
      <c r="B5" s="2971" t="s">
        <v>1612</v>
      </c>
      <c r="C5" s="1964" t="s">
        <v>1613</v>
      </c>
      <c r="D5" s="1043">
        <f ca="1">结果表!H101</f>
        <v>64309</v>
      </c>
      <c r="E5" s="1961"/>
    </row>
    <row r="6" spans="1:5" ht="15.75">
      <c r="A6" s="1961"/>
      <c r="B6" s="2971"/>
      <c r="C6" s="1964" t="s">
        <v>1614</v>
      </c>
      <c r="D6" s="1043" t="str">
        <f ca="1">NUMBERSTRING(INT(D5*10000),2)&amp;"元整"</f>
        <v>陆亿肆仟叁佰零玖万元整</v>
      </c>
      <c r="E6" s="1961"/>
    </row>
    <row r="7" spans="1:5" ht="15.75">
      <c r="A7" s="1961"/>
      <c r="B7" s="2976"/>
      <c r="C7" s="1965" t="s">
        <v>1615</v>
      </c>
      <c r="D7" s="1044">
        <f ca="1">结果表!H102</f>
        <v>16616</v>
      </c>
      <c r="E7" s="1961"/>
    </row>
    <row r="8" spans="1:5" ht="15.75">
      <c r="A8" s="1961"/>
      <c r="B8" s="2977" t="str">
        <f>结果表!E103</f>
        <v>2.估价师知悉的法定优先受偿款</v>
      </c>
      <c r="C8" s="1966" t="s">
        <v>1616</v>
      </c>
      <c r="D8" s="1044">
        <f>结果表!H103</f>
        <v>0</v>
      </c>
      <c r="E8" s="1961"/>
    </row>
    <row r="9" spans="1:5" ht="15.75">
      <c r="A9" s="1961"/>
      <c r="B9" s="2979"/>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70" t="str">
        <f>结果表!E107</f>
        <v>3.房地产抵押价值</v>
      </c>
      <c r="C13" s="1969" t="s">
        <v>1613</v>
      </c>
      <c r="D13" s="1046">
        <f ca="1">结果表!H107</f>
        <v>64309</v>
      </c>
      <c r="E13" s="1961"/>
    </row>
    <row r="14" spans="1:5" ht="15.75">
      <c r="A14" s="1961"/>
      <c r="B14" s="2971"/>
      <c r="C14" s="1964" t="s">
        <v>1614</v>
      </c>
      <c r="D14" s="1043" t="str">
        <f ca="1">NUMBERSTRING(INT(D13*10000),2)&amp;"元整"</f>
        <v>陆亿肆仟叁佰零玖万元整</v>
      </c>
      <c r="E14" s="1961"/>
    </row>
    <row r="15" spans="1:5" ht="15">
      <c r="A15" s="1961"/>
      <c r="B15" s="2976"/>
      <c r="C15" s="1965" t="s">
        <v>1624</v>
      </c>
      <c r="D15" s="1055">
        <f ca="1">结果表!H108</f>
        <v>16616</v>
      </c>
      <c r="E15" s="1961"/>
    </row>
    <row r="16" spans="1:5" ht="15">
      <c r="A16" s="1961"/>
      <c r="B16" s="2977" t="str">
        <f>结果表!E109</f>
        <v>——</v>
      </c>
      <c r="C16" s="1969" t="s">
        <v>1625</v>
      </c>
      <c r="D16" s="1970" t="str">
        <f>结果表!H109</f>
        <v>——</v>
      </c>
      <c r="E16" s="1961"/>
    </row>
    <row r="17" spans="1:5" ht="15.75">
      <c r="A17" s="1961"/>
      <c r="B17" s="2978"/>
      <c r="C17" s="1964" t="s">
        <v>1626</v>
      </c>
      <c r="D17" s="1043" t="e">
        <f>NUMBERSTRING(INT(D16*10000),2)&amp;"元整"</f>
        <v>#VALUE!</v>
      </c>
      <c r="E17" s="1961"/>
    </row>
    <row r="18" spans="1:5" ht="15">
      <c r="A18" s="1961"/>
      <c r="B18" s="2979"/>
      <c r="C18" s="1965" t="s">
        <v>1615</v>
      </c>
      <c r="D18" s="1055" t="str">
        <f>结果表!H110</f>
        <v>——</v>
      </c>
      <c r="E18" s="1961"/>
    </row>
    <row r="19" spans="1:5" ht="15.75">
      <c r="A19" s="1961"/>
      <c r="B19" s="2970" t="str">
        <f>结果表!E111</f>
        <v>——</v>
      </c>
      <c r="C19" s="1969" t="s">
        <v>1613</v>
      </c>
      <c r="D19" s="1044" t="str">
        <f>结果表!H111</f>
        <v>——</v>
      </c>
      <c r="E19" s="1961"/>
    </row>
    <row r="20" spans="1:5" ht="15.75">
      <c r="A20" s="1961"/>
      <c r="B20" s="2971"/>
      <c r="C20" s="1964" t="s">
        <v>1626</v>
      </c>
      <c r="D20" s="1043" t="e">
        <f>NUMBERSTRING(INT(D19*10000),2)&amp;"元整"</f>
        <v>#VALUE!</v>
      </c>
      <c r="E20" s="1961"/>
    </row>
    <row r="21" spans="1:5" ht="15.75" thickBot="1">
      <c r="A21" s="1961"/>
      <c r="B21" s="2972"/>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55" t="s">
        <v>121</v>
      </c>
    </row>
    <row r="43" spans="1:7" ht="13.5" customHeight="1">
      <c r="A43" s="954" t="s">
        <v>792</v>
      </c>
      <c r="B43" s="259" t="s">
        <v>1064</v>
      </c>
      <c r="C43" s="282">
        <f ca="1">ROUND(IF('数据-取费表'!B22&lt;=1,C39*F22*'数据-取费表'!B21/2,C39*(POWER((1+F22),'数据-取费表'!B21/2)-1)),0)</f>
        <v>40</v>
      </c>
      <c r="D43" s="282"/>
      <c r="E43" s="282"/>
      <c r="F43" s="283"/>
      <c r="G43" s="3156"/>
    </row>
    <row r="44" spans="1:7" ht="13.5" customHeight="1">
      <c r="A44" s="954" t="s">
        <v>793</v>
      </c>
      <c r="B44" s="259" t="s">
        <v>1066</v>
      </c>
      <c r="C44" s="282">
        <f ca="1">ROUND(IF('数据-取费表'!B22&lt;=1,C40*F22*'数据-取费表'!B21/2,C40*(POWER((1+F22),'数据-取费表'!B21/2)-1)),4)</f>
        <v>1.8E-3</v>
      </c>
      <c r="D44" s="282"/>
      <c r="E44" s="282"/>
      <c r="F44" s="283"/>
      <c r="G44" s="3157"/>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6" sqref="A6"/>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1631</v>
      </c>
      <c r="B2" s="2981" t="s">
        <v>1632</v>
      </c>
      <c r="C2" s="2981" t="s">
        <v>1633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14212</v>
      </c>
      <c r="E4" s="1047">
        <f ca="1">结果表!E118</f>
        <v>3672</v>
      </c>
      <c r="F4" s="1047">
        <f ca="1">结果表!F118</f>
        <v>50097</v>
      </c>
      <c r="G4" s="1047">
        <f ca="1">结果表!G118</f>
        <v>12944</v>
      </c>
      <c r="H4" s="1047">
        <f ca="1">结果表!H118</f>
        <v>64309</v>
      </c>
      <c r="I4" s="1047">
        <f ca="1">结果表!I118</f>
        <v>16616</v>
      </c>
    </row>
    <row r="5" spans="1:9" ht="30" customHeight="1">
      <c r="A5" s="2982" t="s">
        <v>1630</v>
      </c>
      <c r="B5" s="2982"/>
      <c r="C5" s="2982"/>
      <c r="D5" s="2983" t="str">
        <f ca="1">结果表!D119</f>
        <v>壹亿肆仟贰佰壹拾贰万元整</v>
      </c>
      <c r="E5" s="2983"/>
      <c r="F5" s="2983" t="str">
        <f ca="1">结果表!F119</f>
        <v>伍亿零玖拾柒万元整</v>
      </c>
      <c r="G5" s="2983"/>
      <c r="H5" s="2983" t="str">
        <f ca="1">结果表!H119</f>
        <v>陆亿肆仟叁佰零玖万元整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1630</v>
      </c>
      <c r="B7" s="2982"/>
      <c r="C7" s="2982"/>
      <c r="D7" s="2985" t="str">
        <f>结果表!D121</f>
        <v>零元整</v>
      </c>
      <c r="E7" s="2986"/>
      <c r="F7" s="2986"/>
      <c r="G7" s="2986"/>
      <c r="H7" s="2986"/>
      <c r="I7" s="2987"/>
    </row>
    <row r="8" spans="1:9" ht="15.75">
      <c r="A8" s="2984" t="str">
        <f>结果表!A122</f>
        <v>房地产抵押价值</v>
      </c>
      <c r="B8" s="2984"/>
      <c r="C8" s="2984"/>
      <c r="D8" s="2984">
        <f ca="1">结果表!D122</f>
        <v>64309</v>
      </c>
      <c r="E8" s="2984"/>
      <c r="F8" s="2984"/>
      <c r="G8" s="2984"/>
      <c r="H8" s="2984"/>
      <c r="I8" s="2984"/>
    </row>
    <row r="9" spans="1:9" ht="15">
      <c r="A9" s="2982" t="s">
        <v>1630</v>
      </c>
      <c r="B9" s="2982"/>
      <c r="C9" s="2982"/>
      <c r="D9" s="2983" t="str">
        <f ca="1">结果表!D123</f>
        <v>陆亿肆仟叁佰零玖万元整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1630</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1630</v>
      </c>
      <c r="B13" s="2988"/>
      <c r="C13" s="2988"/>
      <c r="D13" s="2989" t="e">
        <f>结果表!D127</f>
        <v>#VALUE!</v>
      </c>
      <c r="E13" s="2989"/>
      <c r="F13" s="2989"/>
      <c r="G13" s="2989"/>
      <c r="H13" s="2989"/>
      <c r="I13" s="2989"/>
    </row>
    <row r="14" spans="1:9" ht="15" thickTop="1">
      <c r="A14" s="2990" t="s">
        <v>1635</v>
      </c>
      <c r="B14" s="2990"/>
      <c r="C14" s="2990"/>
      <c r="D14" s="2990"/>
      <c r="E14" s="2990"/>
      <c r="F14" s="2990"/>
      <c r="G14" s="2990"/>
      <c r="H14" s="2990"/>
      <c r="I14" s="2990"/>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1652</v>
      </c>
      <c r="B1" s="2991"/>
      <c r="C1" s="2991"/>
      <c r="D1" s="2991"/>
    </row>
    <row r="2" spans="1:4" ht="18">
      <c r="A2" s="2992" t="s">
        <v>1636</v>
      </c>
      <c r="B2" s="2992"/>
      <c r="C2" s="2992"/>
      <c r="D2" s="2992"/>
    </row>
    <row r="3" spans="1:4" ht="18.75">
      <c r="A3" s="1979" t="s">
        <v>1637</v>
      </c>
      <c r="B3" s="1979" t="s">
        <v>1638</v>
      </c>
      <c r="C3" s="1979" t="s">
        <v>1639</v>
      </c>
      <c r="D3" s="1979" t="s">
        <v>1640</v>
      </c>
    </row>
    <row r="4" spans="1:4" ht="56.25" customHeight="1">
      <c r="A4" s="1980" t="str">
        <f>项目基本情况!B4</f>
        <v>吴薇</v>
      </c>
      <c r="B4" s="1981">
        <f ca="1">项目基本情况!C4</f>
        <v>1419970001</v>
      </c>
      <c r="C4" s="1982"/>
      <c r="D4" s="1983" t="s">
        <v>1641</v>
      </c>
    </row>
    <row r="5" spans="1:4" ht="56.25" customHeight="1">
      <c r="A5" s="1980" t="str">
        <f>项目基本情况!D4</f>
        <v>郑燚</v>
      </c>
      <c r="B5" s="1981">
        <f ca="1">项目基本情况!E4</f>
        <v>1120070131</v>
      </c>
      <c r="C5" s="1984"/>
      <c r="D5" s="1983" t="s">
        <v>1641</v>
      </c>
    </row>
    <row r="6" spans="1:4" ht="18">
      <c r="A6" s="2992" t="s">
        <v>1642</v>
      </c>
      <c r="B6" s="2992"/>
      <c r="C6" s="2992"/>
      <c r="D6" s="2992"/>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2993" t="s">
        <v>1645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1646</v>
      </c>
      <c r="B16" s="2997"/>
      <c r="C16" s="2997"/>
      <c r="D16" s="2997"/>
    </row>
    <row r="17" spans="1:4" ht="144" customHeight="1">
      <c r="A17" s="2997" t="s">
        <v>1647</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1648</v>
      </c>
      <c r="B22" s="2999"/>
      <c r="C22" s="2999"/>
      <c r="D22" s="2999"/>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05" t="s">
        <v>1659</v>
      </c>
      <c r="B15" s="3000" t="s">
        <v>136</v>
      </c>
      <c r="C15" s="3001"/>
    </row>
    <row r="16" spans="1:7" ht="13.5">
      <c r="A16" s="3006"/>
      <c r="B16" s="3000" t="s">
        <v>69</v>
      </c>
      <c r="C16" s="3001"/>
    </row>
    <row r="17" spans="1:3" ht="13.5">
      <c r="A17" s="3006"/>
      <c r="B17" s="3003" t="s">
        <v>1660</v>
      </c>
      <c r="C17" s="2002" t="s">
        <v>1659</v>
      </c>
    </row>
    <row r="18" spans="1:3" ht="13.5">
      <c r="A18" s="3006"/>
      <c r="B18" s="3003"/>
      <c r="C18" s="2002" t="s">
        <v>1661</v>
      </c>
    </row>
    <row r="19" spans="1:3" ht="13.5">
      <c r="A19" s="3006"/>
      <c r="B19" s="3003"/>
      <c r="C19" s="2002" t="s">
        <v>1662</v>
      </c>
    </row>
    <row r="20" spans="1:3" ht="13.5">
      <c r="A20" s="3007"/>
      <c r="B20" s="3002" t="s">
        <v>1663</v>
      </c>
      <c r="C20" s="3001"/>
    </row>
    <row r="21" spans="1:3" ht="13.5">
      <c r="A21" s="2003" t="s">
        <v>1664</v>
      </c>
      <c r="B21" s="2004"/>
      <c r="C21" s="2005"/>
    </row>
    <row r="22" spans="1:3" ht="13.5">
      <c r="A22" s="3004" t="s">
        <v>1665</v>
      </c>
      <c r="B22" s="3002" t="s">
        <v>1666</v>
      </c>
      <c r="C22" s="3001"/>
    </row>
    <row r="23" spans="1:3" ht="13.5">
      <c r="A23" s="3004"/>
      <c r="B23" s="3002" t="s">
        <v>1667</v>
      </c>
      <c r="C23" s="3001"/>
    </row>
    <row r="24" spans="1:3" ht="13.5">
      <c r="A24" s="3004"/>
      <c r="B24" s="3002" t="s">
        <v>1668</v>
      </c>
      <c r="C24" s="3001"/>
    </row>
    <row r="25" spans="1:3" ht="13.5">
      <c r="A25" s="3004"/>
      <c r="B25" s="3003" t="s">
        <v>1669</v>
      </c>
      <c r="C25" s="2002" t="s">
        <v>1670</v>
      </c>
    </row>
    <row r="26" spans="1:3" ht="13.5">
      <c r="A26" s="3004"/>
      <c r="B26" s="3003"/>
      <c r="C26" s="2002" t="s">
        <v>1671</v>
      </c>
    </row>
    <row r="27" spans="1:3" ht="13.5">
      <c r="A27" s="3004"/>
      <c r="B27" s="3003"/>
      <c r="C27" s="2002" t="s">
        <v>1672</v>
      </c>
    </row>
    <row r="28" spans="1:3" ht="13.5">
      <c r="A28" s="3004"/>
      <c r="B28" s="3003"/>
      <c r="C28" s="2002" t="s">
        <v>1673</v>
      </c>
    </row>
    <row r="29" spans="1:3" ht="13.5">
      <c r="A29" s="3004"/>
      <c r="B29" s="3003"/>
      <c r="C29" s="2002" t="s">
        <v>1674</v>
      </c>
    </row>
    <row r="30" spans="1:3" ht="13.5">
      <c r="A30" s="3004"/>
      <c r="B30" s="3003"/>
      <c r="C30" s="2002" t="s">
        <v>1675</v>
      </c>
    </row>
    <row r="31" spans="1:3" ht="13.5">
      <c r="A31" s="3004"/>
      <c r="B31" s="3003"/>
      <c r="C31" s="2002" t="s">
        <v>1676</v>
      </c>
    </row>
    <row r="32" spans="1:3" ht="13.5">
      <c r="A32" s="3004"/>
      <c r="B32" s="3003"/>
      <c r="C32" s="2002" t="s">
        <v>1677</v>
      </c>
    </row>
    <row r="33" spans="1:3" ht="13.5">
      <c r="A33" s="3004"/>
      <c r="B33" s="3003"/>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2018-11-19T09:47:28Z</dcterms:modified>
</cp:coreProperties>
</file>